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ários\angelo.parrini\Desktop\"/>
    </mc:Choice>
  </mc:AlternateContent>
  <bookViews>
    <workbookView xWindow="0" yWindow="0" windowWidth="28800" windowHeight="12300" firstSheet="5" activeTab="2"/>
  </bookViews>
  <sheets>
    <sheet name="RESUMO" sheetId="1" r:id="rId1"/>
    <sheet name="CRONOGRAMA" sheetId="2" r:id="rId2"/>
    <sheet name="PLANILHA ORCAMENTARIA" sheetId="3" r:id="rId3"/>
    <sheet name="MEMORIA DE CALCULO" sheetId="4" r:id="rId4"/>
    <sheet name="SINTETICO PROPRIAS" sheetId="5" r:id="rId5"/>
    <sheet name="COMPOSICOES PROPRIAS" sheetId="6" r:id="rId6"/>
    <sheet name="COMPOSICOES AUXILIARES" sheetId="7" r:id="rId7"/>
    <sheet name="COMPOSICOES" sheetId="8" r:id="rId8"/>
    <sheet name="CURVA ABC SERVICOS" sheetId="9" r:id="rId9"/>
    <sheet name="CURVA ABC INSUMOS" sheetId="10" r:id="rId10"/>
    <sheet name="DADOS DO ORÇAMENTO" sheetId="11" r:id="rId11"/>
    <sheet name="PLANILHA POR ESCOPO" sheetId="12" r:id="rId12"/>
    <sheet name="RESUMO POR ESCOPO" sheetId="13" r:id="rId13"/>
  </sheets>
  <definedNames>
    <definedName name="_xlnm._FilterDatabase" localSheetId="2" hidden="1">'PLANILHA ORCAMENTARIA'!$6:$410</definedName>
    <definedName name="_xlnm.Print_Area" localSheetId="5">'COMPOSICOES PROPRIAS'!$A$1:$J$780</definedName>
    <definedName name="_xlnm.Print_Area" localSheetId="1">CRONOGRAMA!$A$1:$Q$24</definedName>
    <definedName name="_xlnm.Print_Area" localSheetId="2">'PLANILHA ORCAMENTARIA'!$A$1:$J$416</definedName>
    <definedName name="JR_PAGE_ANCHOR_0_1">RESUMO!#REF!</definedName>
    <definedName name="JR_PAGE_ANCHOR_1_1">'PLANILHA ORCAMENTARIA'!$A$5</definedName>
    <definedName name="JR_PAGE_ANCHOR_2_1">'MEMORIA DE CALCULO'!$A$5</definedName>
    <definedName name="JR_PAGE_ANCHOR_3_1">'SINTETICO PROPRIAS'!$A$2</definedName>
    <definedName name="JR_PAGE_ANCHOR_4_1">'COMPOSICOES PROPRIAS'!$A$4</definedName>
    <definedName name="JR_PAGE_ANCHOR_5_1">'COMPOSICOES AUXILIARES'!$A$4</definedName>
    <definedName name="JR_PAGE_ANCHOR_6_1">COMPOSICOES!$A$4</definedName>
    <definedName name="JR_PAGE_ANCHOR_7_1">'CURVA ABC SERVICOS'!$A$4</definedName>
    <definedName name="JR_PAGE_ANCHOR_8_1">'CURVA ABC INSUMOS'!$A$4</definedName>
    <definedName name="JR_PAGE_ANCHOR_9_1">CRONOGRAMA!$A$5</definedName>
    <definedName name="VALOR_TOTAL">'PLANILHA ORCAMENTARIA'!$J$410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48" i="3" l="1"/>
  <c r="O348" i="3" s="1"/>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4" i="3"/>
  <c r="Q225" i="3"/>
  <c r="Q226" i="3"/>
  <c r="Q227" i="3"/>
  <c r="Q228" i="3"/>
  <c r="Q229" i="3"/>
  <c r="Q230" i="3"/>
  <c r="Q231" i="3"/>
  <c r="Q232"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1" i="3"/>
  <c r="Q332" i="3"/>
  <c r="Q333" i="3"/>
  <c r="Q334" i="3"/>
  <c r="Q335" i="3"/>
  <c r="Q336" i="3"/>
  <c r="Q337" i="3"/>
  <c r="Q338" i="3"/>
  <c r="Q339" i="3"/>
  <c r="Q340" i="3"/>
  <c r="Q341" i="3"/>
  <c r="Q342" i="3"/>
  <c r="Q343" i="3"/>
  <c r="Q344" i="3"/>
  <c r="Q345" i="3"/>
  <c r="Q346" i="3"/>
  <c r="Q347" i="3"/>
  <c r="Q348" i="3"/>
  <c r="Q349"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Q395" i="3"/>
  <c r="Q396" i="3"/>
  <c r="Q397" i="3"/>
  <c r="Q398" i="3"/>
  <c r="Q399" i="3"/>
  <c r="Q400" i="3"/>
  <c r="Q401" i="3"/>
  <c r="Q402" i="3"/>
  <c r="Q403" i="3"/>
  <c r="Q404" i="3"/>
  <c r="Q405" i="3"/>
  <c r="Q406" i="3"/>
  <c r="Q407" i="3"/>
  <c r="Q408" i="3"/>
  <c r="Q409" i="3"/>
  <c r="J101" i="3"/>
  <c r="O101" i="3" s="1"/>
  <c r="J108" i="3"/>
  <c r="O108" i="3" s="1"/>
  <c r="J86" i="3"/>
  <c r="O86" i="3" s="1"/>
  <c r="O8" i="3"/>
  <c r="O9" i="3"/>
  <c r="O10" i="3"/>
  <c r="O11" i="3"/>
  <c r="O12" i="3"/>
  <c r="O13" i="3"/>
  <c r="O14" i="3"/>
  <c r="O15" i="3"/>
  <c r="O16" i="3"/>
  <c r="O17" i="3"/>
  <c r="O18" i="3"/>
  <c r="O19" i="3"/>
  <c r="O20" i="3"/>
  <c r="O21" i="3"/>
  <c r="O22" i="3"/>
  <c r="O23" i="3"/>
  <c r="O24" i="3"/>
  <c r="O25" i="3"/>
  <c r="O26" i="3"/>
  <c r="O27" i="3"/>
  <c r="O28" i="3"/>
  <c r="O29" i="3"/>
  <c r="O30" i="3"/>
  <c r="O31" i="3"/>
  <c r="O32" i="3"/>
  <c r="O33" i="3"/>
  <c r="O34"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6" i="3"/>
  <c r="O77" i="3"/>
  <c r="O78" i="3"/>
  <c r="O79" i="3"/>
  <c r="O80" i="3"/>
  <c r="O81" i="3"/>
  <c r="O82" i="3"/>
  <c r="O83" i="3"/>
  <c r="O84" i="3"/>
  <c r="O85" i="3"/>
  <c r="O87" i="3"/>
  <c r="O88" i="3"/>
  <c r="O89" i="3"/>
  <c r="O90" i="3"/>
  <c r="O91" i="3"/>
  <c r="O92" i="3"/>
  <c r="O93" i="3"/>
  <c r="O94" i="3"/>
  <c r="O95" i="3"/>
  <c r="O96" i="3"/>
  <c r="O97" i="3"/>
  <c r="O98" i="3"/>
  <c r="O99" i="3"/>
  <c r="O100" i="3"/>
  <c r="O102" i="3"/>
  <c r="O103" i="3"/>
  <c r="O104" i="3"/>
  <c r="O105" i="3"/>
  <c r="O106" i="3"/>
  <c r="O107" i="3"/>
  <c r="O109" i="3"/>
  <c r="O110" i="3"/>
  <c r="O111" i="3"/>
  <c r="O112" i="3"/>
  <c r="O113" i="3"/>
  <c r="O114" i="3"/>
  <c r="O115" i="3"/>
  <c r="O116" i="3"/>
  <c r="O117" i="3"/>
  <c r="O118" i="3"/>
  <c r="O119" i="3"/>
  <c r="O120" i="3"/>
  <c r="O121" i="3"/>
  <c r="O122" i="3"/>
  <c r="O123" i="3"/>
  <c r="O124" i="3"/>
  <c r="O125" i="3"/>
  <c r="O126" i="3"/>
  <c r="O127" i="3"/>
  <c r="O128" i="3"/>
  <c r="O129" i="3"/>
  <c r="O130" i="3"/>
  <c r="O131" i="3"/>
  <c r="O132" i="3"/>
  <c r="O133" i="3"/>
  <c r="O134" i="3"/>
  <c r="O135" i="3"/>
  <c r="O136" i="3"/>
  <c r="O137" i="3"/>
  <c r="O138" i="3"/>
  <c r="O139" i="3"/>
  <c r="O140" i="3"/>
  <c r="O141" i="3"/>
  <c r="O142" i="3"/>
  <c r="O143" i="3"/>
  <c r="O144" i="3"/>
  <c r="O145" i="3"/>
  <c r="O146" i="3"/>
  <c r="O147" i="3"/>
  <c r="O148" i="3"/>
  <c r="O149" i="3"/>
  <c r="O150" i="3"/>
  <c r="O151" i="3"/>
  <c r="O152" i="3"/>
  <c r="O153" i="3"/>
  <c r="O154" i="3"/>
  <c r="O155" i="3"/>
  <c r="O156" i="3"/>
  <c r="O157" i="3"/>
  <c r="O158" i="3"/>
  <c r="O159" i="3"/>
  <c r="O160" i="3"/>
  <c r="O161" i="3"/>
  <c r="O162" i="3"/>
  <c r="O163" i="3"/>
  <c r="O164" i="3"/>
  <c r="O165" i="3"/>
  <c r="O166" i="3"/>
  <c r="O167" i="3"/>
  <c r="O168" i="3"/>
  <c r="O169" i="3"/>
  <c r="O170" i="3"/>
  <c r="O171" i="3"/>
  <c r="O172" i="3"/>
  <c r="O173" i="3"/>
  <c r="O174" i="3"/>
  <c r="O175" i="3"/>
  <c r="O176" i="3"/>
  <c r="O177" i="3"/>
  <c r="O178" i="3"/>
  <c r="O179" i="3"/>
  <c r="O180" i="3"/>
  <c r="O181" i="3"/>
  <c r="O182" i="3"/>
  <c r="O183" i="3"/>
  <c r="O184" i="3"/>
  <c r="O185" i="3"/>
  <c r="O186" i="3"/>
  <c r="O187" i="3"/>
  <c r="O188" i="3"/>
  <c r="O189" i="3"/>
  <c r="O190" i="3"/>
  <c r="O191" i="3"/>
  <c r="O192" i="3"/>
  <c r="O193" i="3"/>
  <c r="O194" i="3"/>
  <c r="O195" i="3"/>
  <c r="O196" i="3"/>
  <c r="O197" i="3"/>
  <c r="O198" i="3"/>
  <c r="O199" i="3"/>
  <c r="O200" i="3"/>
  <c r="O201" i="3"/>
  <c r="O202" i="3"/>
  <c r="O203" i="3"/>
  <c r="O204" i="3"/>
  <c r="O205" i="3"/>
  <c r="O206" i="3"/>
  <c r="O207" i="3"/>
  <c r="O208" i="3"/>
  <c r="O209" i="3"/>
  <c r="O210" i="3"/>
  <c r="O211" i="3"/>
  <c r="O212" i="3"/>
  <c r="O213" i="3"/>
  <c r="O214" i="3"/>
  <c r="O215" i="3"/>
  <c r="O216" i="3"/>
  <c r="O217" i="3"/>
  <c r="O218" i="3"/>
  <c r="O219" i="3"/>
  <c r="O220" i="3"/>
  <c r="O221" i="3"/>
  <c r="O222" i="3"/>
  <c r="O223" i="3"/>
  <c r="O224" i="3"/>
  <c r="O225" i="3"/>
  <c r="O226" i="3"/>
  <c r="O227" i="3"/>
  <c r="O228" i="3"/>
  <c r="O229" i="3"/>
  <c r="O230" i="3"/>
  <c r="O231" i="3"/>
  <c r="O232" i="3"/>
  <c r="O233" i="3"/>
  <c r="O234" i="3"/>
  <c r="O235" i="3"/>
  <c r="O236" i="3"/>
  <c r="O237" i="3"/>
  <c r="O238" i="3"/>
  <c r="O239" i="3"/>
  <c r="O240" i="3"/>
  <c r="O241" i="3"/>
  <c r="O242" i="3"/>
  <c r="O243" i="3"/>
  <c r="O244" i="3"/>
  <c r="O245" i="3"/>
  <c r="O246" i="3"/>
  <c r="O247" i="3"/>
  <c r="O248" i="3"/>
  <c r="O249" i="3"/>
  <c r="O250" i="3"/>
  <c r="O251" i="3"/>
  <c r="O252" i="3"/>
  <c r="O253" i="3"/>
  <c r="O254" i="3"/>
  <c r="O255" i="3"/>
  <c r="O256" i="3"/>
  <c r="O257" i="3"/>
  <c r="O258" i="3"/>
  <c r="O259" i="3"/>
  <c r="O260" i="3"/>
  <c r="O261" i="3"/>
  <c r="O262" i="3"/>
  <c r="O263" i="3"/>
  <c r="O264" i="3"/>
  <c r="O265" i="3"/>
  <c r="O266" i="3"/>
  <c r="O267" i="3"/>
  <c r="O268" i="3"/>
  <c r="O269" i="3"/>
  <c r="O270" i="3"/>
  <c r="O271" i="3"/>
  <c r="O272" i="3"/>
  <c r="O273" i="3"/>
  <c r="O274" i="3"/>
  <c r="O275" i="3"/>
  <c r="O276" i="3"/>
  <c r="O277" i="3"/>
  <c r="O278" i="3"/>
  <c r="O279" i="3"/>
  <c r="O280" i="3"/>
  <c r="O281" i="3"/>
  <c r="O282" i="3"/>
  <c r="O283" i="3"/>
  <c r="O284" i="3"/>
  <c r="O285" i="3"/>
  <c r="O286" i="3"/>
  <c r="O287" i="3"/>
  <c r="O288" i="3"/>
  <c r="O289" i="3"/>
  <c r="O290" i="3"/>
  <c r="O291" i="3"/>
  <c r="O292" i="3"/>
  <c r="O293" i="3"/>
  <c r="O294" i="3"/>
  <c r="O295" i="3"/>
  <c r="O296" i="3"/>
  <c r="O297" i="3"/>
  <c r="O298" i="3"/>
  <c r="O299" i="3"/>
  <c r="O300" i="3"/>
  <c r="O301" i="3"/>
  <c r="O302" i="3"/>
  <c r="O303" i="3"/>
  <c r="O304" i="3"/>
  <c r="O305" i="3"/>
  <c r="O306" i="3"/>
  <c r="O307" i="3"/>
  <c r="O308" i="3"/>
  <c r="O309" i="3"/>
  <c r="O310" i="3"/>
  <c r="O311" i="3"/>
  <c r="O312" i="3"/>
  <c r="O313" i="3"/>
  <c r="O314" i="3"/>
  <c r="O315" i="3"/>
  <c r="O316" i="3"/>
  <c r="O317" i="3"/>
  <c r="O318" i="3"/>
  <c r="O319" i="3"/>
  <c r="O320" i="3"/>
  <c r="O321" i="3"/>
  <c r="O322" i="3"/>
  <c r="O323" i="3"/>
  <c r="O324" i="3"/>
  <c r="O325" i="3"/>
  <c r="O326" i="3"/>
  <c r="O327" i="3"/>
  <c r="O328" i="3"/>
  <c r="O329" i="3"/>
  <c r="O330" i="3"/>
  <c r="O331" i="3"/>
  <c r="O332" i="3"/>
  <c r="O333" i="3"/>
  <c r="O334" i="3"/>
  <c r="O336" i="3"/>
  <c r="O337" i="3"/>
  <c r="O338" i="3"/>
  <c r="O339" i="3"/>
  <c r="O340" i="3"/>
  <c r="O341" i="3"/>
  <c r="O342" i="3"/>
  <c r="O343" i="3"/>
  <c r="O344" i="3"/>
  <c r="O345" i="3"/>
  <c r="O346" i="3"/>
  <c r="O347" i="3"/>
  <c r="O349" i="3"/>
  <c r="O350" i="3"/>
  <c r="O351" i="3"/>
  <c r="O352" i="3"/>
  <c r="O353" i="3"/>
  <c r="O354" i="3"/>
  <c r="O355" i="3"/>
  <c r="O356" i="3"/>
  <c r="O357" i="3"/>
  <c r="O358" i="3"/>
  <c r="O359" i="3"/>
  <c r="O360" i="3"/>
  <c r="O361" i="3"/>
  <c r="O362" i="3"/>
  <c r="O363" i="3"/>
  <c r="O364" i="3"/>
  <c r="O365" i="3"/>
  <c r="O366" i="3"/>
  <c r="O367" i="3"/>
  <c r="O368" i="3"/>
  <c r="O369" i="3"/>
  <c r="O370" i="3"/>
  <c r="O371" i="3"/>
  <c r="O372" i="3"/>
  <c r="O373" i="3"/>
  <c r="O374" i="3"/>
  <c r="O375" i="3"/>
  <c r="O376" i="3"/>
  <c r="O377" i="3"/>
  <c r="O378" i="3"/>
  <c r="O379" i="3"/>
  <c r="O380" i="3"/>
  <c r="O381" i="3"/>
  <c r="O382" i="3"/>
  <c r="O383" i="3"/>
  <c r="O384" i="3"/>
  <c r="O385" i="3"/>
  <c r="O386" i="3"/>
  <c r="O387" i="3"/>
  <c r="O388" i="3"/>
  <c r="O389" i="3"/>
  <c r="O390" i="3"/>
  <c r="O391" i="3"/>
  <c r="O392" i="3"/>
  <c r="O393" i="3"/>
  <c r="O394" i="3"/>
  <c r="O395" i="3"/>
  <c r="O396" i="3"/>
  <c r="O397" i="3"/>
  <c r="O398" i="3"/>
  <c r="O399" i="3"/>
  <c r="O400" i="3"/>
  <c r="O401" i="3"/>
  <c r="O402" i="3"/>
  <c r="O403" i="3"/>
  <c r="O404" i="3"/>
  <c r="O405" i="3"/>
  <c r="O406" i="3"/>
  <c r="O407" i="3"/>
  <c r="N407" i="3"/>
  <c r="N401" i="3"/>
  <c r="N397" i="3"/>
  <c r="N395" i="3"/>
  <c r="N381" i="3"/>
  <c r="N377" i="3"/>
  <c r="N375" i="3"/>
  <c r="N373" i="3"/>
  <c r="N369" i="3"/>
  <c r="N363" i="3"/>
  <c r="N353" i="3"/>
  <c r="N348" i="3"/>
  <c r="N344" i="3"/>
  <c r="N336" i="3"/>
  <c r="N323" i="3"/>
  <c r="N315" i="3"/>
  <c r="N309" i="3"/>
  <c r="N302" i="3"/>
  <c r="N289" i="3"/>
  <c r="N286" i="3"/>
  <c r="N273" i="3"/>
  <c r="N265" i="3"/>
  <c r="N255" i="3"/>
  <c r="N247" i="3"/>
  <c r="N240" i="3"/>
  <c r="N237" i="3"/>
  <c r="N233" i="3"/>
  <c r="N211" i="3"/>
  <c r="N198" i="3"/>
  <c r="N189" i="3"/>
  <c r="N172" i="3"/>
  <c r="N151" i="3"/>
  <c r="N135" i="3"/>
  <c r="N133" i="3"/>
  <c r="N128" i="3"/>
  <c r="N122" i="3"/>
  <c r="N108" i="3"/>
  <c r="N102" i="3"/>
  <c r="N96" i="3"/>
  <c r="N92" i="3"/>
  <c r="N61" i="3"/>
  <c r="N55" i="3"/>
  <c r="N46" i="3"/>
  <c r="N40" i="3"/>
  <c r="N36" i="3"/>
  <c r="N20" i="3"/>
  <c r="N8" i="3"/>
  <c r="M133" i="3"/>
  <c r="M128" i="3"/>
  <c r="M122" i="3"/>
  <c r="M108" i="3"/>
  <c r="M102" i="3"/>
  <c r="I381" i="3" l="1"/>
  <c r="J381" i="3"/>
  <c r="L394" i="3"/>
  <c r="I394" i="3"/>
  <c r="J394" i="3"/>
  <c r="H394" i="3"/>
  <c r="J776" i="6"/>
  <c r="J778" i="6"/>
  <c r="I333" i="3"/>
  <c r="H333" i="3"/>
  <c r="L333" i="3" s="1"/>
  <c r="B778" i="6"/>
  <c r="J775" i="6"/>
  <c r="I10" i="3"/>
  <c r="H10" i="3"/>
  <c r="J10" i="3" s="1"/>
  <c r="J333" i="3" l="1"/>
  <c r="L10" i="3"/>
  <c r="L108" i="3"/>
  <c r="I107" i="3"/>
  <c r="H107" i="3"/>
  <c r="J107" i="3" s="1"/>
  <c r="I106" i="3"/>
  <c r="H106" i="3"/>
  <c r="J106" i="3" s="1"/>
  <c r="I105" i="3"/>
  <c r="H105" i="3"/>
  <c r="J105" i="3" s="1"/>
  <c r="I104" i="3"/>
  <c r="H104" i="3"/>
  <c r="J104" i="3" s="1"/>
  <c r="I103" i="3"/>
  <c r="H103" i="3"/>
  <c r="L103" i="3" s="1"/>
  <c r="L102" i="3"/>
  <c r="L336" i="3"/>
  <c r="H337" i="3"/>
  <c r="J337" i="3" s="1"/>
  <c r="I337" i="3"/>
  <c r="H338" i="3"/>
  <c r="L338" i="3" s="1"/>
  <c r="I338" i="3"/>
  <c r="H339" i="3"/>
  <c r="J339" i="3" s="1"/>
  <c r="I339" i="3"/>
  <c r="H340" i="3"/>
  <c r="J340" i="3" s="1"/>
  <c r="I340" i="3"/>
  <c r="H341" i="3"/>
  <c r="J341" i="3" s="1"/>
  <c r="I341" i="3"/>
  <c r="H342" i="3"/>
  <c r="J342" i="3" s="1"/>
  <c r="I342" i="3"/>
  <c r="H343" i="3"/>
  <c r="J343" i="3" s="1"/>
  <c r="I343" i="3"/>
  <c r="L344" i="3"/>
  <c r="H345" i="3"/>
  <c r="J345" i="3" s="1"/>
  <c r="I345" i="3"/>
  <c r="H346" i="3"/>
  <c r="L346" i="3" s="1"/>
  <c r="I346" i="3"/>
  <c r="H347" i="3"/>
  <c r="L347" i="3" s="1"/>
  <c r="I347" i="3"/>
  <c r="L36" i="3"/>
  <c r="I102" i="3" l="1"/>
  <c r="J338" i="3"/>
  <c r="J336" i="3" s="1"/>
  <c r="L343" i="3"/>
  <c r="J103" i="3"/>
  <c r="J102" i="3" s="1"/>
  <c r="J347" i="3"/>
  <c r="L341" i="3"/>
  <c r="J346" i="3"/>
  <c r="L337" i="3"/>
  <c r="I336" i="3"/>
  <c r="I344" i="3"/>
  <c r="L340" i="3"/>
  <c r="L342" i="3"/>
  <c r="L339" i="3"/>
  <c r="L345" i="3"/>
  <c r="J344" i="3" l="1"/>
  <c r="B2867" i="4" l="1"/>
  <c r="B2861" i="4"/>
  <c r="B2855" i="4"/>
  <c r="B2849" i="4"/>
  <c r="D2869" i="4"/>
  <c r="D2870" i="4" s="1"/>
  <c r="D2863" i="4"/>
  <c r="D2864" i="4" s="1"/>
  <c r="D2857" i="4"/>
  <c r="D2858" i="4" s="1"/>
  <c r="D2851" i="4"/>
  <c r="D2852" i="4" s="1"/>
  <c r="B2809" i="4"/>
  <c r="D2805" i="4"/>
  <c r="D2806" i="4" s="1"/>
  <c r="B2803" i="4"/>
  <c r="B2797" i="4"/>
  <c r="B2791" i="4"/>
  <c r="B2785" i="4"/>
  <c r="B2779" i="4"/>
  <c r="B2773" i="4"/>
  <c r="B2767" i="4"/>
  <c r="B2761" i="4"/>
  <c r="B2755" i="4"/>
  <c r="B2749" i="4"/>
  <c r="D2793" i="4"/>
  <c r="D2794" i="4" s="1"/>
  <c r="D2787" i="4"/>
  <c r="D2788" i="4" s="1"/>
  <c r="D2769" i="4"/>
  <c r="D2770" i="4" s="1"/>
  <c r="D2763" i="4"/>
  <c r="D2764" i="4" s="1"/>
  <c r="D2757" i="4"/>
  <c r="D2758" i="4" s="1"/>
  <c r="D2751" i="4"/>
  <c r="D2752" i="4" s="1"/>
  <c r="D2781" i="4"/>
  <c r="D2782" i="4" s="1"/>
  <c r="D2775" i="4"/>
  <c r="D2776" i="4" s="1"/>
  <c r="D2799" i="4"/>
  <c r="D2800" i="4" s="1"/>
  <c r="D2811" i="4"/>
  <c r="D2812" i="4" s="1"/>
  <c r="B2703" i="4"/>
  <c r="B2697" i="4"/>
  <c r="B2691" i="4"/>
  <c r="B2686" i="4"/>
  <c r="B2680" i="4"/>
  <c r="B2674" i="4"/>
  <c r="B2668" i="4"/>
  <c r="B2662" i="4"/>
  <c r="B2656" i="4"/>
  <c r="B2651" i="4"/>
  <c r="B2645" i="4"/>
  <c r="B2639" i="4"/>
  <c r="B2633" i="4"/>
  <c r="D2705" i="4"/>
  <c r="D2706" i="4" s="1"/>
  <c r="D2699" i="4"/>
  <c r="D2700" i="4" s="1"/>
  <c r="D2693" i="4"/>
  <c r="D2694" i="4" s="1"/>
  <c r="D2688" i="4"/>
  <c r="D2689" i="4" s="1"/>
  <c r="D2682" i="4"/>
  <c r="D2683" i="4" s="1"/>
  <c r="D2676" i="4"/>
  <c r="D2677" i="4" s="1"/>
  <c r="D2670" i="4"/>
  <c r="D2671" i="4" s="1"/>
  <c r="D2664" i="4"/>
  <c r="D2665" i="4" s="1"/>
  <c r="D2658" i="4"/>
  <c r="D2659" i="4" s="1"/>
  <c r="D2653" i="4"/>
  <c r="D2654" i="4" s="1"/>
  <c r="D2647" i="4"/>
  <c r="D2648" i="4" s="1"/>
  <c r="D2641" i="4"/>
  <c r="D2642" i="4" s="1"/>
  <c r="D2635" i="4"/>
  <c r="D2636" i="4" s="1"/>
  <c r="D2565" i="4"/>
  <c r="D2566" i="4" s="1"/>
  <c r="D2559" i="4"/>
  <c r="D2560" i="4" s="1"/>
  <c r="D2553" i="4"/>
  <c r="D2554" i="4" s="1"/>
  <c r="D2547" i="4"/>
  <c r="D2548" i="4" s="1"/>
  <c r="B2575" i="4"/>
  <c r="B2569" i="4"/>
  <c r="B2563" i="4"/>
  <c r="B2557" i="4"/>
  <c r="B2551" i="4"/>
  <c r="B2545" i="4"/>
  <c r="D2281" i="4"/>
  <c r="D2282" i="4" s="1"/>
  <c r="D2275" i="4"/>
  <c r="D2276" i="4" s="1"/>
  <c r="D2293" i="4"/>
  <c r="D2294" i="4" s="1"/>
  <c r="D2287" i="4"/>
  <c r="D2288" i="4" s="1"/>
  <c r="D2269" i="4"/>
  <c r="D2270" i="4" s="1"/>
  <c r="D2263" i="4"/>
  <c r="D2264" i="4" s="1"/>
  <c r="D2257" i="4"/>
  <c r="D2258" i="4" s="1"/>
  <c r="D2122" i="4"/>
  <c r="D2123" i="4" s="1"/>
  <c r="D2128" i="4"/>
  <c r="D2129" i="4" s="1"/>
  <c r="D2116" i="4"/>
  <c r="D2117" i="4" s="1"/>
  <c r="D2110" i="4"/>
  <c r="D2111" i="4" s="1"/>
  <c r="D2104" i="4"/>
  <c r="D2105" i="4" s="1"/>
  <c r="E2061" i="4"/>
  <c r="E2062" i="4" s="1"/>
  <c r="D2064" i="4" s="1"/>
  <c r="E1983" i="4"/>
  <c r="E1984" i="4" s="1"/>
  <c r="D1986" i="4" s="1"/>
  <c r="D1813" i="4"/>
  <c r="I316" i="3"/>
  <c r="H316" i="3"/>
  <c r="J316" i="3" s="1"/>
  <c r="H334" i="3"/>
  <c r="J334" i="3" s="1"/>
  <c r="I334" i="3"/>
  <c r="I332" i="3"/>
  <c r="H332" i="3"/>
  <c r="J332" i="3" s="1"/>
  <c r="D940" i="4"/>
  <c r="D941" i="4" s="1"/>
  <c r="D943" i="4" s="1"/>
  <c r="D948" i="4"/>
  <c r="D949" i="4" s="1"/>
  <c r="D951" i="4" s="1"/>
  <c r="D988" i="4"/>
  <c r="D989" i="4" s="1"/>
  <c r="D991" i="4" s="1"/>
  <c r="D996" i="4"/>
  <c r="D997" i="4" s="1"/>
  <c r="D999" i="4" s="1"/>
  <c r="D1004" i="4"/>
  <c r="D1005" i="4" s="1"/>
  <c r="D1007" i="4" s="1"/>
  <c r="D1012" i="4"/>
  <c r="D1013" i="4" s="1"/>
  <c r="D1015" i="4" s="1"/>
  <c r="D1020" i="4"/>
  <c r="D1021" i="4" s="1"/>
  <c r="D1023" i="4" s="1"/>
  <c r="D956" i="4"/>
  <c r="D957" i="4" s="1"/>
  <c r="D959" i="4" s="1"/>
  <c r="D964" i="4"/>
  <c r="D965" i="4" s="1"/>
  <c r="D967" i="4" s="1"/>
  <c r="D972" i="4"/>
  <c r="D973" i="4" s="1"/>
  <c r="D975" i="4" s="1"/>
  <c r="D980" i="4"/>
  <c r="D981" i="4" s="1"/>
  <c r="D983" i="4" s="1"/>
  <c r="D593" i="4"/>
  <c r="D594" i="4" s="1"/>
  <c r="D596" i="4" s="1"/>
  <c r="D600" i="4"/>
  <c r="D601" i="4" s="1"/>
  <c r="D603" i="4" s="1"/>
  <c r="D608" i="4"/>
  <c r="D609" i="4" s="1"/>
  <c r="D611" i="4" s="1"/>
  <c r="D147" i="4"/>
  <c r="D148" i="4" s="1"/>
  <c r="D150" i="4" s="1"/>
  <c r="D141" i="4"/>
  <c r="D142" i="4" s="1"/>
  <c r="D144" i="4" s="1"/>
  <c r="D25" i="4"/>
  <c r="D27" i="4" s="1"/>
  <c r="I355" i="3"/>
  <c r="I356" i="3"/>
  <c r="I357" i="3"/>
  <c r="I358" i="3"/>
  <c r="I359" i="3"/>
  <c r="I360" i="3"/>
  <c r="I361" i="3"/>
  <c r="I362" i="3"/>
  <c r="H362" i="3"/>
  <c r="J362" i="3" s="1"/>
  <c r="H361" i="3"/>
  <c r="J361" i="3" s="1"/>
  <c r="H360" i="3"/>
  <c r="J360" i="3" s="1"/>
  <c r="H359" i="3"/>
  <c r="J359" i="3" s="1"/>
  <c r="H358" i="3"/>
  <c r="J358" i="3" s="1"/>
  <c r="H357" i="3"/>
  <c r="J357" i="3" s="1"/>
  <c r="H356" i="3"/>
  <c r="J356" i="3" s="1"/>
  <c r="H355" i="3"/>
  <c r="J355" i="3" s="1"/>
  <c r="H204" i="3"/>
  <c r="J204" i="3" s="1"/>
  <c r="I204" i="3"/>
  <c r="H205" i="3"/>
  <c r="L205" i="3" s="1"/>
  <c r="I205" i="3"/>
  <c r="H206" i="3"/>
  <c r="J206" i="3" s="1"/>
  <c r="I206" i="3"/>
  <c r="H207" i="3"/>
  <c r="L207" i="3" s="1"/>
  <c r="I207" i="3"/>
  <c r="H208" i="3"/>
  <c r="L208" i="3" s="1"/>
  <c r="I208" i="3"/>
  <c r="H209" i="3"/>
  <c r="J209" i="3" s="1"/>
  <c r="I209" i="3"/>
  <c r="I203" i="3"/>
  <c r="H203" i="3"/>
  <c r="L203" i="3" s="1"/>
  <c r="I137" i="3"/>
  <c r="I138" i="3"/>
  <c r="I139" i="3"/>
  <c r="I140" i="3"/>
  <c r="I141" i="3"/>
  <c r="I142" i="3"/>
  <c r="I143" i="3"/>
  <c r="I144" i="3"/>
  <c r="I145" i="3"/>
  <c r="I146" i="3"/>
  <c r="I147" i="3"/>
  <c r="I148" i="3"/>
  <c r="I149" i="3"/>
  <c r="I150" i="3"/>
  <c r="I136" i="3"/>
  <c r="H150" i="3"/>
  <c r="L150" i="3" s="1"/>
  <c r="H149" i="3"/>
  <c r="L149" i="3" s="1"/>
  <c r="H148" i="3"/>
  <c r="L148" i="3" s="1"/>
  <c r="H147" i="3"/>
  <c r="L147" i="3" s="1"/>
  <c r="H146" i="3"/>
  <c r="L146" i="3" s="1"/>
  <c r="H145" i="3"/>
  <c r="L145" i="3" s="1"/>
  <c r="H144" i="3"/>
  <c r="L144" i="3" s="1"/>
  <c r="H143" i="3"/>
  <c r="L143" i="3" s="1"/>
  <c r="H142" i="3"/>
  <c r="L142" i="3" s="1"/>
  <c r="H141" i="3"/>
  <c r="L141" i="3" s="1"/>
  <c r="H140" i="3"/>
  <c r="L140" i="3" s="1"/>
  <c r="H139" i="3"/>
  <c r="L139" i="3" s="1"/>
  <c r="H138" i="3"/>
  <c r="L138" i="3" s="1"/>
  <c r="H137" i="3"/>
  <c r="L137" i="3" s="1"/>
  <c r="H136" i="3"/>
  <c r="L136" i="3" s="1"/>
  <c r="L135" i="3"/>
  <c r="I380" i="3"/>
  <c r="H380" i="3"/>
  <c r="J380" i="3" s="1"/>
  <c r="I379" i="3"/>
  <c r="H379" i="3"/>
  <c r="J379" i="3" s="1"/>
  <c r="I378" i="3"/>
  <c r="H378" i="3"/>
  <c r="J378" i="3" s="1"/>
  <c r="L377" i="3"/>
  <c r="H159" i="3"/>
  <c r="J159" i="3" s="1"/>
  <c r="I159" i="3"/>
  <c r="H160" i="3"/>
  <c r="J160" i="3" s="1"/>
  <c r="I160" i="3"/>
  <c r="H161" i="3"/>
  <c r="J161" i="3" s="1"/>
  <c r="I161" i="3"/>
  <c r="H162" i="3"/>
  <c r="J162" i="3" s="1"/>
  <c r="I162" i="3"/>
  <c r="H163" i="3"/>
  <c r="J163" i="3" s="1"/>
  <c r="I163" i="3"/>
  <c r="H164" i="3"/>
  <c r="J164" i="3" s="1"/>
  <c r="I164" i="3"/>
  <c r="H165" i="3"/>
  <c r="J165" i="3" s="1"/>
  <c r="I165" i="3"/>
  <c r="H166" i="3"/>
  <c r="J166" i="3" s="1"/>
  <c r="I166" i="3"/>
  <c r="H167" i="3"/>
  <c r="J167" i="3" s="1"/>
  <c r="I167" i="3"/>
  <c r="H168" i="3"/>
  <c r="J168" i="3" s="1"/>
  <c r="I168" i="3"/>
  <c r="H169" i="3"/>
  <c r="J169" i="3" s="1"/>
  <c r="I169" i="3"/>
  <c r="H170" i="3"/>
  <c r="J170" i="3" s="1"/>
  <c r="I170" i="3"/>
  <c r="H171" i="3"/>
  <c r="J171" i="3" s="1"/>
  <c r="I171" i="3"/>
  <c r="I158" i="3"/>
  <c r="H158" i="3"/>
  <c r="J158" i="3" s="1"/>
  <c r="H194" i="3"/>
  <c r="J194" i="3" s="1"/>
  <c r="I194" i="3"/>
  <c r="H195" i="3"/>
  <c r="J195" i="3" s="1"/>
  <c r="I195" i="3"/>
  <c r="H196" i="3"/>
  <c r="J196" i="3" s="1"/>
  <c r="I196" i="3"/>
  <c r="H197" i="3"/>
  <c r="J197" i="3" s="1"/>
  <c r="I197" i="3"/>
  <c r="I193" i="3"/>
  <c r="H193" i="3"/>
  <c r="J193" i="3" s="1"/>
  <c r="H178" i="3"/>
  <c r="J178" i="3" s="1"/>
  <c r="I178" i="3"/>
  <c r="H179" i="3"/>
  <c r="J179" i="3" s="1"/>
  <c r="I179" i="3"/>
  <c r="H180" i="3"/>
  <c r="J180" i="3" s="1"/>
  <c r="I180" i="3"/>
  <c r="H181" i="3"/>
  <c r="J181" i="3" s="1"/>
  <c r="I181" i="3"/>
  <c r="H182" i="3"/>
  <c r="J182" i="3" s="1"/>
  <c r="I182" i="3"/>
  <c r="H183" i="3"/>
  <c r="J183" i="3" s="1"/>
  <c r="I183" i="3"/>
  <c r="H184" i="3"/>
  <c r="J184" i="3" s="1"/>
  <c r="I184" i="3"/>
  <c r="H185" i="3"/>
  <c r="J185" i="3" s="1"/>
  <c r="I185" i="3"/>
  <c r="H186" i="3"/>
  <c r="J186" i="3" s="1"/>
  <c r="I186" i="3"/>
  <c r="H187" i="3"/>
  <c r="J187" i="3" s="1"/>
  <c r="I187" i="3"/>
  <c r="H188" i="3"/>
  <c r="J188" i="3" s="1"/>
  <c r="I188" i="3"/>
  <c r="I177" i="3"/>
  <c r="H177" i="3"/>
  <c r="J177" i="3" s="1"/>
  <c r="I176" i="3"/>
  <c r="H176" i="3"/>
  <c r="J176" i="3" s="1"/>
  <c r="I175" i="3"/>
  <c r="H175" i="3"/>
  <c r="J175" i="3" s="1"/>
  <c r="I174" i="3"/>
  <c r="H174" i="3"/>
  <c r="J174" i="3" s="1"/>
  <c r="I396" i="3"/>
  <c r="I395" i="3" s="1"/>
  <c r="I398" i="3"/>
  <c r="I399" i="3"/>
  <c r="I400" i="3"/>
  <c r="H396" i="3"/>
  <c r="J396" i="3" s="1"/>
  <c r="J395" i="3" s="1"/>
  <c r="H400" i="3"/>
  <c r="J400" i="3" s="1"/>
  <c r="H399" i="3"/>
  <c r="J399" i="3" s="1"/>
  <c r="H398" i="3"/>
  <c r="J398" i="3" s="1"/>
  <c r="H221" i="3"/>
  <c r="J221" i="3" s="1"/>
  <c r="I221" i="3"/>
  <c r="I213" i="3"/>
  <c r="I214" i="3"/>
  <c r="I215" i="3"/>
  <c r="I216" i="3"/>
  <c r="I217" i="3"/>
  <c r="I218" i="3"/>
  <c r="I219" i="3"/>
  <c r="I220" i="3"/>
  <c r="I222" i="3"/>
  <c r="I223" i="3"/>
  <c r="I224" i="3"/>
  <c r="H213" i="3"/>
  <c r="J213" i="3" s="1"/>
  <c r="H214" i="3"/>
  <c r="J214" i="3" s="1"/>
  <c r="H215" i="3"/>
  <c r="J215" i="3" s="1"/>
  <c r="H216" i="3"/>
  <c r="J216" i="3" s="1"/>
  <c r="H217" i="3"/>
  <c r="J217" i="3" s="1"/>
  <c r="H218" i="3"/>
  <c r="J218" i="3" s="1"/>
  <c r="H219" i="3"/>
  <c r="J219" i="3" s="1"/>
  <c r="H220" i="3"/>
  <c r="J220" i="3" s="1"/>
  <c r="H222" i="3"/>
  <c r="J222" i="3" s="1"/>
  <c r="H223" i="3"/>
  <c r="J223" i="3" s="1"/>
  <c r="H224" i="3"/>
  <c r="J224" i="3" s="1"/>
  <c r="H117" i="3"/>
  <c r="J117" i="3" s="1"/>
  <c r="I117" i="3"/>
  <c r="I26" i="3"/>
  <c r="I27" i="3"/>
  <c r="H26" i="3"/>
  <c r="J26" i="3" s="1"/>
  <c r="H27" i="3"/>
  <c r="J27" i="3" s="1"/>
  <c r="H57" i="3"/>
  <c r="L57" i="3" s="1"/>
  <c r="H58" i="3"/>
  <c r="J58" i="3" s="1"/>
  <c r="H59" i="3"/>
  <c r="J59" i="3" s="1"/>
  <c r="H60" i="3"/>
  <c r="J60" i="3" s="1"/>
  <c r="I59" i="3"/>
  <c r="I22" i="3"/>
  <c r="I23" i="3"/>
  <c r="I24" i="3"/>
  <c r="I25" i="3"/>
  <c r="I28" i="3"/>
  <c r="I29" i="3"/>
  <c r="I30" i="3"/>
  <c r="I31" i="3"/>
  <c r="I32" i="3"/>
  <c r="I33" i="3"/>
  <c r="I34" i="3"/>
  <c r="I57" i="3"/>
  <c r="I60" i="3"/>
  <c r="I58" i="3"/>
  <c r="H12" i="3"/>
  <c r="J12" i="3" s="1"/>
  <c r="I12" i="3"/>
  <c r="J397" i="3" l="1"/>
  <c r="L334" i="3"/>
  <c r="J146" i="3"/>
  <c r="J208" i="3"/>
  <c r="J207" i="3"/>
  <c r="J144" i="3"/>
  <c r="I135" i="3"/>
  <c r="J205" i="3"/>
  <c r="J140" i="3"/>
  <c r="J145" i="3"/>
  <c r="J203" i="3"/>
  <c r="J143" i="3"/>
  <c r="J137" i="3"/>
  <c r="J148" i="3"/>
  <c r="J142" i="3"/>
  <c r="J139" i="3"/>
  <c r="J136" i="3"/>
  <c r="J150" i="3"/>
  <c r="J138" i="3"/>
  <c r="J149" i="3"/>
  <c r="J147" i="3"/>
  <c r="J141" i="3"/>
  <c r="L204" i="3"/>
  <c r="L206" i="3"/>
  <c r="L378" i="3"/>
  <c r="J377" i="3"/>
  <c r="I377" i="3"/>
  <c r="I397" i="3"/>
  <c r="J57" i="3"/>
  <c r="J135" i="3" l="1"/>
  <c r="G405" i="12" l="1"/>
  <c r="F405" i="12"/>
  <c r="G404" i="12"/>
  <c r="F404" i="12"/>
  <c r="G403" i="12"/>
  <c r="F403" i="12"/>
  <c r="G402" i="12"/>
  <c r="F402" i="12"/>
  <c r="G401" i="12"/>
  <c r="F401" i="12"/>
  <c r="G398" i="12"/>
  <c r="F398" i="12"/>
  <c r="G395" i="12"/>
  <c r="F395" i="12"/>
  <c r="G394" i="12"/>
  <c r="F394" i="12"/>
  <c r="G393" i="12"/>
  <c r="F393" i="12"/>
  <c r="G392" i="12"/>
  <c r="F392" i="12"/>
  <c r="G391" i="12"/>
  <c r="F391" i="12"/>
  <c r="G388" i="12"/>
  <c r="F388" i="12"/>
  <c r="G387" i="12"/>
  <c r="F387" i="12"/>
  <c r="G386" i="12"/>
  <c r="F386" i="12"/>
  <c r="G385" i="12"/>
  <c r="F385" i="12"/>
  <c r="G384" i="12"/>
  <c r="F384" i="12"/>
  <c r="G383" i="12"/>
  <c r="F383" i="12"/>
  <c r="G382" i="12"/>
  <c r="F382" i="12"/>
  <c r="G381" i="12"/>
  <c r="F381" i="12"/>
  <c r="G380" i="12"/>
  <c r="F380" i="12"/>
  <c r="G379" i="12"/>
  <c r="F379" i="12"/>
  <c r="G378" i="12"/>
  <c r="F378" i="12"/>
  <c r="G377" i="12"/>
  <c r="F377" i="12"/>
  <c r="G374" i="12"/>
  <c r="F374" i="12"/>
  <c r="G373" i="12"/>
  <c r="F373" i="12"/>
  <c r="G372" i="12"/>
  <c r="F372" i="12"/>
  <c r="G371" i="12"/>
  <c r="F371" i="12"/>
  <c r="G370" i="12"/>
  <c r="F370" i="12"/>
  <c r="G369" i="12"/>
  <c r="F369" i="12"/>
  <c r="G368" i="12"/>
  <c r="F368" i="12"/>
  <c r="G367" i="12"/>
  <c r="F367" i="12"/>
  <c r="G366" i="12"/>
  <c r="F366" i="12"/>
  <c r="G365" i="12"/>
  <c r="F365" i="12"/>
  <c r="G364" i="12"/>
  <c r="F364" i="12"/>
  <c r="G363" i="12"/>
  <c r="F363" i="12"/>
  <c r="G362" i="12"/>
  <c r="F362" i="12"/>
  <c r="G361" i="12"/>
  <c r="F361" i="12"/>
  <c r="G360" i="12"/>
  <c r="F360" i="12"/>
  <c r="G359" i="12"/>
  <c r="F359" i="12"/>
  <c r="G358" i="12"/>
  <c r="F358" i="12"/>
  <c r="G357" i="12"/>
  <c r="F357" i="12"/>
  <c r="G354" i="12"/>
  <c r="F354" i="12"/>
  <c r="G353" i="12"/>
  <c r="F353" i="12"/>
  <c r="G352" i="12"/>
  <c r="F352" i="12"/>
  <c r="G349" i="12"/>
  <c r="F349" i="12"/>
  <c r="G348" i="12"/>
  <c r="F348" i="12"/>
  <c r="G347" i="12"/>
  <c r="F347" i="12"/>
  <c r="G346" i="12"/>
  <c r="F346" i="12"/>
  <c r="G345" i="12"/>
  <c r="F345" i="12"/>
  <c r="G344" i="12"/>
  <c r="F344" i="12"/>
  <c r="G343" i="12"/>
  <c r="F343" i="12"/>
  <c r="G337" i="12"/>
  <c r="F337" i="12"/>
  <c r="G336" i="12"/>
  <c r="F336" i="12"/>
  <c r="G335" i="12"/>
  <c r="F335" i="12"/>
  <c r="G334" i="12"/>
  <c r="F334" i="12"/>
  <c r="G333" i="12"/>
  <c r="F333" i="12"/>
  <c r="G330" i="12"/>
  <c r="F330" i="12"/>
  <c r="G329" i="12"/>
  <c r="F329" i="12"/>
  <c r="G328" i="12"/>
  <c r="F328" i="12"/>
  <c r="G327" i="12"/>
  <c r="F327" i="12"/>
  <c r="G326" i="12"/>
  <c r="F326" i="12"/>
  <c r="G325" i="12"/>
  <c r="F325" i="12"/>
  <c r="G324" i="12"/>
  <c r="F324" i="12"/>
  <c r="G321" i="12"/>
  <c r="F321" i="12"/>
  <c r="G320" i="12"/>
  <c r="F320" i="12"/>
  <c r="G319" i="12"/>
  <c r="F319" i="12"/>
  <c r="G318" i="12"/>
  <c r="F318" i="12"/>
  <c r="G317" i="12"/>
  <c r="F317" i="12"/>
  <c r="G314" i="12"/>
  <c r="F314" i="12"/>
  <c r="G313" i="12"/>
  <c r="F313" i="12"/>
  <c r="G312" i="12"/>
  <c r="F312" i="12"/>
  <c r="G311" i="12"/>
  <c r="F311" i="12"/>
  <c r="G310" i="12"/>
  <c r="F310" i="12"/>
  <c r="G309" i="12"/>
  <c r="F309" i="12"/>
  <c r="G308" i="12"/>
  <c r="F308" i="12"/>
  <c r="G307" i="12"/>
  <c r="F307" i="12"/>
  <c r="G306" i="12"/>
  <c r="F306" i="12"/>
  <c r="G305" i="12"/>
  <c r="F305" i="12"/>
  <c r="G304" i="12"/>
  <c r="F304" i="12"/>
  <c r="G303" i="12"/>
  <c r="F303" i="12"/>
  <c r="G302" i="12"/>
  <c r="F302" i="12"/>
  <c r="G301" i="12"/>
  <c r="F301" i="12"/>
  <c r="G300" i="12"/>
  <c r="F300" i="12"/>
  <c r="G297" i="12"/>
  <c r="F297" i="12"/>
  <c r="G296" i="12"/>
  <c r="F296" i="12"/>
  <c r="G295" i="12"/>
  <c r="F295" i="12"/>
  <c r="G294" i="12"/>
  <c r="F294" i="12"/>
  <c r="G293" i="12"/>
  <c r="F293" i="12"/>
  <c r="G292" i="12"/>
  <c r="F292" i="12"/>
  <c r="G291" i="12"/>
  <c r="F291" i="12"/>
  <c r="G290" i="12"/>
  <c r="F290" i="12"/>
  <c r="G289" i="12"/>
  <c r="F289" i="12"/>
  <c r="G288" i="12"/>
  <c r="F288" i="12"/>
  <c r="G287" i="12"/>
  <c r="F287" i="12"/>
  <c r="G286" i="12"/>
  <c r="F286" i="12"/>
  <c r="G285" i="12"/>
  <c r="F285" i="12"/>
  <c r="G282" i="12"/>
  <c r="F282" i="12"/>
  <c r="G281" i="12"/>
  <c r="F281" i="12"/>
  <c r="G280" i="12"/>
  <c r="F280" i="12"/>
  <c r="G279" i="12"/>
  <c r="F279" i="12"/>
  <c r="G276" i="12"/>
  <c r="F276" i="12"/>
  <c r="G275" i="12"/>
  <c r="F275" i="12"/>
  <c r="G274" i="12"/>
  <c r="F274" i="12"/>
  <c r="G273" i="12"/>
  <c r="F273" i="12"/>
  <c r="G272" i="12"/>
  <c r="F272" i="12"/>
  <c r="G271" i="12"/>
  <c r="F271" i="12"/>
  <c r="G270" i="12"/>
  <c r="F270" i="12"/>
  <c r="G269" i="12"/>
  <c r="F269" i="12"/>
  <c r="G268" i="12"/>
  <c r="F268" i="12"/>
  <c r="G267" i="12"/>
  <c r="F267" i="12"/>
  <c r="G266" i="12"/>
  <c r="F266" i="12"/>
  <c r="G263" i="12"/>
  <c r="F263" i="12"/>
  <c r="G262" i="12"/>
  <c r="F262" i="12"/>
  <c r="G261" i="12"/>
  <c r="F261" i="12"/>
  <c r="G260" i="12"/>
  <c r="F260" i="12"/>
  <c r="G259" i="12"/>
  <c r="F259" i="12"/>
  <c r="G258" i="12"/>
  <c r="F258" i="12"/>
  <c r="G257" i="12"/>
  <c r="F257" i="12"/>
  <c r="G256" i="12"/>
  <c r="F256" i="12"/>
  <c r="G255" i="12"/>
  <c r="F255" i="12"/>
  <c r="G254" i="12"/>
  <c r="F254" i="12"/>
  <c r="G253" i="12"/>
  <c r="F253" i="12"/>
  <c r="G252" i="12"/>
  <c r="F252" i="12"/>
  <c r="G251" i="12"/>
  <c r="F251" i="12"/>
  <c r="G250" i="12"/>
  <c r="F250" i="12"/>
  <c r="G249" i="12"/>
  <c r="F249" i="12"/>
  <c r="G248" i="12"/>
  <c r="F248" i="12"/>
  <c r="G247" i="12"/>
  <c r="F247" i="12"/>
  <c r="G246" i="12"/>
  <c r="F246" i="12"/>
  <c r="G245" i="12"/>
  <c r="F245" i="12"/>
  <c r="G242" i="12"/>
  <c r="F242" i="12"/>
  <c r="G239" i="12"/>
  <c r="F239" i="12"/>
  <c r="G238" i="12"/>
  <c r="F238" i="12"/>
  <c r="G237" i="12"/>
  <c r="F237" i="12"/>
  <c r="G236" i="12"/>
  <c r="F236" i="12"/>
  <c r="G233" i="12"/>
  <c r="F233" i="12"/>
  <c r="G232" i="12"/>
  <c r="F232" i="12"/>
  <c r="G231" i="12"/>
  <c r="F231" i="12"/>
  <c r="G230" i="12"/>
  <c r="F230" i="12"/>
  <c r="G229" i="12"/>
  <c r="F229" i="12"/>
  <c r="G226" i="12"/>
  <c r="F226" i="12"/>
  <c r="G225" i="12"/>
  <c r="F225" i="12"/>
  <c r="G224" i="12"/>
  <c r="F224" i="12"/>
  <c r="G223" i="12"/>
  <c r="F223" i="12"/>
  <c r="G222" i="12"/>
  <c r="F222" i="12"/>
  <c r="G221" i="12"/>
  <c r="F221" i="12"/>
  <c r="G220" i="12"/>
  <c r="F220" i="12"/>
  <c r="G217" i="12"/>
  <c r="F217" i="12"/>
  <c r="G216" i="12"/>
  <c r="F216" i="12"/>
  <c r="G215" i="12"/>
  <c r="F215" i="12"/>
  <c r="G214" i="12"/>
  <c r="F214" i="12"/>
  <c r="G213" i="12"/>
  <c r="F213" i="12"/>
  <c r="G210" i="12"/>
  <c r="F210" i="12"/>
  <c r="G209" i="12"/>
  <c r="F209" i="12"/>
  <c r="G208" i="12"/>
  <c r="F208" i="12"/>
  <c r="G207" i="12"/>
  <c r="F207" i="12"/>
  <c r="G206" i="12"/>
  <c r="F206" i="12"/>
  <c r="G205" i="12"/>
  <c r="F205" i="12"/>
  <c r="G204" i="12"/>
  <c r="F204" i="12"/>
  <c r="G203" i="12"/>
  <c r="F203" i="12"/>
  <c r="G202" i="12"/>
  <c r="F202" i="12"/>
  <c r="G201" i="12"/>
  <c r="F201" i="12"/>
  <c r="G200" i="12"/>
  <c r="F200" i="12"/>
  <c r="G199" i="12"/>
  <c r="F199" i="12"/>
  <c r="G198" i="12"/>
  <c r="F198" i="12"/>
  <c r="G197" i="12"/>
  <c r="F197" i="12"/>
  <c r="G196" i="12"/>
  <c r="F196" i="12"/>
  <c r="G195" i="12"/>
  <c r="F195" i="12"/>
  <c r="G194" i="12"/>
  <c r="F194" i="12"/>
  <c r="G193" i="12"/>
  <c r="F193" i="12"/>
  <c r="G192" i="12"/>
  <c r="F192" i="12"/>
  <c r="G191" i="12"/>
  <c r="F191" i="12"/>
  <c r="G190" i="12"/>
  <c r="F190" i="12"/>
  <c r="G189" i="12"/>
  <c r="F189" i="12"/>
  <c r="G186" i="12"/>
  <c r="F186" i="12"/>
  <c r="G185" i="12"/>
  <c r="F185" i="12"/>
  <c r="G184" i="12"/>
  <c r="F184" i="12"/>
  <c r="G183" i="12"/>
  <c r="F183" i="12"/>
  <c r="G182" i="12"/>
  <c r="F182" i="12"/>
  <c r="G181" i="12"/>
  <c r="F181" i="12"/>
  <c r="G180" i="12"/>
  <c r="F180" i="12"/>
  <c r="G179" i="12"/>
  <c r="F179" i="12"/>
  <c r="G178" i="12"/>
  <c r="F178" i="12"/>
  <c r="G177" i="12"/>
  <c r="F177" i="12"/>
  <c r="G176" i="12"/>
  <c r="F176" i="12"/>
  <c r="G175" i="12"/>
  <c r="F175" i="12"/>
  <c r="G174" i="12"/>
  <c r="F174" i="12"/>
  <c r="G173" i="12"/>
  <c r="F173" i="12"/>
  <c r="G172" i="12"/>
  <c r="F172" i="12"/>
  <c r="G171" i="12"/>
  <c r="F171" i="12"/>
  <c r="G170" i="12"/>
  <c r="F170" i="12"/>
  <c r="G169" i="12"/>
  <c r="F169" i="12"/>
  <c r="G168" i="12"/>
  <c r="F168" i="12"/>
  <c r="G167" i="12"/>
  <c r="F167" i="12"/>
  <c r="G166" i="12"/>
  <c r="F166" i="12"/>
  <c r="G165" i="12"/>
  <c r="F165" i="12"/>
  <c r="G164" i="12"/>
  <c r="F164" i="12"/>
  <c r="G163" i="12"/>
  <c r="F163" i="12"/>
  <c r="G162" i="12"/>
  <c r="F162" i="12"/>
  <c r="G161" i="12"/>
  <c r="F161" i="12"/>
  <c r="G160" i="12"/>
  <c r="F160" i="12"/>
  <c r="G159" i="12"/>
  <c r="F159" i="12"/>
  <c r="G158" i="12"/>
  <c r="F158" i="12"/>
  <c r="G157" i="12"/>
  <c r="F157" i="12"/>
  <c r="G156" i="12"/>
  <c r="F156" i="12"/>
  <c r="G155" i="12"/>
  <c r="F155" i="12"/>
  <c r="G154" i="12"/>
  <c r="F154" i="12"/>
  <c r="G153" i="12"/>
  <c r="F153" i="12"/>
  <c r="G152" i="12"/>
  <c r="F152" i="12"/>
  <c r="G151" i="12"/>
  <c r="F151" i="12"/>
  <c r="G150" i="12"/>
  <c r="F150" i="12"/>
  <c r="G149" i="12"/>
  <c r="F149" i="12"/>
  <c r="G148" i="12"/>
  <c r="F148" i="12"/>
  <c r="G147" i="12"/>
  <c r="F147" i="12"/>
  <c r="G146" i="12"/>
  <c r="F146" i="12"/>
  <c r="G145" i="12"/>
  <c r="F145" i="12"/>
  <c r="G144" i="12"/>
  <c r="F144" i="12"/>
  <c r="G143" i="12"/>
  <c r="F143" i="12"/>
  <c r="G142" i="12"/>
  <c r="F142" i="12"/>
  <c r="G141" i="12"/>
  <c r="F141" i="12"/>
  <c r="G140" i="12"/>
  <c r="F140" i="12"/>
  <c r="G139" i="12"/>
  <c r="F139" i="12"/>
  <c r="G138" i="12"/>
  <c r="F138" i="12"/>
  <c r="G137" i="12"/>
  <c r="F137" i="12"/>
  <c r="G136" i="12"/>
  <c r="F136" i="12"/>
  <c r="G135" i="12"/>
  <c r="F135" i="12"/>
  <c r="G134" i="12"/>
  <c r="F134" i="12"/>
  <c r="G133" i="12"/>
  <c r="F133" i="12"/>
  <c r="G132" i="12"/>
  <c r="F132" i="12"/>
  <c r="G131" i="12"/>
  <c r="F131" i="12"/>
  <c r="G130" i="12"/>
  <c r="F130" i="12"/>
  <c r="G129" i="12"/>
  <c r="F129" i="12"/>
  <c r="G128" i="12"/>
  <c r="F128" i="12"/>
  <c r="G127" i="12"/>
  <c r="F127" i="12"/>
  <c r="G126" i="12"/>
  <c r="F126" i="12"/>
  <c r="G125" i="12"/>
  <c r="F125" i="12"/>
  <c r="G124" i="12"/>
  <c r="F124" i="12"/>
  <c r="G123" i="12"/>
  <c r="F123" i="12"/>
  <c r="G122" i="12"/>
  <c r="F122" i="12"/>
  <c r="G121" i="12"/>
  <c r="F121" i="12"/>
  <c r="G120" i="12"/>
  <c r="F120" i="12"/>
  <c r="G119" i="12"/>
  <c r="F119" i="12"/>
  <c r="G118" i="12"/>
  <c r="F118" i="12"/>
  <c r="G117" i="12"/>
  <c r="F117" i="12"/>
  <c r="G116" i="12"/>
  <c r="F116" i="12"/>
  <c r="G115" i="12"/>
  <c r="F115" i="12"/>
  <c r="G114" i="12"/>
  <c r="F114" i="12"/>
  <c r="G113" i="12"/>
  <c r="F113" i="12"/>
  <c r="G112" i="12"/>
  <c r="F112" i="12"/>
  <c r="G111" i="12"/>
  <c r="F111" i="12"/>
  <c r="G110" i="12"/>
  <c r="F110" i="12"/>
  <c r="G109" i="12"/>
  <c r="F109" i="12"/>
  <c r="G108" i="12"/>
  <c r="F108" i="12"/>
  <c r="G107" i="12"/>
  <c r="F107" i="12"/>
  <c r="G106" i="12"/>
  <c r="F106" i="12"/>
  <c r="G105" i="12"/>
  <c r="F105" i="12"/>
  <c r="G104" i="12"/>
  <c r="F104" i="12"/>
  <c r="G103" i="12"/>
  <c r="F103" i="12"/>
  <c r="G102" i="12"/>
  <c r="F102" i="12"/>
  <c r="G101" i="12"/>
  <c r="F101" i="12"/>
  <c r="G100" i="12"/>
  <c r="F100" i="12"/>
  <c r="G99" i="12"/>
  <c r="F99" i="12"/>
  <c r="G98" i="12"/>
  <c r="F98" i="12"/>
  <c r="G97" i="12"/>
  <c r="F97" i="12"/>
  <c r="G96" i="12"/>
  <c r="F96" i="12"/>
  <c r="G95" i="12"/>
  <c r="F95" i="12"/>
  <c r="G94" i="12"/>
  <c r="F94" i="12"/>
  <c r="G93" i="12"/>
  <c r="F93" i="12"/>
  <c r="G92" i="12"/>
  <c r="F92" i="12"/>
  <c r="G91" i="12"/>
  <c r="F91" i="12"/>
  <c r="G90" i="12"/>
  <c r="F90" i="12"/>
  <c r="G89" i="12"/>
  <c r="F89" i="12"/>
  <c r="G88" i="12"/>
  <c r="F88" i="12"/>
  <c r="G87" i="12"/>
  <c r="F87" i="12"/>
  <c r="G86" i="12"/>
  <c r="F86" i="12"/>
  <c r="G85" i="12"/>
  <c r="F85" i="12"/>
  <c r="G84" i="12"/>
  <c r="F84" i="12"/>
  <c r="G83" i="12"/>
  <c r="F83" i="12"/>
  <c r="G82" i="12"/>
  <c r="F82" i="12"/>
  <c r="G81" i="12"/>
  <c r="F81" i="12"/>
  <c r="G80" i="12"/>
  <c r="F80" i="12"/>
  <c r="G79" i="12"/>
  <c r="F79" i="12"/>
  <c r="G78" i="12"/>
  <c r="F78" i="12"/>
  <c r="G77" i="12"/>
  <c r="F77" i="12"/>
  <c r="G76" i="12"/>
  <c r="F76" i="12"/>
  <c r="G75" i="12"/>
  <c r="F75" i="12"/>
  <c r="G74" i="12"/>
  <c r="F74" i="12"/>
  <c r="G73" i="12"/>
  <c r="F73" i="12"/>
  <c r="G72" i="12"/>
  <c r="F72" i="12"/>
  <c r="G71" i="12"/>
  <c r="F71" i="12"/>
  <c r="G70" i="12"/>
  <c r="F70" i="12"/>
  <c r="G69" i="12"/>
  <c r="F69" i="12"/>
  <c r="G68" i="12"/>
  <c r="F68" i="12"/>
  <c r="G67" i="12"/>
  <c r="F67" i="12"/>
  <c r="G66" i="12"/>
  <c r="F66" i="12"/>
  <c r="G65" i="12"/>
  <c r="F65" i="12"/>
  <c r="G64" i="12"/>
  <c r="F64" i="12"/>
  <c r="G63" i="12"/>
  <c r="F63" i="12"/>
  <c r="G62" i="12"/>
  <c r="F62" i="12"/>
  <c r="G61" i="12"/>
  <c r="F61" i="12"/>
  <c r="G60" i="12"/>
  <c r="F60" i="12"/>
  <c r="G59" i="12"/>
  <c r="F59" i="12"/>
  <c r="G58" i="12"/>
  <c r="F58" i="12"/>
  <c r="G57" i="12"/>
  <c r="F57" i="12"/>
  <c r="G56" i="12"/>
  <c r="F56" i="12"/>
  <c r="G55" i="12"/>
  <c r="F55" i="12"/>
  <c r="G54" i="12"/>
  <c r="F54" i="12"/>
  <c r="G53" i="12"/>
  <c r="F53" i="12"/>
  <c r="G52" i="12"/>
  <c r="F52" i="12"/>
  <c r="G51" i="12"/>
  <c r="F51" i="12"/>
  <c r="G50" i="12"/>
  <c r="F50" i="12"/>
  <c r="G49" i="12"/>
  <c r="F49" i="12"/>
  <c r="G48" i="12"/>
  <c r="F48" i="12"/>
  <c r="G47" i="12"/>
  <c r="F47" i="12"/>
  <c r="G46" i="12"/>
  <c r="F46" i="12"/>
  <c r="G45" i="12"/>
  <c r="F45" i="12"/>
  <c r="G44" i="12"/>
  <c r="F44" i="12"/>
  <c r="G43" i="12"/>
  <c r="F43" i="12"/>
  <c r="G42" i="12"/>
  <c r="F42" i="12"/>
  <c r="G41" i="12"/>
  <c r="F41" i="12"/>
  <c r="G40" i="12"/>
  <c r="F40" i="12"/>
  <c r="G39" i="12"/>
  <c r="F39" i="12"/>
  <c r="G38" i="12"/>
  <c r="F38" i="12"/>
  <c r="G35" i="12"/>
  <c r="F35" i="12"/>
  <c r="G34" i="12"/>
  <c r="F34" i="12"/>
  <c r="G33" i="12"/>
  <c r="F33" i="12"/>
  <c r="G32" i="12"/>
  <c r="F32" i="12"/>
  <c r="G31" i="12"/>
  <c r="F31" i="12"/>
  <c r="G30" i="12"/>
  <c r="F30" i="12"/>
  <c r="G29" i="12"/>
  <c r="F29" i="12"/>
  <c r="G28" i="12"/>
  <c r="F28" i="12"/>
  <c r="G27" i="12"/>
  <c r="F27" i="12"/>
  <c r="G26" i="12"/>
  <c r="F26" i="12"/>
  <c r="G25" i="12"/>
  <c r="F25" i="12"/>
  <c r="G24" i="12"/>
  <c r="F24" i="12"/>
  <c r="G18" i="12"/>
  <c r="F18" i="12"/>
  <c r="G15" i="12"/>
  <c r="F15" i="12"/>
  <c r="G14" i="12"/>
  <c r="F14" i="12"/>
  <c r="G13" i="12"/>
  <c r="F13" i="12"/>
  <c r="G12" i="12"/>
  <c r="F12" i="12"/>
  <c r="G11" i="12"/>
  <c r="F11" i="12"/>
  <c r="G10" i="12"/>
  <c r="F10" i="12"/>
  <c r="G9" i="12"/>
  <c r="F9" i="12"/>
  <c r="G8" i="12"/>
  <c r="F8" i="12"/>
  <c r="C3" i="12"/>
  <c r="H552" i="10"/>
  <c r="H551" i="10"/>
  <c r="H550" i="10"/>
  <c r="H549" i="10"/>
  <c r="H548" i="10"/>
  <c r="H547" i="10"/>
  <c r="H546" i="10"/>
  <c r="H545" i="10"/>
  <c r="H544" i="10"/>
  <c r="H543" i="10"/>
  <c r="H542" i="10"/>
  <c r="H541" i="10"/>
  <c r="H540" i="10"/>
  <c r="H539" i="10"/>
  <c r="H538" i="10"/>
  <c r="H537" i="10"/>
  <c r="H536" i="10"/>
  <c r="H535" i="10"/>
  <c r="H534" i="10"/>
  <c r="H533" i="10"/>
  <c r="H532" i="10"/>
  <c r="H531" i="10"/>
  <c r="H530" i="10"/>
  <c r="H529" i="10"/>
  <c r="H528" i="10"/>
  <c r="H527" i="10"/>
  <c r="H526" i="10"/>
  <c r="H525" i="10"/>
  <c r="H524" i="10"/>
  <c r="H523" i="10"/>
  <c r="H522" i="10"/>
  <c r="H521" i="10"/>
  <c r="H520" i="10"/>
  <c r="H519" i="10"/>
  <c r="H518" i="10"/>
  <c r="H517" i="10"/>
  <c r="H516" i="10"/>
  <c r="H515" i="10"/>
  <c r="H514" i="10"/>
  <c r="H513" i="10"/>
  <c r="H512" i="10"/>
  <c r="H511" i="10"/>
  <c r="H510" i="10"/>
  <c r="H509" i="10"/>
  <c r="H508" i="10"/>
  <c r="H507" i="10"/>
  <c r="H506" i="10"/>
  <c r="H505" i="10"/>
  <c r="H504" i="10"/>
  <c r="H503" i="10"/>
  <c r="H502" i="10"/>
  <c r="H501" i="10"/>
  <c r="H500" i="10"/>
  <c r="H499" i="10"/>
  <c r="H498" i="10"/>
  <c r="H497" i="10"/>
  <c r="H496" i="10"/>
  <c r="H495" i="10"/>
  <c r="H494" i="10"/>
  <c r="H493" i="10"/>
  <c r="H492" i="10"/>
  <c r="H491" i="10"/>
  <c r="H490" i="10"/>
  <c r="H489" i="10"/>
  <c r="H488" i="10"/>
  <c r="H487" i="10"/>
  <c r="H486" i="10"/>
  <c r="H485" i="10"/>
  <c r="H484" i="10"/>
  <c r="H483" i="10"/>
  <c r="H482" i="10"/>
  <c r="H481" i="10"/>
  <c r="H480" i="10"/>
  <c r="H479" i="10"/>
  <c r="H478" i="10"/>
  <c r="H477" i="10"/>
  <c r="H476" i="10"/>
  <c r="H475" i="10"/>
  <c r="H474" i="10"/>
  <c r="H473" i="10"/>
  <c r="H472" i="10"/>
  <c r="H471" i="10"/>
  <c r="H470" i="10"/>
  <c r="H469" i="10"/>
  <c r="H468" i="10"/>
  <c r="H467" i="10"/>
  <c r="H466" i="10"/>
  <c r="H465" i="10"/>
  <c r="H464" i="10"/>
  <c r="H463" i="10"/>
  <c r="H462" i="10"/>
  <c r="H461" i="10"/>
  <c r="H460" i="10"/>
  <c r="H459" i="10"/>
  <c r="H458" i="10"/>
  <c r="H457" i="10"/>
  <c r="H456" i="10"/>
  <c r="H455" i="10"/>
  <c r="H454" i="10"/>
  <c r="H453" i="10"/>
  <c r="H452" i="10"/>
  <c r="H451" i="10"/>
  <c r="H450" i="10"/>
  <c r="H449" i="10"/>
  <c r="H448" i="10"/>
  <c r="H447" i="10"/>
  <c r="H446" i="10"/>
  <c r="H445" i="10"/>
  <c r="H444" i="10"/>
  <c r="H443" i="10"/>
  <c r="H442" i="10"/>
  <c r="H441" i="10"/>
  <c r="H440" i="10"/>
  <c r="H439" i="10"/>
  <c r="H438" i="10"/>
  <c r="H437" i="10"/>
  <c r="H436" i="10"/>
  <c r="H435" i="10"/>
  <c r="H434" i="10"/>
  <c r="H433" i="10"/>
  <c r="H432" i="10"/>
  <c r="H431" i="10"/>
  <c r="H430" i="10"/>
  <c r="H429" i="10"/>
  <c r="H428" i="10"/>
  <c r="H427" i="10"/>
  <c r="H426" i="10"/>
  <c r="H425" i="10"/>
  <c r="H424" i="10"/>
  <c r="H423" i="10"/>
  <c r="H422" i="10"/>
  <c r="H421" i="10"/>
  <c r="H420" i="10"/>
  <c r="H419" i="10"/>
  <c r="H418" i="10"/>
  <c r="H417" i="10"/>
  <c r="H416" i="10"/>
  <c r="H415" i="10"/>
  <c r="H414" i="10"/>
  <c r="H413" i="10"/>
  <c r="H412" i="10"/>
  <c r="H411" i="10"/>
  <c r="H410" i="10"/>
  <c r="H409" i="10"/>
  <c r="H408" i="10"/>
  <c r="H407" i="10"/>
  <c r="H406" i="10"/>
  <c r="H405" i="10"/>
  <c r="H404" i="10"/>
  <c r="H403" i="10"/>
  <c r="H402" i="10"/>
  <c r="H401" i="10"/>
  <c r="H400" i="10"/>
  <c r="H399" i="10"/>
  <c r="H398" i="10"/>
  <c r="H397" i="10"/>
  <c r="H396" i="10"/>
  <c r="H395" i="10"/>
  <c r="H394" i="10"/>
  <c r="H393" i="10"/>
  <c r="H392" i="10"/>
  <c r="H391" i="10"/>
  <c r="H390" i="10"/>
  <c r="H389" i="10"/>
  <c r="H388" i="10"/>
  <c r="H387" i="10"/>
  <c r="H386" i="10"/>
  <c r="H385" i="10"/>
  <c r="H384" i="10"/>
  <c r="H383" i="10"/>
  <c r="H382" i="10"/>
  <c r="H381" i="10"/>
  <c r="H380" i="10"/>
  <c r="H379" i="10"/>
  <c r="H378" i="10"/>
  <c r="H377" i="10"/>
  <c r="H376" i="10"/>
  <c r="H375" i="10"/>
  <c r="H374" i="10"/>
  <c r="H373" i="10"/>
  <c r="H372" i="10"/>
  <c r="H371" i="10"/>
  <c r="H370" i="10"/>
  <c r="H369" i="10"/>
  <c r="H368" i="10"/>
  <c r="H367" i="10"/>
  <c r="H366" i="10"/>
  <c r="H365" i="10"/>
  <c r="H364" i="10"/>
  <c r="H363" i="10"/>
  <c r="H362" i="10"/>
  <c r="H361" i="10"/>
  <c r="H360" i="10"/>
  <c r="H359" i="10"/>
  <c r="H358" i="10"/>
  <c r="H357" i="10"/>
  <c r="H356" i="10"/>
  <c r="H355" i="10"/>
  <c r="H354" i="10"/>
  <c r="H353" i="10"/>
  <c r="H352" i="10"/>
  <c r="H351" i="10"/>
  <c r="H350" i="10"/>
  <c r="H349" i="10"/>
  <c r="H348" i="10"/>
  <c r="H347" i="10"/>
  <c r="H346" i="10"/>
  <c r="H345" i="10"/>
  <c r="H344" i="10"/>
  <c r="H343" i="10"/>
  <c r="H342" i="10"/>
  <c r="H341" i="10"/>
  <c r="H340" i="10"/>
  <c r="H339" i="10"/>
  <c r="H338" i="10"/>
  <c r="H337" i="10"/>
  <c r="H336" i="10"/>
  <c r="H335" i="10"/>
  <c r="H334" i="10"/>
  <c r="H333" i="10"/>
  <c r="H332" i="10"/>
  <c r="H331" i="10"/>
  <c r="H330" i="10"/>
  <c r="H329" i="10"/>
  <c r="H328" i="10"/>
  <c r="H327" i="10"/>
  <c r="H326" i="10"/>
  <c r="H325" i="10"/>
  <c r="H324" i="10"/>
  <c r="H323" i="10"/>
  <c r="H322" i="10"/>
  <c r="H321" i="10"/>
  <c r="H320" i="10"/>
  <c r="H319" i="10"/>
  <c r="H318" i="10"/>
  <c r="H317" i="10"/>
  <c r="H316" i="10"/>
  <c r="H315" i="10"/>
  <c r="H314" i="10"/>
  <c r="H313" i="10"/>
  <c r="H312" i="10"/>
  <c r="H311" i="10"/>
  <c r="H310" i="10"/>
  <c r="H309" i="10"/>
  <c r="H308" i="10"/>
  <c r="H307" i="10"/>
  <c r="H306" i="10"/>
  <c r="H305" i="10"/>
  <c r="H304" i="10"/>
  <c r="H303" i="10"/>
  <c r="H302" i="10"/>
  <c r="H301" i="10"/>
  <c r="H300" i="10"/>
  <c r="H299" i="10"/>
  <c r="H298" i="10"/>
  <c r="H297" i="10"/>
  <c r="H296" i="10"/>
  <c r="H295" i="10"/>
  <c r="H294" i="10"/>
  <c r="H293" i="10"/>
  <c r="H292" i="10"/>
  <c r="H291" i="10"/>
  <c r="H290" i="10"/>
  <c r="H289" i="10"/>
  <c r="H288" i="10"/>
  <c r="H287" i="10"/>
  <c r="H286" i="10"/>
  <c r="H285" i="10"/>
  <c r="H284" i="10"/>
  <c r="H283" i="10"/>
  <c r="H282" i="10"/>
  <c r="H281" i="10"/>
  <c r="H280" i="10"/>
  <c r="H279" i="10"/>
  <c r="H278" i="10"/>
  <c r="H277" i="10"/>
  <c r="H276" i="10"/>
  <c r="H275" i="10"/>
  <c r="H274" i="10"/>
  <c r="H273" i="10"/>
  <c r="H272" i="10"/>
  <c r="H271" i="10"/>
  <c r="H270" i="10"/>
  <c r="H269" i="10"/>
  <c r="H268" i="10"/>
  <c r="H267" i="10"/>
  <c r="H266" i="10"/>
  <c r="H265" i="10"/>
  <c r="H264" i="10"/>
  <c r="H263" i="10"/>
  <c r="H262" i="10"/>
  <c r="H261" i="10"/>
  <c r="H260" i="10"/>
  <c r="H259" i="10"/>
  <c r="H258" i="10"/>
  <c r="H257" i="10"/>
  <c r="H256" i="10"/>
  <c r="H255" i="10"/>
  <c r="H254" i="10"/>
  <c r="H253" i="10"/>
  <c r="H252" i="10"/>
  <c r="H251" i="10"/>
  <c r="H250" i="10"/>
  <c r="H249" i="10"/>
  <c r="H248" i="10"/>
  <c r="H247" i="10"/>
  <c r="H246" i="10"/>
  <c r="H245" i="10"/>
  <c r="H244" i="10"/>
  <c r="H243" i="10"/>
  <c r="H242" i="10"/>
  <c r="H241" i="10"/>
  <c r="H240" i="10"/>
  <c r="H239" i="10"/>
  <c r="H238" i="10"/>
  <c r="H237" i="10"/>
  <c r="H236" i="10"/>
  <c r="H235" i="10"/>
  <c r="H234" i="10"/>
  <c r="H233" i="10"/>
  <c r="H232" i="10"/>
  <c r="H231" i="10"/>
  <c r="H230" i="10"/>
  <c r="H229" i="10"/>
  <c r="H228" i="10"/>
  <c r="H227" i="10"/>
  <c r="H226" i="10"/>
  <c r="H225" i="10"/>
  <c r="H224" i="10"/>
  <c r="H223" i="10"/>
  <c r="H222" i="10"/>
  <c r="H221" i="10"/>
  <c r="H220" i="10"/>
  <c r="H219" i="10"/>
  <c r="H218" i="10"/>
  <c r="H217" i="10"/>
  <c r="H216" i="10"/>
  <c r="H215" i="10"/>
  <c r="H214" i="10"/>
  <c r="H213" i="10"/>
  <c r="H212" i="10"/>
  <c r="H211" i="10"/>
  <c r="H210" i="10"/>
  <c r="H209" i="10"/>
  <c r="H208" i="10"/>
  <c r="H207" i="10"/>
  <c r="H206" i="10"/>
  <c r="H205" i="10"/>
  <c r="H204" i="10"/>
  <c r="H203" i="10"/>
  <c r="H202" i="10"/>
  <c r="H201" i="10"/>
  <c r="H200" i="10"/>
  <c r="H199" i="10"/>
  <c r="H198" i="10"/>
  <c r="H197" i="10"/>
  <c r="H196" i="10"/>
  <c r="H195" i="10"/>
  <c r="H194" i="10"/>
  <c r="H193" i="10"/>
  <c r="H192" i="10"/>
  <c r="H191" i="10"/>
  <c r="H190" i="10"/>
  <c r="H189" i="10"/>
  <c r="H188" i="10"/>
  <c r="H187" i="10"/>
  <c r="H186" i="10"/>
  <c r="H185" i="10"/>
  <c r="H184" i="10"/>
  <c r="H183" i="10"/>
  <c r="H182" i="10"/>
  <c r="H181" i="10"/>
  <c r="H180" i="10"/>
  <c r="H179" i="10"/>
  <c r="H178" i="10"/>
  <c r="H177" i="10"/>
  <c r="H176" i="10"/>
  <c r="H175" i="10"/>
  <c r="H174" i="10"/>
  <c r="H173" i="10"/>
  <c r="H172" i="10"/>
  <c r="H171" i="10"/>
  <c r="H170" i="10"/>
  <c r="H169" i="10"/>
  <c r="H168" i="10"/>
  <c r="H167" i="10"/>
  <c r="H166" i="10"/>
  <c r="H165" i="10"/>
  <c r="H164" i="10"/>
  <c r="H163" i="10"/>
  <c r="H162" i="10"/>
  <c r="H161" i="10"/>
  <c r="H160" i="10"/>
  <c r="H159" i="10"/>
  <c r="H158" i="10"/>
  <c r="H157" i="10"/>
  <c r="H156" i="10"/>
  <c r="H155" i="10"/>
  <c r="H154" i="10"/>
  <c r="H153" i="10"/>
  <c r="H152" i="10"/>
  <c r="H151" i="10"/>
  <c r="H150" i="10"/>
  <c r="H149" i="10"/>
  <c r="H148" i="10"/>
  <c r="H147" i="10"/>
  <c r="H146" i="10"/>
  <c r="H145" i="10"/>
  <c r="H144" i="10"/>
  <c r="H143" i="10"/>
  <c r="H142" i="10"/>
  <c r="H141" i="10"/>
  <c r="H140" i="10"/>
  <c r="H139" i="10"/>
  <c r="H138" i="10"/>
  <c r="H137" i="10"/>
  <c r="H136" i="10"/>
  <c r="H135" i="10"/>
  <c r="H134" i="10"/>
  <c r="H133" i="10"/>
  <c r="H132" i="10"/>
  <c r="H131" i="10"/>
  <c r="H130" i="10"/>
  <c r="H129" i="10"/>
  <c r="H128" i="10"/>
  <c r="H127" i="10"/>
  <c r="H126" i="10"/>
  <c r="H125" i="10"/>
  <c r="H124" i="10"/>
  <c r="H123" i="10"/>
  <c r="H122" i="10"/>
  <c r="H121" i="10"/>
  <c r="H120" i="10"/>
  <c r="H119" i="10"/>
  <c r="H118" i="10"/>
  <c r="H117" i="10"/>
  <c r="H116" i="10"/>
  <c r="H115" i="10"/>
  <c r="H114" i="10"/>
  <c r="H113" i="10"/>
  <c r="H112" i="10"/>
  <c r="H111" i="10"/>
  <c r="H110" i="10"/>
  <c r="H109" i="10"/>
  <c r="H108" i="10"/>
  <c r="H107" i="10"/>
  <c r="H106" i="10"/>
  <c r="H105" i="10"/>
  <c r="H104" i="10"/>
  <c r="H103" i="10"/>
  <c r="H102" i="10"/>
  <c r="H101" i="10"/>
  <c r="H100" i="10"/>
  <c r="H99" i="10"/>
  <c r="H98" i="10"/>
  <c r="H97" i="10"/>
  <c r="H96" i="10"/>
  <c r="H95" i="10"/>
  <c r="H94" i="10"/>
  <c r="H93" i="10"/>
  <c r="H92" i="10"/>
  <c r="H91" i="10"/>
  <c r="H90" i="10"/>
  <c r="H89" i="10"/>
  <c r="H88" i="10"/>
  <c r="H87" i="10"/>
  <c r="H86" i="10"/>
  <c r="H85" i="10"/>
  <c r="H84" i="10"/>
  <c r="H83" i="10"/>
  <c r="H82" i="10"/>
  <c r="H81" i="10"/>
  <c r="H80" i="10"/>
  <c r="H79" i="10"/>
  <c r="H78" i="10"/>
  <c r="H77" i="10"/>
  <c r="H76" i="10"/>
  <c r="H75" i="10"/>
  <c r="H74" i="10"/>
  <c r="H73" i="10"/>
  <c r="H72" i="10"/>
  <c r="H71" i="10"/>
  <c r="H70" i="10"/>
  <c r="H69" i="10"/>
  <c r="H68" i="10"/>
  <c r="H67" i="10"/>
  <c r="H66" i="10"/>
  <c r="H65" i="10"/>
  <c r="H64" i="10"/>
  <c r="H63" i="10"/>
  <c r="H62" i="10"/>
  <c r="H61" i="10"/>
  <c r="H60" i="10"/>
  <c r="H59" i="10"/>
  <c r="H58" i="10"/>
  <c r="H57" i="10"/>
  <c r="H56" i="10"/>
  <c r="H55" i="10"/>
  <c r="H54" i="10"/>
  <c r="H53" i="10"/>
  <c r="H52" i="10"/>
  <c r="H51" i="10"/>
  <c r="H50" i="10"/>
  <c r="H49" i="10"/>
  <c r="H48" i="10"/>
  <c r="H47" i="10"/>
  <c r="H46" i="10"/>
  <c r="H45" i="10"/>
  <c r="H44" i="10"/>
  <c r="H43" i="10"/>
  <c r="H42" i="10"/>
  <c r="H41" i="10"/>
  <c r="H40" i="10"/>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10" i="10"/>
  <c r="H9" i="10"/>
  <c r="H8" i="10"/>
  <c r="H7" i="10"/>
  <c r="H185" i="9"/>
  <c r="H184" i="9"/>
  <c r="H183" i="9"/>
  <c r="H182" i="9"/>
  <c r="H181" i="9"/>
  <c r="H180" i="9"/>
  <c r="H179" i="9"/>
  <c r="H178" i="9"/>
  <c r="H177" i="9"/>
  <c r="H176" i="9"/>
  <c r="H175" i="9"/>
  <c r="H174" i="9"/>
  <c r="H173" i="9"/>
  <c r="H172" i="9"/>
  <c r="H171" i="9"/>
  <c r="H170" i="9"/>
  <c r="H169" i="9"/>
  <c r="H168" i="9"/>
  <c r="H167" i="9"/>
  <c r="H166" i="9"/>
  <c r="H165" i="9"/>
  <c r="H164" i="9"/>
  <c r="H163" i="9"/>
  <c r="H162" i="9"/>
  <c r="H161" i="9"/>
  <c r="H160" i="9"/>
  <c r="H159" i="9"/>
  <c r="H158" i="9"/>
  <c r="H157" i="9"/>
  <c r="H156" i="9"/>
  <c r="H155" i="9"/>
  <c r="H154" i="9"/>
  <c r="H153" i="9"/>
  <c r="H152" i="9"/>
  <c r="H151" i="9"/>
  <c r="H150" i="9"/>
  <c r="H149" i="9"/>
  <c r="H148" i="9"/>
  <c r="H147" i="9"/>
  <c r="H146" i="9"/>
  <c r="H145" i="9"/>
  <c r="H144" i="9"/>
  <c r="H143" i="9"/>
  <c r="H142" i="9"/>
  <c r="H141" i="9"/>
  <c r="H140" i="9"/>
  <c r="H139" i="9"/>
  <c r="H138" i="9"/>
  <c r="H137" i="9"/>
  <c r="H136" i="9"/>
  <c r="H135" i="9"/>
  <c r="H134" i="9"/>
  <c r="H133" i="9"/>
  <c r="H132" i="9"/>
  <c r="H131" i="9"/>
  <c r="H130" i="9"/>
  <c r="H129"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H92" i="9"/>
  <c r="H91" i="9"/>
  <c r="H90" i="9"/>
  <c r="H89" i="9"/>
  <c r="H88" i="9"/>
  <c r="H87" i="9"/>
  <c r="H86" i="9"/>
  <c r="H85" i="9"/>
  <c r="H84" i="9"/>
  <c r="H83" i="9"/>
  <c r="H82" i="9"/>
  <c r="H81" i="9"/>
  <c r="H80" i="9"/>
  <c r="H79" i="9"/>
  <c r="H78" i="9"/>
  <c r="H77" i="9"/>
  <c r="H76" i="9"/>
  <c r="H75" i="9"/>
  <c r="H74" i="9"/>
  <c r="H73" i="9"/>
  <c r="H72" i="9"/>
  <c r="H71" i="9"/>
  <c r="H70" i="9"/>
  <c r="H69" i="9"/>
  <c r="H68" i="9"/>
  <c r="H67" i="9"/>
  <c r="H66"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H10" i="9"/>
  <c r="H9" i="9"/>
  <c r="H8" i="9"/>
  <c r="H7" i="9"/>
  <c r="L2575" i="8"/>
  <c r="L2574" i="8"/>
  <c r="L2573" i="8"/>
  <c r="L2576" i="8" s="1"/>
  <c r="L2572" i="8"/>
  <c r="L2566" i="8"/>
  <c r="L2567" i="8" s="1"/>
  <c r="L2568" i="8" s="1"/>
  <c r="L2570" i="8" s="1"/>
  <c r="L2556" i="8"/>
  <c r="L2557" i="8" s="1"/>
  <c r="L2558" i="8" s="1"/>
  <c r="L2560" i="8" s="1"/>
  <c r="L2561" i="8" s="1"/>
  <c r="L2562" i="8" s="1"/>
  <c r="L2550" i="8"/>
  <c r="L2549" i="8"/>
  <c r="L2551" i="8" s="1"/>
  <c r="L2546" i="8"/>
  <c r="L2547" i="8" s="1"/>
  <c r="L2540" i="8"/>
  <c r="L2539" i="8"/>
  <c r="L2536" i="8"/>
  <c r="L2537" i="8" s="1"/>
  <c r="L2530" i="8"/>
  <c r="L2529" i="8"/>
  <c r="L2526" i="8"/>
  <c r="L2527" i="8" s="1"/>
  <c r="L2520" i="8"/>
  <c r="L2519" i="8"/>
  <c r="L2517" i="8"/>
  <c r="L2516" i="8"/>
  <c r="L2513" i="8"/>
  <c r="L2512" i="8"/>
  <c r="L2505" i="8"/>
  <c r="L2506" i="8" s="1"/>
  <c r="L2504" i="8"/>
  <c r="L2498" i="8"/>
  <c r="L2499" i="8" s="1"/>
  <c r="L2500" i="8" s="1"/>
  <c r="L2502" i="8" s="1"/>
  <c r="L2507" i="8" s="1"/>
  <c r="L2508" i="8" s="1"/>
  <c r="L2491" i="8"/>
  <c r="L2490" i="8"/>
  <c r="L2489" i="8"/>
  <c r="L2488" i="8"/>
  <c r="L2485" i="8"/>
  <c r="L2484" i="8"/>
  <c r="L2483" i="8"/>
  <c r="L2477" i="8"/>
  <c r="L2476" i="8"/>
  <c r="L2470" i="8"/>
  <c r="L2469" i="8"/>
  <c r="L2466" i="8"/>
  <c r="L2465" i="8"/>
  <c r="L2462" i="8"/>
  <c r="L2461" i="8"/>
  <c r="L2460" i="8"/>
  <c r="L2454" i="8"/>
  <c r="L2453" i="8"/>
  <c r="L2455" i="8" s="1"/>
  <c r="L2450" i="8"/>
  <c r="L2449" i="8"/>
  <c r="L2448" i="8"/>
  <c r="L2441" i="8"/>
  <c r="L2442" i="8" s="1"/>
  <c r="L2438" i="8"/>
  <c r="L2437" i="8"/>
  <c r="L2436" i="8"/>
  <c r="L2435" i="8"/>
  <c r="L2434" i="8"/>
  <c r="L2433" i="8"/>
  <c r="L2427" i="8"/>
  <c r="L2426" i="8"/>
  <c r="L2428" i="8" s="1"/>
  <c r="L2429" i="8" s="1"/>
  <c r="L2431" i="8" s="1"/>
  <c r="L2425" i="8"/>
  <c r="L2418" i="8"/>
  <c r="L2419" i="8" s="1"/>
  <c r="L2415" i="8"/>
  <c r="L2414" i="8"/>
  <c r="L2413" i="8"/>
  <c r="L2412" i="8"/>
  <c r="L2411" i="8"/>
  <c r="L2410" i="8"/>
  <c r="L2409" i="8"/>
  <c r="L2403" i="8"/>
  <c r="L2404" i="8" s="1"/>
  <c r="L2405" i="8" s="1"/>
  <c r="L2407" i="8" s="1"/>
  <c r="L2402" i="8"/>
  <c r="L2401" i="8"/>
  <c r="L2395" i="8"/>
  <c r="L2394" i="8"/>
  <c r="L2393" i="8"/>
  <c r="L2390" i="8"/>
  <c r="L2389" i="8"/>
  <c r="L2388" i="8"/>
  <c r="L2387" i="8"/>
  <c r="L2380" i="8"/>
  <c r="L2379" i="8"/>
  <c r="L2373" i="8"/>
  <c r="L2374" i="8" s="1"/>
  <c r="L2375" i="8" s="1"/>
  <c r="L2377" i="8" s="1"/>
  <c r="L2366" i="8"/>
  <c r="L2365" i="8"/>
  <c r="L2364" i="8"/>
  <c r="L2358" i="8"/>
  <c r="L2357" i="8"/>
  <c r="L2350" i="8"/>
  <c r="L2351" i="8" s="1"/>
  <c r="L2346" i="8"/>
  <c r="L2347" i="8" s="1"/>
  <c r="L2343" i="8"/>
  <c r="L2344" i="8" s="1"/>
  <c r="L2337" i="8"/>
  <c r="L2341" i="8" s="1"/>
  <c r="L2336" i="8"/>
  <c r="L2333" i="8"/>
  <c r="L2332" i="8"/>
  <c r="L2331" i="8"/>
  <c r="L2330" i="8"/>
  <c r="L2322" i="8"/>
  <c r="L2321" i="8"/>
  <c r="L2315" i="8"/>
  <c r="L2314" i="8"/>
  <c r="L2308" i="8"/>
  <c r="L2309" i="8" s="1"/>
  <c r="L2305" i="8"/>
  <c r="L2306" i="8" s="1"/>
  <c r="L2302" i="8"/>
  <c r="L2303" i="8" s="1"/>
  <c r="L2296" i="8"/>
  <c r="L2295" i="8"/>
  <c r="L2292" i="8"/>
  <c r="L2293" i="8" s="1"/>
  <c r="L2291" i="8"/>
  <c r="L2284" i="8"/>
  <c r="L2283" i="8"/>
  <c r="L2282" i="8"/>
  <c r="L2276" i="8"/>
  <c r="L2275" i="8"/>
  <c r="L2268" i="8"/>
  <c r="L2269" i="8" s="1"/>
  <c r="L2262" i="8"/>
  <c r="L2261" i="8"/>
  <c r="L2254" i="8"/>
  <c r="L2255" i="8" s="1"/>
  <c r="L2248" i="8"/>
  <c r="L2247" i="8"/>
  <c r="L2249" i="8" s="1"/>
  <c r="L2250" i="8" s="1"/>
  <c r="L2252" i="8" s="1"/>
  <c r="L2256" i="8" s="1"/>
  <c r="L2257" i="8" s="1"/>
  <c r="L2240" i="8"/>
  <c r="L2241" i="8" s="1"/>
  <c r="L2234" i="8"/>
  <c r="L2233" i="8"/>
  <c r="L2227" i="8"/>
  <c r="L2226" i="8"/>
  <c r="L2223" i="8"/>
  <c r="L2224" i="8" s="1"/>
  <c r="L2217" i="8"/>
  <c r="L2216" i="8"/>
  <c r="L2213" i="8"/>
  <c r="L2212" i="8"/>
  <c r="L2214" i="8" s="1"/>
  <c r="L2206" i="8"/>
  <c r="L2205" i="8"/>
  <c r="L2202" i="8"/>
  <c r="L2201" i="8"/>
  <c r="L2195" i="8"/>
  <c r="L2194" i="8"/>
  <c r="L2191" i="8"/>
  <c r="L2192" i="8" s="1"/>
  <c r="L2184" i="8"/>
  <c r="L2183" i="8"/>
  <c r="L2182" i="8"/>
  <c r="L2176" i="8"/>
  <c r="L2175" i="8"/>
  <c r="L2169" i="8"/>
  <c r="L2168" i="8"/>
  <c r="L2165" i="8"/>
  <c r="L2164" i="8"/>
  <c r="L2158" i="8"/>
  <c r="L2159" i="8" s="1"/>
  <c r="L2160" i="8" s="1"/>
  <c r="L2151" i="8"/>
  <c r="L2150" i="8"/>
  <c r="L2147" i="8"/>
  <c r="L2146" i="8"/>
  <c r="L2139" i="8"/>
  <c r="L2138" i="8"/>
  <c r="L2135" i="8"/>
  <c r="L2136" i="8" s="1"/>
  <c r="L2128" i="8"/>
  <c r="L2127" i="8"/>
  <c r="L2126" i="8"/>
  <c r="L2125" i="8"/>
  <c r="L2124" i="8"/>
  <c r="L2123" i="8"/>
  <c r="L2117" i="8"/>
  <c r="L2116" i="8"/>
  <c r="L2115" i="8"/>
  <c r="L2114" i="8"/>
  <c r="L2107" i="8"/>
  <c r="L2106" i="8"/>
  <c r="L2108" i="8" s="1"/>
  <c r="L2103" i="8"/>
  <c r="L2104" i="8" s="1"/>
  <c r="L2097" i="8"/>
  <c r="L2096" i="8"/>
  <c r="L2098" i="8" s="1"/>
  <c r="L2093" i="8"/>
  <c r="L2092" i="8"/>
  <c r="L2091" i="8"/>
  <c r="L2090" i="8"/>
  <c r="L2089" i="8"/>
  <c r="L2086" i="8"/>
  <c r="L2087" i="8" s="1"/>
  <c r="L2080" i="8"/>
  <c r="L2079" i="8"/>
  <c r="L2081" i="8" s="1"/>
  <c r="L2076" i="8"/>
  <c r="L2075" i="8"/>
  <c r="L2074" i="8"/>
  <c r="L2073" i="8"/>
  <c r="L2072" i="8"/>
  <c r="L2069" i="8"/>
  <c r="L2068" i="8"/>
  <c r="L2065" i="8"/>
  <c r="L2066" i="8" s="1"/>
  <c r="L2059" i="8"/>
  <c r="L2058" i="8"/>
  <c r="L2055" i="8"/>
  <c r="L2054" i="8"/>
  <c r="L2053" i="8"/>
  <c r="L2052" i="8"/>
  <c r="L2051" i="8"/>
  <c r="L2048" i="8"/>
  <c r="L2047" i="8"/>
  <c r="L2049" i="8" s="1"/>
  <c r="L2044" i="8"/>
  <c r="L2045" i="8" s="1"/>
  <c r="L2038" i="8"/>
  <c r="L2039" i="8" s="1"/>
  <c r="L2035" i="8"/>
  <c r="L2036" i="8" s="1"/>
  <c r="L2032" i="8"/>
  <c r="L2033" i="8" s="1"/>
  <c r="L2022" i="8"/>
  <c r="L2023" i="8" s="1"/>
  <c r="L2024" i="8" s="1"/>
  <c r="L2026" i="8" s="1"/>
  <c r="L2027" i="8" s="1"/>
  <c r="L2028" i="8" s="1"/>
  <c r="L2016" i="8"/>
  <c r="L2017" i="8" s="1"/>
  <c r="L2013" i="8"/>
  <c r="L2012" i="8"/>
  <c r="L2014" i="8" s="1"/>
  <c r="L2018" i="8" s="1"/>
  <c r="L2005" i="8"/>
  <c r="L2006" i="8" s="1"/>
  <c r="L1999" i="8"/>
  <c r="L1998" i="8"/>
  <c r="L1991" i="8"/>
  <c r="L1992" i="8" s="1"/>
  <c r="L1985" i="8"/>
  <c r="L1984" i="8"/>
  <c r="L1978" i="8"/>
  <c r="L1977" i="8"/>
  <c r="L1974" i="8"/>
  <c r="L1973" i="8"/>
  <c r="L1967" i="8"/>
  <c r="L1966" i="8"/>
  <c r="L1968" i="8" s="1"/>
  <c r="L1963" i="8"/>
  <c r="L1962" i="8"/>
  <c r="L1964" i="8" s="1"/>
  <c r="L1955" i="8"/>
  <c r="L1956" i="8" s="1"/>
  <c r="L1949" i="8"/>
  <c r="L1948" i="8"/>
  <c r="L1941" i="8"/>
  <c r="L1942" i="8" s="1"/>
  <c r="L1940" i="8"/>
  <c r="L1937" i="8"/>
  <c r="L1936" i="8"/>
  <c r="L1930" i="8"/>
  <c r="L1929" i="8"/>
  <c r="L1931" i="8" s="1"/>
  <c r="L1926" i="8"/>
  <c r="L1927" i="8" s="1"/>
  <c r="L1920" i="8"/>
  <c r="L1919" i="8"/>
  <c r="L1918" i="8"/>
  <c r="L1917" i="8"/>
  <c r="L1916" i="8"/>
  <c r="L1915" i="8"/>
  <c r="L1914" i="8"/>
  <c r="L1913" i="8"/>
  <c r="L1910" i="8"/>
  <c r="L1909" i="8"/>
  <c r="L1906" i="8"/>
  <c r="L1905" i="8"/>
  <c r="L1907" i="8" s="1"/>
  <c r="L1899" i="8"/>
  <c r="L1898" i="8"/>
  <c r="L1900" i="8" s="1"/>
  <c r="L1895" i="8"/>
  <c r="L1896" i="8" s="1"/>
  <c r="L1889" i="8"/>
  <c r="L1888" i="8"/>
  <c r="L1885" i="8"/>
  <c r="L1884" i="8"/>
  <c r="L1881" i="8"/>
  <c r="L1882" i="8" s="1"/>
  <c r="L1880" i="8"/>
  <c r="L1874" i="8"/>
  <c r="L1873" i="8"/>
  <c r="L1875" i="8" s="1"/>
  <c r="L1870" i="8"/>
  <c r="L1869" i="8"/>
  <c r="L1868" i="8"/>
  <c r="L1865" i="8"/>
  <c r="L1864" i="8"/>
  <c r="L1866" i="8" s="1"/>
  <c r="L1857" i="8"/>
  <c r="L1858" i="8" s="1"/>
  <c r="L1851" i="8"/>
  <c r="L1850" i="8"/>
  <c r="L1844" i="8"/>
  <c r="L1845" i="8" s="1"/>
  <c r="L1841" i="8"/>
  <c r="L1840" i="8"/>
  <c r="L1842" i="8" s="1"/>
  <c r="L1837" i="8"/>
  <c r="L1838" i="8" s="1"/>
  <c r="L1831" i="8"/>
  <c r="L1830" i="8"/>
  <c r="L1832" i="8" s="1"/>
  <c r="L1827" i="8"/>
  <c r="L1826" i="8"/>
  <c r="L1820" i="8"/>
  <c r="L1819" i="8"/>
  <c r="L1816" i="8"/>
  <c r="L1815" i="8"/>
  <c r="L1817" i="8" s="1"/>
  <c r="L1809" i="8"/>
  <c r="L1808" i="8"/>
  <c r="L1805" i="8"/>
  <c r="L1804" i="8"/>
  <c r="L1798" i="8"/>
  <c r="L1797" i="8"/>
  <c r="L1794" i="8"/>
  <c r="L1793" i="8"/>
  <c r="L1787" i="8"/>
  <c r="L1786" i="8"/>
  <c r="L1783" i="8"/>
  <c r="L1782" i="8"/>
  <c r="L1784" i="8" s="1"/>
  <c r="L1776" i="8"/>
  <c r="L1775" i="8"/>
  <c r="L1772" i="8"/>
  <c r="L1771" i="8"/>
  <c r="L1765" i="8"/>
  <c r="L1764" i="8"/>
  <c r="L1766" i="8" s="1"/>
  <c r="L1761" i="8"/>
  <c r="L1760" i="8"/>
  <c r="L1754" i="8"/>
  <c r="L1753" i="8"/>
  <c r="L1750" i="8"/>
  <c r="L1751" i="8" s="1"/>
  <c r="L1744" i="8"/>
  <c r="L1743" i="8"/>
  <c r="L1737" i="8"/>
  <c r="L1736" i="8"/>
  <c r="L1729" i="8"/>
  <c r="L1730" i="8" s="1"/>
  <c r="L1723" i="8"/>
  <c r="L1722" i="8"/>
  <c r="L1715" i="8"/>
  <c r="L1716" i="8" s="1"/>
  <c r="L1709" i="8"/>
  <c r="L1708" i="8"/>
  <c r="L1702" i="8"/>
  <c r="L1701" i="8"/>
  <c r="L1695" i="8"/>
  <c r="L1694" i="8"/>
  <c r="L1687" i="8"/>
  <c r="L1688" i="8" s="1"/>
  <c r="L1681" i="8"/>
  <c r="L1680" i="8"/>
  <c r="L1673" i="8"/>
  <c r="L1674" i="8" s="1"/>
  <c r="L1667" i="8"/>
  <c r="L1666" i="8"/>
  <c r="L1659" i="8"/>
  <c r="L1660" i="8" s="1"/>
  <c r="L1653" i="8"/>
  <c r="L1652" i="8"/>
  <c r="L1645" i="8"/>
  <c r="L1646" i="8" s="1"/>
  <c r="L1639" i="8"/>
  <c r="L1638" i="8"/>
  <c r="L1631" i="8"/>
  <c r="L1632" i="8" s="1"/>
  <c r="L1625" i="8"/>
  <c r="L1624" i="8"/>
  <c r="L1626" i="8" s="1"/>
  <c r="L1627" i="8" s="1"/>
  <c r="L1629" i="8" s="1"/>
  <c r="L1633" i="8" s="1"/>
  <c r="L1634" i="8" s="1"/>
  <c r="L1617" i="8"/>
  <c r="L1618" i="8" s="1"/>
  <c r="L1611" i="8"/>
  <c r="L1612" i="8" s="1"/>
  <c r="L1613" i="8" s="1"/>
  <c r="L1615" i="8" s="1"/>
  <c r="L1610" i="8"/>
  <c r="L1603" i="8"/>
  <c r="L1604" i="8" s="1"/>
  <c r="L1597" i="8"/>
  <c r="L1596" i="8"/>
  <c r="L1589" i="8"/>
  <c r="L1590" i="8" s="1"/>
  <c r="L1583" i="8"/>
  <c r="L1582" i="8"/>
  <c r="L1576" i="8"/>
  <c r="L1575" i="8"/>
  <c r="L1574" i="8"/>
  <c r="L1571" i="8"/>
  <c r="L1570" i="8"/>
  <c r="L1569" i="8"/>
  <c r="L1566" i="8"/>
  <c r="L1565" i="8"/>
  <c r="L1564" i="8"/>
  <c r="L1558" i="8"/>
  <c r="L1557" i="8"/>
  <c r="L1556" i="8"/>
  <c r="L1553" i="8"/>
  <c r="L1552" i="8"/>
  <c r="L1551" i="8"/>
  <c r="L1550" i="8"/>
  <c r="L1547" i="8"/>
  <c r="L1548" i="8" s="1"/>
  <c r="L1540" i="8"/>
  <c r="L1541" i="8" s="1"/>
  <c r="L1537" i="8"/>
  <c r="L1538" i="8" s="1"/>
  <c r="L1534" i="8"/>
  <c r="L1533" i="8"/>
  <c r="L1530" i="8"/>
  <c r="L1531" i="8" s="1"/>
  <c r="L1523" i="8"/>
  <c r="L1524" i="8" s="1"/>
  <c r="L1520" i="8"/>
  <c r="L1519" i="8"/>
  <c r="L1516" i="8"/>
  <c r="L1515" i="8"/>
  <c r="L1512" i="8"/>
  <c r="L1511" i="8"/>
  <c r="L1505" i="8"/>
  <c r="L1506" i="8" s="1"/>
  <c r="L1502" i="8"/>
  <c r="L1501" i="8"/>
  <c r="L1500" i="8"/>
  <c r="L1497" i="8"/>
  <c r="L1496" i="8"/>
  <c r="L1498" i="8" s="1"/>
  <c r="L1493" i="8"/>
  <c r="L1494" i="8" s="1"/>
  <c r="L1487" i="8"/>
  <c r="L1488" i="8" s="1"/>
  <c r="L1484" i="8"/>
  <c r="L1483" i="8"/>
  <c r="L1485" i="8" s="1"/>
  <c r="L1480" i="8"/>
  <c r="L1481" i="8" s="1"/>
  <c r="L1477" i="8"/>
  <c r="L1476" i="8"/>
  <c r="L1478" i="8" s="1"/>
  <c r="L1471" i="8"/>
  <c r="L1470" i="8"/>
  <c r="L1469" i="8"/>
  <c r="L1466" i="8"/>
  <c r="L1465" i="8"/>
  <c r="L1464" i="8"/>
  <c r="L1463" i="8"/>
  <c r="L1462" i="8"/>
  <c r="L1461" i="8"/>
  <c r="L1460" i="8"/>
  <c r="L1457" i="8"/>
  <c r="L1458" i="8" s="1"/>
  <c r="L1450" i="8"/>
  <c r="L1449" i="8"/>
  <c r="L1443" i="8"/>
  <c r="L1442" i="8"/>
  <c r="L1436" i="8"/>
  <c r="L1437" i="8" s="1"/>
  <c r="L1433" i="8"/>
  <c r="L1432" i="8"/>
  <c r="L1431" i="8"/>
  <c r="L1430" i="8"/>
  <c r="L1434" i="8" s="1"/>
  <c r="L1423" i="8"/>
  <c r="L1424" i="8" s="1"/>
  <c r="L1420" i="8"/>
  <c r="L1419" i="8"/>
  <c r="L1416" i="8"/>
  <c r="L1415" i="8"/>
  <c r="L1414" i="8"/>
  <c r="L1413" i="8"/>
  <c r="L1406" i="8"/>
  <c r="L1405" i="8"/>
  <c r="L1404" i="8"/>
  <c r="L1398" i="8"/>
  <c r="L1397" i="8"/>
  <c r="L1391" i="8"/>
  <c r="L1390" i="8"/>
  <c r="L1387" i="8"/>
  <c r="L1386" i="8"/>
  <c r="L1388" i="8" s="1"/>
  <c r="L1385" i="8"/>
  <c r="L1379" i="8"/>
  <c r="L1378" i="8"/>
  <c r="L1380" i="8" s="1"/>
  <c r="L1375" i="8"/>
  <c r="L1376" i="8" s="1"/>
  <c r="L1372" i="8"/>
  <c r="L1373" i="8" s="1"/>
  <c r="L1371" i="8"/>
  <c r="L1363" i="8"/>
  <c r="L1362" i="8"/>
  <c r="L1361" i="8"/>
  <c r="L1360" i="8"/>
  <c r="L1359" i="8"/>
  <c r="L1353" i="8"/>
  <c r="L1352" i="8"/>
  <c r="L1346" i="8"/>
  <c r="L1345" i="8"/>
  <c r="L1335" i="8"/>
  <c r="L1334" i="8"/>
  <c r="L1328" i="8"/>
  <c r="L1327" i="8"/>
  <c r="L1320" i="8"/>
  <c r="L1321" i="8" s="1"/>
  <c r="L1314" i="8"/>
  <c r="L1313" i="8"/>
  <c r="L1307" i="8"/>
  <c r="L1306" i="8"/>
  <c r="L1305" i="8"/>
  <c r="L1304" i="8"/>
  <c r="L1303" i="8"/>
  <c r="L1296" i="8"/>
  <c r="L1297" i="8" s="1"/>
  <c r="L1298" i="8" s="1"/>
  <c r="L1299" i="8" s="1"/>
  <c r="L1288" i="8"/>
  <c r="L1287" i="8"/>
  <c r="L1284" i="8"/>
  <c r="L1283" i="8"/>
  <c r="L1277" i="8"/>
  <c r="L1278" i="8" s="1"/>
  <c r="L1279" i="8" s="1"/>
  <c r="L1281" i="8" s="1"/>
  <c r="L1290" i="8" s="1"/>
  <c r="L1272" i="8"/>
  <c r="L1271" i="8"/>
  <c r="L1268" i="8"/>
  <c r="L1269" i="8" s="1"/>
  <c r="L1265" i="8"/>
  <c r="L1266" i="8" s="1"/>
  <c r="L1273" i="8" s="1"/>
  <c r="L1259" i="8"/>
  <c r="L1258" i="8"/>
  <c r="L1255" i="8"/>
  <c r="L1254" i="8"/>
  <c r="L1253" i="8"/>
  <c r="L1252" i="8"/>
  <c r="L1242" i="8"/>
  <c r="L1241" i="8"/>
  <c r="L1235" i="8"/>
  <c r="L1236" i="8" s="1"/>
  <c r="L1232" i="8"/>
  <c r="L1231" i="8"/>
  <c r="L1228" i="8"/>
  <c r="L1229" i="8" s="1"/>
  <c r="L1222" i="8"/>
  <c r="L1223" i="8" s="1"/>
  <c r="L1219" i="8"/>
  <c r="L1218" i="8"/>
  <c r="L1217" i="8"/>
  <c r="L1214" i="8"/>
  <c r="L1215" i="8" s="1"/>
  <c r="L1207" i="8"/>
  <c r="L1208" i="8" s="1"/>
  <c r="L1204" i="8"/>
  <c r="L1203" i="8"/>
  <c r="L1197" i="8"/>
  <c r="L1196" i="8"/>
  <c r="L1189" i="8"/>
  <c r="L1190" i="8" s="1"/>
  <c r="L1186" i="8"/>
  <c r="L1185" i="8"/>
  <c r="L1184" i="8"/>
  <c r="L1178" i="8"/>
  <c r="L1179" i="8" s="1"/>
  <c r="L1180" i="8" s="1"/>
  <c r="L1182" i="8" s="1"/>
  <c r="L1177" i="8"/>
  <c r="L1171" i="8"/>
  <c r="L1172" i="8" s="1"/>
  <c r="L1168" i="8"/>
  <c r="L1167" i="8"/>
  <c r="L1164" i="8"/>
  <c r="L1165" i="8" s="1"/>
  <c r="L1158" i="8"/>
  <c r="L1159" i="8" s="1"/>
  <c r="L1155" i="8"/>
  <c r="L1154" i="8"/>
  <c r="L1151" i="8"/>
  <c r="L1152" i="8" s="1"/>
  <c r="L1141" i="8"/>
  <c r="L1140" i="8"/>
  <c r="L1133" i="8"/>
  <c r="L1134" i="8" s="1"/>
  <c r="L1127" i="8"/>
  <c r="L1126" i="8"/>
  <c r="L1119" i="8"/>
  <c r="L1120" i="8" s="1"/>
  <c r="L1116" i="8"/>
  <c r="L1115" i="8"/>
  <c r="L1114" i="8"/>
  <c r="L1108" i="8"/>
  <c r="L1107" i="8"/>
  <c r="L1109" i="8" s="1"/>
  <c r="L1110" i="8" s="1"/>
  <c r="L1112" i="8" s="1"/>
  <c r="L1100" i="8"/>
  <c r="L1099" i="8"/>
  <c r="L1098" i="8"/>
  <c r="L1097" i="8"/>
  <c r="L1096" i="8"/>
  <c r="L1095" i="8"/>
  <c r="L1090" i="8"/>
  <c r="L1086" i="8"/>
  <c r="L1085" i="8"/>
  <c r="L1078" i="8"/>
  <c r="L1077" i="8"/>
  <c r="L1076" i="8"/>
  <c r="L1075" i="8"/>
  <c r="L1074" i="8"/>
  <c r="L1073" i="8"/>
  <c r="L1072" i="8"/>
  <c r="L1067" i="8"/>
  <c r="L1063" i="8"/>
  <c r="L1062" i="8"/>
  <c r="L1055" i="8"/>
  <c r="L1056" i="8" s="1"/>
  <c r="L1054" i="8"/>
  <c r="L1051" i="8"/>
  <c r="L1050" i="8"/>
  <c r="L1049" i="8"/>
  <c r="L1046" i="8"/>
  <c r="L1045" i="8"/>
  <c r="L1038" i="8"/>
  <c r="L1039" i="8" s="1"/>
  <c r="L1035" i="8"/>
  <c r="L1034" i="8"/>
  <c r="L1031" i="8"/>
  <c r="L1032" i="8" s="1"/>
  <c r="L1024" i="8"/>
  <c r="L1023" i="8"/>
  <c r="L1017" i="8"/>
  <c r="L1016" i="8"/>
  <c r="L1009" i="8"/>
  <c r="L1008" i="8"/>
  <c r="L1005" i="8"/>
  <c r="L1004" i="8"/>
  <c r="L1001" i="8"/>
  <c r="L1000" i="8"/>
  <c r="L999" i="8"/>
  <c r="L993" i="8"/>
  <c r="L992" i="8"/>
  <c r="L994" i="8" s="1"/>
  <c r="L989" i="8"/>
  <c r="L988" i="8"/>
  <c r="L987" i="8"/>
  <c r="L981" i="8"/>
  <c r="L980" i="8"/>
  <c r="L978" i="8"/>
  <c r="L977" i="8"/>
  <c r="L974" i="8"/>
  <c r="L975" i="8" s="1"/>
  <c r="L968" i="8"/>
  <c r="L969" i="8" s="1"/>
  <c r="L965" i="8"/>
  <c r="L966" i="8" s="1"/>
  <c r="L962" i="8"/>
  <c r="L961" i="8"/>
  <c r="L963" i="8" s="1"/>
  <c r="L955" i="8"/>
  <c r="L956" i="8" s="1"/>
  <c r="L954" i="8"/>
  <c r="L951" i="8"/>
  <c r="L950" i="8"/>
  <c r="L949" i="8"/>
  <c r="L948" i="8"/>
  <c r="L942" i="8"/>
  <c r="L941" i="8"/>
  <c r="L938" i="8"/>
  <c r="L937" i="8"/>
  <c r="L936" i="8"/>
  <c r="L935" i="8"/>
  <c r="L929" i="8"/>
  <c r="L928" i="8"/>
  <c r="L927" i="8"/>
  <c r="L924" i="8"/>
  <c r="L923" i="8"/>
  <c r="L922" i="8"/>
  <c r="L921" i="8"/>
  <c r="L920" i="8"/>
  <c r="L919" i="8"/>
  <c r="L916" i="8"/>
  <c r="L915" i="8"/>
  <c r="L909" i="8"/>
  <c r="L908" i="8"/>
  <c r="L902" i="8"/>
  <c r="L903" i="8" s="1"/>
  <c r="L899" i="8"/>
  <c r="L898" i="8"/>
  <c r="L895" i="8"/>
  <c r="L894" i="8"/>
  <c r="L896" i="8" s="1"/>
  <c r="L893" i="8"/>
  <c r="L886" i="8"/>
  <c r="L885" i="8"/>
  <c r="L884" i="8"/>
  <c r="L878" i="8"/>
  <c r="L877" i="8"/>
  <c r="L870" i="8"/>
  <c r="L871" i="8" s="1"/>
  <c r="L867" i="8"/>
  <c r="L866" i="8"/>
  <c r="L863" i="8"/>
  <c r="L862" i="8"/>
  <c r="L861" i="8"/>
  <c r="L860" i="8"/>
  <c r="L854" i="8"/>
  <c r="L853" i="8"/>
  <c r="L850" i="8"/>
  <c r="L851" i="8" s="1"/>
  <c r="L843" i="8"/>
  <c r="L842" i="8"/>
  <c r="L841" i="8"/>
  <c r="L840" i="8"/>
  <c r="L839" i="8"/>
  <c r="L833" i="8"/>
  <c r="L832" i="8"/>
  <c r="L826" i="8"/>
  <c r="L825" i="8"/>
  <c r="L819" i="8"/>
  <c r="L818" i="8"/>
  <c r="L811" i="8"/>
  <c r="L812" i="8" s="1"/>
  <c r="L805" i="8"/>
  <c r="L804" i="8"/>
  <c r="L806" i="8" s="1"/>
  <c r="L807" i="8" s="1"/>
  <c r="L809" i="8" s="1"/>
  <c r="L797" i="8"/>
  <c r="L798" i="8" s="1"/>
  <c r="L791" i="8"/>
  <c r="L790" i="8"/>
  <c r="L783" i="8"/>
  <c r="L782" i="8"/>
  <c r="L776" i="8"/>
  <c r="L775" i="8"/>
  <c r="L769" i="8"/>
  <c r="L768" i="8"/>
  <c r="L765" i="8"/>
  <c r="L766" i="8" s="1"/>
  <c r="L759" i="8"/>
  <c r="L758" i="8"/>
  <c r="L760" i="8" s="1"/>
  <c r="L756" i="8"/>
  <c r="L755" i="8"/>
  <c r="L748" i="8"/>
  <c r="L747" i="8"/>
  <c r="L746" i="8"/>
  <c r="L745" i="8"/>
  <c r="L744" i="8"/>
  <c r="L743" i="8"/>
  <c r="L738" i="8"/>
  <c r="L739" i="8" s="1"/>
  <c r="L741" i="8" s="1"/>
  <c r="L737" i="8"/>
  <c r="L736" i="8"/>
  <c r="L729" i="8"/>
  <c r="L728" i="8"/>
  <c r="L722" i="8"/>
  <c r="L723" i="8" s="1"/>
  <c r="L724" i="8" s="1"/>
  <c r="L726" i="8" s="1"/>
  <c r="L721" i="8"/>
  <c r="L714" i="8"/>
  <c r="L713" i="8"/>
  <c r="L712" i="8"/>
  <c r="L711" i="8"/>
  <c r="L710" i="8"/>
  <c r="L709" i="8"/>
  <c r="L703" i="8"/>
  <c r="L702" i="8"/>
  <c r="L695" i="8"/>
  <c r="L694" i="8"/>
  <c r="L688" i="8"/>
  <c r="L687" i="8"/>
  <c r="L680" i="8"/>
  <c r="L681" i="8" s="1"/>
  <c r="L682" i="8" s="1"/>
  <c r="L683" i="8" s="1"/>
  <c r="L674" i="8"/>
  <c r="L673" i="8"/>
  <c r="L675" i="8" s="1"/>
  <c r="L670" i="8"/>
  <c r="L669" i="8"/>
  <c r="L662" i="8"/>
  <c r="L661" i="8"/>
  <c r="L660" i="8"/>
  <c r="L659" i="8"/>
  <c r="L656" i="8"/>
  <c r="L655" i="8"/>
  <c r="L654" i="8"/>
  <c r="L648" i="8"/>
  <c r="L647" i="8"/>
  <c r="L636" i="8"/>
  <c r="L637" i="8" s="1"/>
  <c r="L641" i="8" s="1"/>
  <c r="L633" i="8"/>
  <c r="L632" i="8"/>
  <c r="L631" i="8"/>
  <c r="L630" i="8"/>
  <c r="L629" i="8"/>
  <c r="L628" i="8"/>
  <c r="L620" i="8"/>
  <c r="L619" i="8"/>
  <c r="L618" i="8"/>
  <c r="L617" i="8"/>
  <c r="L611" i="8"/>
  <c r="L610" i="8"/>
  <c r="L604" i="8"/>
  <c r="L603" i="8"/>
  <c r="L600" i="8"/>
  <c r="L599" i="8"/>
  <c r="L598" i="8"/>
  <c r="L591" i="8"/>
  <c r="L590" i="8"/>
  <c r="L589" i="8"/>
  <c r="L583" i="8"/>
  <c r="L582" i="8"/>
  <c r="L575" i="8"/>
  <c r="L574" i="8"/>
  <c r="L568" i="8"/>
  <c r="L569" i="8" s="1"/>
  <c r="L570" i="8" s="1"/>
  <c r="L572" i="8" s="1"/>
  <c r="L567" i="8"/>
  <c r="L560" i="8"/>
  <c r="L559" i="8"/>
  <c r="L558" i="8"/>
  <c r="L552" i="8"/>
  <c r="L551" i="8"/>
  <c r="L544" i="8"/>
  <c r="L543" i="8"/>
  <c r="L542" i="8"/>
  <c r="L536" i="8"/>
  <c r="L535" i="8"/>
  <c r="L537" i="8" s="1"/>
  <c r="L538" i="8" s="1"/>
  <c r="L540" i="8" s="1"/>
  <c r="L528" i="8"/>
  <c r="L527" i="8"/>
  <c r="L526" i="8"/>
  <c r="L520" i="8"/>
  <c r="L519" i="8"/>
  <c r="L521" i="8" s="1"/>
  <c r="L522" i="8" s="1"/>
  <c r="L524" i="8" s="1"/>
  <c r="L512" i="8"/>
  <c r="L511" i="8"/>
  <c r="L510" i="8"/>
  <c r="L504" i="8"/>
  <c r="L503" i="8"/>
  <c r="L505" i="8" s="1"/>
  <c r="L506" i="8" s="1"/>
  <c r="L508" i="8" s="1"/>
  <c r="L496" i="8"/>
  <c r="L497" i="8" s="1"/>
  <c r="L493" i="8"/>
  <c r="L494" i="8" s="1"/>
  <c r="L487" i="8"/>
  <c r="L486" i="8"/>
  <c r="L488" i="8" s="1"/>
  <c r="L489" i="8" s="1"/>
  <c r="L491" i="8" s="1"/>
  <c r="L479" i="8"/>
  <c r="L478" i="8"/>
  <c r="L477" i="8"/>
  <c r="L471" i="8"/>
  <c r="L470" i="8"/>
  <c r="L464" i="8"/>
  <c r="L463" i="8"/>
  <c r="L460" i="8"/>
  <c r="L459" i="8"/>
  <c r="L458" i="8"/>
  <c r="L457" i="8"/>
  <c r="L456" i="8"/>
  <c r="L455" i="8"/>
  <c r="L454" i="8"/>
  <c r="L453" i="8"/>
  <c r="L447" i="8"/>
  <c r="L446" i="8"/>
  <c r="L440" i="8"/>
  <c r="L439" i="8"/>
  <c r="L438" i="8"/>
  <c r="L437" i="8"/>
  <c r="L441" i="8" s="1"/>
  <c r="L442" i="8" s="1"/>
  <c r="L430" i="8"/>
  <c r="L431" i="8" s="1"/>
  <c r="L424" i="8"/>
  <c r="L425" i="8" s="1"/>
  <c r="L426" i="8" s="1"/>
  <c r="L428" i="8" s="1"/>
  <c r="L432" i="8" s="1"/>
  <c r="L433" i="8" s="1"/>
  <c r="L414" i="8"/>
  <c r="L413" i="8"/>
  <c r="L403" i="8"/>
  <c r="L402" i="8"/>
  <c r="L404" i="8" s="1"/>
  <c r="L405" i="8" s="1"/>
  <c r="L407" i="8" s="1"/>
  <c r="L408" i="8" s="1"/>
  <c r="L409" i="8" s="1"/>
  <c r="L392" i="8"/>
  <c r="L393" i="8" s="1"/>
  <c r="L394" i="8" s="1"/>
  <c r="L396" i="8" s="1"/>
  <c r="L397" i="8" s="1"/>
  <c r="L398" i="8" s="1"/>
  <c r="L382" i="8"/>
  <c r="L383" i="8" s="1"/>
  <c r="L384" i="8" s="1"/>
  <c r="L386" i="8" s="1"/>
  <c r="L387" i="8" s="1"/>
  <c r="L388" i="8" s="1"/>
  <c r="L381" i="8"/>
  <c r="L375" i="8"/>
  <c r="L374" i="8"/>
  <c r="L367" i="8"/>
  <c r="L366" i="8"/>
  <c r="L360" i="8"/>
  <c r="L359" i="8"/>
  <c r="L353" i="8"/>
  <c r="L352" i="8"/>
  <c r="L346" i="8"/>
  <c r="L347" i="8" s="1"/>
  <c r="L348" i="8" s="1"/>
  <c r="L350" i="8" s="1"/>
  <c r="L354" i="8" s="1"/>
  <c r="L355" i="8" s="1"/>
  <c r="L340" i="8"/>
  <c r="L339" i="8"/>
  <c r="L336" i="8"/>
  <c r="L335" i="8"/>
  <c r="L334" i="8"/>
  <c r="L333" i="8"/>
  <c r="L323" i="8"/>
  <c r="L322" i="8"/>
  <c r="L312" i="8"/>
  <c r="L313" i="8" s="1"/>
  <c r="L314" i="8" s="1"/>
  <c r="L316" i="8" s="1"/>
  <c r="L317" i="8" s="1"/>
  <c r="L318" i="8" s="1"/>
  <c r="L311" i="8"/>
  <c r="L301" i="8"/>
  <c r="L300" i="8"/>
  <c r="L302" i="8" s="1"/>
  <c r="L303" i="8" s="1"/>
  <c r="L305" i="8" s="1"/>
  <c r="L306" i="8" s="1"/>
  <c r="L307" i="8" s="1"/>
  <c r="L290" i="8"/>
  <c r="L291" i="8" s="1"/>
  <c r="L292" i="8" s="1"/>
  <c r="L294" i="8" s="1"/>
  <c r="L295" i="8" s="1"/>
  <c r="L296" i="8" s="1"/>
  <c r="L289" i="8"/>
  <c r="L279" i="8"/>
  <c r="L278" i="8"/>
  <c r="L277" i="8"/>
  <c r="L267" i="8"/>
  <c r="L266" i="8"/>
  <c r="L256" i="8"/>
  <c r="L255" i="8"/>
  <c r="L249" i="8"/>
  <c r="L248" i="8"/>
  <c r="L245" i="8"/>
  <c r="L244" i="8"/>
  <c r="L237" i="8"/>
  <c r="L236" i="8"/>
  <c r="L230" i="8"/>
  <c r="L229" i="8"/>
  <c r="L223" i="8"/>
  <c r="L222" i="8"/>
  <c r="L216" i="8"/>
  <c r="L215" i="8"/>
  <c r="L212" i="8"/>
  <c r="L211" i="8"/>
  <c r="L210" i="8"/>
  <c r="L209" i="8"/>
  <c r="L208" i="8"/>
  <c r="L201" i="8"/>
  <c r="L202" i="8" s="1"/>
  <c r="L203" i="8" s="1"/>
  <c r="L204" i="8" s="1"/>
  <c r="L194" i="8"/>
  <c r="L193" i="8"/>
  <c r="L192" i="8"/>
  <c r="L189" i="8"/>
  <c r="L188" i="8"/>
  <c r="L187" i="8"/>
  <c r="L186" i="8"/>
  <c r="L185" i="8"/>
  <c r="L184" i="8"/>
  <c r="L178" i="8"/>
  <c r="L177" i="8"/>
  <c r="L170" i="8"/>
  <c r="L171" i="8" s="1"/>
  <c r="L172" i="8" s="1"/>
  <c r="L173" i="8" s="1"/>
  <c r="L163" i="8"/>
  <c r="L164" i="8" s="1"/>
  <c r="L165" i="8" s="1"/>
  <c r="L166" i="8" s="1"/>
  <c r="L156" i="8"/>
  <c r="L157" i="8" s="1"/>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79" i="8"/>
  <c r="L78" i="8"/>
  <c r="L77" i="8"/>
  <c r="L76" i="8"/>
  <c r="L75" i="8"/>
  <c r="L74" i="8"/>
  <c r="L73" i="8"/>
  <c r="L72"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29" i="8"/>
  <c r="L28" i="8"/>
  <c r="L27" i="8"/>
  <c r="L26" i="8"/>
  <c r="L25" i="8"/>
  <c r="L18" i="8"/>
  <c r="L17" i="8"/>
  <c r="L16" i="8"/>
  <c r="L15" i="8"/>
  <c r="L9" i="8"/>
  <c r="L8" i="8"/>
  <c r="L10" i="8" s="1"/>
  <c r="L11" i="8" s="1"/>
  <c r="L13" i="8" s="1"/>
  <c r="L2533" i="7"/>
  <c r="L2534" i="7" s="1"/>
  <c r="L2535" i="7" s="1"/>
  <c r="L2536" i="7" s="1"/>
  <c r="L2524" i="7"/>
  <c r="L2525" i="7" s="1"/>
  <c r="L2527" i="7" s="1"/>
  <c r="L2528" i="7" s="1"/>
  <c r="L2529" i="7" s="1"/>
  <c r="L2523" i="7"/>
  <c r="L2514" i="7"/>
  <c r="L2516" i="7" s="1"/>
  <c r="L2517" i="7" s="1"/>
  <c r="L2518" i="7" s="1"/>
  <c r="L2512" i="7"/>
  <c r="L2513" i="7" s="1"/>
  <c r="L2501" i="7"/>
  <c r="L2502" i="7" s="1"/>
  <c r="L2503" i="7" s="1"/>
  <c r="L2505" i="7" s="1"/>
  <c r="L2506" i="7" s="1"/>
  <c r="L2507" i="7" s="1"/>
  <c r="L2494" i="7"/>
  <c r="L2493" i="7"/>
  <c r="L2492" i="7"/>
  <c r="L2491" i="7"/>
  <c r="L2490" i="7"/>
  <c r="L2484" i="7"/>
  <c r="L2485" i="7" s="1"/>
  <c r="L2486" i="7" s="1"/>
  <c r="L2488" i="7" s="1"/>
  <c r="L2477" i="7"/>
  <c r="L2476" i="7"/>
  <c r="L2470" i="7"/>
  <c r="L2469" i="7"/>
  <c r="L2462" i="7"/>
  <c r="L2461" i="7"/>
  <c r="L2463" i="7" s="1"/>
  <c r="L2455" i="7"/>
  <c r="L2454" i="7"/>
  <c r="L2447" i="7"/>
  <c r="L2448" i="7" s="1"/>
  <c r="L2449" i="7" s="1"/>
  <c r="L2450" i="7" s="1"/>
  <c r="L2437" i="7"/>
  <c r="L2438" i="7" s="1"/>
  <c r="L2439" i="7" s="1"/>
  <c r="L2441" i="7" s="1"/>
  <c r="L2442" i="7" s="1"/>
  <c r="L2443" i="7" s="1"/>
  <c r="L2427" i="7"/>
  <c r="L2428" i="7" s="1"/>
  <c r="L2430" i="7" s="1"/>
  <c r="L2431" i="7" s="1"/>
  <c r="L2432" i="7" s="1"/>
  <c r="L2426" i="7"/>
  <c r="L2421" i="7"/>
  <c r="L2415" i="7"/>
  <c r="L2416" i="7" s="1"/>
  <c r="L2417" i="7" s="1"/>
  <c r="L2419" i="7" s="1"/>
  <c r="L2420" i="7" s="1"/>
  <c r="L2407" i="7"/>
  <c r="L2406" i="7"/>
  <c r="L2405" i="7"/>
  <c r="L2404" i="7"/>
  <c r="L2408" i="7" s="1"/>
  <c r="L2398" i="7"/>
  <c r="L2399" i="7" s="1"/>
  <c r="L2400" i="7" s="1"/>
  <c r="L2402" i="7" s="1"/>
  <c r="L2391" i="7"/>
  <c r="L2390" i="7"/>
  <c r="L2392" i="7" s="1"/>
  <c r="L2385" i="7"/>
  <c r="L2386" i="7" s="1"/>
  <c r="L2388" i="7" s="1"/>
  <c r="L2384" i="7"/>
  <c r="L2377" i="7"/>
  <c r="L2378" i="7" s="1"/>
  <c r="L2372" i="7"/>
  <c r="L2373" i="7" s="1"/>
  <c r="L2375" i="7" s="1"/>
  <c r="L2371" i="7"/>
  <c r="L2364" i="7"/>
  <c r="L2365" i="7" s="1"/>
  <c r="L2358" i="7"/>
  <c r="L2359" i="7" s="1"/>
  <c r="L2360" i="7" s="1"/>
  <c r="L2362" i="7" s="1"/>
  <c r="L2351" i="7"/>
  <c r="L2352" i="7" s="1"/>
  <c r="L2345" i="7"/>
  <c r="L2346" i="7" s="1"/>
  <c r="L2347" i="7" s="1"/>
  <c r="L2349" i="7" s="1"/>
  <c r="L2335" i="7"/>
  <c r="L2336" i="7" s="1"/>
  <c r="L2337" i="7" s="1"/>
  <c r="L2339" i="7" s="1"/>
  <c r="L2340" i="7" s="1"/>
  <c r="L2341" i="7" s="1"/>
  <c r="L2328" i="7"/>
  <c r="L2329" i="7" s="1"/>
  <c r="L2330" i="7" s="1"/>
  <c r="L2331" i="7" s="1"/>
  <c r="L2319" i="7"/>
  <c r="L2320" i="7" s="1"/>
  <c r="L2322" i="7" s="1"/>
  <c r="L2323" i="7" s="1"/>
  <c r="L2324" i="7" s="1"/>
  <c r="L2318" i="7"/>
  <c r="L2307" i="7"/>
  <c r="L2308" i="7" s="1"/>
  <c r="L2309" i="7" s="1"/>
  <c r="L2311" i="7" s="1"/>
  <c r="L2312" i="7" s="1"/>
  <c r="L2313" i="7" s="1"/>
  <c r="L2296" i="7"/>
  <c r="L2297" i="7" s="1"/>
  <c r="L2298" i="7" s="1"/>
  <c r="L2300" i="7" s="1"/>
  <c r="L2301" i="7" s="1"/>
  <c r="L2302" i="7" s="1"/>
  <c r="L2289" i="7"/>
  <c r="L2290" i="7" s="1"/>
  <c r="L2291" i="7" s="1"/>
  <c r="L2288" i="7"/>
  <c r="L2287" i="7"/>
  <c r="L2286" i="7"/>
  <c r="L2285" i="7"/>
  <c r="L2278" i="7"/>
  <c r="L2279" i="7" s="1"/>
  <c r="L2272" i="7"/>
  <c r="L2271" i="7"/>
  <c r="L2264" i="7"/>
  <c r="L2265" i="7" s="1"/>
  <c r="L2266" i="7" s="1"/>
  <c r="L2267" i="7" s="1"/>
  <c r="L2257" i="7"/>
  <c r="L2258" i="7" s="1"/>
  <c r="L2251" i="7"/>
  <c r="L2252" i="7" s="1"/>
  <c r="L2253" i="7" s="1"/>
  <c r="L2255" i="7" s="1"/>
  <c r="L2240" i="7"/>
  <c r="L2241" i="7" s="1"/>
  <c r="L2242" i="7" s="1"/>
  <c r="L2244" i="7" s="1"/>
  <c r="L2245" i="7" s="1"/>
  <c r="L2246" i="7" s="1"/>
  <c r="L2233" i="7"/>
  <c r="L2232" i="7"/>
  <c r="L2226" i="7"/>
  <c r="L2227" i="7" s="1"/>
  <c r="L2228" i="7" s="1"/>
  <c r="L2230" i="7" s="1"/>
  <c r="L2234" i="7" s="1"/>
  <c r="L2235" i="7" s="1"/>
  <c r="L2218" i="7"/>
  <c r="L2217" i="7"/>
  <c r="L2216" i="7"/>
  <c r="L2215" i="7"/>
  <c r="L2208" i="7"/>
  <c r="L2207" i="7"/>
  <c r="L2197" i="7"/>
  <c r="L2198" i="7" s="1"/>
  <c r="L2199" i="7" s="1"/>
  <c r="L2201" i="7" s="1"/>
  <c r="L2202" i="7" s="1"/>
  <c r="L2203" i="7" s="1"/>
  <c r="L2186" i="7"/>
  <c r="L2187" i="7" s="1"/>
  <c r="L2188" i="7" s="1"/>
  <c r="L2190" i="7" s="1"/>
  <c r="L2191" i="7" s="1"/>
  <c r="L2192" i="7" s="1"/>
  <c r="L2179" i="7"/>
  <c r="L2180" i="7" s="1"/>
  <c r="L2181" i="7" s="1"/>
  <c r="L2178" i="7"/>
  <c r="L2168" i="7"/>
  <c r="L2169" i="7" s="1"/>
  <c r="L2170" i="7" s="1"/>
  <c r="L2172" i="7" s="1"/>
  <c r="L2173" i="7" s="1"/>
  <c r="L2174" i="7" s="1"/>
  <c r="L2160" i="7"/>
  <c r="L2159" i="7"/>
  <c r="L2158" i="7"/>
  <c r="L2157" i="7"/>
  <c r="L2161" i="7" s="1"/>
  <c r="L2151" i="7"/>
  <c r="L2152" i="7" s="1"/>
  <c r="L2153" i="7" s="1"/>
  <c r="L2155" i="7" s="1"/>
  <c r="L2144" i="7"/>
  <c r="L2143" i="7"/>
  <c r="L2137" i="7"/>
  <c r="L2138" i="7" s="1"/>
  <c r="L2139" i="7" s="1"/>
  <c r="L2141" i="7" s="1"/>
  <c r="L2131" i="7"/>
  <c r="L2132" i="7" s="1"/>
  <c r="L2133" i="7" s="1"/>
  <c r="L2130" i="7"/>
  <c r="L2120" i="7"/>
  <c r="L2121" i="7" s="1"/>
  <c r="L2122" i="7" s="1"/>
  <c r="L2124" i="7" s="1"/>
  <c r="L2125" i="7" s="1"/>
  <c r="L2126" i="7" s="1"/>
  <c r="L2109" i="7"/>
  <c r="L2110" i="7" s="1"/>
  <c r="L2111" i="7" s="1"/>
  <c r="L2113" i="7" s="1"/>
  <c r="L2114" i="7" s="1"/>
  <c r="L2115" i="7" s="1"/>
  <c r="L2098" i="7"/>
  <c r="L2099" i="7" s="1"/>
  <c r="L2100" i="7" s="1"/>
  <c r="L2102" i="7" s="1"/>
  <c r="L2103" i="7" s="1"/>
  <c r="L2104" i="7" s="1"/>
  <c r="L2090" i="7"/>
  <c r="L2089" i="7"/>
  <c r="L2088" i="7"/>
  <c r="L2087" i="7"/>
  <c r="L2080" i="7"/>
  <c r="L2079" i="7"/>
  <c r="L2072" i="7"/>
  <c r="L2073" i="7" s="1"/>
  <c r="L2071" i="7"/>
  <c r="L2068" i="7"/>
  <c r="L2067" i="7"/>
  <c r="L2061" i="7"/>
  <c r="L2060" i="7"/>
  <c r="L2062" i="7" s="1"/>
  <c r="L2063" i="7" s="1"/>
  <c r="L2065" i="7" s="1"/>
  <c r="L2053" i="7"/>
  <c r="L2054" i="7" s="1"/>
  <c r="L2050" i="7"/>
  <c r="L2049" i="7"/>
  <c r="L2048" i="7"/>
  <c r="L2042" i="7"/>
  <c r="L2043" i="7" s="1"/>
  <c r="L2044" i="7" s="1"/>
  <c r="L2046" i="7" s="1"/>
  <c r="L2036" i="7"/>
  <c r="L2037" i="7" s="1"/>
  <c r="L2033" i="7"/>
  <c r="L2034" i="7" s="1"/>
  <c r="L2030" i="7"/>
  <c r="L2029" i="7"/>
  <c r="L2028" i="7"/>
  <c r="L2027" i="7"/>
  <c r="L2026" i="7"/>
  <c r="L2025" i="7"/>
  <c r="L2019" i="7"/>
  <c r="L2020" i="7" s="1"/>
  <c r="L2021" i="7" s="1"/>
  <c r="L2013" i="7"/>
  <c r="L2014" i="7" s="1"/>
  <c r="L2015" i="7" s="1"/>
  <c r="L2007" i="7"/>
  <c r="L2008" i="7" s="1"/>
  <c r="L2009" i="7" s="1"/>
  <c r="L2001" i="7"/>
  <c r="L2002" i="7" s="1"/>
  <c r="L2003" i="7" s="1"/>
  <c r="L1995" i="7"/>
  <c r="L1994" i="7"/>
  <c r="L1993" i="7"/>
  <c r="L1992" i="7"/>
  <c r="L1986" i="7"/>
  <c r="L1985" i="7"/>
  <c r="L1978" i="7"/>
  <c r="L1977" i="7"/>
  <c r="L1976" i="7"/>
  <c r="L1975" i="7"/>
  <c r="L1971" i="7"/>
  <c r="L1970" i="7"/>
  <c r="L1969" i="7"/>
  <c r="L1968" i="7"/>
  <c r="L1965" i="7"/>
  <c r="L1964" i="7"/>
  <c r="L1963" i="7"/>
  <c r="L1962" i="7"/>
  <c r="L1955" i="7"/>
  <c r="L1956" i="7" s="1"/>
  <c r="L1960" i="7" s="1"/>
  <c r="L1952" i="7"/>
  <c r="L1951" i="7"/>
  <c r="L1953" i="7" s="1"/>
  <c r="L1957" i="7" s="1"/>
  <c r="L1959" i="7" s="1"/>
  <c r="L1950" i="7"/>
  <c r="L1939" i="7"/>
  <c r="L1940" i="7" s="1"/>
  <c r="L1941" i="7" s="1"/>
  <c r="L1943" i="7" s="1"/>
  <c r="L1944" i="7" s="1"/>
  <c r="L1945" i="7" s="1"/>
  <c r="L1932" i="7"/>
  <c r="L1928" i="7"/>
  <c r="L1929" i="7" s="1"/>
  <c r="L1931" i="7" s="1"/>
  <c r="L1933" i="7" s="1"/>
  <c r="L1934" i="7" s="1"/>
  <c r="L1927" i="7"/>
  <c r="L1920" i="7"/>
  <c r="L1915" i="7"/>
  <c r="L1916" i="7" s="1"/>
  <c r="L1917" i="7" s="1"/>
  <c r="L1919" i="7" s="1"/>
  <c r="L1908" i="7"/>
  <c r="L1907" i="7"/>
  <c r="L1909" i="7" s="1"/>
  <c r="L1904" i="7"/>
  <c r="L1903" i="7"/>
  <c r="L1905" i="7" s="1"/>
  <c r="L1900" i="7"/>
  <c r="L1899" i="7"/>
  <c r="L1892" i="7"/>
  <c r="L1891" i="7"/>
  <c r="L1890" i="7"/>
  <c r="L1893" i="7" s="1"/>
  <c r="L1887" i="7"/>
  <c r="L1886" i="7"/>
  <c r="L1885" i="7"/>
  <c r="L1884" i="7"/>
  <c r="L1878" i="7"/>
  <c r="L1879" i="7" s="1"/>
  <c r="L1880" i="7" s="1"/>
  <c r="L1882" i="7" s="1"/>
  <c r="L1872" i="7"/>
  <c r="L1873" i="7" s="1"/>
  <c r="L1870" i="7"/>
  <c r="L1869" i="7"/>
  <c r="L1866" i="7"/>
  <c r="L1865" i="7"/>
  <c r="L1864" i="7"/>
  <c r="L1863" i="7"/>
  <c r="L1862" i="7"/>
  <c r="L1861" i="7"/>
  <c r="L1855" i="7"/>
  <c r="L1856" i="7" s="1"/>
  <c r="L1857" i="7" s="1"/>
  <c r="L1849" i="7"/>
  <c r="L1850" i="7" s="1"/>
  <c r="L1851" i="7" s="1"/>
  <c r="L1844" i="7"/>
  <c r="L1845" i="7" s="1"/>
  <c r="L1843" i="7"/>
  <c r="L1838" i="7"/>
  <c r="L1839" i="7" s="1"/>
  <c r="L1837" i="7"/>
  <c r="L1831" i="7"/>
  <c r="L1830" i="7"/>
  <c r="L1829" i="7"/>
  <c r="L1828" i="7"/>
  <c r="L1825" i="7"/>
  <c r="L1826" i="7" s="1"/>
  <c r="L1819" i="7"/>
  <c r="L1818" i="7"/>
  <c r="L1820" i="7" s="1"/>
  <c r="L1815" i="7"/>
  <c r="L1816" i="7" s="1"/>
  <c r="L1809" i="7"/>
  <c r="L1810" i="7" s="1"/>
  <c r="L1806" i="7"/>
  <c r="L1807" i="7" s="1"/>
  <c r="L1800" i="7"/>
  <c r="L1801" i="7" s="1"/>
  <c r="L1797" i="7"/>
  <c r="L1796" i="7"/>
  <c r="L1794" i="7"/>
  <c r="L1793" i="7"/>
  <c r="L1792" i="7"/>
  <c r="L1782" i="7"/>
  <c r="L1783" i="7" s="1"/>
  <c r="L1784" i="7" s="1"/>
  <c r="L1786" i="7" s="1"/>
  <c r="L1787" i="7" s="1"/>
  <c r="L1788" i="7" s="1"/>
  <c r="L1776" i="7"/>
  <c r="L1777" i="7" s="1"/>
  <c r="L1778" i="7" s="1"/>
  <c r="L1770" i="7"/>
  <c r="L1771" i="7" s="1"/>
  <c r="L1772" i="7" s="1"/>
  <c r="L1764" i="7"/>
  <c r="L1765" i="7" s="1"/>
  <c r="L1766" i="7" s="1"/>
  <c r="L1759" i="7"/>
  <c r="L1760" i="7" s="1"/>
  <c r="L1758" i="7"/>
  <c r="L1752" i="7"/>
  <c r="L1751" i="7"/>
  <c r="L1750" i="7"/>
  <c r="L1749" i="7"/>
  <c r="L1747" i="7"/>
  <c r="L1746" i="7"/>
  <c r="L1740" i="7"/>
  <c r="L1739" i="7"/>
  <c r="L1736" i="7"/>
  <c r="L1737" i="7" s="1"/>
  <c r="L1729" i="7"/>
  <c r="L1730" i="7" s="1"/>
  <c r="L1723" i="7"/>
  <c r="L1722" i="7"/>
  <c r="L1715" i="7"/>
  <c r="L1714" i="7"/>
  <c r="L1713" i="7"/>
  <c r="L1708" i="7"/>
  <c r="L1709" i="7" s="1"/>
  <c r="L1711" i="7" s="1"/>
  <c r="L1707" i="7"/>
  <c r="L1700" i="7"/>
  <c r="L1699" i="7"/>
  <c r="L1698" i="7"/>
  <c r="L1692" i="7"/>
  <c r="L1691" i="7"/>
  <c r="L1685" i="7"/>
  <c r="L1684" i="7"/>
  <c r="L1681" i="7"/>
  <c r="L1680" i="7"/>
  <c r="L1682" i="7" s="1"/>
  <c r="L1674" i="7"/>
  <c r="L1675" i="7" s="1"/>
  <c r="L1676" i="7" s="1"/>
  <c r="L1678" i="7" s="1"/>
  <c r="L1673" i="7"/>
  <c r="L1667" i="7"/>
  <c r="L1666" i="7"/>
  <c r="L1663" i="7"/>
  <c r="L1662" i="7"/>
  <c r="L1661" i="7"/>
  <c r="L1655" i="7"/>
  <c r="L1656" i="7" s="1"/>
  <c r="L1652" i="7"/>
  <c r="L1651" i="7"/>
  <c r="L1645" i="7"/>
  <c r="L1646" i="7" s="1"/>
  <c r="L1647" i="7" s="1"/>
  <c r="L1639" i="7"/>
  <c r="L1640" i="7" s="1"/>
  <c r="L1637" i="7"/>
  <c r="L1636" i="7"/>
  <c r="L1633" i="7"/>
  <c r="L1632" i="7"/>
  <c r="L1631" i="7"/>
  <c r="L1630" i="7"/>
  <c r="L1629" i="7"/>
  <c r="L1628" i="7"/>
  <c r="L1623" i="7"/>
  <c r="L1622" i="7"/>
  <c r="L1619" i="7"/>
  <c r="L1620" i="7" s="1"/>
  <c r="L1616" i="7"/>
  <c r="L1615" i="7"/>
  <c r="L1614" i="7"/>
  <c r="L1613" i="7"/>
  <c r="L1612" i="7"/>
  <c r="L1611" i="7"/>
  <c r="L1605" i="7"/>
  <c r="L1606" i="7" s="1"/>
  <c r="L1602" i="7"/>
  <c r="L1603" i="7" s="1"/>
  <c r="L1599" i="7"/>
  <c r="L1598" i="7"/>
  <c r="L1597" i="7"/>
  <c r="L1596" i="7"/>
  <c r="L1595" i="7"/>
  <c r="L1594" i="7"/>
  <c r="L1588" i="7"/>
  <c r="L1589" i="7" s="1"/>
  <c r="L1585" i="7"/>
  <c r="L1586" i="7" s="1"/>
  <c r="L1582" i="7"/>
  <c r="L1581" i="7"/>
  <c r="L1580" i="7"/>
  <c r="L1579" i="7"/>
  <c r="L1578" i="7"/>
  <c r="L1577" i="7"/>
  <c r="L1571" i="7"/>
  <c r="L1572" i="7" s="1"/>
  <c r="L1568" i="7"/>
  <c r="L1569" i="7" s="1"/>
  <c r="L1565" i="7"/>
  <c r="L1564" i="7"/>
  <c r="L1563" i="7"/>
  <c r="L1562" i="7"/>
  <c r="L1561" i="7"/>
  <c r="L1560" i="7"/>
  <c r="L1554" i="7"/>
  <c r="L1555" i="7" s="1"/>
  <c r="L1551" i="7"/>
  <c r="L1552" i="7" s="1"/>
  <c r="L1548" i="7"/>
  <c r="L1547" i="7"/>
  <c r="L1546" i="7"/>
  <c r="L1545" i="7"/>
  <c r="L1544" i="7"/>
  <c r="L1543" i="7"/>
  <c r="L1537" i="7"/>
  <c r="L1538" i="7" s="1"/>
  <c r="L1535" i="7"/>
  <c r="L1534" i="7"/>
  <c r="L1531" i="7"/>
  <c r="L1530" i="7"/>
  <c r="L1529" i="7"/>
  <c r="L1528" i="7"/>
  <c r="L1527" i="7"/>
  <c r="L1526" i="7"/>
  <c r="L1520" i="7"/>
  <c r="L1521" i="7" s="1"/>
  <c r="L1517" i="7"/>
  <c r="L1518" i="7" s="1"/>
  <c r="L1514" i="7"/>
  <c r="L1513" i="7"/>
  <c r="L1512" i="7"/>
  <c r="L1511" i="7"/>
  <c r="L1510" i="7"/>
  <c r="L1509" i="7"/>
  <c r="L1503" i="7"/>
  <c r="L1504" i="7" s="1"/>
  <c r="L1501" i="7"/>
  <c r="L1500" i="7"/>
  <c r="L1497" i="7"/>
  <c r="L1496" i="7"/>
  <c r="L1495" i="7"/>
  <c r="L1494" i="7"/>
  <c r="L1493" i="7"/>
  <c r="L1492" i="7"/>
  <c r="L1486" i="7"/>
  <c r="L1487" i="7" s="1"/>
  <c r="L1483" i="7"/>
  <c r="L1484" i="7" s="1"/>
  <c r="L1480" i="7"/>
  <c r="L1479" i="7"/>
  <c r="L1478" i="7"/>
  <c r="L1477" i="7"/>
  <c r="L1476" i="7"/>
  <c r="L1475" i="7"/>
  <c r="L1469" i="7"/>
  <c r="L1470" i="7" s="1"/>
  <c r="L1466" i="7"/>
  <c r="L1465" i="7"/>
  <c r="L1462" i="7"/>
  <c r="L1461" i="7"/>
  <c r="L1463" i="7" s="1"/>
  <c r="L1458" i="7"/>
  <c r="L1459" i="7" s="1"/>
  <c r="L1452" i="7"/>
  <c r="L1453" i="7" s="1"/>
  <c r="L1450" i="7"/>
  <c r="L1449" i="7"/>
  <c r="L1446" i="7"/>
  <c r="L1445" i="7"/>
  <c r="L1444" i="7"/>
  <c r="L1443" i="7"/>
  <c r="L1442" i="7"/>
  <c r="L1441" i="7"/>
  <c r="L1435" i="7"/>
  <c r="L1436" i="7" s="1"/>
  <c r="L1432" i="7"/>
  <c r="L1433" i="7" s="1"/>
  <c r="L1429" i="7"/>
  <c r="L1428" i="7"/>
  <c r="L1427" i="7"/>
  <c r="L1426" i="7"/>
  <c r="L1425" i="7"/>
  <c r="L1424" i="7"/>
  <c r="L1418" i="7"/>
  <c r="L1419" i="7" s="1"/>
  <c r="L1420" i="7" s="1"/>
  <c r="L1412" i="7"/>
  <c r="L1413" i="7" s="1"/>
  <c r="L1414" i="7" s="1"/>
  <c r="L1406" i="7"/>
  <c r="L1407" i="7" s="1"/>
  <c r="L1408" i="7" s="1"/>
  <c r="L1400" i="7"/>
  <c r="L1401" i="7" s="1"/>
  <c r="L1402" i="7" s="1"/>
  <c r="L1394" i="7"/>
  <c r="L1393" i="7"/>
  <c r="L1392" i="7"/>
  <c r="L1391" i="7"/>
  <c r="L1388" i="7"/>
  <c r="L1389" i="7" s="1"/>
  <c r="L1382" i="7"/>
  <c r="L1381" i="7"/>
  <c r="L1379" i="7"/>
  <c r="L1378" i="7"/>
  <c r="L1372" i="7"/>
  <c r="L1373" i="7" s="1"/>
  <c r="L1374" i="7" s="1"/>
  <c r="L1366" i="7"/>
  <c r="L1367" i="7" s="1"/>
  <c r="L1368" i="7" s="1"/>
  <c r="L1360" i="7"/>
  <c r="L1361" i="7" s="1"/>
  <c r="L1362" i="7" s="1"/>
  <c r="L1354" i="7"/>
  <c r="L1353" i="7"/>
  <c r="L1352" i="7"/>
  <c r="L1349" i="7"/>
  <c r="L1350" i="7" s="1"/>
  <c r="L1343" i="7"/>
  <c r="L1342" i="7"/>
  <c r="L1344" i="7" s="1"/>
  <c r="L1339" i="7"/>
  <c r="L1340" i="7" s="1"/>
  <c r="L1333" i="7"/>
  <c r="L1334" i="7" s="1"/>
  <c r="L1330" i="7"/>
  <c r="L1331" i="7" s="1"/>
  <c r="L1327" i="7"/>
  <c r="L1326" i="7"/>
  <c r="L1325" i="7"/>
  <c r="L1324" i="7"/>
  <c r="L1323" i="7"/>
  <c r="L1322" i="7"/>
  <c r="L1316" i="7"/>
  <c r="L1317" i="7" s="1"/>
  <c r="L1313" i="7"/>
  <c r="L1314" i="7" s="1"/>
  <c r="L1310" i="7"/>
  <c r="L1309" i="7"/>
  <c r="L1308" i="7"/>
  <c r="L1307" i="7"/>
  <c r="L1306" i="7"/>
  <c r="L1305" i="7"/>
  <c r="L1299" i="7"/>
  <c r="L1298" i="7"/>
  <c r="L1295" i="7"/>
  <c r="L1294" i="7"/>
  <c r="L1293" i="7"/>
  <c r="L1296" i="7" s="1"/>
  <c r="L1287" i="7"/>
  <c r="L1286" i="7"/>
  <c r="L1283" i="7"/>
  <c r="L1284" i="7" s="1"/>
  <c r="L1277" i="7"/>
  <c r="L1278" i="7" s="1"/>
  <c r="L1279" i="7" s="1"/>
  <c r="L1271" i="7"/>
  <c r="L1270" i="7"/>
  <c r="L1272" i="7" s="1"/>
  <c r="L1273" i="7" s="1"/>
  <c r="L1264" i="7"/>
  <c r="L1263" i="7"/>
  <c r="L1257" i="7"/>
  <c r="L1256" i="7"/>
  <c r="L1250" i="7"/>
  <c r="L1249" i="7"/>
  <c r="L1243" i="7"/>
  <c r="L1242" i="7"/>
  <c r="L1241" i="7"/>
  <c r="L1240" i="7"/>
  <c r="L1239" i="7"/>
  <c r="L1237" i="7"/>
  <c r="L1236" i="7"/>
  <c r="L1230" i="7"/>
  <c r="L1229" i="7"/>
  <c r="L1228" i="7"/>
  <c r="L1231" i="7" s="1"/>
  <c r="L1225" i="7"/>
  <c r="L1226" i="7" s="1"/>
  <c r="L1219" i="7"/>
  <c r="L1220" i="7" s="1"/>
  <c r="L1221" i="7" s="1"/>
  <c r="L1213" i="7"/>
  <c r="L1212" i="7"/>
  <c r="L1206" i="7"/>
  <c r="L1205" i="7"/>
  <c r="L1199" i="7"/>
  <c r="L1198" i="7"/>
  <c r="L1192" i="7"/>
  <c r="L1191" i="7"/>
  <c r="L1193" i="7" s="1"/>
  <c r="L1194" i="7" s="1"/>
  <c r="L1185" i="7"/>
  <c r="L1184" i="7"/>
  <c r="L1183" i="7"/>
  <c r="L1182" i="7"/>
  <c r="L1181" i="7"/>
  <c r="L1178" i="7"/>
  <c r="L1179" i="7" s="1"/>
  <c r="L1172" i="7"/>
  <c r="L1171" i="7"/>
  <c r="L1170" i="7"/>
  <c r="L1167" i="7"/>
  <c r="L1168" i="7" s="1"/>
  <c r="L1161" i="7"/>
  <c r="L1162" i="7" s="1"/>
  <c r="L1163" i="7" s="1"/>
  <c r="L1155" i="7"/>
  <c r="L1156" i="7" s="1"/>
  <c r="L1157" i="7" s="1"/>
  <c r="L1149" i="7"/>
  <c r="L1150" i="7" s="1"/>
  <c r="L1151" i="7" s="1"/>
  <c r="L1144" i="7"/>
  <c r="L1145" i="7" s="1"/>
  <c r="L1143" i="7"/>
  <c r="L1137" i="7"/>
  <c r="L1138" i="7" s="1"/>
  <c r="L1139" i="7" s="1"/>
  <c r="L1131" i="7"/>
  <c r="L1130" i="7"/>
  <c r="L1129" i="7"/>
  <c r="L1128" i="7"/>
  <c r="L1127" i="7"/>
  <c r="L1124" i="7"/>
  <c r="L1125" i="7" s="1"/>
  <c r="L1118" i="7"/>
  <c r="L1117" i="7"/>
  <c r="L1116" i="7"/>
  <c r="L1113" i="7"/>
  <c r="L1114" i="7" s="1"/>
  <c r="L1107" i="7"/>
  <c r="L1106" i="7"/>
  <c r="L1103" i="7"/>
  <c r="L1104" i="7" s="1"/>
  <c r="L1097" i="7"/>
  <c r="L1098" i="7" s="1"/>
  <c r="L1099" i="7" s="1"/>
  <c r="L1096" i="7"/>
  <c r="L1090" i="7"/>
  <c r="L1089" i="7"/>
  <c r="L1086" i="7"/>
  <c r="L1085" i="7"/>
  <c r="L1084" i="7"/>
  <c r="L1083" i="7"/>
  <c r="L1082" i="7"/>
  <c r="L1079" i="7"/>
  <c r="L1078" i="7"/>
  <c r="L1080" i="7" s="1"/>
  <c r="L1068" i="7"/>
  <c r="L1069" i="7" s="1"/>
  <c r="L1070" i="7" s="1"/>
  <c r="L1072" i="7" s="1"/>
  <c r="L1073" i="7" s="1"/>
  <c r="L1074" i="7" s="1"/>
  <c r="L1062" i="7"/>
  <c r="L1061" i="7"/>
  <c r="L1060" i="7"/>
  <c r="L1059" i="7"/>
  <c r="L1058" i="7"/>
  <c r="L1057" i="7"/>
  <c r="L1056" i="7"/>
  <c r="L1055" i="7"/>
  <c r="L1054" i="7"/>
  <c r="L1053" i="7"/>
  <c r="L1052" i="7"/>
  <c r="L1051" i="7"/>
  <c r="L1050" i="7"/>
  <c r="L1049" i="7"/>
  <c r="L1048" i="7"/>
  <c r="L1047" i="7"/>
  <c r="L1046" i="7"/>
  <c r="L1045" i="7"/>
  <c r="L1039" i="7"/>
  <c r="L1038" i="7"/>
  <c r="L1037" i="7"/>
  <c r="L1036" i="7"/>
  <c r="L1035" i="7"/>
  <c r="L1034" i="7"/>
  <c r="L1033" i="7"/>
  <c r="L1032" i="7"/>
  <c r="L1031" i="7"/>
  <c r="L1030" i="7"/>
  <c r="L1029" i="7"/>
  <c r="L1028" i="7"/>
  <c r="L1027" i="7"/>
  <c r="L1026" i="7"/>
  <c r="L1025" i="7"/>
  <c r="L1024" i="7"/>
  <c r="L1023" i="7"/>
  <c r="L1022" i="7"/>
  <c r="L1021" i="7"/>
  <c r="L1020" i="7"/>
  <c r="L1019" i="7"/>
  <c r="L1018" i="7"/>
  <c r="L1017" i="7"/>
  <c r="L1016" i="7"/>
  <c r="L1015" i="7"/>
  <c r="L1009" i="7"/>
  <c r="L1008" i="7"/>
  <c r="L1007" i="7"/>
  <c r="L1006" i="7"/>
  <c r="L1005" i="7"/>
  <c r="L1004" i="7"/>
  <c r="L1003" i="7"/>
  <c r="L1002" i="7"/>
  <c r="L1001" i="7"/>
  <c r="L1000" i="7"/>
  <c r="L999" i="7"/>
  <c r="L998" i="7"/>
  <c r="L997" i="7"/>
  <c r="L996" i="7"/>
  <c r="L995" i="7"/>
  <c r="L994" i="7"/>
  <c r="L993" i="7"/>
  <c r="L992" i="7"/>
  <c r="L991" i="7"/>
  <c r="L990" i="7"/>
  <c r="L984" i="7"/>
  <c r="L983" i="7"/>
  <c r="L982" i="7"/>
  <c r="L981" i="7"/>
  <c r="L980" i="7"/>
  <c r="L979" i="7"/>
  <c r="L978" i="7"/>
  <c r="L977" i="7"/>
  <c r="L976" i="7"/>
  <c r="L975" i="7"/>
  <c r="L974" i="7"/>
  <c r="L973" i="7"/>
  <c r="L972" i="7"/>
  <c r="L971" i="7"/>
  <c r="L970" i="7"/>
  <c r="L969" i="7"/>
  <c r="L968" i="7"/>
  <c r="L967" i="7"/>
  <c r="L966" i="7"/>
  <c r="L965" i="7"/>
  <c r="L964" i="7"/>
  <c r="L963" i="7"/>
  <c r="L962" i="7"/>
  <c r="L961" i="7"/>
  <c r="L960" i="7"/>
  <c r="L954" i="7"/>
  <c r="L953" i="7"/>
  <c r="L952" i="7"/>
  <c r="L951" i="7"/>
  <c r="L950" i="7"/>
  <c r="L949" i="7"/>
  <c r="L948" i="7"/>
  <c r="L947" i="7"/>
  <c r="L946" i="7"/>
  <c r="L945" i="7"/>
  <c r="L944" i="7"/>
  <c r="L943" i="7"/>
  <c r="L942" i="7"/>
  <c r="L941" i="7"/>
  <c r="L940" i="7"/>
  <c r="L939" i="7"/>
  <c r="L938" i="7"/>
  <c r="L937" i="7"/>
  <c r="L936" i="7"/>
  <c r="L935" i="7"/>
  <c r="L929" i="7"/>
  <c r="L928" i="7"/>
  <c r="L927" i="7"/>
  <c r="L926" i="7"/>
  <c r="L925" i="7"/>
  <c r="L924" i="7"/>
  <c r="L923" i="7"/>
  <c r="L922" i="7"/>
  <c r="L921" i="7"/>
  <c r="L920" i="7"/>
  <c r="L919" i="7"/>
  <c r="L918" i="7"/>
  <c r="L917" i="7"/>
  <c r="L916" i="7"/>
  <c r="L915" i="7"/>
  <c r="L914" i="7"/>
  <c r="L913" i="7"/>
  <c r="L912" i="7"/>
  <c r="L911" i="7"/>
  <c r="L910" i="7"/>
  <c r="L904" i="7"/>
  <c r="L903" i="7"/>
  <c r="L902" i="7"/>
  <c r="L901" i="7"/>
  <c r="L900" i="7"/>
  <c r="L899" i="7"/>
  <c r="L898" i="7"/>
  <c r="L897" i="7"/>
  <c r="L896" i="7"/>
  <c r="L895" i="7"/>
  <c r="L894" i="7"/>
  <c r="L893" i="7"/>
  <c r="L892" i="7"/>
  <c r="L891" i="7"/>
  <c r="L890" i="7"/>
  <c r="L889" i="7"/>
  <c r="L888" i="7"/>
  <c r="L887" i="7"/>
  <c r="L886" i="7"/>
  <c r="L885" i="7"/>
  <c r="L878" i="7"/>
  <c r="L879" i="7" s="1"/>
  <c r="L875" i="7"/>
  <c r="L874" i="7"/>
  <c r="L868" i="7"/>
  <c r="L867" i="7"/>
  <c r="L869" i="7" s="1"/>
  <c r="L870" i="7" s="1"/>
  <c r="L872" i="7" s="1"/>
  <c r="L861" i="7"/>
  <c r="L862" i="7" s="1"/>
  <c r="L863" i="7" s="1"/>
  <c r="L855" i="7"/>
  <c r="L856" i="7" s="1"/>
  <c r="L857" i="7" s="1"/>
  <c r="L849" i="7"/>
  <c r="L850" i="7" s="1"/>
  <c r="L851" i="7" s="1"/>
  <c r="L844" i="7"/>
  <c r="L845" i="7" s="1"/>
  <c r="L843" i="7"/>
  <c r="L837" i="7"/>
  <c r="L836" i="7"/>
  <c r="L835" i="7"/>
  <c r="L838" i="7" s="1"/>
  <c r="L834" i="7"/>
  <c r="L831" i="7"/>
  <c r="L832" i="7" s="1"/>
  <c r="L825" i="7"/>
  <c r="L824" i="7"/>
  <c r="L821" i="7"/>
  <c r="L822" i="7" s="1"/>
  <c r="L816" i="7"/>
  <c r="L817" i="7" s="1"/>
  <c r="L815" i="7"/>
  <c r="L809" i="7"/>
  <c r="L810" i="7" s="1"/>
  <c r="L811" i="7" s="1"/>
  <c r="L803" i="7"/>
  <c r="L804" i="7" s="1"/>
  <c r="L805" i="7" s="1"/>
  <c r="L797" i="7"/>
  <c r="L798" i="7" s="1"/>
  <c r="L799" i="7" s="1"/>
  <c r="L791" i="7"/>
  <c r="L790" i="7"/>
  <c r="L789" i="7"/>
  <c r="L788" i="7"/>
  <c r="L785" i="7"/>
  <c r="L786" i="7" s="1"/>
  <c r="L779" i="7"/>
  <c r="L778" i="7"/>
  <c r="L775" i="7"/>
  <c r="L776" i="7" s="1"/>
  <c r="L768" i="7"/>
  <c r="L769" i="7" s="1"/>
  <c r="L770" i="7" s="1"/>
  <c r="L771" i="7" s="1"/>
  <c r="L762" i="7"/>
  <c r="L763" i="7" s="1"/>
  <c r="L759" i="7"/>
  <c r="L760" i="7" s="1"/>
  <c r="L756" i="7"/>
  <c r="L755" i="7"/>
  <c r="L754" i="7"/>
  <c r="L753" i="7"/>
  <c r="L752" i="7"/>
  <c r="L751" i="7"/>
  <c r="L745" i="7"/>
  <c r="L744" i="7"/>
  <c r="L746" i="7" s="1"/>
  <c r="L742" i="7"/>
  <c r="L741" i="7"/>
  <c r="L735" i="7"/>
  <c r="L734" i="7"/>
  <c r="L731" i="7"/>
  <c r="L732" i="7" s="1"/>
  <c r="L725" i="7"/>
  <c r="L726" i="7" s="1"/>
  <c r="L722" i="7"/>
  <c r="L723" i="7" s="1"/>
  <c r="L719" i="7"/>
  <c r="L718" i="7"/>
  <c r="L717" i="7"/>
  <c r="L716" i="7"/>
  <c r="L715" i="7"/>
  <c r="L714" i="7"/>
  <c r="L704" i="7"/>
  <c r="L703" i="7"/>
  <c r="L697" i="7"/>
  <c r="L696" i="7"/>
  <c r="L693" i="7"/>
  <c r="L692" i="7"/>
  <c r="L686" i="7"/>
  <c r="L681" i="7"/>
  <c r="L682" i="7" s="1"/>
  <c r="L683" i="7" s="1"/>
  <c r="L685" i="7" s="1"/>
  <c r="L687" i="7" s="1"/>
  <c r="L688" i="7" s="1"/>
  <c r="L674" i="7"/>
  <c r="L669" i="7"/>
  <c r="L670" i="7" s="1"/>
  <c r="L671" i="7" s="1"/>
  <c r="L673" i="7" s="1"/>
  <c r="L662" i="7"/>
  <c r="L663" i="7" s="1"/>
  <c r="L664" i="7" s="1"/>
  <c r="L652" i="7"/>
  <c r="L653" i="7" s="1"/>
  <c r="L654" i="7" s="1"/>
  <c r="L656" i="7" s="1"/>
  <c r="L657" i="7" s="1"/>
  <c r="L658" i="7" s="1"/>
  <c r="L646" i="7"/>
  <c r="L647" i="7" s="1"/>
  <c r="L648" i="7" s="1"/>
  <c r="L641" i="7"/>
  <c r="L642" i="7" s="1"/>
  <c r="L640" i="7"/>
  <c r="L634" i="7"/>
  <c r="L635" i="7" s="1"/>
  <c r="L636" i="7" s="1"/>
  <c r="L628" i="7"/>
  <c r="L629" i="7" s="1"/>
  <c r="L630" i="7" s="1"/>
  <c r="L622" i="7"/>
  <c r="L623" i="7" s="1"/>
  <c r="L624" i="7" s="1"/>
  <c r="L616" i="7"/>
  <c r="L617" i="7" s="1"/>
  <c r="L618" i="7" s="1"/>
  <c r="L610" i="7"/>
  <c r="L611" i="7" s="1"/>
  <c r="L612" i="7" s="1"/>
  <c r="L604" i="7"/>
  <c r="L605" i="7" s="1"/>
  <c r="L606" i="7" s="1"/>
  <c r="L598" i="7"/>
  <c r="L599" i="7" s="1"/>
  <c r="L600" i="7" s="1"/>
  <c r="L592" i="7"/>
  <c r="L593" i="7" s="1"/>
  <c r="L594" i="7" s="1"/>
  <c r="L587" i="7"/>
  <c r="L588" i="7" s="1"/>
  <c r="L586" i="7"/>
  <c r="L581" i="7"/>
  <c r="L582" i="7" s="1"/>
  <c r="L580" i="7"/>
  <c r="L574" i="7"/>
  <c r="L575" i="7" s="1"/>
  <c r="L576" i="7" s="1"/>
  <c r="L568" i="7"/>
  <c r="L569" i="7" s="1"/>
  <c r="L570" i="7" s="1"/>
  <c r="L562" i="7"/>
  <c r="L563" i="7" s="1"/>
  <c r="L564" i="7" s="1"/>
  <c r="L556" i="7"/>
  <c r="L557" i="7" s="1"/>
  <c r="L558" i="7" s="1"/>
  <c r="L550" i="7"/>
  <c r="L551" i="7" s="1"/>
  <c r="L552" i="7" s="1"/>
  <c r="L544" i="7"/>
  <c r="L545" i="7" s="1"/>
  <c r="L546" i="7" s="1"/>
  <c r="L538" i="7"/>
  <c r="L539" i="7" s="1"/>
  <c r="L540" i="7" s="1"/>
  <c r="L533" i="7"/>
  <c r="L534" i="7" s="1"/>
  <c r="L532" i="7"/>
  <c r="L526" i="7"/>
  <c r="L527" i="7" s="1"/>
  <c r="L528" i="7" s="1"/>
  <c r="L520" i="7"/>
  <c r="L521" i="7" s="1"/>
  <c r="L522" i="7" s="1"/>
  <c r="L514" i="7"/>
  <c r="L515" i="7" s="1"/>
  <c r="L516" i="7" s="1"/>
  <c r="L508" i="7"/>
  <c r="L509" i="7" s="1"/>
  <c r="L510" i="7" s="1"/>
  <c r="L503" i="7"/>
  <c r="L504" i="7" s="1"/>
  <c r="L502" i="7"/>
  <c r="L496" i="7"/>
  <c r="L495" i="7"/>
  <c r="L497" i="7" s="1"/>
  <c r="L492" i="7"/>
  <c r="L493" i="7" s="1"/>
  <c r="L486" i="7"/>
  <c r="L485" i="7"/>
  <c r="L482" i="7"/>
  <c r="L483" i="7" s="1"/>
  <c r="L476" i="7"/>
  <c r="L475" i="7"/>
  <c r="L472" i="7"/>
  <c r="L473" i="7" s="1"/>
  <c r="L466" i="7"/>
  <c r="L465" i="7"/>
  <c r="L462" i="7"/>
  <c r="L463" i="7" s="1"/>
  <c r="L456" i="7"/>
  <c r="L455" i="7"/>
  <c r="L457" i="7" s="1"/>
  <c r="L453" i="7"/>
  <c r="L452" i="7"/>
  <c r="L446" i="7"/>
  <c r="L445" i="7"/>
  <c r="L447" i="7" s="1"/>
  <c r="L442" i="7"/>
  <c r="L441" i="7"/>
  <c r="L440" i="7"/>
  <c r="L437" i="7"/>
  <c r="L436" i="7"/>
  <c r="L430" i="7"/>
  <c r="L429" i="7"/>
  <c r="L428" i="7"/>
  <c r="L431" i="7" s="1"/>
  <c r="L425" i="7"/>
  <c r="L426" i="7" s="1"/>
  <c r="L422" i="7"/>
  <c r="L421" i="7"/>
  <c r="L416" i="7"/>
  <c r="L417" i="7" s="1"/>
  <c r="L415" i="7"/>
  <c r="L410" i="7"/>
  <c r="L411" i="7" s="1"/>
  <c r="L409" i="7"/>
  <c r="L403" i="7"/>
  <c r="L404" i="7" s="1"/>
  <c r="L405" i="7" s="1"/>
  <c r="L397" i="7"/>
  <c r="L398" i="7" s="1"/>
  <c r="L399" i="7" s="1"/>
  <c r="L391" i="7"/>
  <c r="L390" i="7"/>
  <c r="L389" i="7"/>
  <c r="L388" i="7"/>
  <c r="L383" i="7"/>
  <c r="L384" i="7" s="1"/>
  <c r="L382" i="7"/>
  <c r="L381" i="7"/>
  <c r="L375" i="7"/>
  <c r="L376" i="7" s="1"/>
  <c r="L377" i="7" s="1"/>
  <c r="L369" i="7"/>
  <c r="L370" i="7" s="1"/>
  <c r="L371" i="7" s="1"/>
  <c r="L363" i="7"/>
  <c r="L364" i="7" s="1"/>
  <c r="L365" i="7" s="1"/>
  <c r="L357" i="7"/>
  <c r="L358" i="7" s="1"/>
  <c r="L359" i="7" s="1"/>
  <c r="L351" i="7"/>
  <c r="L350" i="7"/>
  <c r="L349" i="7"/>
  <c r="L348" i="7"/>
  <c r="L345" i="7"/>
  <c r="L346" i="7" s="1"/>
  <c r="L340" i="7"/>
  <c r="L339" i="7"/>
  <c r="L336" i="7"/>
  <c r="L337" i="7" s="1"/>
  <c r="L333" i="7"/>
  <c r="L332" i="7"/>
  <c r="L331" i="7"/>
  <c r="L330" i="7"/>
  <c r="L329" i="7"/>
  <c r="L328" i="7"/>
  <c r="L322" i="7"/>
  <c r="L323" i="7" s="1"/>
  <c r="L324" i="7" s="1"/>
  <c r="L316" i="7"/>
  <c r="L315" i="7"/>
  <c r="L309" i="7"/>
  <c r="L308" i="7"/>
  <c r="L302" i="7"/>
  <c r="L301" i="7"/>
  <c r="L295" i="7"/>
  <c r="L294" i="7"/>
  <c r="L288" i="7"/>
  <c r="L287" i="7"/>
  <c r="L286" i="7"/>
  <c r="L285" i="7"/>
  <c r="L284" i="7"/>
  <c r="L281" i="7"/>
  <c r="L282" i="7" s="1"/>
  <c r="L275" i="7"/>
  <c r="L274" i="7"/>
  <c r="L273" i="7"/>
  <c r="L270" i="7"/>
  <c r="L271" i="7" s="1"/>
  <c r="L264" i="7"/>
  <c r="L263" i="7"/>
  <c r="L260" i="7"/>
  <c r="L259" i="7"/>
  <c r="L253" i="7"/>
  <c r="L252" i="7"/>
  <c r="L254" i="7" s="1"/>
  <c r="L249" i="7"/>
  <c r="L248" i="7"/>
  <c r="L247" i="7"/>
  <c r="L246" i="7"/>
  <c r="L245" i="7"/>
  <c r="L239" i="7"/>
  <c r="L240" i="7" s="1"/>
  <c r="L241" i="7" s="1"/>
  <c r="L233" i="7"/>
  <c r="L234" i="7" s="1"/>
  <c r="L235" i="7" s="1"/>
  <c r="L227" i="7"/>
  <c r="L228" i="7" s="1"/>
  <c r="L229" i="7" s="1"/>
  <c r="L221" i="7"/>
  <c r="L222" i="7" s="1"/>
  <c r="L223" i="7" s="1"/>
  <c r="L215" i="7"/>
  <c r="L214" i="7"/>
  <c r="L213" i="7"/>
  <c r="L212" i="7"/>
  <c r="L206" i="7"/>
  <c r="L205" i="7"/>
  <c r="L199" i="7"/>
  <c r="L200" i="7" s="1"/>
  <c r="L196" i="7"/>
  <c r="L197" i="7" s="1"/>
  <c r="L193" i="7"/>
  <c r="L194" i="7" s="1"/>
  <c r="L187" i="7"/>
  <c r="L188" i="7" s="1"/>
  <c r="L184" i="7"/>
  <c r="L183" i="7"/>
  <c r="L180" i="7"/>
  <c r="L181" i="7" s="1"/>
  <c r="L174" i="7"/>
  <c r="L175" i="7" s="1"/>
  <c r="L171" i="7"/>
  <c r="L172" i="7" s="1"/>
  <c r="L168" i="7"/>
  <c r="L167" i="7"/>
  <c r="L166" i="7"/>
  <c r="L165" i="7"/>
  <c r="L164" i="7"/>
  <c r="L163" i="7"/>
  <c r="L169" i="7" s="1"/>
  <c r="L176" i="7" s="1"/>
  <c r="L157" i="7"/>
  <c r="L158" i="7" s="1"/>
  <c r="L154" i="7"/>
  <c r="L155" i="7" s="1"/>
  <c r="L151" i="7"/>
  <c r="L150" i="7"/>
  <c r="L149" i="7"/>
  <c r="L148" i="7"/>
  <c r="L147" i="7"/>
  <c r="L146" i="7"/>
  <c r="L152" i="7" s="1"/>
  <c r="L140" i="7"/>
  <c r="L141" i="7" s="1"/>
  <c r="L137" i="7"/>
  <c r="L138" i="7" s="1"/>
  <c r="L134" i="7"/>
  <c r="L133" i="7"/>
  <c r="L132" i="7"/>
  <c r="L131" i="7"/>
  <c r="L130" i="7"/>
  <c r="L129" i="7"/>
  <c r="L123" i="7"/>
  <c r="L124" i="7" s="1"/>
  <c r="L120" i="7"/>
  <c r="L119" i="7"/>
  <c r="L121" i="7" s="1"/>
  <c r="L116" i="7"/>
  <c r="L115" i="7"/>
  <c r="L109" i="7"/>
  <c r="L110" i="7" s="1"/>
  <c r="L106" i="7"/>
  <c r="L105" i="7"/>
  <c r="L102" i="7"/>
  <c r="L101" i="7"/>
  <c r="L95" i="7"/>
  <c r="L96" i="7" s="1"/>
  <c r="L92" i="7"/>
  <c r="L91" i="7"/>
  <c r="L93" i="7" s="1"/>
  <c r="L88" i="7"/>
  <c r="L89" i="7" s="1"/>
  <c r="L87" i="7"/>
  <c r="L81" i="7"/>
  <c r="L82" i="7" s="1"/>
  <c r="L78" i="7"/>
  <c r="L79" i="7" s="1"/>
  <c r="L75" i="7"/>
  <c r="L74" i="7"/>
  <c r="L73" i="7"/>
  <c r="L72" i="7"/>
  <c r="L71" i="7"/>
  <c r="L70" i="7"/>
  <c r="L64" i="7"/>
  <c r="L65" i="7" s="1"/>
  <c r="L61" i="7"/>
  <c r="L60" i="7"/>
  <c r="L59" i="7"/>
  <c r="L53" i="7"/>
  <c r="L54" i="7" s="1"/>
  <c r="L51" i="7"/>
  <c r="L50" i="7"/>
  <c r="L47" i="7"/>
  <c r="L46" i="7"/>
  <c r="L45" i="7"/>
  <c r="L44" i="7"/>
  <c r="L43" i="7"/>
  <c r="L42" i="7"/>
  <c r="L37" i="7"/>
  <c r="L36" i="7"/>
  <c r="L33" i="7"/>
  <c r="L34" i="7" s="1"/>
  <c r="L30" i="7"/>
  <c r="L29" i="7"/>
  <c r="L28" i="7"/>
  <c r="L27" i="7"/>
  <c r="L26" i="7"/>
  <c r="L25" i="7"/>
  <c r="L19" i="7"/>
  <c r="L20" i="7" s="1"/>
  <c r="L16" i="7"/>
  <c r="L17" i="7" s="1"/>
  <c r="L13" i="7"/>
  <c r="L12" i="7"/>
  <c r="L11" i="7"/>
  <c r="L10" i="7"/>
  <c r="L9" i="7"/>
  <c r="L8" i="7"/>
  <c r="B749" i="6"/>
  <c r="J747" i="6" s="1"/>
  <c r="H718" i="6"/>
  <c r="H717" i="6"/>
  <c r="H714" i="6"/>
  <c r="H715" i="6" s="1"/>
  <c r="H707" i="6"/>
  <c r="H708" i="6" s="1"/>
  <c r="H704" i="6"/>
  <c r="H703" i="6"/>
  <c r="H702" i="6"/>
  <c r="H701" i="6"/>
  <c r="H700" i="6"/>
  <c r="H699" i="6"/>
  <c r="H698" i="6"/>
  <c r="H692" i="6"/>
  <c r="H691" i="6"/>
  <c r="H690" i="6"/>
  <c r="H684" i="6"/>
  <c r="H685" i="6" s="1"/>
  <c r="H681" i="6"/>
  <c r="H682" i="6" s="1"/>
  <c r="H678" i="6"/>
  <c r="H679" i="6" s="1"/>
  <c r="H672" i="6"/>
  <c r="H671" i="6"/>
  <c r="H668" i="6"/>
  <c r="H669" i="6" s="1"/>
  <c r="H662" i="6"/>
  <c r="H661" i="6"/>
  <c r="H658" i="6"/>
  <c r="H657" i="6"/>
  <c r="H651" i="6"/>
  <c r="H650" i="6"/>
  <c r="H647" i="6"/>
  <c r="H648" i="6" s="1"/>
  <c r="H641" i="6"/>
  <c r="H640" i="6"/>
  <c r="H637" i="6"/>
  <c r="H636" i="6"/>
  <c r="H629" i="6"/>
  <c r="H628" i="6"/>
  <c r="H630" i="6" s="1"/>
  <c r="H625" i="6"/>
  <c r="H624" i="6"/>
  <c r="H617" i="6"/>
  <c r="H616" i="6"/>
  <c r="H614" i="6"/>
  <c r="H613" i="6"/>
  <c r="H606" i="6"/>
  <c r="H605" i="6"/>
  <c r="H602" i="6"/>
  <c r="H603" i="6" s="1"/>
  <c r="H596" i="6"/>
  <c r="H597" i="6" s="1"/>
  <c r="H593" i="6"/>
  <c r="H594" i="6" s="1"/>
  <c r="H590" i="6"/>
  <c r="H591" i="6" s="1"/>
  <c r="H583" i="6"/>
  <c r="H584" i="6" s="1"/>
  <c r="H577" i="6"/>
  <c r="H576" i="6"/>
  <c r="H569" i="6"/>
  <c r="H568" i="6"/>
  <c r="H565" i="6"/>
  <c r="H564" i="6"/>
  <c r="H566" i="6" s="1"/>
  <c r="H558" i="6"/>
  <c r="H557" i="6"/>
  <c r="H554" i="6"/>
  <c r="H555" i="6" s="1"/>
  <c r="H548" i="6"/>
  <c r="H549" i="6" s="1"/>
  <c r="H545" i="6"/>
  <c r="H544" i="6"/>
  <c r="H541" i="6"/>
  <c r="H542" i="6" s="1"/>
  <c r="H534" i="6"/>
  <c r="H535" i="6" s="1"/>
  <c r="H528" i="6"/>
  <c r="H527" i="6"/>
  <c r="H520" i="6"/>
  <c r="H521" i="6" s="1"/>
  <c r="H514" i="6"/>
  <c r="H513" i="6"/>
  <c r="H507" i="6"/>
  <c r="H506" i="6"/>
  <c r="H505" i="6"/>
  <c r="H502" i="6"/>
  <c r="H501" i="6"/>
  <c r="H500" i="6"/>
  <c r="H499" i="6"/>
  <c r="H496" i="6"/>
  <c r="H497" i="6" s="1"/>
  <c r="H489" i="6"/>
  <c r="H490" i="6" s="1"/>
  <c r="H486" i="6"/>
  <c r="H487" i="6" s="1"/>
  <c r="H483" i="6"/>
  <c r="H482" i="6"/>
  <c r="H479" i="6"/>
  <c r="H480" i="6" s="1"/>
  <c r="H472" i="6"/>
  <c r="H473" i="6" s="1"/>
  <c r="H469" i="6"/>
  <c r="H468" i="6"/>
  <c r="H465" i="6"/>
  <c r="H464" i="6"/>
  <c r="H461" i="6"/>
  <c r="H460" i="6"/>
  <c r="H454" i="6"/>
  <c r="H455" i="6" s="1"/>
  <c r="H451" i="6"/>
  <c r="H450" i="6"/>
  <c r="H449" i="6"/>
  <c r="H446" i="6"/>
  <c r="H445" i="6"/>
  <c r="H442" i="6"/>
  <c r="H443" i="6" s="1"/>
  <c r="H436" i="6"/>
  <c r="H435" i="6"/>
  <c r="H432" i="6"/>
  <c r="H431" i="6"/>
  <c r="H430" i="6"/>
  <c r="H429" i="6"/>
  <c r="H428" i="6"/>
  <c r="H427" i="6"/>
  <c r="H426" i="6"/>
  <c r="H423" i="6"/>
  <c r="H424" i="6" s="1"/>
  <c r="H416" i="6"/>
  <c r="H415" i="6"/>
  <c r="H409" i="6"/>
  <c r="H408" i="6"/>
  <c r="H402" i="6"/>
  <c r="H403" i="6" s="1"/>
  <c r="H399" i="6"/>
  <c r="H398" i="6"/>
  <c r="H397" i="6"/>
  <c r="H396" i="6"/>
  <c r="H389" i="6"/>
  <c r="H390" i="6" s="1"/>
  <c r="H386" i="6"/>
  <c r="H385" i="6"/>
  <c r="H387" i="6" s="1"/>
  <c r="H382" i="6"/>
  <c r="H381" i="6"/>
  <c r="H380" i="6"/>
  <c r="H379" i="6"/>
  <c r="H373" i="6"/>
  <c r="H372" i="6"/>
  <c r="H369" i="6"/>
  <c r="H370" i="6" s="1"/>
  <c r="H366" i="6"/>
  <c r="H365" i="6"/>
  <c r="H357" i="6"/>
  <c r="H356" i="6"/>
  <c r="H355" i="6"/>
  <c r="H354" i="6"/>
  <c r="H353" i="6"/>
  <c r="H347" i="6"/>
  <c r="H346" i="6"/>
  <c r="H338" i="6"/>
  <c r="H337" i="6"/>
  <c r="H334" i="6"/>
  <c r="H333" i="6"/>
  <c r="H327" i="6"/>
  <c r="H328" i="6" s="1"/>
  <c r="H329" i="6" s="1"/>
  <c r="H331" i="6" s="1"/>
  <c r="H340" i="6" s="1"/>
  <c r="H321" i="6"/>
  <c r="H320" i="6"/>
  <c r="H317" i="6"/>
  <c r="H316" i="6"/>
  <c r="H315" i="6"/>
  <c r="H314" i="6"/>
  <c r="H308" i="6"/>
  <c r="H309" i="6" s="1"/>
  <c r="H305" i="6"/>
  <c r="H304" i="6"/>
  <c r="H301" i="6"/>
  <c r="H302" i="6" s="1"/>
  <c r="H295" i="6"/>
  <c r="H296" i="6" s="1"/>
  <c r="H292" i="6"/>
  <c r="H291" i="6"/>
  <c r="H288" i="6"/>
  <c r="H289" i="6" s="1"/>
  <c r="H281" i="6"/>
  <c r="H280" i="6"/>
  <c r="H277" i="6"/>
  <c r="H276" i="6"/>
  <c r="H275" i="6"/>
  <c r="H272" i="6"/>
  <c r="H271" i="6"/>
  <c r="H264" i="6"/>
  <c r="H265" i="6" s="1"/>
  <c r="H261" i="6"/>
  <c r="H260" i="6"/>
  <c r="H257" i="6"/>
  <c r="H258" i="6" s="1"/>
  <c r="H250" i="6"/>
  <c r="H249" i="6"/>
  <c r="H243" i="6"/>
  <c r="H242" i="6"/>
  <c r="H235" i="6"/>
  <c r="H234" i="6"/>
  <c r="H231" i="6"/>
  <c r="H230" i="6"/>
  <c r="H227" i="6"/>
  <c r="H226" i="6"/>
  <c r="H225" i="6"/>
  <c r="H219" i="6"/>
  <c r="H218" i="6"/>
  <c r="H215" i="6"/>
  <c r="H214" i="6"/>
  <c r="H213" i="6"/>
  <c r="H207" i="6"/>
  <c r="H206" i="6"/>
  <c r="H203" i="6"/>
  <c r="H204" i="6" s="1"/>
  <c r="H200" i="6"/>
  <c r="H201" i="6" s="1"/>
  <c r="H194" i="6"/>
  <c r="H195" i="6" s="1"/>
  <c r="H191" i="6"/>
  <c r="H192" i="6" s="1"/>
  <c r="H188" i="6"/>
  <c r="H187" i="6"/>
  <c r="H181" i="6"/>
  <c r="H180" i="6"/>
  <c r="H177" i="6"/>
  <c r="H176" i="6"/>
  <c r="H175" i="6"/>
  <c r="H174" i="6"/>
  <c r="H168" i="6"/>
  <c r="H167" i="6"/>
  <c r="H164" i="6"/>
  <c r="H163" i="6"/>
  <c r="H162" i="6"/>
  <c r="H161" i="6"/>
  <c r="H155" i="6"/>
  <c r="H154" i="6"/>
  <c r="H153" i="6"/>
  <c r="H150" i="6"/>
  <c r="H149" i="6"/>
  <c r="H148" i="6"/>
  <c r="H147" i="6"/>
  <c r="H146" i="6"/>
  <c r="H145" i="6"/>
  <c r="H142" i="6"/>
  <c r="H141" i="6"/>
  <c r="H135" i="6"/>
  <c r="H134" i="6"/>
  <c r="H128" i="6"/>
  <c r="H129" i="6" s="1"/>
  <c r="H125" i="6"/>
  <c r="H124" i="6"/>
  <c r="H121" i="6"/>
  <c r="H120" i="6"/>
  <c r="H119" i="6"/>
  <c r="H112" i="6"/>
  <c r="H113" i="6" s="1"/>
  <c r="H109" i="6"/>
  <c r="H110" i="6" s="1"/>
  <c r="H108" i="6"/>
  <c r="H105" i="6"/>
  <c r="H104" i="6"/>
  <c r="H103" i="6"/>
  <c r="H102" i="6"/>
  <c r="H96" i="6"/>
  <c r="H95" i="6"/>
  <c r="H97" i="6" s="1"/>
  <c r="H92" i="6"/>
  <c r="H93" i="6" s="1"/>
  <c r="H86" i="6"/>
  <c r="H85" i="6"/>
  <c r="H82" i="6"/>
  <c r="H81" i="6"/>
  <c r="H74" i="6"/>
  <c r="H73" i="6"/>
  <c r="H72" i="6"/>
  <c r="H66" i="6"/>
  <c r="H65" i="6"/>
  <c r="H59" i="6"/>
  <c r="H58" i="6"/>
  <c r="H60" i="6" s="1"/>
  <c r="H55" i="6"/>
  <c r="H54" i="6"/>
  <c r="H53" i="6"/>
  <c r="H52" i="6"/>
  <c r="H51" i="6"/>
  <c r="H50" i="6"/>
  <c r="H49" i="6"/>
  <c r="H48" i="6"/>
  <c r="H41" i="6"/>
  <c r="H40" i="6"/>
  <c r="H34" i="6"/>
  <c r="H33" i="6"/>
  <c r="H23" i="6"/>
  <c r="H22" i="6"/>
  <c r="H16" i="6"/>
  <c r="H15" i="6"/>
  <c r="H17" i="6" s="1"/>
  <c r="H12" i="6"/>
  <c r="H11" i="6"/>
  <c r="H10" i="6"/>
  <c r="H9" i="6"/>
  <c r="H8" i="6"/>
  <c r="G61" i="5"/>
  <c r="G59" i="5"/>
  <c r="G58" i="5"/>
  <c r="G57" i="5"/>
  <c r="G56" i="5"/>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G9" i="5"/>
  <c r="G8" i="5"/>
  <c r="G7" i="5"/>
  <c r="D3146" i="4"/>
  <c r="D3148" i="4" s="1"/>
  <c r="D3150" i="4" s="1"/>
  <c r="D3137" i="4"/>
  <c r="D3139" i="4" s="1"/>
  <c r="D3132" i="4"/>
  <c r="D3134" i="4" s="1"/>
  <c r="D3122" i="4"/>
  <c r="D3121" i="4"/>
  <c r="D3113" i="4"/>
  <c r="D3112" i="4"/>
  <c r="D3114" i="4" s="1"/>
  <c r="D3116" i="4" s="1"/>
  <c r="D3104" i="4"/>
  <c r="D3103" i="4"/>
  <c r="D3095" i="4"/>
  <c r="D3096" i="4" s="1"/>
  <c r="D3098" i="4" s="1"/>
  <c r="D3087" i="4"/>
  <c r="D3088" i="4" s="1"/>
  <c r="D3082" i="4"/>
  <c r="D3084" i="4" s="1"/>
  <c r="D3077" i="4"/>
  <c r="D3079" i="4" s="1"/>
  <c r="G3066" i="4"/>
  <c r="G3068" i="4" s="1"/>
  <c r="D3070" i="4" s="1"/>
  <c r="F3057" i="4"/>
  <c r="F3059" i="4" s="1"/>
  <c r="D3061" i="4" s="1"/>
  <c r="D3049" i="4"/>
  <c r="D3051" i="4" s="1"/>
  <c r="D3053" i="4" s="1"/>
  <c r="E3042" i="4"/>
  <c r="E3043" i="4" s="1"/>
  <c r="D3045" i="4" s="1"/>
  <c r="D3033" i="4"/>
  <c r="D3031" i="4"/>
  <c r="D3022" i="4"/>
  <c r="D3024" i="4" s="1"/>
  <c r="D3017" i="4"/>
  <c r="D3019" i="4" s="1"/>
  <c r="D3009" i="4"/>
  <c r="D3008" i="4"/>
  <c r="D3007" i="4"/>
  <c r="D3006" i="4"/>
  <c r="D3002" i="4"/>
  <c r="D3001" i="4"/>
  <c r="D3000" i="4"/>
  <c r="D2999" i="4"/>
  <c r="D2998" i="4"/>
  <c r="D2997" i="4"/>
  <c r="D2988" i="4"/>
  <c r="D2987" i="4"/>
  <c r="D2986" i="4"/>
  <c r="D2985" i="4"/>
  <c r="D2984" i="4"/>
  <c r="D2979" i="4"/>
  <c r="D2978" i="4"/>
  <c r="D2977" i="4"/>
  <c r="D2976" i="4"/>
  <c r="D2975" i="4"/>
  <c r="D2974" i="4"/>
  <c r="D2973" i="4"/>
  <c r="F2965" i="4"/>
  <c r="F2964" i="4"/>
  <c r="F2963" i="4"/>
  <c r="F2959" i="4"/>
  <c r="F2958" i="4"/>
  <c r="F2957" i="4"/>
  <c r="F2956" i="4"/>
  <c r="F2955" i="4"/>
  <c r="F2954" i="4"/>
  <c r="F2953" i="4"/>
  <c r="F2952" i="4"/>
  <c r="F2951" i="4"/>
  <c r="F2950" i="4"/>
  <c r="D2942" i="4"/>
  <c r="D2941" i="4"/>
  <c r="D2940" i="4"/>
  <c r="D2936" i="4"/>
  <c r="D2935" i="4"/>
  <c r="D2934" i="4"/>
  <c r="D2933" i="4"/>
  <c r="D2932" i="4"/>
  <c r="D2931" i="4"/>
  <c r="D2930" i="4"/>
  <c r="D2929" i="4"/>
  <c r="D2928" i="4"/>
  <c r="D2927" i="4"/>
  <c r="E2918" i="4"/>
  <c r="E2917" i="4"/>
  <c r="E2916" i="4"/>
  <c r="E2915" i="4"/>
  <c r="E2914" i="4"/>
  <c r="E2909" i="4"/>
  <c r="E2908" i="4"/>
  <c r="E2907" i="4"/>
  <c r="E2906" i="4"/>
  <c r="E2905" i="4"/>
  <c r="E2904" i="4"/>
  <c r="E2903" i="4"/>
  <c r="D2894" i="4"/>
  <c r="D2893" i="4"/>
  <c r="D2892" i="4"/>
  <c r="D2891" i="4"/>
  <c r="D2890" i="4"/>
  <c r="D2885" i="4"/>
  <c r="D2884" i="4"/>
  <c r="D2883" i="4"/>
  <c r="D2882" i="4"/>
  <c r="D2881" i="4"/>
  <c r="D2880" i="4"/>
  <c r="D2879" i="4"/>
  <c r="D2842" i="4"/>
  <c r="D2843" i="4" s="1"/>
  <c r="D2845" i="4" s="1"/>
  <c r="D2834" i="4"/>
  <c r="D2835" i="4" s="1"/>
  <c r="D2837" i="4" s="1"/>
  <c r="D2826" i="4"/>
  <c r="D2827" i="4" s="1"/>
  <c r="D2829" i="4" s="1"/>
  <c r="D2818" i="4"/>
  <c r="D2819" i="4" s="1"/>
  <c r="D2821" i="4" s="1"/>
  <c r="D2744" i="4"/>
  <c r="D2745" i="4" s="1"/>
  <c r="D2747" i="4" s="1"/>
  <c r="D2737" i="4"/>
  <c r="D2738" i="4" s="1"/>
  <c r="D2740" i="4" s="1"/>
  <c r="D2729" i="4"/>
  <c r="D2731" i="4" s="1"/>
  <c r="D2733" i="4" s="1"/>
  <c r="D2722" i="4"/>
  <c r="D2723" i="4" s="1"/>
  <c r="D2725" i="4" s="1"/>
  <c r="D2715" i="4"/>
  <c r="D2716" i="4" s="1"/>
  <c r="D2718" i="4" s="1"/>
  <c r="D2628" i="4"/>
  <c r="D2629" i="4" s="1"/>
  <c r="D2631" i="4" s="1"/>
  <c r="D2621" i="4"/>
  <c r="D2622" i="4" s="1"/>
  <c r="D2624" i="4" s="1"/>
  <c r="D2613" i="4"/>
  <c r="D2615" i="4" s="1"/>
  <c r="D2617" i="4" s="1"/>
  <c r="D2606" i="4"/>
  <c r="D2607" i="4" s="1"/>
  <c r="D2609" i="4" s="1"/>
  <c r="D2599" i="4"/>
  <c r="D2600" i="4" s="1"/>
  <c r="D2602" i="4" s="1"/>
  <c r="D2592" i="4"/>
  <c r="D2593" i="4" s="1"/>
  <c r="D2595" i="4" s="1"/>
  <c r="D2585" i="4"/>
  <c r="D2586" i="4" s="1"/>
  <c r="D2588" i="4" s="1"/>
  <c r="D2540" i="4"/>
  <c r="D2541" i="4" s="1"/>
  <c r="D2543" i="4" s="1"/>
  <c r="D2533" i="4"/>
  <c r="D2534" i="4" s="1"/>
  <c r="D2536" i="4" s="1"/>
  <c r="D2526" i="4"/>
  <c r="D2527" i="4" s="1"/>
  <c r="D2529" i="4" s="1"/>
  <c r="D2519" i="4"/>
  <c r="D2520" i="4" s="1"/>
  <c r="D2522" i="4" s="1"/>
  <c r="D2512" i="4"/>
  <c r="D2513" i="4" s="1"/>
  <c r="D2515" i="4" s="1"/>
  <c r="F2411" i="4"/>
  <c r="F2413" i="4" s="1"/>
  <c r="D2415" i="4" s="1"/>
  <c r="F2404" i="4"/>
  <c r="F2405" i="4" s="1"/>
  <c r="D2407" i="4" s="1"/>
  <c r="F2396" i="4"/>
  <c r="F2398" i="4" s="1"/>
  <c r="D2400" i="4" s="1"/>
  <c r="D2387" i="4"/>
  <c r="D2388" i="4" s="1"/>
  <c r="D2390" i="4" s="1"/>
  <c r="D2377" i="4"/>
  <c r="D2376" i="4"/>
  <c r="D2374" i="4"/>
  <c r="D2373" i="4"/>
  <c r="D2364" i="4"/>
  <c r="D2365" i="4" s="1"/>
  <c r="D2367" i="4" s="1"/>
  <c r="D2356" i="4"/>
  <c r="D2355" i="4"/>
  <c r="D2354" i="4"/>
  <c r="D2353" i="4"/>
  <c r="D2352" i="4"/>
  <c r="D2345" i="4"/>
  <c r="D2344" i="4"/>
  <c r="D2343" i="4"/>
  <c r="D2334" i="4"/>
  <c r="D2335" i="4" s="1"/>
  <c r="D2337" i="4" s="1"/>
  <c r="D2327" i="4"/>
  <c r="D2326" i="4"/>
  <c r="D2325" i="4"/>
  <c r="D2324" i="4"/>
  <c r="D2323" i="4"/>
  <c r="D2322" i="4"/>
  <c r="D2315" i="4"/>
  <c r="D2316" i="4" s="1"/>
  <c r="D2318" i="4" s="1"/>
  <c r="D2308" i="4"/>
  <c r="D2309" i="4" s="1"/>
  <c r="D2311" i="4" s="1"/>
  <c r="D2301" i="4"/>
  <c r="D2302" i="4" s="1"/>
  <c r="D2304" i="4" s="1"/>
  <c r="D2249" i="4"/>
  <c r="D2250" i="4" s="1"/>
  <c r="D2252" i="4" s="1"/>
  <c r="D2242" i="4"/>
  <c r="D2243" i="4" s="1"/>
  <c r="D2245" i="4" s="1"/>
  <c r="D2233" i="4"/>
  <c r="D2234" i="4" s="1"/>
  <c r="D2236" i="4" s="1"/>
  <c r="D2226" i="4"/>
  <c r="D2227" i="4" s="1"/>
  <c r="D2229" i="4" s="1"/>
  <c r="D2219" i="4"/>
  <c r="D2220" i="4" s="1"/>
  <c r="D2222" i="4" s="1"/>
  <c r="D2208" i="4"/>
  <c r="D2209" i="4" s="1"/>
  <c r="D2211" i="4" s="1"/>
  <c r="D2199" i="4"/>
  <c r="D2198" i="4"/>
  <c r="D2191" i="4"/>
  <c r="D2190" i="4"/>
  <c r="D2189" i="4"/>
  <c r="D2188" i="4"/>
  <c r="D2181" i="4"/>
  <c r="D2182" i="4" s="1"/>
  <c r="D2184" i="4" s="1"/>
  <c r="D2174" i="4"/>
  <c r="D2175" i="4" s="1"/>
  <c r="D2177" i="4" s="1"/>
  <c r="D2165" i="4"/>
  <c r="D2166" i="4" s="1"/>
  <c r="D2168" i="4" s="1"/>
  <c r="D2158" i="4"/>
  <c r="D2159" i="4" s="1"/>
  <c r="D2161" i="4" s="1"/>
  <c r="D2151" i="4"/>
  <c r="D2152" i="4" s="1"/>
  <c r="D2154" i="4" s="1"/>
  <c r="D2144" i="4"/>
  <c r="D2145" i="4" s="1"/>
  <c r="D2147" i="4" s="1"/>
  <c r="D2137" i="4"/>
  <c r="D2138" i="4" s="1"/>
  <c r="D2140" i="4" s="1"/>
  <c r="D2093" i="4"/>
  <c r="D2095" i="4" s="1"/>
  <c r="D2097" i="4" s="1"/>
  <c r="D2085" i="4"/>
  <c r="D2086" i="4" s="1"/>
  <c r="D2088" i="4" s="1"/>
  <c r="D2077" i="4"/>
  <c r="D2078" i="4" s="1"/>
  <c r="D2080" i="4" s="1"/>
  <c r="D2069" i="4"/>
  <c r="D2070" i="4" s="1"/>
  <c r="D2072" i="4" s="1"/>
  <c r="D2053" i="4"/>
  <c r="D2054" i="4" s="1"/>
  <c r="D2056" i="4" s="1"/>
  <c r="D2045" i="4"/>
  <c r="D2046" i="4" s="1"/>
  <c r="D2048" i="4" s="1"/>
  <c r="D2037" i="4"/>
  <c r="D2038" i="4" s="1"/>
  <c r="D2040" i="4" s="1"/>
  <c r="D2029" i="4"/>
  <c r="D2030" i="4" s="1"/>
  <c r="D2032" i="4" s="1"/>
  <c r="D2020" i="4"/>
  <c r="D2022" i="4" s="1"/>
  <c r="D2024" i="4" s="1"/>
  <c r="D2012" i="4"/>
  <c r="D2013" i="4" s="1"/>
  <c r="D2015" i="4" s="1"/>
  <c r="D2004" i="4"/>
  <c r="D2005" i="4" s="1"/>
  <c r="D2007" i="4" s="1"/>
  <c r="D1996" i="4"/>
  <c r="D1997" i="4" s="1"/>
  <c r="D1999" i="4" s="1"/>
  <c r="E1976" i="4"/>
  <c r="E1977" i="4" s="1"/>
  <c r="D1979" i="4" s="1"/>
  <c r="E1968" i="4"/>
  <c r="E1969" i="4" s="1"/>
  <c r="E1964" i="4"/>
  <c r="E1965" i="4" s="1"/>
  <c r="E1957" i="4"/>
  <c r="E1958" i="4" s="1"/>
  <c r="E1953" i="4"/>
  <c r="E1954" i="4" s="1"/>
  <c r="D1946" i="4"/>
  <c r="D1947" i="4" s="1"/>
  <c r="D1949" i="4" s="1"/>
  <c r="D1939" i="4"/>
  <c r="D1938" i="4"/>
  <c r="D1930" i="4"/>
  <c r="D1931" i="4" s="1"/>
  <c r="D1933" i="4" s="1"/>
  <c r="D1922" i="4"/>
  <c r="D1920" i="4"/>
  <c r="D1912" i="4"/>
  <c r="D1913" i="4" s="1"/>
  <c r="D1915" i="4" s="1"/>
  <c r="D1905" i="4"/>
  <c r="D1906" i="4" s="1"/>
  <c r="D1908" i="4" s="1"/>
  <c r="E1895" i="4"/>
  <c r="E1893" i="4"/>
  <c r="D1885" i="4"/>
  <c r="D1886" i="4" s="1"/>
  <c r="D1888" i="4" s="1"/>
  <c r="D1878" i="4"/>
  <c r="D1877" i="4"/>
  <c r="D1869" i="4"/>
  <c r="D1867" i="4"/>
  <c r="D1863" i="4"/>
  <c r="D1862" i="4"/>
  <c r="D1861" i="4"/>
  <c r="D1860" i="4"/>
  <c r="D1855" i="4"/>
  <c r="D1853" i="4"/>
  <c r="D1852" i="4"/>
  <c r="D1850" i="4"/>
  <c r="D1842" i="4"/>
  <c r="D1843" i="4" s="1"/>
  <c r="E1838" i="4"/>
  <c r="E1836" i="4"/>
  <c r="D1828" i="4"/>
  <c r="D1829" i="4" s="1"/>
  <c r="E1824" i="4"/>
  <c r="E1822" i="4"/>
  <c r="D1815" i="4"/>
  <c r="D1817" i="4" s="1"/>
  <c r="D1804" i="4"/>
  <c r="D1805" i="4" s="1"/>
  <c r="D1807" i="4" s="1"/>
  <c r="D1797" i="4"/>
  <c r="D1798" i="4" s="1"/>
  <c r="D1800" i="4" s="1"/>
  <c r="E1790" i="4"/>
  <c r="E1789" i="4"/>
  <c r="E1788" i="4"/>
  <c r="E1787" i="4"/>
  <c r="E1780" i="4"/>
  <c r="E1779" i="4"/>
  <c r="E1772" i="4"/>
  <c r="E1771" i="4"/>
  <c r="E1770" i="4"/>
  <c r="E1769" i="4"/>
  <c r="D1760" i="4"/>
  <c r="D1761" i="4" s="1"/>
  <c r="D1763" i="4" s="1"/>
  <c r="E1753" i="4"/>
  <c r="E1752" i="4"/>
  <c r="E1751" i="4"/>
  <c r="E1750" i="4"/>
  <c r="E1749" i="4"/>
  <c r="E1742" i="4"/>
  <c r="E1741" i="4"/>
  <c r="E1740" i="4"/>
  <c r="E1739" i="4"/>
  <c r="E1738" i="4"/>
  <c r="E1731" i="4"/>
  <c r="E1730" i="4"/>
  <c r="E1729" i="4"/>
  <c r="E1728" i="4"/>
  <c r="E1727" i="4"/>
  <c r="E1720" i="4"/>
  <c r="E1719" i="4"/>
  <c r="E1718" i="4"/>
  <c r="E1717" i="4"/>
  <c r="E1716" i="4"/>
  <c r="D1709" i="4"/>
  <c r="D1707" i="4"/>
  <c r="E1698" i="4"/>
  <c r="E1697" i="4"/>
  <c r="E1696" i="4"/>
  <c r="E1695" i="4"/>
  <c r="D1688" i="4"/>
  <c r="D1689" i="4" s="1"/>
  <c r="D1691" i="4" s="1"/>
  <c r="D1681" i="4"/>
  <c r="D1682" i="4" s="1"/>
  <c r="D1684" i="4" s="1"/>
  <c r="E1673" i="4"/>
  <c r="E1672" i="4"/>
  <c r="E1671" i="4"/>
  <c r="E1670" i="4"/>
  <c r="E1662" i="4"/>
  <c r="E1661" i="4"/>
  <c r="E1660" i="4"/>
  <c r="E1659" i="4"/>
  <c r="E1651" i="4"/>
  <c r="E1650" i="4"/>
  <c r="E1649" i="4"/>
  <c r="E1648" i="4"/>
  <c r="D1641" i="4"/>
  <c r="D1642" i="4" s="1"/>
  <c r="D1644" i="4" s="1"/>
  <c r="D1634" i="4"/>
  <c r="D1635" i="4" s="1"/>
  <c r="D1637" i="4" s="1"/>
  <c r="E1627" i="4"/>
  <c r="E1628" i="4" s="1"/>
  <c r="D1630" i="4" s="1"/>
  <c r="D1620" i="4"/>
  <c r="D1621" i="4" s="1"/>
  <c r="D1623" i="4" s="1"/>
  <c r="E1612" i="4"/>
  <c r="E1611" i="4"/>
  <c r="E1610" i="4"/>
  <c r="E1609" i="4"/>
  <c r="E1601" i="4"/>
  <c r="E1600" i="4"/>
  <c r="E1599" i="4"/>
  <c r="E1598" i="4"/>
  <c r="E1589" i="4"/>
  <c r="E1588" i="4"/>
  <c r="E1587" i="4"/>
  <c r="D1580" i="4"/>
  <c r="D1581" i="4" s="1"/>
  <c r="D1583" i="4" s="1"/>
  <c r="E1571" i="4"/>
  <c r="E1570" i="4"/>
  <c r="E1569" i="4"/>
  <c r="E1568" i="4"/>
  <c r="D1561" i="4"/>
  <c r="D1562" i="4" s="1"/>
  <c r="D1564" i="4" s="1"/>
  <c r="D1554" i="4"/>
  <c r="D1555" i="4" s="1"/>
  <c r="D1557" i="4" s="1"/>
  <c r="D1547" i="4"/>
  <c r="D1548" i="4" s="1"/>
  <c r="D1550" i="4" s="1"/>
  <c r="E1539" i="4"/>
  <c r="E1538" i="4"/>
  <c r="E1537" i="4"/>
  <c r="E1536" i="4"/>
  <c r="E1528" i="4"/>
  <c r="E1527" i="4"/>
  <c r="E1526" i="4"/>
  <c r="E1525" i="4"/>
  <c r="D1518" i="4"/>
  <c r="D1519" i="4" s="1"/>
  <c r="D1521" i="4" s="1"/>
  <c r="D1511" i="4"/>
  <c r="D1512" i="4" s="1"/>
  <c r="D1514" i="4" s="1"/>
  <c r="D1504" i="4"/>
  <c r="D1505" i="4" s="1"/>
  <c r="D1507" i="4" s="1"/>
  <c r="E1496" i="4"/>
  <c r="E1495" i="4"/>
  <c r="E1494" i="4"/>
  <c r="E1493" i="4"/>
  <c r="E1492" i="4"/>
  <c r="E1491" i="4"/>
  <c r="E1490" i="4"/>
  <c r="E1489" i="4"/>
  <c r="E1488" i="4"/>
  <c r="E1480" i="4"/>
  <c r="E1479" i="4"/>
  <c r="E1478" i="4"/>
  <c r="E1477" i="4"/>
  <c r="E1476" i="4"/>
  <c r="E1468" i="4"/>
  <c r="E1467" i="4"/>
  <c r="E1466" i="4"/>
  <c r="E1465" i="4"/>
  <c r="E1455" i="4"/>
  <c r="E1456" i="4" s="1"/>
  <c r="D1458" i="4" s="1"/>
  <c r="E1447" i="4"/>
  <c r="E1448" i="4" s="1"/>
  <c r="D1450" i="4" s="1"/>
  <c r="D1439" i="4"/>
  <c r="D1440" i="4" s="1"/>
  <c r="D1442" i="4" s="1"/>
  <c r="E1431" i="4"/>
  <c r="E1430" i="4"/>
  <c r="E1426" i="4"/>
  <c r="E1427" i="4" s="1"/>
  <c r="E1418" i="4"/>
  <c r="E1417" i="4"/>
  <c r="E1413" i="4"/>
  <c r="E1414" i="4" s="1"/>
  <c r="E1405" i="4"/>
  <c r="E1404" i="4"/>
  <c r="E1400" i="4"/>
  <c r="E1401" i="4" s="1"/>
  <c r="E1392" i="4"/>
  <c r="E1391" i="4"/>
  <c r="G1387" i="4"/>
  <c r="G1386" i="4"/>
  <c r="E1377" i="4"/>
  <c r="E1378" i="4" s="1"/>
  <c r="E1373" i="4"/>
  <c r="E1374" i="4" s="1"/>
  <c r="E1366" i="4"/>
  <c r="E1367" i="4" s="1"/>
  <c r="E1362" i="4"/>
  <c r="E1363" i="4" s="1"/>
  <c r="E1354" i="4"/>
  <c r="E1355" i="4" s="1"/>
  <c r="D1357" i="4" s="1"/>
  <c r="E1346" i="4"/>
  <c r="E1345" i="4"/>
  <c r="E1344" i="4"/>
  <c r="F1336" i="4"/>
  <c r="F1335" i="4"/>
  <c r="E1331" i="4"/>
  <c r="E1330" i="4"/>
  <c r="F1322" i="4"/>
  <c r="F1321" i="4"/>
  <c r="F1320" i="4"/>
  <c r="F1319" i="4"/>
  <c r="G1311" i="4"/>
  <c r="G1310" i="4"/>
  <c r="F1302" i="4"/>
  <c r="F1301" i="4"/>
  <c r="F1300" i="4"/>
  <c r="F1299" i="4"/>
  <c r="F1291" i="4"/>
  <c r="F1290" i="4"/>
  <c r="E1286" i="4"/>
  <c r="E1285" i="4"/>
  <c r="E1274" i="4"/>
  <c r="E1276" i="4" s="1"/>
  <c r="D1278" i="4" s="1"/>
  <c r="E1266" i="4"/>
  <c r="E1265" i="4"/>
  <c r="E1264" i="4"/>
  <c r="F1256" i="4"/>
  <c r="F1255" i="4"/>
  <c r="F1254" i="4"/>
  <c r="F1253" i="4"/>
  <c r="E1249" i="4"/>
  <c r="E1248" i="4"/>
  <c r="F1240" i="4"/>
  <c r="F1239" i="4"/>
  <c r="F1238" i="4"/>
  <c r="F1237" i="4"/>
  <c r="F1236" i="4"/>
  <c r="F1235" i="4"/>
  <c r="G1227" i="4"/>
  <c r="G1226" i="4"/>
  <c r="F1218" i="4"/>
  <c r="F1217" i="4"/>
  <c r="F1216" i="4"/>
  <c r="F1215" i="4"/>
  <c r="F1214" i="4"/>
  <c r="F1213" i="4"/>
  <c r="F1205" i="4"/>
  <c r="F1204" i="4"/>
  <c r="F1203" i="4"/>
  <c r="F1202" i="4"/>
  <c r="F1201" i="4"/>
  <c r="F1200" i="4"/>
  <c r="D1190" i="4"/>
  <c r="D1191" i="4" s="1"/>
  <c r="D1193" i="4" s="1"/>
  <c r="E1182" i="4"/>
  <c r="E1181" i="4"/>
  <c r="E1180" i="4"/>
  <c r="E1179" i="4"/>
  <c r="D1171" i="4"/>
  <c r="D1172" i="4" s="1"/>
  <c r="D1174" i="4" s="1"/>
  <c r="D1163" i="4"/>
  <c r="D1164" i="4" s="1"/>
  <c r="D1166" i="4" s="1"/>
  <c r="D1155" i="4"/>
  <c r="D1156" i="4" s="1"/>
  <c r="D1158" i="4" s="1"/>
  <c r="D1147" i="4"/>
  <c r="D1146" i="4"/>
  <c r="D1145" i="4"/>
  <c r="D1144" i="4"/>
  <c r="D1134" i="4"/>
  <c r="D1135" i="4" s="1"/>
  <c r="D1137" i="4" s="1"/>
  <c r="D1126" i="4"/>
  <c r="D1125" i="4"/>
  <c r="D1124" i="4"/>
  <c r="D1114" i="4"/>
  <c r="D1115" i="4" s="1"/>
  <c r="D1117" i="4" s="1"/>
  <c r="D1106" i="4"/>
  <c r="D1107" i="4" s="1"/>
  <c r="D1109" i="4" s="1"/>
  <c r="D1098" i="4"/>
  <c r="D1099" i="4" s="1"/>
  <c r="D1101" i="4" s="1"/>
  <c r="E1088" i="4"/>
  <c r="E1089" i="4" s="1"/>
  <c r="D1091" i="4" s="1"/>
  <c r="E1080" i="4"/>
  <c r="E1081" i="4" s="1"/>
  <c r="D1083" i="4" s="1"/>
  <c r="D1072" i="4"/>
  <c r="D1073" i="4" s="1"/>
  <c r="D1075" i="4" s="1"/>
  <c r="D1063" i="4"/>
  <c r="D1065" i="4" s="1"/>
  <c r="D1067" i="4" s="1"/>
  <c r="D1055" i="4"/>
  <c r="D1056" i="4" s="1"/>
  <c r="D1058" i="4" s="1"/>
  <c r="D1046" i="4"/>
  <c r="D1048" i="4" s="1"/>
  <c r="D1050" i="4" s="1"/>
  <c r="D1036" i="4"/>
  <c r="D1038" i="4" s="1"/>
  <c r="D1040" i="4" s="1"/>
  <c r="D1027" i="4"/>
  <c r="D1029" i="4" s="1"/>
  <c r="D1031" i="4" s="1"/>
  <c r="D930" i="4"/>
  <c r="D932" i="4" s="1"/>
  <c r="D934" i="4" s="1"/>
  <c r="D922" i="4"/>
  <c r="D923" i="4" s="1"/>
  <c r="D925" i="4" s="1"/>
  <c r="E911" i="4"/>
  <c r="E912" i="4" s="1"/>
  <c r="D914" i="4" s="1"/>
  <c r="E904" i="4"/>
  <c r="E903" i="4"/>
  <c r="E896" i="4"/>
  <c r="E897" i="4" s="1"/>
  <c r="D899" i="4" s="1"/>
  <c r="E889" i="4"/>
  <c r="E890" i="4" s="1"/>
  <c r="D892" i="4" s="1"/>
  <c r="F880" i="4"/>
  <c r="F881" i="4" s="1"/>
  <c r="F876" i="4"/>
  <c r="F877" i="4" s="1"/>
  <c r="E868" i="4"/>
  <c r="E869" i="4" s="1"/>
  <c r="E864" i="4"/>
  <c r="E865" i="4" s="1"/>
  <c r="E860" i="4"/>
  <c r="E859" i="4"/>
  <c r="E852" i="4"/>
  <c r="E851" i="4"/>
  <c r="E847" i="4"/>
  <c r="E848" i="4" s="1"/>
  <c r="E843" i="4"/>
  <c r="E844" i="4" s="1"/>
  <c r="D834" i="4"/>
  <c r="D835" i="4" s="1"/>
  <c r="D837" i="4" s="1"/>
  <c r="D827" i="4"/>
  <c r="D828" i="4" s="1"/>
  <c r="D830" i="4" s="1"/>
  <c r="D819" i="4"/>
  <c r="D820" i="4" s="1"/>
  <c r="D822" i="4" s="1"/>
  <c r="E812" i="4"/>
  <c r="E811" i="4"/>
  <c r="E810" i="4"/>
  <c r="E809" i="4"/>
  <c r="E808" i="4"/>
  <c r="E807" i="4"/>
  <c r="E806" i="4"/>
  <c r="E805" i="4"/>
  <c r="E798" i="4"/>
  <c r="E797" i="4"/>
  <c r="D788" i="4"/>
  <c r="D789" i="4" s="1"/>
  <c r="D791" i="4" s="1"/>
  <c r="D781" i="4"/>
  <c r="D782" i="4" s="1"/>
  <c r="D784" i="4" s="1"/>
  <c r="D773" i="4"/>
  <c r="D774" i="4" s="1"/>
  <c r="D776" i="4" s="1"/>
  <c r="D766" i="4"/>
  <c r="D767" i="4" s="1"/>
  <c r="D769" i="4" s="1"/>
  <c r="D759" i="4"/>
  <c r="D760" i="4" s="1"/>
  <c r="D762" i="4" s="1"/>
  <c r="D752" i="4"/>
  <c r="D753" i="4" s="1"/>
  <c r="D755" i="4" s="1"/>
  <c r="E745" i="4"/>
  <c r="E744" i="4"/>
  <c r="E743" i="4"/>
  <c r="E742" i="4"/>
  <c r="E741" i="4"/>
  <c r="E740" i="4"/>
  <c r="E739" i="4"/>
  <c r="E738" i="4"/>
  <c r="E737" i="4"/>
  <c r="E736" i="4"/>
  <c r="E735" i="4"/>
  <c r="E734" i="4"/>
  <c r="E733" i="4"/>
  <c r="E732" i="4"/>
  <c r="E724" i="4"/>
  <c r="E725" i="4" s="1"/>
  <c r="E720" i="4"/>
  <c r="E721" i="4" s="1"/>
  <c r="F713" i="4"/>
  <c r="F714" i="4" s="1"/>
  <c r="D716" i="4" s="1"/>
  <c r="F706" i="4"/>
  <c r="F707" i="4" s="1"/>
  <c r="D709" i="4" s="1"/>
  <c r="D695" i="4"/>
  <c r="D696" i="4" s="1"/>
  <c r="D698" i="4" s="1"/>
  <c r="E688" i="4"/>
  <c r="E687" i="4"/>
  <c r="D680" i="4"/>
  <c r="D681" i="4" s="1"/>
  <c r="D683" i="4" s="1"/>
  <c r="D673" i="4"/>
  <c r="D674" i="4" s="1"/>
  <c r="D676" i="4" s="1"/>
  <c r="D666" i="4"/>
  <c r="D667" i="4" s="1"/>
  <c r="D669" i="4" s="1"/>
  <c r="D659" i="4"/>
  <c r="D660" i="4" s="1"/>
  <c r="D662" i="4" s="1"/>
  <c r="D652" i="4"/>
  <c r="D653" i="4" s="1"/>
  <c r="D655" i="4" s="1"/>
  <c r="D645" i="4"/>
  <c r="D646" i="4" s="1"/>
  <c r="D648" i="4" s="1"/>
  <c r="D638" i="4"/>
  <c r="D639" i="4" s="1"/>
  <c r="D641" i="4" s="1"/>
  <c r="D631" i="4"/>
  <c r="D632" i="4" s="1"/>
  <c r="D634" i="4" s="1"/>
  <c r="D624" i="4"/>
  <c r="D625" i="4" s="1"/>
  <c r="D627" i="4" s="1"/>
  <c r="D617" i="4"/>
  <c r="D618" i="4" s="1"/>
  <c r="D620" i="4" s="1"/>
  <c r="D586" i="4"/>
  <c r="D587" i="4" s="1"/>
  <c r="D589" i="4" s="1"/>
  <c r="D579" i="4"/>
  <c r="D580" i="4" s="1"/>
  <c r="D575" i="4"/>
  <c r="D576" i="4" s="1"/>
  <c r="D571" i="4"/>
  <c r="D572" i="4" s="1"/>
  <c r="D567" i="4"/>
  <c r="D566" i="4"/>
  <c r="D562" i="4"/>
  <c r="D563" i="4" s="1"/>
  <c r="D558" i="4"/>
  <c r="D559" i="4" s="1"/>
  <c r="D549" i="4"/>
  <c r="D550" i="4" s="1"/>
  <c r="D552" i="4" s="1"/>
  <c r="D541" i="4"/>
  <c r="D543" i="4" s="1"/>
  <c r="D545" i="4" s="1"/>
  <c r="D533" i="4"/>
  <c r="D535" i="4" s="1"/>
  <c r="D537" i="4" s="1"/>
  <c r="D526" i="4"/>
  <c r="D527" i="4" s="1"/>
  <c r="D529" i="4" s="1"/>
  <c r="E519" i="4"/>
  <c r="E518" i="4"/>
  <c r="E517" i="4"/>
  <c r="E516" i="4"/>
  <c r="E515" i="4"/>
  <c r="D508" i="4"/>
  <c r="D509" i="4" s="1"/>
  <c r="D504" i="4"/>
  <c r="D505" i="4" s="1"/>
  <c r="D500" i="4"/>
  <c r="D501" i="4" s="1"/>
  <c r="D496" i="4"/>
  <c r="D497" i="4" s="1"/>
  <c r="D489" i="4"/>
  <c r="D490" i="4" s="1"/>
  <c r="D485" i="4"/>
  <c r="D486" i="4" s="1"/>
  <c r="D481" i="4"/>
  <c r="D482" i="4" s="1"/>
  <c r="D477" i="4"/>
  <c r="D476" i="4"/>
  <c r="D472" i="4"/>
  <c r="D473" i="4" s="1"/>
  <c r="D468" i="4"/>
  <c r="D469" i="4" s="1"/>
  <c r="D460" i="4"/>
  <c r="D462" i="4" s="1"/>
  <c r="D464" i="4" s="1"/>
  <c r="E451" i="4"/>
  <c r="E450" i="4"/>
  <c r="E443" i="4"/>
  <c r="E442" i="4"/>
  <c r="E435" i="4"/>
  <c r="E436" i="4" s="1"/>
  <c r="E431" i="4"/>
  <c r="E432" i="4" s="1"/>
  <c r="E424" i="4"/>
  <c r="E425" i="4" s="1"/>
  <c r="E420" i="4"/>
  <c r="E421" i="4" s="1"/>
  <c r="E413" i="4"/>
  <c r="E412" i="4"/>
  <c r="E411" i="4"/>
  <c r="E407" i="4"/>
  <c r="E406" i="4"/>
  <c r="E402" i="4"/>
  <c r="E401" i="4"/>
  <c r="E400" i="4"/>
  <c r="E396" i="4"/>
  <c r="E395" i="4"/>
  <c r="E394" i="4"/>
  <c r="E384" i="4"/>
  <c r="E383" i="4"/>
  <c r="E376" i="4"/>
  <c r="E375" i="4"/>
  <c r="E371" i="4"/>
  <c r="E372" i="4" s="1"/>
  <c r="E364" i="4"/>
  <c r="E363" i="4"/>
  <c r="E362" i="4"/>
  <c r="E361" i="4"/>
  <c r="G349" i="4"/>
  <c r="G350" i="4" s="1"/>
  <c r="D352" i="4" s="1"/>
  <c r="F341" i="4"/>
  <c r="F342" i="4" s="1"/>
  <c r="D344" i="4" s="1"/>
  <c r="E334" i="4"/>
  <c r="E335" i="4" s="1"/>
  <c r="D337" i="4" s="1"/>
  <c r="G324" i="4"/>
  <c r="G325" i="4" s="1"/>
  <c r="D327" i="4" s="1"/>
  <c r="E316" i="4"/>
  <c r="E317" i="4" s="1"/>
  <c r="D319" i="4" s="1"/>
  <c r="D308" i="4"/>
  <c r="D309" i="4" s="1"/>
  <c r="D311" i="4" s="1"/>
  <c r="D299" i="4"/>
  <c r="D301" i="4" s="1"/>
  <c r="D294" i="4"/>
  <c r="D296" i="4" s="1"/>
  <c r="F286" i="4"/>
  <c r="F285" i="4"/>
  <c r="F284" i="4"/>
  <c r="F283" i="4"/>
  <c r="F282" i="4"/>
  <c r="F281" i="4"/>
  <c r="D272" i="4"/>
  <c r="D274" i="4" s="1"/>
  <c r="D276" i="4" s="1"/>
  <c r="D263" i="4"/>
  <c r="D265" i="4" s="1"/>
  <c r="D267" i="4" s="1"/>
  <c r="E252" i="4"/>
  <c r="E254" i="4" s="1"/>
  <c r="E248" i="4"/>
  <c r="E249" i="4" s="1"/>
  <c r="E243" i="4"/>
  <c r="E244" i="4" s="1"/>
  <c r="F239" i="4"/>
  <c r="F240" i="4" s="1"/>
  <c r="E235" i="4"/>
  <c r="E234" i="4"/>
  <c r="E232" i="4"/>
  <c r="E228" i="4"/>
  <c r="E229" i="4" s="1"/>
  <c r="E223" i="4"/>
  <c r="E224" i="4" s="1"/>
  <c r="E219" i="4"/>
  <c r="E220" i="4" s="1"/>
  <c r="F215" i="4"/>
  <c r="F214" i="4"/>
  <c r="F213" i="4"/>
  <c r="F212" i="4"/>
  <c r="F211" i="4"/>
  <c r="F210" i="4"/>
  <c r="E201" i="4"/>
  <c r="E203" i="4" s="1"/>
  <c r="D205" i="4" s="1"/>
  <c r="D194" i="4"/>
  <c r="D195" i="4" s="1"/>
  <c r="D197" i="4" s="1"/>
  <c r="D186" i="4"/>
  <c r="D185" i="4"/>
  <c r="D184" i="4"/>
  <c r="D176" i="4"/>
  <c r="D177" i="4" s="1"/>
  <c r="D179" i="4" s="1"/>
  <c r="E168" i="4"/>
  <c r="E167" i="4"/>
  <c r="E159" i="4"/>
  <c r="E160" i="4" s="1"/>
  <c r="E154" i="4"/>
  <c r="E155" i="4" s="1"/>
  <c r="D133" i="4"/>
  <c r="D134" i="4" s="1"/>
  <c r="D136" i="4" s="1"/>
  <c r="D125" i="4"/>
  <c r="D126" i="4" s="1"/>
  <c r="D128" i="4" s="1"/>
  <c r="F118" i="4"/>
  <c r="F119" i="4" s="1"/>
  <c r="D121" i="4" s="1"/>
  <c r="E111" i="4"/>
  <c r="E110" i="4"/>
  <c r="E108" i="4"/>
  <c r="E100" i="4"/>
  <c r="E101" i="4" s="1"/>
  <c r="E95" i="4"/>
  <c r="E96" i="4" s="1"/>
  <c r="E91" i="4"/>
  <c r="E92" i="4" s="1"/>
  <c r="E87" i="4"/>
  <c r="E86" i="4"/>
  <c r="E85" i="4"/>
  <c r="D75" i="4"/>
  <c r="D77" i="4" s="1"/>
  <c r="E66" i="4"/>
  <c r="E67" i="4" s="1"/>
  <c r="D69" i="4" s="1"/>
  <c r="D57" i="4"/>
  <c r="D59" i="4" s="1"/>
  <c r="D52" i="4"/>
  <c r="D54" i="4" s="1"/>
  <c r="D45" i="4"/>
  <c r="D46" i="4" s="1"/>
  <c r="D48" i="4" s="1"/>
  <c r="D38" i="4"/>
  <c r="D39" i="4" s="1"/>
  <c r="D41" i="4" s="1"/>
  <c r="D31" i="4"/>
  <c r="D32" i="4" s="1"/>
  <c r="D34" i="4" s="1"/>
  <c r="D17" i="4"/>
  <c r="D18" i="4" s="1"/>
  <c r="D20" i="4" s="1"/>
  <c r="D13" i="4"/>
  <c r="I337" i="12"/>
  <c r="H337" i="12"/>
  <c r="I336" i="12"/>
  <c r="H336" i="12"/>
  <c r="I335" i="12"/>
  <c r="H335" i="12"/>
  <c r="I334" i="12"/>
  <c r="H334" i="12"/>
  <c r="I330" i="12"/>
  <c r="H330" i="12"/>
  <c r="I329" i="12"/>
  <c r="I328" i="12"/>
  <c r="H328" i="12"/>
  <c r="I327" i="12"/>
  <c r="H327" i="12"/>
  <c r="I326" i="12"/>
  <c r="H326" i="12"/>
  <c r="I325" i="12"/>
  <c r="H325" i="12"/>
  <c r="H324" i="12"/>
  <c r="I321" i="12"/>
  <c r="J321" i="12"/>
  <c r="I320" i="12"/>
  <c r="H320" i="12"/>
  <c r="I319" i="12"/>
  <c r="J319" i="12"/>
  <c r="I318" i="12"/>
  <c r="H318" i="12"/>
  <c r="I317" i="12"/>
  <c r="I314" i="12"/>
  <c r="I313" i="12"/>
  <c r="H313" i="12"/>
  <c r="I312" i="12"/>
  <c r="I311" i="12"/>
  <c r="H311" i="12"/>
  <c r="I310" i="12"/>
  <c r="I309" i="12"/>
  <c r="H309" i="12"/>
  <c r="I308" i="12"/>
  <c r="I307" i="12"/>
  <c r="I306" i="12"/>
  <c r="I305" i="12"/>
  <c r="H305" i="12"/>
  <c r="I304" i="12"/>
  <c r="H304" i="12"/>
  <c r="I303" i="12"/>
  <c r="H303" i="12"/>
  <c r="I302" i="12"/>
  <c r="H302" i="12"/>
  <c r="I301" i="12"/>
  <c r="H301" i="12"/>
  <c r="I300" i="12"/>
  <c r="I297" i="12"/>
  <c r="H297" i="12"/>
  <c r="I296" i="12"/>
  <c r="H296" i="12"/>
  <c r="I295" i="12"/>
  <c r="H295" i="12"/>
  <c r="I294" i="12"/>
  <c r="H294" i="12"/>
  <c r="I293" i="12"/>
  <c r="H293" i="12"/>
  <c r="I292" i="12"/>
  <c r="I291" i="12"/>
  <c r="H291" i="12"/>
  <c r="I290" i="12"/>
  <c r="H290" i="12"/>
  <c r="I289" i="12"/>
  <c r="H289" i="12"/>
  <c r="I288" i="12"/>
  <c r="H288" i="12"/>
  <c r="I287" i="12"/>
  <c r="H287" i="12"/>
  <c r="I286" i="12"/>
  <c r="H286" i="12"/>
  <c r="I285" i="12"/>
  <c r="H285" i="12"/>
  <c r="I282" i="12"/>
  <c r="H282" i="12"/>
  <c r="I281" i="12"/>
  <c r="H281" i="12"/>
  <c r="I280" i="12"/>
  <c r="H280" i="12"/>
  <c r="I279" i="12"/>
  <c r="I276" i="12"/>
  <c r="H276" i="12"/>
  <c r="I275" i="12"/>
  <c r="H275" i="12"/>
  <c r="I274" i="12"/>
  <c r="I273" i="12"/>
  <c r="I272" i="12"/>
  <c r="H272" i="12"/>
  <c r="I271" i="12"/>
  <c r="H271" i="12"/>
  <c r="I270" i="12"/>
  <c r="H270" i="12"/>
  <c r="I269" i="12"/>
  <c r="H269" i="12"/>
  <c r="I268" i="12"/>
  <c r="H268" i="12"/>
  <c r="I267" i="12"/>
  <c r="I266" i="12"/>
  <c r="H266" i="12"/>
  <c r="I405" i="12"/>
  <c r="H405" i="12"/>
  <c r="I404" i="12"/>
  <c r="H404" i="12"/>
  <c r="I403" i="12"/>
  <c r="H403" i="12"/>
  <c r="I402" i="12"/>
  <c r="H402" i="12"/>
  <c r="I263" i="12"/>
  <c r="H263" i="12"/>
  <c r="I262" i="12"/>
  <c r="H262" i="12"/>
  <c r="I261" i="12"/>
  <c r="H261" i="12"/>
  <c r="I260" i="12"/>
  <c r="H260" i="12"/>
  <c r="I259" i="12"/>
  <c r="I258" i="12"/>
  <c r="I257" i="12"/>
  <c r="H257" i="12"/>
  <c r="I256" i="12"/>
  <c r="H256" i="12"/>
  <c r="I255" i="12"/>
  <c r="I254" i="12"/>
  <c r="H254" i="12"/>
  <c r="I253" i="12"/>
  <c r="H253" i="12"/>
  <c r="I401" i="12"/>
  <c r="H401" i="12"/>
  <c r="I252" i="12"/>
  <c r="H252" i="12"/>
  <c r="I251" i="12"/>
  <c r="H251" i="12"/>
  <c r="I250" i="12"/>
  <c r="I249" i="12"/>
  <c r="I248" i="12"/>
  <c r="H248" i="12"/>
  <c r="I247" i="12"/>
  <c r="H247" i="12"/>
  <c r="I246" i="12"/>
  <c r="H246" i="12"/>
  <c r="I245" i="12"/>
  <c r="H245" i="12"/>
  <c r="I18" i="12"/>
  <c r="I19" i="12" s="1"/>
  <c r="I409" i="3"/>
  <c r="I242" i="12" s="1"/>
  <c r="I243" i="12" s="1"/>
  <c r="H409" i="3"/>
  <c r="H242" i="12" s="1"/>
  <c r="I408" i="3"/>
  <c r="I398" i="12" s="1"/>
  <c r="I399" i="12" s="1"/>
  <c r="H408" i="3"/>
  <c r="H398" i="12" s="1"/>
  <c r="L407" i="3"/>
  <c r="I406" i="3"/>
  <c r="I395" i="12" s="1"/>
  <c r="H406" i="3"/>
  <c r="H395" i="12" s="1"/>
  <c r="I405" i="3"/>
  <c r="I394" i="12" s="1"/>
  <c r="H405" i="3"/>
  <c r="H394" i="12" s="1"/>
  <c r="I404" i="3"/>
  <c r="I393" i="12" s="1"/>
  <c r="H404" i="3"/>
  <c r="H393" i="12" s="1"/>
  <c r="I403" i="3"/>
  <c r="I392" i="12" s="1"/>
  <c r="H403" i="3"/>
  <c r="H392" i="12" s="1"/>
  <c r="I402" i="3"/>
  <c r="I391" i="12" s="1"/>
  <c r="H402" i="3"/>
  <c r="L401" i="3"/>
  <c r="L395" i="3"/>
  <c r="I393" i="3"/>
  <c r="I388" i="12" s="1"/>
  <c r="H393" i="3"/>
  <c r="H388" i="12" s="1"/>
  <c r="I392" i="3"/>
  <c r="I387" i="12" s="1"/>
  <c r="H392" i="3"/>
  <c r="J392" i="3" s="1"/>
  <c r="J387" i="12" s="1"/>
  <c r="I391" i="3"/>
  <c r="I386" i="12" s="1"/>
  <c r="H391" i="3"/>
  <c r="I390" i="3"/>
  <c r="I385" i="12" s="1"/>
  <c r="H390" i="3"/>
  <c r="H385" i="12" s="1"/>
  <c r="I389" i="3"/>
  <c r="I384" i="12" s="1"/>
  <c r="H389" i="3"/>
  <c r="H384" i="12" s="1"/>
  <c r="I388" i="3"/>
  <c r="I383" i="12" s="1"/>
  <c r="H388" i="3"/>
  <c r="L388" i="3" s="1"/>
  <c r="I387" i="3"/>
  <c r="I382" i="12" s="1"/>
  <c r="H387" i="3"/>
  <c r="H382" i="12" s="1"/>
  <c r="I386" i="3"/>
  <c r="I381" i="12" s="1"/>
  <c r="H386" i="3"/>
  <c r="H381" i="12" s="1"/>
  <c r="I385" i="3"/>
  <c r="I380" i="12" s="1"/>
  <c r="H385" i="3"/>
  <c r="H380" i="12" s="1"/>
  <c r="I384" i="3"/>
  <c r="I379" i="12" s="1"/>
  <c r="H384" i="3"/>
  <c r="H379" i="12" s="1"/>
  <c r="I383" i="3"/>
  <c r="I378" i="12" s="1"/>
  <c r="H383" i="3"/>
  <c r="H378" i="12" s="1"/>
  <c r="I382" i="3"/>
  <c r="I377" i="12" s="1"/>
  <c r="H382" i="3"/>
  <c r="L381" i="3"/>
  <c r="L335" i="3"/>
  <c r="I239" i="12"/>
  <c r="I192" i="3"/>
  <c r="I238" i="12" s="1"/>
  <c r="H192" i="3"/>
  <c r="H238" i="12" s="1"/>
  <c r="I191" i="3"/>
  <c r="I237" i="12" s="1"/>
  <c r="H191" i="3"/>
  <c r="H237" i="12" s="1"/>
  <c r="I190" i="3"/>
  <c r="I236" i="12" s="1"/>
  <c r="H190" i="3"/>
  <c r="L189" i="3"/>
  <c r="I233" i="12"/>
  <c r="H233" i="12"/>
  <c r="I232" i="12"/>
  <c r="H232" i="12"/>
  <c r="I231" i="12"/>
  <c r="H231" i="12"/>
  <c r="I230" i="12"/>
  <c r="H230" i="12"/>
  <c r="I173" i="3"/>
  <c r="I229" i="12" s="1"/>
  <c r="H173" i="3"/>
  <c r="L172" i="3"/>
  <c r="I226" i="12"/>
  <c r="H226" i="12"/>
  <c r="I157" i="3"/>
  <c r="I225" i="12" s="1"/>
  <c r="H157" i="3"/>
  <c r="H225" i="12" s="1"/>
  <c r="I156" i="3"/>
  <c r="I224" i="12" s="1"/>
  <c r="H156" i="3"/>
  <c r="H224" i="12" s="1"/>
  <c r="I155" i="3"/>
  <c r="I223" i="12" s="1"/>
  <c r="H155" i="3"/>
  <c r="H223" i="12" s="1"/>
  <c r="I154" i="3"/>
  <c r="I222" i="12" s="1"/>
  <c r="H154" i="3"/>
  <c r="J154" i="3" s="1"/>
  <c r="J222" i="12" s="1"/>
  <c r="I153" i="3"/>
  <c r="I221" i="12" s="1"/>
  <c r="H153" i="3"/>
  <c r="H221" i="12" s="1"/>
  <c r="I152" i="3"/>
  <c r="H152" i="3"/>
  <c r="H220" i="12" s="1"/>
  <c r="L151" i="3"/>
  <c r="I217" i="12"/>
  <c r="H217" i="12"/>
  <c r="I202" i="3"/>
  <c r="I216" i="12" s="1"/>
  <c r="H202" i="3"/>
  <c r="H216" i="12" s="1"/>
  <c r="I201" i="3"/>
  <c r="I215" i="12" s="1"/>
  <c r="H201" i="3"/>
  <c r="H215" i="12" s="1"/>
  <c r="I200" i="3"/>
  <c r="I214" i="12" s="1"/>
  <c r="H200" i="3"/>
  <c r="H214" i="12" s="1"/>
  <c r="I199" i="3"/>
  <c r="H199" i="3"/>
  <c r="H213" i="12" s="1"/>
  <c r="L198" i="3"/>
  <c r="I374" i="12"/>
  <c r="H374" i="12"/>
  <c r="I373" i="12"/>
  <c r="H373" i="12"/>
  <c r="I372" i="12"/>
  <c r="I376" i="3"/>
  <c r="I371" i="12" s="1"/>
  <c r="H376" i="3"/>
  <c r="H371" i="12" s="1"/>
  <c r="L375" i="3"/>
  <c r="I374" i="3"/>
  <c r="I370" i="12" s="1"/>
  <c r="H374" i="3"/>
  <c r="L374" i="3" s="1"/>
  <c r="L373" i="3"/>
  <c r="I372" i="3"/>
  <c r="I369" i="12" s="1"/>
  <c r="H372" i="3"/>
  <c r="H369" i="12" s="1"/>
  <c r="I371" i="3"/>
  <c r="I368" i="12" s="1"/>
  <c r="H371" i="3"/>
  <c r="H368" i="12" s="1"/>
  <c r="I370" i="3"/>
  <c r="I367" i="12" s="1"/>
  <c r="H370" i="3"/>
  <c r="H367" i="12" s="1"/>
  <c r="L369" i="3"/>
  <c r="I368" i="3"/>
  <c r="I366" i="12" s="1"/>
  <c r="H368" i="3"/>
  <c r="J368" i="3" s="1"/>
  <c r="J366" i="12" s="1"/>
  <c r="I367" i="3"/>
  <c r="I365" i="12" s="1"/>
  <c r="H367" i="3"/>
  <c r="H365" i="12" s="1"/>
  <c r="I366" i="3"/>
  <c r="I364" i="12" s="1"/>
  <c r="H366" i="3"/>
  <c r="L366" i="3" s="1"/>
  <c r="I365" i="3"/>
  <c r="I363" i="12" s="1"/>
  <c r="H365" i="3"/>
  <c r="H363" i="12" s="1"/>
  <c r="I364" i="3"/>
  <c r="H364" i="3"/>
  <c r="L363" i="3"/>
  <c r="I361" i="12"/>
  <c r="I354" i="3"/>
  <c r="I360" i="12" s="1"/>
  <c r="H354" i="3"/>
  <c r="L353" i="3"/>
  <c r="I352" i="3"/>
  <c r="I359" i="12" s="1"/>
  <c r="H352" i="3"/>
  <c r="I351" i="3"/>
  <c r="I358" i="12" s="1"/>
  <c r="H351" i="3"/>
  <c r="J351" i="3" s="1"/>
  <c r="J358" i="12" s="1"/>
  <c r="I350" i="3"/>
  <c r="I357" i="12" s="1"/>
  <c r="H350" i="3"/>
  <c r="H357" i="12" s="1"/>
  <c r="L349" i="3"/>
  <c r="L348" i="3"/>
  <c r="I134" i="3"/>
  <c r="I210" i="12" s="1"/>
  <c r="H134" i="3"/>
  <c r="H210" i="12" s="1"/>
  <c r="L133" i="3"/>
  <c r="I132" i="3"/>
  <c r="I209" i="12" s="1"/>
  <c r="H132" i="3"/>
  <c r="H209" i="12" s="1"/>
  <c r="I131" i="3"/>
  <c r="I208" i="12" s="1"/>
  <c r="H131" i="3"/>
  <c r="H208" i="12" s="1"/>
  <c r="I130" i="3"/>
  <c r="I207" i="12" s="1"/>
  <c r="H130" i="3"/>
  <c r="H207" i="12" s="1"/>
  <c r="I129" i="3"/>
  <c r="I206" i="12" s="1"/>
  <c r="H129" i="3"/>
  <c r="H206" i="12" s="1"/>
  <c r="L128" i="3"/>
  <c r="I127" i="3"/>
  <c r="I205" i="12" s="1"/>
  <c r="H127" i="3"/>
  <c r="H205" i="12" s="1"/>
  <c r="I126" i="3"/>
  <c r="I204" i="12" s="1"/>
  <c r="H126" i="3"/>
  <c r="H204" i="12" s="1"/>
  <c r="I125" i="3"/>
  <c r="I203" i="12" s="1"/>
  <c r="H125" i="3"/>
  <c r="H203" i="12" s="1"/>
  <c r="I124" i="3"/>
  <c r="I202" i="12" s="1"/>
  <c r="H124" i="3"/>
  <c r="H202" i="12" s="1"/>
  <c r="I123" i="3"/>
  <c r="I201" i="12" s="1"/>
  <c r="H123" i="3"/>
  <c r="L122" i="3"/>
  <c r="I121" i="3"/>
  <c r="I200" i="12" s="1"/>
  <c r="H121" i="3"/>
  <c r="L121" i="3" s="1"/>
  <c r="I120" i="3"/>
  <c r="I199" i="12" s="1"/>
  <c r="H120" i="3"/>
  <c r="H199" i="12" s="1"/>
  <c r="I119" i="3"/>
  <c r="I198" i="12" s="1"/>
  <c r="H119" i="3"/>
  <c r="J119" i="3" s="1"/>
  <c r="J198" i="12" s="1"/>
  <c r="I118" i="3"/>
  <c r="I197" i="12" s="1"/>
  <c r="H118" i="3"/>
  <c r="H197" i="12" s="1"/>
  <c r="I116" i="3"/>
  <c r="I196" i="12" s="1"/>
  <c r="H116" i="3"/>
  <c r="I115" i="3"/>
  <c r="I195" i="12" s="1"/>
  <c r="H115" i="3"/>
  <c r="H195" i="12" s="1"/>
  <c r="I114" i="3"/>
  <c r="I194" i="12" s="1"/>
  <c r="H114" i="3"/>
  <c r="H194" i="12" s="1"/>
  <c r="I113" i="3"/>
  <c r="I193" i="12" s="1"/>
  <c r="H113" i="3"/>
  <c r="H193" i="12" s="1"/>
  <c r="I112" i="3"/>
  <c r="I192" i="12" s="1"/>
  <c r="H112" i="3"/>
  <c r="H192" i="12" s="1"/>
  <c r="I111" i="3"/>
  <c r="I191" i="12" s="1"/>
  <c r="H111" i="3"/>
  <c r="H191" i="12" s="1"/>
  <c r="I110" i="3"/>
  <c r="I190" i="12" s="1"/>
  <c r="H110" i="3"/>
  <c r="H190" i="12" s="1"/>
  <c r="I109" i="3"/>
  <c r="H109" i="3"/>
  <c r="H189" i="12" s="1"/>
  <c r="L101" i="3"/>
  <c r="I186" i="12"/>
  <c r="H186" i="12"/>
  <c r="I331" i="3"/>
  <c r="I185" i="12" s="1"/>
  <c r="H331" i="3"/>
  <c r="H185" i="12" s="1"/>
  <c r="I330" i="3"/>
  <c r="I184" i="12" s="1"/>
  <c r="H330" i="3"/>
  <c r="H184" i="12" s="1"/>
  <c r="I329" i="3"/>
  <c r="I183" i="12" s="1"/>
  <c r="H329" i="3"/>
  <c r="H183" i="12" s="1"/>
  <c r="I328" i="3"/>
  <c r="I182" i="12" s="1"/>
  <c r="H328" i="3"/>
  <c r="H182" i="12" s="1"/>
  <c r="I327" i="3"/>
  <c r="I181" i="12" s="1"/>
  <c r="H327" i="3"/>
  <c r="H181" i="12" s="1"/>
  <c r="I326" i="3"/>
  <c r="I180" i="12" s="1"/>
  <c r="H326" i="3"/>
  <c r="H180" i="12" s="1"/>
  <c r="I325" i="3"/>
  <c r="I179" i="12" s="1"/>
  <c r="H325" i="3"/>
  <c r="H179" i="12" s="1"/>
  <c r="I324" i="3"/>
  <c r="I178" i="12" s="1"/>
  <c r="H324" i="3"/>
  <c r="H178" i="12" s="1"/>
  <c r="L323" i="3"/>
  <c r="I322" i="3"/>
  <c r="I177" i="12" s="1"/>
  <c r="H322" i="3"/>
  <c r="H177" i="12" s="1"/>
  <c r="I321" i="3"/>
  <c r="I176" i="12" s="1"/>
  <c r="H321" i="3"/>
  <c r="H176" i="12" s="1"/>
  <c r="I320" i="3"/>
  <c r="I175" i="12" s="1"/>
  <c r="H320" i="3"/>
  <c r="H175" i="12" s="1"/>
  <c r="I319" i="3"/>
  <c r="I174" i="12" s="1"/>
  <c r="H319" i="3"/>
  <c r="H174" i="12" s="1"/>
  <c r="I318" i="3"/>
  <c r="I173" i="12" s="1"/>
  <c r="H318" i="3"/>
  <c r="H173" i="12" s="1"/>
  <c r="I317" i="3"/>
  <c r="I172" i="12" s="1"/>
  <c r="H317" i="3"/>
  <c r="H172" i="12" s="1"/>
  <c r="I171" i="12"/>
  <c r="H171" i="12"/>
  <c r="L315" i="3"/>
  <c r="I314" i="3"/>
  <c r="I170" i="12" s="1"/>
  <c r="H314" i="3"/>
  <c r="H170" i="12" s="1"/>
  <c r="I313" i="3"/>
  <c r="I169" i="12" s="1"/>
  <c r="H313" i="3"/>
  <c r="H169" i="12" s="1"/>
  <c r="I312" i="3"/>
  <c r="I168" i="12" s="1"/>
  <c r="H312" i="3"/>
  <c r="H168" i="12" s="1"/>
  <c r="I311" i="3"/>
  <c r="I167" i="12" s="1"/>
  <c r="H311" i="3"/>
  <c r="H167" i="12" s="1"/>
  <c r="I310" i="3"/>
  <c r="I166" i="12" s="1"/>
  <c r="H310" i="3"/>
  <c r="H166" i="12" s="1"/>
  <c r="L309" i="3"/>
  <c r="I308" i="3"/>
  <c r="I165" i="12" s="1"/>
  <c r="H308" i="3"/>
  <c r="H165" i="12" s="1"/>
  <c r="I307" i="3"/>
  <c r="I164" i="12" s="1"/>
  <c r="H307" i="3"/>
  <c r="H164" i="12" s="1"/>
  <c r="I306" i="3"/>
  <c r="I163" i="12" s="1"/>
  <c r="H306" i="3"/>
  <c r="H163" i="12" s="1"/>
  <c r="I305" i="3"/>
  <c r="I162" i="12" s="1"/>
  <c r="H305" i="3"/>
  <c r="H162" i="12" s="1"/>
  <c r="I304" i="3"/>
  <c r="I161" i="12" s="1"/>
  <c r="H304" i="3"/>
  <c r="H161" i="12" s="1"/>
  <c r="I303" i="3"/>
  <c r="I160" i="12" s="1"/>
  <c r="H303" i="3"/>
  <c r="H160" i="12" s="1"/>
  <c r="L302" i="3"/>
  <c r="I301" i="3"/>
  <c r="I159" i="12" s="1"/>
  <c r="H301" i="3"/>
  <c r="H159" i="12" s="1"/>
  <c r="I300" i="3"/>
  <c r="I158" i="12" s="1"/>
  <c r="H300" i="3"/>
  <c r="H158" i="12" s="1"/>
  <c r="I299" i="3"/>
  <c r="I157" i="12" s="1"/>
  <c r="H299" i="3"/>
  <c r="H157" i="12" s="1"/>
  <c r="I298" i="3"/>
  <c r="I156" i="12" s="1"/>
  <c r="H298" i="3"/>
  <c r="H156" i="12" s="1"/>
  <c r="I297" i="3"/>
  <c r="I155" i="12" s="1"/>
  <c r="H297" i="3"/>
  <c r="H155" i="12" s="1"/>
  <c r="I296" i="3"/>
  <c r="I154" i="12" s="1"/>
  <c r="H296" i="3"/>
  <c r="H154" i="12" s="1"/>
  <c r="I295" i="3"/>
  <c r="I153" i="12" s="1"/>
  <c r="H295" i="3"/>
  <c r="H153" i="12" s="1"/>
  <c r="I294" i="3"/>
  <c r="I152" i="12" s="1"/>
  <c r="H294" i="3"/>
  <c r="H152" i="12" s="1"/>
  <c r="I293" i="3"/>
  <c r="I151" i="12" s="1"/>
  <c r="H293" i="3"/>
  <c r="H151" i="12" s="1"/>
  <c r="I292" i="3"/>
  <c r="I150" i="12" s="1"/>
  <c r="H292" i="3"/>
  <c r="H150" i="12" s="1"/>
  <c r="I291" i="3"/>
  <c r="I149" i="12" s="1"/>
  <c r="H291" i="3"/>
  <c r="H149" i="12" s="1"/>
  <c r="I290" i="3"/>
  <c r="I148" i="12" s="1"/>
  <c r="H290" i="3"/>
  <c r="H148" i="12" s="1"/>
  <c r="L289" i="3"/>
  <c r="I288" i="3"/>
  <c r="I147" i="12" s="1"/>
  <c r="H288" i="3"/>
  <c r="H147" i="12" s="1"/>
  <c r="I287" i="3"/>
  <c r="I146" i="12" s="1"/>
  <c r="H287" i="3"/>
  <c r="H146" i="12" s="1"/>
  <c r="L286" i="3"/>
  <c r="I285" i="3"/>
  <c r="I145" i="12" s="1"/>
  <c r="H285" i="3"/>
  <c r="H145" i="12" s="1"/>
  <c r="I284" i="3"/>
  <c r="I144" i="12" s="1"/>
  <c r="H284" i="3"/>
  <c r="H144" i="12" s="1"/>
  <c r="I283" i="3"/>
  <c r="I143" i="12" s="1"/>
  <c r="H283" i="3"/>
  <c r="H143" i="12" s="1"/>
  <c r="I282" i="3"/>
  <c r="I142" i="12" s="1"/>
  <c r="H282" i="3"/>
  <c r="H142" i="12" s="1"/>
  <c r="I281" i="3"/>
  <c r="I141" i="12" s="1"/>
  <c r="H281" i="3"/>
  <c r="H141" i="12" s="1"/>
  <c r="I280" i="3"/>
  <c r="I140" i="12" s="1"/>
  <c r="H280" i="3"/>
  <c r="H140" i="12" s="1"/>
  <c r="I279" i="3"/>
  <c r="I139" i="12" s="1"/>
  <c r="H279" i="3"/>
  <c r="H139" i="12" s="1"/>
  <c r="I278" i="3"/>
  <c r="I138" i="12" s="1"/>
  <c r="H278" i="3"/>
  <c r="H138" i="12" s="1"/>
  <c r="I277" i="3"/>
  <c r="I137" i="12" s="1"/>
  <c r="H277" i="3"/>
  <c r="H137" i="12" s="1"/>
  <c r="I276" i="3"/>
  <c r="I136" i="12" s="1"/>
  <c r="H276" i="3"/>
  <c r="H136" i="12" s="1"/>
  <c r="I275" i="3"/>
  <c r="I135" i="12" s="1"/>
  <c r="H275" i="3"/>
  <c r="H135" i="12" s="1"/>
  <c r="I274" i="3"/>
  <c r="I134" i="12" s="1"/>
  <c r="H274" i="3"/>
  <c r="H134" i="12" s="1"/>
  <c r="L273" i="3"/>
  <c r="I272" i="3"/>
  <c r="I133" i="12" s="1"/>
  <c r="H272" i="3"/>
  <c r="H133" i="12" s="1"/>
  <c r="I271" i="3"/>
  <c r="I132" i="12" s="1"/>
  <c r="H271" i="3"/>
  <c r="H132" i="12" s="1"/>
  <c r="I270" i="3"/>
  <c r="I131" i="12" s="1"/>
  <c r="H270" i="3"/>
  <c r="H131" i="12" s="1"/>
  <c r="I269" i="3"/>
  <c r="I130" i="12" s="1"/>
  <c r="H269" i="3"/>
  <c r="H130" i="12" s="1"/>
  <c r="I268" i="3"/>
  <c r="I129" i="12" s="1"/>
  <c r="H268" i="3"/>
  <c r="H129" i="12" s="1"/>
  <c r="I267" i="3"/>
  <c r="I128" i="12" s="1"/>
  <c r="H267" i="3"/>
  <c r="H128" i="12" s="1"/>
  <c r="I266" i="3"/>
  <c r="I127" i="12" s="1"/>
  <c r="H266" i="3"/>
  <c r="H127" i="12" s="1"/>
  <c r="L265" i="3"/>
  <c r="I264" i="3"/>
  <c r="I126" i="12" s="1"/>
  <c r="H264" i="3"/>
  <c r="H126" i="12" s="1"/>
  <c r="I263" i="3"/>
  <c r="I125" i="12" s="1"/>
  <c r="H263" i="3"/>
  <c r="H125" i="12" s="1"/>
  <c r="I262" i="3"/>
  <c r="I124" i="12" s="1"/>
  <c r="H262" i="3"/>
  <c r="H124" i="12" s="1"/>
  <c r="I261" i="3"/>
  <c r="I123" i="12" s="1"/>
  <c r="H261" i="3"/>
  <c r="H123" i="12" s="1"/>
  <c r="I260" i="3"/>
  <c r="I122" i="12" s="1"/>
  <c r="H260" i="3"/>
  <c r="H122" i="12" s="1"/>
  <c r="I259" i="3"/>
  <c r="I121" i="12" s="1"/>
  <c r="H259" i="3"/>
  <c r="H121" i="12" s="1"/>
  <c r="I258" i="3"/>
  <c r="I120" i="12" s="1"/>
  <c r="H258" i="3"/>
  <c r="H120" i="12" s="1"/>
  <c r="I257" i="3"/>
  <c r="I119" i="12" s="1"/>
  <c r="H257" i="3"/>
  <c r="H119" i="12" s="1"/>
  <c r="I256" i="3"/>
  <c r="I118" i="12" s="1"/>
  <c r="H256" i="3"/>
  <c r="H118" i="12" s="1"/>
  <c r="L255" i="3"/>
  <c r="I254" i="3"/>
  <c r="I117" i="12" s="1"/>
  <c r="H254" i="3"/>
  <c r="H117" i="12" s="1"/>
  <c r="I253" i="3"/>
  <c r="I116" i="12" s="1"/>
  <c r="H253" i="3"/>
  <c r="H116" i="12" s="1"/>
  <c r="I252" i="3"/>
  <c r="I115" i="12" s="1"/>
  <c r="H252" i="3"/>
  <c r="H115" i="12" s="1"/>
  <c r="I251" i="3"/>
  <c r="I114" i="12" s="1"/>
  <c r="H251" i="3"/>
  <c r="H114" i="12" s="1"/>
  <c r="I250" i="3"/>
  <c r="I113" i="12" s="1"/>
  <c r="H250" i="3"/>
  <c r="H113" i="12" s="1"/>
  <c r="I249" i="3"/>
  <c r="I112" i="12" s="1"/>
  <c r="H249" i="3"/>
  <c r="H112" i="12" s="1"/>
  <c r="I248" i="3"/>
  <c r="I111" i="12" s="1"/>
  <c r="H248" i="3"/>
  <c r="H111" i="12" s="1"/>
  <c r="L247" i="3"/>
  <c r="I246" i="3"/>
  <c r="I110" i="12" s="1"/>
  <c r="H246" i="3"/>
  <c r="H110" i="12" s="1"/>
  <c r="I245" i="3"/>
  <c r="I109" i="12" s="1"/>
  <c r="H245" i="3"/>
  <c r="H109" i="12" s="1"/>
  <c r="I244" i="3"/>
  <c r="I108" i="12" s="1"/>
  <c r="H244" i="3"/>
  <c r="H108" i="12" s="1"/>
  <c r="I243" i="3"/>
  <c r="I107" i="12" s="1"/>
  <c r="H243" i="3"/>
  <c r="H107" i="12" s="1"/>
  <c r="I242" i="3"/>
  <c r="I106" i="12" s="1"/>
  <c r="H242" i="3"/>
  <c r="H106" i="12" s="1"/>
  <c r="I241" i="3"/>
  <c r="I105" i="12" s="1"/>
  <c r="H241" i="3"/>
  <c r="H105" i="12" s="1"/>
  <c r="L240" i="3"/>
  <c r="I239" i="3"/>
  <c r="I104" i="12" s="1"/>
  <c r="H239" i="3"/>
  <c r="H104" i="12" s="1"/>
  <c r="I238" i="3"/>
  <c r="I103" i="12" s="1"/>
  <c r="H238" i="3"/>
  <c r="H103" i="12" s="1"/>
  <c r="L237" i="3"/>
  <c r="I236" i="3"/>
  <c r="I102" i="12" s="1"/>
  <c r="H236" i="3"/>
  <c r="H102" i="12" s="1"/>
  <c r="I235" i="3"/>
  <c r="I101" i="12" s="1"/>
  <c r="H235" i="3"/>
  <c r="H101" i="12" s="1"/>
  <c r="I234" i="3"/>
  <c r="H234" i="3"/>
  <c r="H100" i="12" s="1"/>
  <c r="L233" i="3"/>
  <c r="I232" i="3"/>
  <c r="I99" i="12" s="1"/>
  <c r="H232" i="3"/>
  <c r="H99" i="12" s="1"/>
  <c r="I231" i="3"/>
  <c r="I98" i="12" s="1"/>
  <c r="H231" i="3"/>
  <c r="H98" i="12" s="1"/>
  <c r="I230" i="3"/>
  <c r="I97" i="12" s="1"/>
  <c r="H230" i="3"/>
  <c r="H97" i="12" s="1"/>
  <c r="I229" i="3"/>
  <c r="I96" i="12" s="1"/>
  <c r="H229" i="3"/>
  <c r="H96" i="12" s="1"/>
  <c r="I228" i="3"/>
  <c r="I95" i="12" s="1"/>
  <c r="H228" i="3"/>
  <c r="H95" i="12" s="1"/>
  <c r="I227" i="3"/>
  <c r="I94" i="12" s="1"/>
  <c r="H227" i="3"/>
  <c r="H94" i="12" s="1"/>
  <c r="I226" i="3"/>
  <c r="I93" i="12" s="1"/>
  <c r="H226" i="3"/>
  <c r="H93" i="12" s="1"/>
  <c r="I225" i="3"/>
  <c r="I92" i="12" s="1"/>
  <c r="H225" i="3"/>
  <c r="H92" i="12" s="1"/>
  <c r="I91" i="12"/>
  <c r="H91" i="12"/>
  <c r="I212" i="3"/>
  <c r="I90" i="12" s="1"/>
  <c r="H212" i="3"/>
  <c r="H90" i="12" s="1"/>
  <c r="L211" i="3"/>
  <c r="L210" i="3"/>
  <c r="I100" i="3"/>
  <c r="I89" i="12" s="1"/>
  <c r="H100" i="3"/>
  <c r="H89" i="12" s="1"/>
  <c r="I99" i="3"/>
  <c r="I88" i="12" s="1"/>
  <c r="H99" i="3"/>
  <c r="H88" i="12" s="1"/>
  <c r="I98" i="3"/>
  <c r="I87" i="12" s="1"/>
  <c r="H98" i="3"/>
  <c r="H87" i="12" s="1"/>
  <c r="I97" i="3"/>
  <c r="I86" i="12" s="1"/>
  <c r="H97" i="3"/>
  <c r="H86" i="12" s="1"/>
  <c r="L96" i="3"/>
  <c r="I95" i="3"/>
  <c r="I85" i="12" s="1"/>
  <c r="H95" i="3"/>
  <c r="H85" i="12" s="1"/>
  <c r="I94" i="3"/>
  <c r="I84" i="12" s="1"/>
  <c r="H94" i="3"/>
  <c r="H84" i="12" s="1"/>
  <c r="I93" i="3"/>
  <c r="I83" i="12" s="1"/>
  <c r="H93" i="3"/>
  <c r="H83" i="12" s="1"/>
  <c r="L92" i="3"/>
  <c r="I91" i="3"/>
  <c r="I82" i="12" s="1"/>
  <c r="H91" i="3"/>
  <c r="H82" i="12" s="1"/>
  <c r="I90" i="3"/>
  <c r="I81" i="12" s="1"/>
  <c r="H90" i="3"/>
  <c r="H81" i="12" s="1"/>
  <c r="I89" i="3"/>
  <c r="I80" i="12" s="1"/>
  <c r="H89" i="3"/>
  <c r="H80" i="12" s="1"/>
  <c r="I88" i="3"/>
  <c r="I79" i="12" s="1"/>
  <c r="H88" i="3"/>
  <c r="H79" i="12" s="1"/>
  <c r="I87" i="3"/>
  <c r="I78" i="12" s="1"/>
  <c r="H87" i="3"/>
  <c r="H78" i="12" s="1"/>
  <c r="L86" i="3"/>
  <c r="I85" i="3"/>
  <c r="I77" i="12" s="1"/>
  <c r="H85" i="3"/>
  <c r="H77" i="12" s="1"/>
  <c r="I84" i="3"/>
  <c r="I76" i="12" s="1"/>
  <c r="H84" i="3"/>
  <c r="H76" i="12" s="1"/>
  <c r="I83" i="3"/>
  <c r="I75" i="12" s="1"/>
  <c r="H83" i="3"/>
  <c r="H75" i="12" s="1"/>
  <c r="I82" i="3"/>
  <c r="I74" i="12" s="1"/>
  <c r="H82" i="3"/>
  <c r="H74" i="12" s="1"/>
  <c r="I81" i="3"/>
  <c r="I73" i="12" s="1"/>
  <c r="H81" i="3"/>
  <c r="H73" i="12" s="1"/>
  <c r="I80" i="3"/>
  <c r="I72" i="12" s="1"/>
  <c r="H80" i="3"/>
  <c r="H72" i="12" s="1"/>
  <c r="I79" i="3"/>
  <c r="I71" i="12" s="1"/>
  <c r="H79" i="3"/>
  <c r="H71" i="12" s="1"/>
  <c r="I78" i="3"/>
  <c r="I70" i="12" s="1"/>
  <c r="H78" i="3"/>
  <c r="H70" i="12" s="1"/>
  <c r="I77" i="3"/>
  <c r="I69" i="12" s="1"/>
  <c r="H77" i="3"/>
  <c r="H69" i="12" s="1"/>
  <c r="I76" i="3"/>
  <c r="I68" i="12" s="1"/>
  <c r="H76" i="3"/>
  <c r="H68" i="12" s="1"/>
  <c r="L75" i="3"/>
  <c r="L74" i="3"/>
  <c r="I73" i="3"/>
  <c r="I67" i="12" s="1"/>
  <c r="H73" i="3"/>
  <c r="H67" i="12" s="1"/>
  <c r="I72" i="3"/>
  <c r="I66" i="12" s="1"/>
  <c r="H72" i="3"/>
  <c r="H66" i="12" s="1"/>
  <c r="I71" i="3"/>
  <c r="I65" i="12" s="1"/>
  <c r="H71" i="3"/>
  <c r="H65" i="12" s="1"/>
  <c r="I70" i="3"/>
  <c r="I64" i="12" s="1"/>
  <c r="H70" i="3"/>
  <c r="H64" i="12" s="1"/>
  <c r="I69" i="3"/>
  <c r="I63" i="12" s="1"/>
  <c r="H69" i="3"/>
  <c r="H63" i="12" s="1"/>
  <c r="I68" i="3"/>
  <c r="I62" i="12" s="1"/>
  <c r="H68" i="3"/>
  <c r="H62" i="12" s="1"/>
  <c r="I67" i="3"/>
  <c r="I61" i="12" s="1"/>
  <c r="H67" i="3"/>
  <c r="H61" i="12" s="1"/>
  <c r="I66" i="3"/>
  <c r="I60" i="12" s="1"/>
  <c r="H66" i="3"/>
  <c r="H60" i="12" s="1"/>
  <c r="I65" i="3"/>
  <c r="I59" i="12" s="1"/>
  <c r="H65" i="3"/>
  <c r="H59" i="12" s="1"/>
  <c r="I64" i="3"/>
  <c r="I58" i="12" s="1"/>
  <c r="H64" i="3"/>
  <c r="H58" i="12" s="1"/>
  <c r="I63" i="3"/>
  <c r="I57" i="12" s="1"/>
  <c r="H63" i="3"/>
  <c r="H57" i="12" s="1"/>
  <c r="I62" i="3"/>
  <c r="I56" i="12" s="1"/>
  <c r="H62" i="3"/>
  <c r="H56" i="12" s="1"/>
  <c r="L61" i="3"/>
  <c r="I55" i="12"/>
  <c r="H55" i="12"/>
  <c r="I56" i="3"/>
  <c r="H56" i="3"/>
  <c r="H54" i="12" s="1"/>
  <c r="L55" i="3"/>
  <c r="I54" i="3"/>
  <c r="I53" i="12" s="1"/>
  <c r="H54" i="3"/>
  <c r="H53" i="12" s="1"/>
  <c r="I53" i="3"/>
  <c r="I52" i="12" s="1"/>
  <c r="H53" i="3"/>
  <c r="H52" i="12" s="1"/>
  <c r="I52" i="3"/>
  <c r="I51" i="12" s="1"/>
  <c r="H52" i="3"/>
  <c r="H51" i="12" s="1"/>
  <c r="I51" i="3"/>
  <c r="I50" i="12" s="1"/>
  <c r="H51" i="3"/>
  <c r="H50" i="12" s="1"/>
  <c r="I50" i="3"/>
  <c r="I49" i="12" s="1"/>
  <c r="H50" i="3"/>
  <c r="H49" i="12" s="1"/>
  <c r="I49" i="3"/>
  <c r="I48" i="12" s="1"/>
  <c r="H49" i="3"/>
  <c r="H48" i="12" s="1"/>
  <c r="I48" i="3"/>
  <c r="I47" i="12" s="1"/>
  <c r="H48" i="3"/>
  <c r="H47" i="12" s="1"/>
  <c r="I47" i="3"/>
  <c r="I46" i="12" s="1"/>
  <c r="H47" i="3"/>
  <c r="H46" i="12" s="1"/>
  <c r="L46" i="3"/>
  <c r="I45" i="3"/>
  <c r="I45" i="12" s="1"/>
  <c r="H45" i="3"/>
  <c r="H45" i="12" s="1"/>
  <c r="I44" i="3"/>
  <c r="I44" i="12" s="1"/>
  <c r="H44" i="3"/>
  <c r="H44" i="12" s="1"/>
  <c r="I43" i="3"/>
  <c r="I43" i="12" s="1"/>
  <c r="H43" i="3"/>
  <c r="H43" i="12" s="1"/>
  <c r="I42" i="3"/>
  <c r="I42" i="12" s="1"/>
  <c r="H42" i="3"/>
  <c r="H42" i="12" s="1"/>
  <c r="I41" i="3"/>
  <c r="I41" i="12" s="1"/>
  <c r="H41" i="3"/>
  <c r="H41" i="12" s="1"/>
  <c r="L40" i="3"/>
  <c r="I39" i="3"/>
  <c r="I40" i="12" s="1"/>
  <c r="H39" i="3"/>
  <c r="H40" i="12" s="1"/>
  <c r="I38" i="3"/>
  <c r="I39" i="12" s="1"/>
  <c r="H38" i="3"/>
  <c r="H39" i="12" s="1"/>
  <c r="I37" i="3"/>
  <c r="H37" i="3"/>
  <c r="H38" i="12" s="1"/>
  <c r="L35" i="3"/>
  <c r="I354" i="12"/>
  <c r="H354" i="12"/>
  <c r="I353" i="12"/>
  <c r="H353" i="12"/>
  <c r="I352" i="12"/>
  <c r="H352" i="12"/>
  <c r="I349" i="12"/>
  <c r="H349" i="12"/>
  <c r="I348" i="12"/>
  <c r="H348" i="12"/>
  <c r="I347" i="12"/>
  <c r="H347" i="12"/>
  <c r="I346" i="12"/>
  <c r="H346" i="12"/>
  <c r="I345" i="12"/>
  <c r="H345" i="12"/>
  <c r="I344" i="12"/>
  <c r="H344" i="12"/>
  <c r="I343" i="12"/>
  <c r="H343" i="12"/>
  <c r="I35" i="12"/>
  <c r="H34" i="3"/>
  <c r="H35" i="12" s="1"/>
  <c r="I34" i="12"/>
  <c r="H33" i="3"/>
  <c r="H34" i="12" s="1"/>
  <c r="I33" i="12"/>
  <c r="H32" i="3"/>
  <c r="H33" i="12" s="1"/>
  <c r="I32" i="12"/>
  <c r="H31" i="3"/>
  <c r="H32" i="12" s="1"/>
  <c r="I31" i="12"/>
  <c r="H30" i="3"/>
  <c r="H31" i="12" s="1"/>
  <c r="I30" i="12"/>
  <c r="H29" i="3"/>
  <c r="H30" i="12" s="1"/>
  <c r="I29" i="12"/>
  <c r="H28" i="3"/>
  <c r="H29" i="12" s="1"/>
  <c r="I28" i="12"/>
  <c r="H25" i="3"/>
  <c r="H28" i="12" s="1"/>
  <c r="I27" i="12"/>
  <c r="H24" i="3"/>
  <c r="H27" i="12" s="1"/>
  <c r="I26" i="12"/>
  <c r="H23" i="3"/>
  <c r="H26" i="12" s="1"/>
  <c r="I25" i="12"/>
  <c r="H22" i="3"/>
  <c r="H25" i="12" s="1"/>
  <c r="I21" i="3"/>
  <c r="I24" i="12" s="1"/>
  <c r="H21" i="3"/>
  <c r="H24" i="12" s="1"/>
  <c r="L20" i="3"/>
  <c r="L19" i="3"/>
  <c r="I18" i="3"/>
  <c r="I15" i="12" s="1"/>
  <c r="H18" i="3"/>
  <c r="H15" i="12" s="1"/>
  <c r="I17" i="3"/>
  <c r="I14" i="12" s="1"/>
  <c r="H17" i="3"/>
  <c r="H14" i="12" s="1"/>
  <c r="I16" i="3"/>
  <c r="I13" i="12" s="1"/>
  <c r="H16" i="3"/>
  <c r="H13" i="12" s="1"/>
  <c r="I15" i="3"/>
  <c r="I12" i="12" s="1"/>
  <c r="H15" i="3"/>
  <c r="H12" i="12" s="1"/>
  <c r="I14" i="3"/>
  <c r="I11" i="12" s="1"/>
  <c r="H14" i="3"/>
  <c r="H11" i="12" s="1"/>
  <c r="I13" i="3"/>
  <c r="I10" i="12" s="1"/>
  <c r="H13" i="3"/>
  <c r="H10" i="12" s="1"/>
  <c r="I11" i="3"/>
  <c r="I9" i="12" s="1"/>
  <c r="H11" i="3"/>
  <c r="H9" i="12" s="1"/>
  <c r="I9" i="3"/>
  <c r="I8" i="12" s="1"/>
  <c r="H9" i="3"/>
  <c r="H8" i="12" s="1"/>
  <c r="P19" i="2"/>
  <c r="O19" i="2"/>
  <c r="N19" i="2"/>
  <c r="M19" i="2"/>
  <c r="L19" i="2"/>
  <c r="K19" i="2"/>
  <c r="I19" i="2"/>
  <c r="D19" i="2"/>
  <c r="Q18" i="2"/>
  <c r="P17" i="2"/>
  <c r="O17" i="2"/>
  <c r="N17" i="2"/>
  <c r="L17" i="2"/>
  <c r="K17" i="2"/>
  <c r="J17" i="2"/>
  <c r="I17" i="2"/>
  <c r="H17" i="2"/>
  <c r="G17" i="2"/>
  <c r="F17" i="2"/>
  <c r="E17" i="2"/>
  <c r="D17" i="2"/>
  <c r="Q16" i="2"/>
  <c r="P15" i="2"/>
  <c r="O15" i="2"/>
  <c r="N15" i="2"/>
  <c r="M15" i="2"/>
  <c r="L15" i="2"/>
  <c r="K15" i="2"/>
  <c r="I15" i="2"/>
  <c r="D15" i="2"/>
  <c r="Q14" i="2"/>
  <c r="P13" i="2"/>
  <c r="I13" i="2"/>
  <c r="D13" i="2"/>
  <c r="Q12" i="2"/>
  <c r="P11" i="2"/>
  <c r="O11" i="2"/>
  <c r="N11" i="2"/>
  <c r="M11" i="2"/>
  <c r="L11" i="2"/>
  <c r="K11" i="2"/>
  <c r="J11" i="2"/>
  <c r="I11" i="2"/>
  <c r="H11" i="2"/>
  <c r="G11" i="2"/>
  <c r="F11" i="2"/>
  <c r="E11" i="2"/>
  <c r="Q10" i="2"/>
  <c r="I9" i="2"/>
  <c r="Q8" i="2"/>
  <c r="H24" i="6" l="1"/>
  <c r="H25" i="6" s="1"/>
  <c r="H27" i="6" s="1"/>
  <c r="H28" i="6" s="1"/>
  <c r="H208" i="6"/>
  <c r="H236" i="6"/>
  <c r="H570" i="6"/>
  <c r="H42" i="6"/>
  <c r="H470" i="6"/>
  <c r="H335" i="6"/>
  <c r="H87" i="6"/>
  <c r="H417" i="6"/>
  <c r="H293" i="6"/>
  <c r="H508" i="6"/>
  <c r="H626" i="6"/>
  <c r="H367" i="6"/>
  <c r="H348" i="6"/>
  <c r="H349" i="6" s="1"/>
  <c r="H351" i="6" s="1"/>
  <c r="H359" i="6" s="1"/>
  <c r="H383" i="6"/>
  <c r="D61" i="4"/>
  <c r="H67" i="6"/>
  <c r="H68" i="6" s="1"/>
  <c r="H70" i="6" s="1"/>
  <c r="H126" i="6"/>
  <c r="H546" i="6"/>
  <c r="H578" i="6"/>
  <c r="H579" i="6" s="1"/>
  <c r="H581" i="6" s="1"/>
  <c r="H585" i="6" s="1"/>
  <c r="H693" i="6"/>
  <c r="H694" i="6" s="1"/>
  <c r="H696" i="6" s="1"/>
  <c r="L76" i="7"/>
  <c r="L83" i="7" s="1"/>
  <c r="L2471" i="7"/>
  <c r="L2472" i="7" s="1"/>
  <c r="L2474" i="7" s="1"/>
  <c r="L601" i="8"/>
  <c r="L704" i="8"/>
  <c r="L705" i="8" s="1"/>
  <c r="L707" i="8" s="1"/>
  <c r="L879" i="8"/>
  <c r="L880" i="8" s="1"/>
  <c r="L882" i="8" s="1"/>
  <c r="L1128" i="8"/>
  <c r="L1129" i="8" s="1"/>
  <c r="L1131" i="8" s="1"/>
  <c r="L1577" i="8"/>
  <c r="L1777" i="8"/>
  <c r="L1911" i="8"/>
  <c r="L1975" i="8"/>
  <c r="L2297" i="8"/>
  <c r="L2298" i="8" s="1"/>
  <c r="L2381" i="8"/>
  <c r="H278" i="6"/>
  <c r="H374" i="6"/>
  <c r="H719" i="6"/>
  <c r="L1300" i="7"/>
  <c r="L1653" i="7"/>
  <c r="L1724" i="7"/>
  <c r="L1725" i="7" s="1"/>
  <c r="L1727" i="7" s="1"/>
  <c r="L1731" i="7" s="1"/>
  <c r="L1732" i="7" s="1"/>
  <c r="L217" i="8"/>
  <c r="L1336" i="8"/>
  <c r="L1337" i="8" s="1"/>
  <c r="L1339" i="8" s="1"/>
  <c r="L1340" i="8" s="1"/>
  <c r="L1341" i="8" s="1"/>
  <c r="L1559" i="8"/>
  <c r="L1584" i="8"/>
  <c r="L1585" i="8" s="1"/>
  <c r="L1587" i="8" s="1"/>
  <c r="L1640" i="8"/>
  <c r="L1641" i="8" s="1"/>
  <c r="L1643" i="8" s="1"/>
  <c r="L1938" i="8"/>
  <c r="L2118" i="8"/>
  <c r="L2119" i="8" s="1"/>
  <c r="L2121" i="8" s="1"/>
  <c r="D1923" i="4"/>
  <c r="D1925" i="4" s="1"/>
  <c r="L103" i="7"/>
  <c r="L135" i="7"/>
  <c r="L261" i="7"/>
  <c r="L266" i="7" s="1"/>
  <c r="L438" i="7"/>
  <c r="L1200" i="7"/>
  <c r="L1201" i="7" s="1"/>
  <c r="L324" i="8"/>
  <c r="L325" i="8" s="1"/>
  <c r="L327" i="8" s="1"/>
  <c r="L328" i="8" s="1"/>
  <c r="L820" i="8"/>
  <c r="L821" i="8" s="1"/>
  <c r="L823" i="8" s="1"/>
  <c r="L943" i="8"/>
  <c r="L1308" i="8"/>
  <c r="L1309" i="8" s="1"/>
  <c r="L1852" i="8"/>
  <c r="L1853" i="8" s="1"/>
  <c r="L1855" i="8" s="1"/>
  <c r="L1859" i="8" s="1"/>
  <c r="L1860" i="8" s="1"/>
  <c r="L1886" i="8"/>
  <c r="L2391" i="8"/>
  <c r="L2541" i="8"/>
  <c r="H220" i="6"/>
  <c r="H251" i="6"/>
  <c r="H559" i="6"/>
  <c r="L265" i="7"/>
  <c r="L675" i="7"/>
  <c r="L676" i="7" s="1"/>
  <c r="L1244" i="7"/>
  <c r="L2273" i="7"/>
  <c r="L2274" i="7" s="1"/>
  <c r="L2276" i="7" s="1"/>
  <c r="L268" i="8"/>
  <c r="L269" i="8" s="1"/>
  <c r="L271" i="8" s="1"/>
  <c r="L272" i="8" s="1"/>
  <c r="L273" i="8" s="1"/>
  <c r="L368" i="8"/>
  <c r="L1006" i="8"/>
  <c r="L1047" i="8"/>
  <c r="L1535" i="8"/>
  <c r="L1788" i="8"/>
  <c r="L1789" i="8" s="1"/>
  <c r="L1986" i="8"/>
  <c r="L1987" i="8" s="1"/>
  <c r="L1989" i="8" s="1"/>
  <c r="L2152" i="8"/>
  <c r="L2277" i="8"/>
  <c r="L2278" i="8" s="1"/>
  <c r="L2280" i="8" s="1"/>
  <c r="H143" i="6"/>
  <c r="H410" i="6"/>
  <c r="H411" i="6" s="1"/>
  <c r="H413" i="6" s="1"/>
  <c r="H437" i="6"/>
  <c r="H466" i="6"/>
  <c r="L2495" i="7"/>
  <c r="L2496" i="7" s="1"/>
  <c r="L1890" i="8"/>
  <c r="L2129" i="8"/>
  <c r="L2196" i="8"/>
  <c r="L2228" i="8"/>
  <c r="H607" i="6"/>
  <c r="H673" i="6"/>
  <c r="L792" i="7"/>
  <c r="L826" i="7"/>
  <c r="L231" i="8"/>
  <c r="L232" i="8" s="1"/>
  <c r="L234" i="8" s="1"/>
  <c r="L250" i="7"/>
  <c r="L255" i="7" s="1"/>
  <c r="L839" i="7"/>
  <c r="L1467" i="7"/>
  <c r="L1668" i="7"/>
  <c r="L280" i="8"/>
  <c r="L281" i="8" s="1"/>
  <c r="L283" i="8" s="1"/>
  <c r="L284" i="8" s="1"/>
  <c r="L285" i="8" s="1"/>
  <c r="L584" i="8"/>
  <c r="L585" i="8" s="1"/>
  <c r="L587" i="8" s="1"/>
  <c r="L593" i="8" s="1"/>
  <c r="L952" i="8"/>
  <c r="L982" i="8"/>
  <c r="L1198" i="8"/>
  <c r="L1199" i="8" s="1"/>
  <c r="L1201" i="8" s="1"/>
  <c r="L1421" i="8"/>
  <c r="L1572" i="8"/>
  <c r="L1668" i="8"/>
  <c r="L1669" i="8" s="1"/>
  <c r="L1671" i="8" s="1"/>
  <c r="L2166" i="8"/>
  <c r="L2367" i="8"/>
  <c r="L276" i="7"/>
  <c r="L310" i="7"/>
  <c r="L311" i="7" s="1"/>
  <c r="L423" i="7"/>
  <c r="L487" i="7"/>
  <c r="L488" i="7" s="1"/>
  <c r="L1119" i="7"/>
  <c r="L1288" i="7"/>
  <c r="L1289" i="7" s="1"/>
  <c r="L179" i="8"/>
  <c r="L180" i="8" s="1"/>
  <c r="L182" i="8" s="1"/>
  <c r="L341" i="8"/>
  <c r="L513" i="8"/>
  <c r="L514" i="8" s="1"/>
  <c r="L515" i="8" s="1"/>
  <c r="L1251" i="7"/>
  <c r="L1252" i="7" s="1"/>
  <c r="L1345" i="7"/>
  <c r="L1996" i="7"/>
  <c r="L1997" i="7" s="1"/>
  <c r="L246" i="8"/>
  <c r="L448" i="8"/>
  <c r="L449" i="8" s="1"/>
  <c r="L472" i="8"/>
  <c r="L473" i="8" s="1"/>
  <c r="L475" i="8" s="1"/>
  <c r="L731" i="8"/>
  <c r="L732" i="8" s="1"/>
  <c r="L1205" i="8"/>
  <c r="L1243" i="8"/>
  <c r="L1244" i="8" s="1"/>
  <c r="L1246" i="8" s="1"/>
  <c r="L1247" i="8" s="1"/>
  <c r="L1248" i="8" s="1"/>
  <c r="L1513" i="8"/>
  <c r="L1871" i="8"/>
  <c r="L2170" i="8"/>
  <c r="L2521" i="8"/>
  <c r="H232" i="6"/>
  <c r="L2382" i="8"/>
  <c r="L2383" i="8" s="1"/>
  <c r="L2463" i="8"/>
  <c r="L2492" i="8"/>
  <c r="H13" i="6"/>
  <c r="H400" i="6"/>
  <c r="L352" i="7"/>
  <c r="L1447" i="7"/>
  <c r="L1454" i="7" s="1"/>
  <c r="L1600" i="7"/>
  <c r="L1716" i="7"/>
  <c r="L1753" i="7"/>
  <c r="L696" i="8"/>
  <c r="L730" i="8"/>
  <c r="L1285" i="8"/>
  <c r="L1399" i="8"/>
  <c r="L1400" i="8" s="1"/>
  <c r="L1402" i="8" s="1"/>
  <c r="L1517" i="8"/>
  <c r="L1682" i="8"/>
  <c r="L1683" i="8" s="1"/>
  <c r="L1685" i="8" s="1"/>
  <c r="L1689" i="8" s="1"/>
  <c r="L1773" i="8"/>
  <c r="L1778" i="8" s="1"/>
  <c r="I100" i="12"/>
  <c r="I233" i="3"/>
  <c r="I189" i="12"/>
  <c r="I211" i="12" s="1"/>
  <c r="I108" i="3"/>
  <c r="D1870" i="4"/>
  <c r="I38" i="12"/>
  <c r="I36" i="3"/>
  <c r="D3105" i="4"/>
  <c r="D3107" i="4" s="1"/>
  <c r="D2346" i="4"/>
  <c r="D2348" i="4" s="1"/>
  <c r="E1419" i="4"/>
  <c r="D1421" i="4" s="1"/>
  <c r="E236" i="4"/>
  <c r="E1287" i="4"/>
  <c r="F1292" i="4"/>
  <c r="E1332" i="4"/>
  <c r="G1388" i="4"/>
  <c r="F1337" i="4"/>
  <c r="D1710" i="4"/>
  <c r="D1712" i="4" s="1"/>
  <c r="F1257" i="4"/>
  <c r="D883" i="4"/>
  <c r="E799" i="4"/>
  <c r="D801" i="4" s="1"/>
  <c r="D303" i="4"/>
  <c r="D1940" i="4"/>
  <c r="D1942" i="4" s="1"/>
  <c r="E520" i="4"/>
  <c r="D522" i="4" s="1"/>
  <c r="D2887" i="4"/>
  <c r="E169" i="4"/>
  <c r="D171" i="4" s="1"/>
  <c r="D478" i="4"/>
  <c r="D492" i="4" s="1"/>
  <c r="D1960" i="4"/>
  <c r="E88" i="4"/>
  <c r="D103" i="4" s="1"/>
  <c r="E1825" i="4"/>
  <c r="D1831" i="4" s="1"/>
  <c r="E385" i="4"/>
  <c r="D387" i="4" s="1"/>
  <c r="D1127" i="4"/>
  <c r="D1129" i="4" s="1"/>
  <c r="E397" i="4"/>
  <c r="E1674" i="4"/>
  <c r="D1676" i="4" s="1"/>
  <c r="E365" i="4"/>
  <c r="D367" i="4" s="1"/>
  <c r="E444" i="4"/>
  <c r="D446" i="4" s="1"/>
  <c r="G1228" i="4"/>
  <c r="D1230" i="4" s="1"/>
  <c r="D3123" i="4"/>
  <c r="D3125" i="4" s="1"/>
  <c r="F1323" i="4"/>
  <c r="D1325" i="4" s="1"/>
  <c r="E905" i="4"/>
  <c r="D907" i="4" s="1"/>
  <c r="E1590" i="4"/>
  <c r="D1592" i="4" s="1"/>
  <c r="E1721" i="4"/>
  <c r="D1723" i="4" s="1"/>
  <c r="E1781" i="4"/>
  <c r="D1783" i="4" s="1"/>
  <c r="D568" i="4"/>
  <c r="D582" i="4" s="1"/>
  <c r="E1432" i="4"/>
  <c r="D1434" i="4" s="1"/>
  <c r="D1148" i="4"/>
  <c r="D1150" i="4" s="1"/>
  <c r="F1241" i="4"/>
  <c r="D1243" i="4" s="1"/>
  <c r="E1393" i="4"/>
  <c r="D3026" i="4"/>
  <c r="D511" i="4"/>
  <c r="E414" i="4"/>
  <c r="D1864" i="4"/>
  <c r="D427" i="4"/>
  <c r="D1369" i="4"/>
  <c r="I362" i="12"/>
  <c r="I363" i="3"/>
  <c r="I213" i="12"/>
  <c r="I218" i="12" s="1"/>
  <c r="I198" i="3"/>
  <c r="I220" i="12"/>
  <c r="I227" i="12" s="1"/>
  <c r="I151" i="3"/>
  <c r="I54" i="12"/>
  <c r="I55" i="3"/>
  <c r="J353" i="12"/>
  <c r="J37" i="3"/>
  <c r="J226" i="3"/>
  <c r="J93" i="12" s="1"/>
  <c r="J67" i="3"/>
  <c r="J61" i="12" s="1"/>
  <c r="J153" i="3"/>
  <c r="J221" i="12" s="1"/>
  <c r="J262" i="12"/>
  <c r="J229" i="3"/>
  <c r="J96" i="12" s="1"/>
  <c r="J199" i="3"/>
  <c r="J213" i="12" s="1"/>
  <c r="L325" i="3"/>
  <c r="J318" i="3"/>
  <c r="J173" i="12" s="1"/>
  <c r="J245" i="3"/>
  <c r="J109" i="12" s="1"/>
  <c r="L295" i="3"/>
  <c r="J252" i="12"/>
  <c r="J91" i="3"/>
  <c r="J82" i="12" s="1"/>
  <c r="J234" i="3"/>
  <c r="L269" i="3"/>
  <c r="L408" i="3"/>
  <c r="J245" i="12"/>
  <c r="L212" i="3"/>
  <c r="L81" i="3"/>
  <c r="J78" i="3"/>
  <c r="J70" i="12" s="1"/>
  <c r="J285" i="3"/>
  <c r="J145" i="12" s="1"/>
  <c r="J84" i="3"/>
  <c r="J76" i="12" s="1"/>
  <c r="J282" i="3"/>
  <c r="J142" i="12" s="1"/>
  <c r="J354" i="12"/>
  <c r="L319" i="3"/>
  <c r="J365" i="3"/>
  <c r="J363" i="12" s="1"/>
  <c r="L372" i="3"/>
  <c r="J373" i="12"/>
  <c r="J217" i="12"/>
  <c r="J253" i="12"/>
  <c r="J249" i="3"/>
  <c r="J112" i="12" s="1"/>
  <c r="J260" i="3"/>
  <c r="J122" i="12" s="1"/>
  <c r="J33" i="3"/>
  <c r="J34" i="12" s="1"/>
  <c r="J77" i="3"/>
  <c r="J69" i="12" s="1"/>
  <c r="L225" i="3"/>
  <c r="J228" i="3"/>
  <c r="J95" i="12" s="1"/>
  <c r="J246" i="3"/>
  <c r="J110" i="12" s="1"/>
  <c r="L253" i="3"/>
  <c r="J294" i="3"/>
  <c r="J152" i="12" s="1"/>
  <c r="L301" i="3"/>
  <c r="J38" i="3"/>
  <c r="J39" i="12" s="1"/>
  <c r="J30" i="3"/>
  <c r="J31" i="12" s="1"/>
  <c r="L77" i="3"/>
  <c r="J87" i="3"/>
  <c r="J78" i="12" s="1"/>
  <c r="J291" i="3"/>
  <c r="J149" i="12" s="1"/>
  <c r="J313" i="3"/>
  <c r="J169" i="12" s="1"/>
  <c r="J97" i="3"/>
  <c r="J86" i="12" s="1"/>
  <c r="J343" i="12"/>
  <c r="J13" i="3"/>
  <c r="J10" i="12" s="1"/>
  <c r="J31" i="3"/>
  <c r="J32" i="12" s="1"/>
  <c r="J69" i="3"/>
  <c r="J63" i="12" s="1"/>
  <c r="L91" i="3"/>
  <c r="J238" i="3"/>
  <c r="L245" i="3"/>
  <c r="J266" i="3"/>
  <c r="L283" i="3"/>
  <c r="L313" i="3"/>
  <c r="J327" i="3"/>
  <c r="J181" i="12" s="1"/>
  <c r="J367" i="3"/>
  <c r="J365" i="12" s="1"/>
  <c r="J370" i="3"/>
  <c r="J367" i="12" s="1"/>
  <c r="J374" i="12"/>
  <c r="J389" i="3"/>
  <c r="J384" i="12" s="1"/>
  <c r="J402" i="12"/>
  <c r="J34" i="3"/>
  <c r="J35" i="12" s="1"/>
  <c r="J18" i="3"/>
  <c r="J344" i="12"/>
  <c r="L69" i="3"/>
  <c r="J79" i="3"/>
  <c r="J71" i="12" s="1"/>
  <c r="J82" i="3"/>
  <c r="J74" i="12" s="1"/>
  <c r="J85" i="3"/>
  <c r="J77" i="12" s="1"/>
  <c r="J232" i="3"/>
  <c r="J99" i="12" s="1"/>
  <c r="J235" i="3"/>
  <c r="J101" i="12" s="1"/>
  <c r="L277" i="3"/>
  <c r="J300" i="3"/>
  <c r="J158" i="12" s="1"/>
  <c r="L386" i="3"/>
  <c r="L406" i="3"/>
  <c r="J286" i="12"/>
  <c r="J231" i="12"/>
  <c r="J384" i="3"/>
  <c r="J379" i="12" s="1"/>
  <c r="L390" i="3"/>
  <c r="J393" i="3"/>
  <c r="J388" i="12" s="1"/>
  <c r="J70" i="3"/>
  <c r="J64" i="12" s="1"/>
  <c r="J100" i="3"/>
  <c r="J89" i="12" s="1"/>
  <c r="L257" i="3"/>
  <c r="J275" i="3"/>
  <c r="J135" i="12" s="1"/>
  <c r="J278" i="3"/>
  <c r="J138" i="12" s="1"/>
  <c r="J288" i="3"/>
  <c r="J147" i="12" s="1"/>
  <c r="L291" i="3"/>
  <c r="J301" i="3"/>
  <c r="J159" i="12" s="1"/>
  <c r="J312" i="3"/>
  <c r="J168" i="12" s="1"/>
  <c r="J114" i="3"/>
  <c r="J194" i="12" s="1"/>
  <c r="J134" i="3"/>
  <c r="J210" i="12" s="1"/>
  <c r="J202" i="3"/>
  <c r="J216" i="12" s="1"/>
  <c r="J155" i="3"/>
  <c r="J223" i="12" s="1"/>
  <c r="L384" i="3"/>
  <c r="J251" i="12"/>
  <c r="J256" i="12"/>
  <c r="J294" i="12"/>
  <c r="J111" i="3"/>
  <c r="J191" i="12" s="1"/>
  <c r="L79" i="3"/>
  <c r="L235" i="3"/>
  <c r="L134" i="3"/>
  <c r="J29" i="3"/>
  <c r="J30" i="12" s="1"/>
  <c r="J44" i="3"/>
  <c r="J44" i="12" s="1"/>
  <c r="J47" i="3"/>
  <c r="J46" i="12" s="1"/>
  <c r="J65" i="3"/>
  <c r="J59" i="12" s="1"/>
  <c r="J94" i="3"/>
  <c r="J84" i="12" s="1"/>
  <c r="L281" i="3"/>
  <c r="J290" i="3"/>
  <c r="L331" i="3"/>
  <c r="J132" i="3"/>
  <c r="J209" i="12" s="1"/>
  <c r="J226" i="12"/>
  <c r="J233" i="12"/>
  <c r="J191" i="3"/>
  <c r="J237" i="12" s="1"/>
  <c r="J303" i="12"/>
  <c r="J50" i="3"/>
  <c r="J49" i="12" s="1"/>
  <c r="J56" i="3"/>
  <c r="J54" i="12" s="1"/>
  <c r="J62" i="3"/>
  <c r="J56" i="12" s="1"/>
  <c r="J248" i="3"/>
  <c r="J272" i="3"/>
  <c r="J133" i="12" s="1"/>
  <c r="J307" i="3"/>
  <c r="J164" i="12" s="1"/>
  <c r="J9" i="3"/>
  <c r="J21" i="3"/>
  <c r="J24" i="12" s="1"/>
  <c r="J24" i="3"/>
  <c r="J27" i="12" s="1"/>
  <c r="J42" i="3"/>
  <c r="J42" i="12" s="1"/>
  <c r="L44" i="3"/>
  <c r="L56" i="3"/>
  <c r="L65" i="3"/>
  <c r="J230" i="3"/>
  <c r="J97" i="12" s="1"/>
  <c r="J264" i="3"/>
  <c r="J126" i="12" s="1"/>
  <c r="J267" i="3"/>
  <c r="J128" i="12" s="1"/>
  <c r="J284" i="3"/>
  <c r="J144" i="12" s="1"/>
  <c r="L293" i="3"/>
  <c r="L307" i="3"/>
  <c r="L317" i="3"/>
  <c r="J326" i="3"/>
  <c r="J180" i="12" s="1"/>
  <c r="J112" i="3"/>
  <c r="J192" i="12" s="1"/>
  <c r="L132" i="3"/>
  <c r="J257" i="12"/>
  <c r="J260" i="12"/>
  <c r="J318" i="12"/>
  <c r="J334" i="12"/>
  <c r="J345" i="12"/>
  <c r="J348" i="12"/>
  <c r="J39" i="3"/>
  <c r="J40" i="12" s="1"/>
  <c r="L42" i="3"/>
  <c r="J54" i="3"/>
  <c r="J53" i="12" s="1"/>
  <c r="J71" i="3"/>
  <c r="J65" i="12" s="1"/>
  <c r="J89" i="3"/>
  <c r="J80" i="12" s="1"/>
  <c r="J98" i="3"/>
  <c r="J87" i="12" s="1"/>
  <c r="J243" i="3"/>
  <c r="J107" i="12" s="1"/>
  <c r="J252" i="3"/>
  <c r="J115" i="12" s="1"/>
  <c r="J258" i="3"/>
  <c r="J120" i="12" s="1"/>
  <c r="J261" i="3"/>
  <c r="J123" i="12" s="1"/>
  <c r="L267" i="3"/>
  <c r="J270" i="3"/>
  <c r="J131" i="12" s="1"/>
  <c r="J279" i="3"/>
  <c r="J139" i="12" s="1"/>
  <c r="J296" i="3"/>
  <c r="J154" i="12" s="1"/>
  <c r="L305" i="3"/>
  <c r="J320" i="3"/>
  <c r="J175" i="12" s="1"/>
  <c r="L329" i="3"/>
  <c r="L112" i="3"/>
  <c r="J120" i="3"/>
  <c r="J199" i="12" s="1"/>
  <c r="L126" i="3"/>
  <c r="J372" i="3"/>
  <c r="J369" i="12" s="1"/>
  <c r="J201" i="3"/>
  <c r="J215" i="12" s="1"/>
  <c r="L209" i="3"/>
  <c r="L156" i="3"/>
  <c r="L188" i="3"/>
  <c r="J247" i="12"/>
  <c r="J296" i="12"/>
  <c r="J301" i="12"/>
  <c r="J337" i="12"/>
  <c r="L54" i="3"/>
  <c r="L71" i="3"/>
  <c r="L279" i="3"/>
  <c r="J186" i="12"/>
  <c r="L130" i="3"/>
  <c r="L201" i="3"/>
  <c r="L192" i="3"/>
  <c r="J401" i="12"/>
  <c r="J268" i="12"/>
  <c r="J304" i="12"/>
  <c r="J327" i="12"/>
  <c r="J11" i="3"/>
  <c r="J9" i="12" s="1"/>
  <c r="J15" i="3"/>
  <c r="J12" i="12" s="1"/>
  <c r="J22" i="3"/>
  <c r="J25" i="12" s="1"/>
  <c r="J43" i="3"/>
  <c r="J43" i="12" s="1"/>
  <c r="J49" i="3"/>
  <c r="J48" i="12" s="1"/>
  <c r="J52" i="3"/>
  <c r="J51" i="12" s="1"/>
  <c r="J64" i="3"/>
  <c r="J58" i="12" s="1"/>
  <c r="L87" i="3"/>
  <c r="L93" i="3"/>
  <c r="J212" i="3"/>
  <c r="J241" i="3"/>
  <c r="J253" i="3"/>
  <c r="J116" i="12" s="1"/>
  <c r="L271" i="3"/>
  <c r="J297" i="3"/>
  <c r="J155" i="12" s="1"/>
  <c r="J303" i="3"/>
  <c r="J306" i="3"/>
  <c r="J163" i="12" s="1"/>
  <c r="J321" i="3"/>
  <c r="J176" i="12" s="1"/>
  <c r="L327" i="3"/>
  <c r="J330" i="3"/>
  <c r="J184" i="12" s="1"/>
  <c r="J124" i="3"/>
  <c r="J202" i="12" s="1"/>
  <c r="J350" i="3"/>
  <c r="J357" i="12" s="1"/>
  <c r="L370" i="3"/>
  <c r="L199" i="3"/>
  <c r="J157" i="3"/>
  <c r="J225" i="12" s="1"/>
  <c r="J232" i="12"/>
  <c r="J386" i="3"/>
  <c r="J381" i="12" s="1"/>
  <c r="J248" i="12"/>
  <c r="J404" i="12"/>
  <c r="J266" i="12"/>
  <c r="J288" i="12"/>
  <c r="J14" i="3"/>
  <c r="J11" i="12" s="1"/>
  <c r="J23" i="3"/>
  <c r="J26" i="12" s="1"/>
  <c r="L30" i="3"/>
  <c r="J349" i="12"/>
  <c r="L38" i="3"/>
  <c r="J41" i="3"/>
  <c r="J41" i="12" s="1"/>
  <c r="J53" i="3"/>
  <c r="J52" i="12" s="1"/>
  <c r="J68" i="3"/>
  <c r="J62" i="12" s="1"/>
  <c r="J76" i="3"/>
  <c r="J68" i="12" s="1"/>
  <c r="J83" i="3"/>
  <c r="J75" i="12" s="1"/>
  <c r="L85" i="3"/>
  <c r="J90" i="3"/>
  <c r="J81" i="12" s="1"/>
  <c r="J95" i="3"/>
  <c r="J85" i="12" s="1"/>
  <c r="L97" i="3"/>
  <c r="J227" i="3"/>
  <c r="J94" i="12" s="1"/>
  <c r="L229" i="3"/>
  <c r="J244" i="3"/>
  <c r="J108" i="12" s="1"/>
  <c r="L249" i="3"/>
  <c r="J259" i="3"/>
  <c r="J121" i="12" s="1"/>
  <c r="L261" i="3"/>
  <c r="J271" i="3"/>
  <c r="J132" i="12" s="1"/>
  <c r="J276" i="3"/>
  <c r="J136" i="12" s="1"/>
  <c r="J283" i="3"/>
  <c r="J143" i="12" s="1"/>
  <c r="L285" i="3"/>
  <c r="J295" i="3"/>
  <c r="J153" i="12" s="1"/>
  <c r="L297" i="3"/>
  <c r="J304" i="3"/>
  <c r="J161" i="12" s="1"/>
  <c r="J319" i="3"/>
  <c r="J174" i="12" s="1"/>
  <c r="L321" i="3"/>
  <c r="J324" i="3"/>
  <c r="J178" i="12" s="1"/>
  <c r="J331" i="3"/>
  <c r="J185" i="12" s="1"/>
  <c r="J115" i="3"/>
  <c r="J195" i="12" s="1"/>
  <c r="L124" i="3"/>
  <c r="H366" i="12"/>
  <c r="L368" i="3"/>
  <c r="H222" i="12"/>
  <c r="L154" i="3"/>
  <c r="H387" i="12"/>
  <c r="L392" i="3"/>
  <c r="H255" i="12"/>
  <c r="J255" i="12"/>
  <c r="H274" i="12"/>
  <c r="J274" i="12"/>
  <c r="H307" i="12"/>
  <c r="E1481" i="4"/>
  <c r="D1483" i="4" s="1"/>
  <c r="J17" i="3"/>
  <c r="J14" i="12" s="1"/>
  <c r="J28" i="3"/>
  <c r="J29" i="12" s="1"/>
  <c r="J347" i="12"/>
  <c r="J51" i="3"/>
  <c r="J50" i="12" s="1"/>
  <c r="J66" i="3"/>
  <c r="J60" i="12" s="1"/>
  <c r="J73" i="3"/>
  <c r="J67" i="12" s="1"/>
  <c r="J81" i="3"/>
  <c r="J73" i="12" s="1"/>
  <c r="L83" i="3"/>
  <c r="J88" i="3"/>
  <c r="J79" i="12" s="1"/>
  <c r="J93" i="3"/>
  <c r="J83" i="12" s="1"/>
  <c r="L95" i="3"/>
  <c r="J225" i="3"/>
  <c r="J92" i="12" s="1"/>
  <c r="L227" i="3"/>
  <c r="J242" i="3"/>
  <c r="J106" i="12" s="1"/>
  <c r="J254" i="3"/>
  <c r="J117" i="12" s="1"/>
  <c r="J257" i="3"/>
  <c r="J119" i="12" s="1"/>
  <c r="L259" i="3"/>
  <c r="J269" i="3"/>
  <c r="J130" i="12" s="1"/>
  <c r="J274" i="3"/>
  <c r="J281" i="3"/>
  <c r="J141" i="12" s="1"/>
  <c r="J293" i="3"/>
  <c r="J151" i="12" s="1"/>
  <c r="J314" i="3"/>
  <c r="J170" i="12" s="1"/>
  <c r="J317" i="3"/>
  <c r="J172" i="12" s="1"/>
  <c r="J329" i="3"/>
  <c r="J183" i="12" s="1"/>
  <c r="J113" i="3"/>
  <c r="J193" i="12" s="1"/>
  <c r="H196" i="12"/>
  <c r="J116" i="3"/>
  <c r="J196" i="12" s="1"/>
  <c r="J127" i="3"/>
  <c r="J205" i="12" s="1"/>
  <c r="J130" i="3"/>
  <c r="J207" i="12" s="1"/>
  <c r="H359" i="12"/>
  <c r="J352" i="3"/>
  <c r="J359" i="12" s="1"/>
  <c r="H229" i="12"/>
  <c r="J173" i="3"/>
  <c r="H391" i="12"/>
  <c r="L402" i="3"/>
  <c r="H279" i="12"/>
  <c r="H364" i="12"/>
  <c r="J366" i="3"/>
  <c r="J364" i="12" s="1"/>
  <c r="H258" i="12"/>
  <c r="J258" i="12"/>
  <c r="I324" i="12"/>
  <c r="I331" i="12" s="1"/>
  <c r="I350" i="12"/>
  <c r="L73" i="3"/>
  <c r="J250" i="3"/>
  <c r="J113" i="12" s="1"/>
  <c r="J262" i="3"/>
  <c r="J124" i="12" s="1"/>
  <c r="J277" i="3"/>
  <c r="J137" i="12" s="1"/>
  <c r="J298" i="3"/>
  <c r="J156" i="12" s="1"/>
  <c r="J305" i="3"/>
  <c r="J162" i="12" s="1"/>
  <c r="J310" i="3"/>
  <c r="J166" i="12" s="1"/>
  <c r="J322" i="3"/>
  <c r="J177" i="12" s="1"/>
  <c r="J325" i="3"/>
  <c r="J179" i="12" s="1"/>
  <c r="J109" i="3"/>
  <c r="L116" i="3"/>
  <c r="H201" i="12"/>
  <c r="J123" i="3"/>
  <c r="J201" i="12" s="1"/>
  <c r="J125" i="3"/>
  <c r="J203" i="12" s="1"/>
  <c r="J371" i="3"/>
  <c r="J368" i="12" s="1"/>
  <c r="H370" i="12"/>
  <c r="J374" i="3"/>
  <c r="L173" i="3"/>
  <c r="H377" i="12"/>
  <c r="J382" i="3"/>
  <c r="H249" i="12"/>
  <c r="J249" i="12"/>
  <c r="I277" i="12"/>
  <c r="H362" i="12"/>
  <c r="L364" i="3"/>
  <c r="H236" i="12"/>
  <c r="J190" i="3"/>
  <c r="H18" i="12"/>
  <c r="H259" i="12"/>
  <c r="J259" i="12"/>
  <c r="I355" i="12"/>
  <c r="L52" i="3"/>
  <c r="L67" i="3"/>
  <c r="L89" i="3"/>
  <c r="L243" i="3"/>
  <c r="L275" i="3"/>
  <c r="L303" i="3"/>
  <c r="L114" i="3"/>
  <c r="H200" i="12"/>
  <c r="J121" i="3"/>
  <c r="J200" i="12" s="1"/>
  <c r="H360" i="12"/>
  <c r="J354" i="3"/>
  <c r="J360" i="12" s="1"/>
  <c r="H372" i="12"/>
  <c r="J372" i="12"/>
  <c r="H239" i="12"/>
  <c r="J239" i="12"/>
  <c r="L382" i="3"/>
  <c r="H383" i="12"/>
  <c r="J388" i="3"/>
  <c r="J383" i="12" s="1"/>
  <c r="H250" i="12"/>
  <c r="J250" i="12"/>
  <c r="H292" i="12"/>
  <c r="J292" i="12"/>
  <c r="H333" i="12"/>
  <c r="J333" i="12"/>
  <c r="J16" i="3"/>
  <c r="J13" i="12" s="1"/>
  <c r="J25" i="3"/>
  <c r="J28" i="12" s="1"/>
  <c r="J32" i="3"/>
  <c r="J33" i="12" s="1"/>
  <c r="L34" i="3"/>
  <c r="J346" i="12"/>
  <c r="J352" i="12"/>
  <c r="J45" i="3"/>
  <c r="J45" i="12" s="1"/>
  <c r="J48" i="3"/>
  <c r="J47" i="12" s="1"/>
  <c r="L50" i="3"/>
  <c r="J55" i="12"/>
  <c r="J63" i="3"/>
  <c r="J57" i="12" s="1"/>
  <c r="J72" i="3"/>
  <c r="J66" i="12" s="1"/>
  <c r="J80" i="3"/>
  <c r="J72" i="12" s="1"/>
  <c r="J99" i="3"/>
  <c r="J88" i="12" s="1"/>
  <c r="J91" i="12"/>
  <c r="J231" i="3"/>
  <c r="J98" i="12" s="1"/>
  <c r="J236" i="3"/>
  <c r="J102" i="12" s="1"/>
  <c r="J239" i="3"/>
  <c r="J104" i="12" s="1"/>
  <c r="L241" i="3"/>
  <c r="J251" i="3"/>
  <c r="J114" i="12" s="1"/>
  <c r="J256" i="3"/>
  <c r="J263" i="3"/>
  <c r="J125" i="12" s="1"/>
  <c r="J268" i="3"/>
  <c r="J129" i="12" s="1"/>
  <c r="J280" i="3"/>
  <c r="J140" i="12" s="1"/>
  <c r="J287" i="3"/>
  <c r="J292" i="3"/>
  <c r="J150" i="12" s="1"/>
  <c r="J299" i="3"/>
  <c r="J157" i="12" s="1"/>
  <c r="J308" i="3"/>
  <c r="J165" i="12" s="1"/>
  <c r="J311" i="3"/>
  <c r="J167" i="12" s="1"/>
  <c r="J171" i="12"/>
  <c r="J328" i="3"/>
  <c r="J182" i="12" s="1"/>
  <c r="J110" i="3"/>
  <c r="J190" i="12" s="1"/>
  <c r="J118" i="3"/>
  <c r="J197" i="12" s="1"/>
  <c r="J129" i="3"/>
  <c r="J206" i="12" s="1"/>
  <c r="H358" i="12"/>
  <c r="L351" i="3"/>
  <c r="J364" i="3"/>
  <c r="L190" i="3"/>
  <c r="J385" i="3"/>
  <c r="J380" i="12" s="1"/>
  <c r="H386" i="12"/>
  <c r="J391" i="3"/>
  <c r="J386" i="12" s="1"/>
  <c r="H267" i="12"/>
  <c r="H273" i="12"/>
  <c r="H300" i="12"/>
  <c r="J300" i="12"/>
  <c r="L32" i="3"/>
  <c r="L48" i="3"/>
  <c r="L63" i="3"/>
  <c r="L99" i="3"/>
  <c r="L231" i="3"/>
  <c r="L239" i="3"/>
  <c r="L251" i="3"/>
  <c r="L263" i="3"/>
  <c r="L287" i="3"/>
  <c r="L299" i="3"/>
  <c r="L311" i="3"/>
  <c r="L110" i="3"/>
  <c r="H198" i="12"/>
  <c r="L119" i="3"/>
  <c r="H361" i="12"/>
  <c r="J361" i="12"/>
  <c r="H329" i="12"/>
  <c r="J329" i="12"/>
  <c r="J156" i="3"/>
  <c r="J224" i="12" s="1"/>
  <c r="J387" i="3"/>
  <c r="J382" i="12" s="1"/>
  <c r="L404" i="3"/>
  <c r="J246" i="12"/>
  <c r="J254" i="12"/>
  <c r="J261" i="12"/>
  <c r="J263" i="12"/>
  <c r="J403" i="12"/>
  <c r="J405" i="12"/>
  <c r="J276" i="12"/>
  <c r="J290" i="12"/>
  <c r="I315" i="12"/>
  <c r="J302" i="12"/>
  <c r="J313" i="12"/>
  <c r="J320" i="12"/>
  <c r="J335" i="12"/>
  <c r="D187" i="4"/>
  <c r="D189" i="4" s="1"/>
  <c r="F1303" i="4"/>
  <c r="D1305" i="4" s="1"/>
  <c r="E1540" i="4"/>
  <c r="D1542" i="4" s="1"/>
  <c r="H165" i="6"/>
  <c r="H318" i="6"/>
  <c r="H447" i="6"/>
  <c r="H652" i="6"/>
  <c r="L303" i="7"/>
  <c r="L304" i="7" s="1"/>
  <c r="L334" i="7"/>
  <c r="L498" i="7"/>
  <c r="L705" i="7"/>
  <c r="L706" i="7" s="1"/>
  <c r="L708" i="7" s="1"/>
  <c r="L709" i="7" s="1"/>
  <c r="L710" i="7" s="1"/>
  <c r="D162" i="4"/>
  <c r="E746" i="4"/>
  <c r="D748" i="4" s="1"/>
  <c r="E1572" i="4"/>
  <c r="D1574" i="4" s="1"/>
  <c r="E1602" i="4"/>
  <c r="D1604" i="4" s="1"/>
  <c r="E2920" i="4"/>
  <c r="L432" i="7"/>
  <c r="L458" i="7"/>
  <c r="L530" i="8"/>
  <c r="L531" i="8" s="1"/>
  <c r="J126" i="3"/>
  <c r="J204" i="12" s="1"/>
  <c r="J131" i="3"/>
  <c r="J208" i="12" s="1"/>
  <c r="J376" i="3"/>
  <c r="J200" i="3"/>
  <c r="J214" i="12" s="1"/>
  <c r="J152" i="3"/>
  <c r="J220" i="12" s="1"/>
  <c r="J230" i="12"/>
  <c r="I240" i="12"/>
  <c r="J192" i="3"/>
  <c r="J238" i="12" s="1"/>
  <c r="J383" i="3"/>
  <c r="J378" i="12" s="1"/>
  <c r="J390" i="3"/>
  <c r="J385" i="12" s="1"/>
  <c r="I396" i="12"/>
  <c r="J272" i="12"/>
  <c r="E377" i="4"/>
  <c r="D379" i="4" s="1"/>
  <c r="E1469" i="4"/>
  <c r="D1471" i="4" s="1"/>
  <c r="E1652" i="4"/>
  <c r="D1654" i="4" s="1"/>
  <c r="E1732" i="4"/>
  <c r="D1734" i="4" s="1"/>
  <c r="D2943" i="4"/>
  <c r="H262" i="6"/>
  <c r="H339" i="6"/>
  <c r="H452" i="6"/>
  <c r="H529" i="6"/>
  <c r="H530" i="6" s="1"/>
  <c r="H532" i="6" s="1"/>
  <c r="H536" i="6" s="1"/>
  <c r="L289" i="7"/>
  <c r="L477" i="7"/>
  <c r="L1634" i="7"/>
  <c r="L1641" i="7" s="1"/>
  <c r="L1754" i="7"/>
  <c r="L376" i="3"/>
  <c r="L152" i="3"/>
  <c r="J270" i="12"/>
  <c r="J305" i="12"/>
  <c r="J325" i="12"/>
  <c r="J336" i="12"/>
  <c r="E689" i="4"/>
  <c r="D691" i="4" s="1"/>
  <c r="F1219" i="4"/>
  <c r="D1221" i="4" s="1"/>
  <c r="E1791" i="4"/>
  <c r="D1793" i="4" s="1"/>
  <c r="E1896" i="4"/>
  <c r="D1898" i="4" s="1"/>
  <c r="D2200" i="4"/>
  <c r="D2202" i="4" s="1"/>
  <c r="H83" i="6"/>
  <c r="H136" i="6"/>
  <c r="H228" i="6"/>
  <c r="L216" i="7"/>
  <c r="L217" i="7" s="1"/>
  <c r="L443" i="7"/>
  <c r="L448" i="7" s="1"/>
  <c r="L720" i="7"/>
  <c r="L727" i="7" s="1"/>
  <c r="L827" i="7"/>
  <c r="L955" i="7"/>
  <c r="L956" i="7" s="1"/>
  <c r="L1010" i="7"/>
  <c r="L1011" i="7" s="1"/>
  <c r="L1657" i="7"/>
  <c r="L1701" i="7"/>
  <c r="L1702" i="7" s="1"/>
  <c r="L1703" i="7" s="1"/>
  <c r="L827" i="8"/>
  <c r="L828" i="8" s="1"/>
  <c r="L1209" i="8"/>
  <c r="L1210" i="8" s="1"/>
  <c r="E813" i="4"/>
  <c r="D815" i="4" s="1"/>
  <c r="D1380" i="4"/>
  <c r="E1773" i="4"/>
  <c r="D1775" i="4" s="1"/>
  <c r="D1857" i="4"/>
  <c r="H106" i="6"/>
  <c r="H122" i="6"/>
  <c r="H169" i="6"/>
  <c r="H189" i="6"/>
  <c r="H244" i="6"/>
  <c r="H245" i="6" s="1"/>
  <c r="H247" i="6" s="1"/>
  <c r="H252" i="6" s="1"/>
  <c r="H282" i="6"/>
  <c r="H306" i="6"/>
  <c r="H322" i="6"/>
  <c r="H642" i="6"/>
  <c r="H663" i="6"/>
  <c r="L117" i="7"/>
  <c r="L125" i="7" s="1"/>
  <c r="L201" i="7"/>
  <c r="L694" i="7"/>
  <c r="L736" i="7"/>
  <c r="L737" i="7" s="1"/>
  <c r="L757" i="7"/>
  <c r="L764" i="7" s="1"/>
  <c r="L1686" i="7"/>
  <c r="L1687" i="7" s="1"/>
  <c r="L195" i="8"/>
  <c r="I234" i="12"/>
  <c r="I389" i="12"/>
  <c r="E408" i="4"/>
  <c r="E452" i="4"/>
  <c r="D454" i="4" s="1"/>
  <c r="E1250" i="4"/>
  <c r="E1267" i="4"/>
  <c r="D1269" i="4" s="1"/>
  <c r="G1312" i="4"/>
  <c r="D1314" i="4" s="1"/>
  <c r="E1406" i="4"/>
  <c r="D1408" i="4" s="1"/>
  <c r="E1699" i="4"/>
  <c r="D1701" i="4" s="1"/>
  <c r="D2896" i="4"/>
  <c r="F2960" i="4"/>
  <c r="D3010" i="4"/>
  <c r="D3090" i="4"/>
  <c r="L159" i="7"/>
  <c r="D438" i="4"/>
  <c r="E861" i="4"/>
  <c r="D871" i="4" s="1"/>
  <c r="E1183" i="4"/>
  <c r="D1185" i="4" s="1"/>
  <c r="E1347" i="4"/>
  <c r="D1349" i="4" s="1"/>
  <c r="E1529" i="4"/>
  <c r="D1531" i="4" s="1"/>
  <c r="D1879" i="4"/>
  <c r="D1881" i="4" s="1"/>
  <c r="D1971" i="4"/>
  <c r="D2192" i="4"/>
  <c r="D2194" i="4" s="1"/>
  <c r="D3141" i="4"/>
  <c r="H358" i="6"/>
  <c r="H462" i="6"/>
  <c r="H503" i="6"/>
  <c r="H515" i="6"/>
  <c r="H516" i="6" s="1"/>
  <c r="H518" i="6" s="1"/>
  <c r="H522" i="6" s="1"/>
  <c r="L14" i="7"/>
  <c r="L21" i="7" s="1"/>
  <c r="L296" i="7"/>
  <c r="L297" i="7" s="1"/>
  <c r="L392" i="7"/>
  <c r="L393" i="7" s="1"/>
  <c r="L780" i="7"/>
  <c r="L876" i="7"/>
  <c r="L1498" i="7"/>
  <c r="L1505" i="7" s="1"/>
  <c r="D2937" i="4"/>
  <c r="F2966" i="4"/>
  <c r="D2990" i="4"/>
  <c r="H151" i="6"/>
  <c r="H418" i="6"/>
  <c r="L747" i="7"/>
  <c r="L1972" i="7"/>
  <c r="L2219" i="7"/>
  <c r="L2220" i="7" s="1"/>
  <c r="L2221" i="7" s="1"/>
  <c r="L1091" i="7"/>
  <c r="L1232" i="7"/>
  <c r="L1265" i="7"/>
  <c r="L1266" i="7" s="1"/>
  <c r="L1383" i="7"/>
  <c r="L1384" i="7" s="1"/>
  <c r="L1798" i="7"/>
  <c r="L1802" i="7" s="1"/>
  <c r="L1832" i="7"/>
  <c r="L1833" i="7" s="1"/>
  <c r="L2409" i="7"/>
  <c r="L2410" i="7" s="1"/>
  <c r="L2456" i="7"/>
  <c r="L2457" i="7" s="1"/>
  <c r="L2459" i="7" s="1"/>
  <c r="L2464" i="7" s="1"/>
  <c r="L2465" i="7" s="1"/>
  <c r="L2478" i="7"/>
  <c r="L2479" i="7" s="1"/>
  <c r="L2480" i="7" s="1"/>
  <c r="L30" i="8"/>
  <c r="L31" i="8" s="1"/>
  <c r="L33" i="8" s="1"/>
  <c r="L238" i="8"/>
  <c r="L239" i="8" s="1"/>
  <c r="L240" i="8" s="1"/>
  <c r="L480" i="8"/>
  <c r="L529" i="8"/>
  <c r="L545" i="8"/>
  <c r="L592" i="8"/>
  <c r="L663" i="8"/>
  <c r="L784" i="8"/>
  <c r="L834" i="8"/>
  <c r="L835" i="8" s="1"/>
  <c r="L837" i="8" s="1"/>
  <c r="L868" i="8"/>
  <c r="L917" i="8"/>
  <c r="L930" i="8"/>
  <c r="L1018" i="8"/>
  <c r="L1019" i="8" s="1"/>
  <c r="L1021" i="8" s="1"/>
  <c r="L1117" i="8"/>
  <c r="L1121" i="8" s="1"/>
  <c r="L1122" i="8" s="1"/>
  <c r="L1142" i="8"/>
  <c r="L1143" i="8" s="1"/>
  <c r="L1145" i="8" s="1"/>
  <c r="L1146" i="8" s="1"/>
  <c r="L1147" i="8" s="1"/>
  <c r="L1169" i="8"/>
  <c r="L1347" i="8"/>
  <c r="L1348" i="8" s="1"/>
  <c r="L1417" i="8"/>
  <c r="L1451" i="8"/>
  <c r="L1554" i="8"/>
  <c r="L1598" i="8"/>
  <c r="L1599" i="8" s="1"/>
  <c r="L1601" i="8" s="1"/>
  <c r="L1605" i="8" s="1"/>
  <c r="L1606" i="8" s="1"/>
  <c r="L1654" i="8"/>
  <c r="L1655" i="8" s="1"/>
  <c r="L1657" i="8" s="1"/>
  <c r="L1661" i="8" s="1"/>
  <c r="L1662" i="8" s="1"/>
  <c r="L1710" i="8"/>
  <c r="L1711" i="8" s="1"/>
  <c r="L1713" i="8" s="1"/>
  <c r="L1806" i="8"/>
  <c r="L1828" i="8"/>
  <c r="L1950" i="8"/>
  <c r="L1951" i="8" s="1"/>
  <c r="L1953" i="8" s="1"/>
  <c r="L1957" i="8" s="1"/>
  <c r="L1958" i="8" s="1"/>
  <c r="L2000" i="8"/>
  <c r="L2001" i="8" s="1"/>
  <c r="L2003" i="8" s="1"/>
  <c r="L2007" i="8" s="1"/>
  <c r="L2060" i="8"/>
  <c r="L2148" i="8"/>
  <c r="L2218" i="8"/>
  <c r="L2323" i="8"/>
  <c r="L2416" i="8"/>
  <c r="L2420" i="8" s="1"/>
  <c r="L2486" i="8"/>
  <c r="L1921" i="8"/>
  <c r="L2130" i="8"/>
  <c r="L2131" i="8" s="1"/>
  <c r="L2286" i="8"/>
  <c r="L2287" i="8" s="1"/>
  <c r="L1664" i="7"/>
  <c r="L1821" i="7"/>
  <c r="L1867" i="7"/>
  <c r="L1874" i="7" s="1"/>
  <c r="L2081" i="7"/>
  <c r="L2082" i="7" s="1"/>
  <c r="L2083" i="7" s="1"/>
  <c r="L498" i="8"/>
  <c r="L499" i="8" s="1"/>
  <c r="L553" i="8"/>
  <c r="L554" i="8" s="1"/>
  <c r="L556" i="8" s="1"/>
  <c r="L576" i="8"/>
  <c r="L577" i="8" s="1"/>
  <c r="L578" i="8" s="1"/>
  <c r="L715" i="8"/>
  <c r="L716" i="8" s="1"/>
  <c r="L717" i="8" s="1"/>
  <c r="L855" i="8"/>
  <c r="L1220" i="8"/>
  <c r="L1224" i="8" s="1"/>
  <c r="L1521" i="8"/>
  <c r="L1810" i="8"/>
  <c r="L2056" i="8"/>
  <c r="L2094" i="8"/>
  <c r="L2177" i="8"/>
  <c r="L2178" i="8" s="1"/>
  <c r="L2180" i="8" s="1"/>
  <c r="L2203" i="8"/>
  <c r="L2334" i="8"/>
  <c r="L2338" i="8" s="1"/>
  <c r="L2340" i="8" s="1"/>
  <c r="L2352" i="8" s="1"/>
  <c r="L2353" i="8" s="1"/>
  <c r="L2396" i="8"/>
  <c r="L2397" i="8" s="1"/>
  <c r="L2451" i="8"/>
  <c r="L2456" i="8" s="1"/>
  <c r="L2467" i="8"/>
  <c r="L1087" i="7"/>
  <c r="L1092" i="7" s="1"/>
  <c r="L1207" i="7"/>
  <c r="L1208" i="7" s="1"/>
  <c r="L1532" i="7"/>
  <c r="L2091" i="7"/>
  <c r="L2092" i="7" s="1"/>
  <c r="L2093" i="7" s="1"/>
  <c r="L2209" i="7"/>
  <c r="L2210" i="7" s="1"/>
  <c r="L2211" i="7" s="1"/>
  <c r="L224" i="8"/>
  <c r="L225" i="8" s="1"/>
  <c r="L561" i="8"/>
  <c r="L649" i="8"/>
  <c r="L650" i="8" s="1"/>
  <c r="L652" i="8" s="1"/>
  <c r="L689" i="8"/>
  <c r="L690" i="8" s="1"/>
  <c r="L692" i="8" s="1"/>
  <c r="L697" i="8" s="1"/>
  <c r="L698" i="8" s="1"/>
  <c r="L792" i="8"/>
  <c r="L793" i="8" s="1"/>
  <c r="L795" i="8" s="1"/>
  <c r="L844" i="8"/>
  <c r="L900" i="8"/>
  <c r="L1002" i="8"/>
  <c r="L1025" i="8"/>
  <c r="L1052" i="8"/>
  <c r="L1156" i="8"/>
  <c r="L1329" i="8"/>
  <c r="L1330" i="8" s="1"/>
  <c r="L1467" i="8"/>
  <c r="L1503" i="8"/>
  <c r="L1724" i="8"/>
  <c r="L1725" i="8" s="1"/>
  <c r="L1727" i="8" s="1"/>
  <c r="L1795" i="8"/>
  <c r="L1979" i="8"/>
  <c r="L1980" i="8" s="1"/>
  <c r="L2070" i="8"/>
  <c r="L2082" i="8" s="1"/>
  <c r="L2185" i="8"/>
  <c r="L2207" i="8"/>
  <c r="L2285" i="8"/>
  <c r="L2359" i="8"/>
  <c r="L2360" i="8" s="1"/>
  <c r="L2362" i="8" s="1"/>
  <c r="L2368" i="8" s="1"/>
  <c r="L2369" i="8" s="1"/>
  <c r="L2393" i="7"/>
  <c r="L2394" i="7" s="1"/>
  <c r="L80" i="8"/>
  <c r="L81" i="8" s="1"/>
  <c r="L83" i="8" s="1"/>
  <c r="L154" i="8"/>
  <c r="L1256" i="8"/>
  <c r="L1619" i="8"/>
  <c r="L1620" i="8" s="1"/>
  <c r="L1876" i="8"/>
  <c r="L1969" i="8"/>
  <c r="L2514" i="8"/>
  <c r="L2522" i="8" s="1"/>
  <c r="H35" i="6"/>
  <c r="H156" i="6"/>
  <c r="H178" i="6"/>
  <c r="H216" i="6"/>
  <c r="H273" i="6"/>
  <c r="H618" i="6"/>
  <c r="H638" i="6"/>
  <c r="H659" i="6"/>
  <c r="L31" i="7"/>
  <c r="L38" i="7" s="1"/>
  <c r="L62" i="7"/>
  <c r="L66" i="7" s="1"/>
  <c r="L107" i="7"/>
  <c r="L207" i="7"/>
  <c r="L208" i="7" s="1"/>
  <c r="L467" i="7"/>
  <c r="L468" i="7" s="1"/>
  <c r="L698" i="7"/>
  <c r="L699" i="7" s="1"/>
  <c r="L1108" i="7"/>
  <c r="L1109" i="7" s="1"/>
  <c r="L1132" i="7"/>
  <c r="L1133" i="7" s="1"/>
  <c r="L1214" i="7"/>
  <c r="L1215" i="7" s="1"/>
  <c r="L1566" i="7"/>
  <c r="L1693" i="7"/>
  <c r="L1694" i="7" s="1"/>
  <c r="L1696" i="7" s="1"/>
  <c r="L2069" i="7"/>
  <c r="L2074" i="7" s="1"/>
  <c r="L2075" i="7" s="1"/>
  <c r="L66" i="8"/>
  <c r="L250" i="8"/>
  <c r="L251" i="8" s="1"/>
  <c r="L605" i="8"/>
  <c r="L671" i="8"/>
  <c r="L770" i="8"/>
  <c r="L771" i="8" s="1"/>
  <c r="L887" i="8"/>
  <c r="L939" i="8"/>
  <c r="L990" i="8"/>
  <c r="L1101" i="8"/>
  <c r="L1407" i="8"/>
  <c r="L1408" i="8" s="1"/>
  <c r="L1409" i="8" s="1"/>
  <c r="L1696" i="8"/>
  <c r="L1697" i="8" s="1"/>
  <c r="L1699" i="8" s="1"/>
  <c r="L1703" i="8" s="1"/>
  <c r="L1704" i="8" s="1"/>
  <c r="L1755" i="8"/>
  <c r="L1756" i="8" s="1"/>
  <c r="L1799" i="8"/>
  <c r="L2077" i="8"/>
  <c r="L2471" i="8"/>
  <c r="L2531" i="8"/>
  <c r="L2532" i="8" s="1"/>
  <c r="L1173" i="7"/>
  <c r="L1174" i="7" s="1"/>
  <c r="L1258" i="7"/>
  <c r="L1259" i="7" s="1"/>
  <c r="L1311" i="7"/>
  <c r="L1318" i="7" s="1"/>
  <c r="L1355" i="7"/>
  <c r="L1395" i="7"/>
  <c r="L1430" i="7"/>
  <c r="L1437" i="7" s="1"/>
  <c r="L1741" i="7"/>
  <c r="L1742" i="7" s="1"/>
  <c r="L1901" i="7"/>
  <c r="L1910" i="7" s="1"/>
  <c r="L1921" i="7"/>
  <c r="L1922" i="7" s="1"/>
  <c r="L1987" i="7"/>
  <c r="L1988" i="7" s="1"/>
  <c r="L19" i="8"/>
  <c r="L20" i="8" s="1"/>
  <c r="L21" i="8" s="1"/>
  <c r="L257" i="8"/>
  <c r="L258" i="8" s="1"/>
  <c r="L260" i="8" s="1"/>
  <c r="L261" i="8" s="1"/>
  <c r="L262" i="8" s="1"/>
  <c r="L376" i="8"/>
  <c r="L377" i="8" s="1"/>
  <c r="L415" i="8"/>
  <c r="L416" i="8" s="1"/>
  <c r="L418" i="8" s="1"/>
  <c r="L419" i="8" s="1"/>
  <c r="L420" i="8" s="1"/>
  <c r="L612" i="8"/>
  <c r="L613" i="8" s="1"/>
  <c r="L615" i="8" s="1"/>
  <c r="L657" i="8"/>
  <c r="L777" i="8"/>
  <c r="L778" i="8" s="1"/>
  <c r="L780" i="8" s="1"/>
  <c r="L910" i="8"/>
  <c r="L1010" i="8"/>
  <c r="L1036" i="8"/>
  <c r="L1233" i="8"/>
  <c r="L1289" i="8"/>
  <c r="L1444" i="8"/>
  <c r="L1445" i="8" s="1"/>
  <c r="L1447" i="8" s="1"/>
  <c r="L1567" i="8"/>
  <c r="L1578" i="8" s="1"/>
  <c r="L1738" i="8"/>
  <c r="L1739" i="8" s="1"/>
  <c r="L1741" i="8" s="1"/>
  <c r="L1745" i="8" s="1"/>
  <c r="L1762" i="8"/>
  <c r="L1767" i="8" s="1"/>
  <c r="L1821" i="8"/>
  <c r="L2140" i="8"/>
  <c r="L2235" i="8"/>
  <c r="L2236" i="8" s="1"/>
  <c r="L2238" i="8" s="1"/>
  <c r="L2242" i="8" s="1"/>
  <c r="L2243" i="8" s="1"/>
  <c r="L2263" i="8"/>
  <c r="L2264" i="8" s="1"/>
  <c r="L2266" i="8" s="1"/>
  <c r="L2316" i="8"/>
  <c r="L2317" i="8" s="1"/>
  <c r="L2319" i="8" s="1"/>
  <c r="L2439" i="8"/>
  <c r="L2443" i="8" s="1"/>
  <c r="L2444" i="8" s="1"/>
  <c r="L2478" i="8"/>
  <c r="L2479" i="8" s="1"/>
  <c r="L2481" i="8" s="1"/>
  <c r="I21" i="2"/>
  <c r="E1663" i="4"/>
  <c r="D1665" i="4" s="1"/>
  <c r="L9" i="3"/>
  <c r="L13" i="3"/>
  <c r="L15" i="3"/>
  <c r="L17" i="3"/>
  <c r="L21" i="3"/>
  <c r="L23" i="3"/>
  <c r="L25" i="3"/>
  <c r="L29" i="3"/>
  <c r="L31" i="3"/>
  <c r="L33" i="3"/>
  <c r="L37" i="3"/>
  <c r="L39" i="3"/>
  <c r="L41" i="3"/>
  <c r="L43" i="3"/>
  <c r="L45" i="3"/>
  <c r="L47" i="3"/>
  <c r="L49" i="3"/>
  <c r="L51" i="3"/>
  <c r="L53" i="3"/>
  <c r="L62" i="3"/>
  <c r="L64" i="3"/>
  <c r="L66" i="3"/>
  <c r="L68" i="3"/>
  <c r="L70" i="3"/>
  <c r="L72" i="3"/>
  <c r="L76" i="3"/>
  <c r="L78" i="3"/>
  <c r="L80" i="3"/>
  <c r="L82" i="3"/>
  <c r="L84" i="3"/>
  <c r="L88" i="3"/>
  <c r="L90" i="3"/>
  <c r="L94" i="3"/>
  <c r="L98" i="3"/>
  <c r="L100" i="3"/>
  <c r="L213" i="3"/>
  <c r="L226" i="3"/>
  <c r="L228" i="3"/>
  <c r="L230" i="3"/>
  <c r="L232" i="3"/>
  <c r="L234" i="3"/>
  <c r="L236" i="3"/>
  <c r="L238" i="3"/>
  <c r="L242" i="3"/>
  <c r="L244" i="3"/>
  <c r="L246" i="3"/>
  <c r="L248" i="3"/>
  <c r="L250" i="3"/>
  <c r="L252" i="3"/>
  <c r="L254" i="3"/>
  <c r="L256" i="3"/>
  <c r="L258" i="3"/>
  <c r="L260" i="3"/>
  <c r="L262" i="3"/>
  <c r="L264" i="3"/>
  <c r="L266" i="3"/>
  <c r="L268" i="3"/>
  <c r="L270" i="3"/>
  <c r="L272" i="3"/>
  <c r="L274" i="3"/>
  <c r="L276" i="3"/>
  <c r="L278" i="3"/>
  <c r="L280" i="3"/>
  <c r="L282" i="3"/>
  <c r="L284" i="3"/>
  <c r="L288" i="3"/>
  <c r="L290" i="3"/>
  <c r="L292" i="3"/>
  <c r="L294" i="3"/>
  <c r="L296" i="3"/>
  <c r="L298" i="3"/>
  <c r="L300" i="3"/>
  <c r="L304" i="3"/>
  <c r="L306" i="3"/>
  <c r="L308" i="3"/>
  <c r="L310" i="3"/>
  <c r="L312" i="3"/>
  <c r="L314" i="3"/>
  <c r="L316" i="3"/>
  <c r="L318" i="3"/>
  <c r="L320" i="3"/>
  <c r="L322" i="3"/>
  <c r="L324" i="3"/>
  <c r="L326" i="3"/>
  <c r="L328" i="3"/>
  <c r="L330" i="3"/>
  <c r="L109" i="3"/>
  <c r="L111" i="3"/>
  <c r="L113" i="3"/>
  <c r="L115" i="3"/>
  <c r="L118" i="3"/>
  <c r="L120" i="3"/>
  <c r="L123" i="3"/>
  <c r="L125" i="3"/>
  <c r="L127" i="3"/>
  <c r="L129" i="3"/>
  <c r="L131" i="3"/>
  <c r="L350" i="3"/>
  <c r="L352" i="3"/>
  <c r="L354" i="3"/>
  <c r="L365" i="3"/>
  <c r="L367" i="3"/>
  <c r="L371" i="3"/>
  <c r="L200" i="3"/>
  <c r="L202" i="3"/>
  <c r="L153" i="3"/>
  <c r="L155" i="3"/>
  <c r="L157" i="3"/>
  <c r="L187" i="3"/>
  <c r="L191" i="3"/>
  <c r="L383" i="3"/>
  <c r="L385" i="3"/>
  <c r="L387" i="3"/>
  <c r="L389" i="3"/>
  <c r="L391" i="3"/>
  <c r="L393" i="3"/>
  <c r="J402" i="3"/>
  <c r="J404" i="3"/>
  <c r="J393" i="12" s="1"/>
  <c r="J406" i="3"/>
  <c r="J395" i="12" s="1"/>
  <c r="J408" i="3"/>
  <c r="I283" i="12"/>
  <c r="H308" i="12"/>
  <c r="J308" i="12"/>
  <c r="E112" i="4"/>
  <c r="D114" i="4" s="1"/>
  <c r="F287" i="4"/>
  <c r="D289" i="4" s="1"/>
  <c r="E853" i="4"/>
  <c r="D855" i="4" s="1"/>
  <c r="E2911" i="4"/>
  <c r="D2981" i="4"/>
  <c r="H56" i="6"/>
  <c r="H182" i="6"/>
  <c r="H484" i="6"/>
  <c r="L97" i="7"/>
  <c r="L142" i="7"/>
  <c r="L185" i="7"/>
  <c r="L189" i="7" s="1"/>
  <c r="L290" i="7"/>
  <c r="L905" i="7"/>
  <c r="L906" i="7" s="1"/>
  <c r="L1120" i="7"/>
  <c r="L1245" i="7"/>
  <c r="L1356" i="7"/>
  <c r="L1549" i="7"/>
  <c r="L1556" i="7" s="1"/>
  <c r="L1573" i="7"/>
  <c r="L1717" i="7"/>
  <c r="L1718" i="7" s="1"/>
  <c r="H310" i="12"/>
  <c r="J310" i="12"/>
  <c r="J281" i="12"/>
  <c r="H306" i="12"/>
  <c r="H321" i="12"/>
  <c r="J326" i="12"/>
  <c r="J328" i="12"/>
  <c r="J330" i="12"/>
  <c r="E1754" i="4"/>
  <c r="D1756" i="4" s="1"/>
  <c r="H705" i="6"/>
  <c r="L341" i="7"/>
  <c r="L1187" i="7"/>
  <c r="I40" i="3"/>
  <c r="I46" i="3"/>
  <c r="I61" i="3"/>
  <c r="I247" i="3"/>
  <c r="I353" i="3"/>
  <c r="L353" i="7"/>
  <c r="L1186" i="7"/>
  <c r="L1583" i="7"/>
  <c r="L1590" i="7" s="1"/>
  <c r="L1607" i="7"/>
  <c r="I237" i="3"/>
  <c r="I122" i="3"/>
  <c r="I349" i="3"/>
  <c r="I401" i="3"/>
  <c r="I407" i="3"/>
  <c r="I298" i="12"/>
  <c r="H317" i="12"/>
  <c r="D727" i="4"/>
  <c r="F1206" i="4"/>
  <c r="D1208" i="4" s="1"/>
  <c r="E1743" i="4"/>
  <c r="D1745" i="4" s="1"/>
  <c r="D2328" i="4"/>
  <c r="D2330" i="4" s="1"/>
  <c r="D3035" i="4"/>
  <c r="D3037" i="4" s="1"/>
  <c r="J748" i="6"/>
  <c r="J749" i="6"/>
  <c r="L277" i="7"/>
  <c r="L478" i="7"/>
  <c r="L781" i="7"/>
  <c r="L1040" i="7"/>
  <c r="L1041" i="7" s="1"/>
  <c r="I315" i="3"/>
  <c r="L11" i="3"/>
  <c r="L14" i="3"/>
  <c r="L16" i="3"/>
  <c r="L18" i="3"/>
  <c r="L22" i="3"/>
  <c r="L24" i="3"/>
  <c r="L28" i="3"/>
  <c r="J403" i="3"/>
  <c r="J392" i="12" s="1"/>
  <c r="J405" i="3"/>
  <c r="J394" i="12" s="1"/>
  <c r="J409" i="3"/>
  <c r="J242" i="12" s="1"/>
  <c r="J243" i="12" s="1"/>
  <c r="J241" i="12" s="1"/>
  <c r="J287" i="12"/>
  <c r="J289" i="12"/>
  <c r="J291" i="12"/>
  <c r="J293" i="12"/>
  <c r="J295" i="12"/>
  <c r="J297" i="12"/>
  <c r="J311" i="12"/>
  <c r="I322" i="12"/>
  <c r="E1497" i="4"/>
  <c r="D1499" i="4" s="1"/>
  <c r="E1613" i="4"/>
  <c r="D1615" i="4" s="1"/>
  <c r="L880" i="7"/>
  <c r="L881" i="7" s="1"/>
  <c r="L930" i="7"/>
  <c r="L931" i="7" s="1"/>
  <c r="L1063" i="7"/>
  <c r="L1064" i="7" s="1"/>
  <c r="L1328" i="7"/>
  <c r="L1335" i="7" s="1"/>
  <c r="L1471" i="7"/>
  <c r="L1481" i="7"/>
  <c r="L1488" i="7" s="1"/>
  <c r="L1617" i="7"/>
  <c r="L1624" i="7" s="1"/>
  <c r="L1888" i="7"/>
  <c r="L1894" i="7" s="1"/>
  <c r="L1895" i="7" s="1"/>
  <c r="I20" i="3"/>
  <c r="I75" i="3"/>
  <c r="I255" i="3"/>
  <c r="I273" i="3"/>
  <c r="I323" i="3"/>
  <c r="I128" i="3"/>
  <c r="L403" i="3"/>
  <c r="L405" i="3"/>
  <c r="L409" i="3"/>
  <c r="J280" i="12"/>
  <c r="J282" i="12"/>
  <c r="J309" i="12"/>
  <c r="H314" i="12"/>
  <c r="J314" i="12"/>
  <c r="F216" i="4"/>
  <c r="D3003" i="4"/>
  <c r="L111" i="7"/>
  <c r="L1669" i="7"/>
  <c r="I265" i="3"/>
  <c r="I289" i="3"/>
  <c r="I309" i="3"/>
  <c r="I101" i="3"/>
  <c r="H319" i="12"/>
  <c r="I8" i="3"/>
  <c r="I16" i="12"/>
  <c r="I20" i="12" s="1"/>
  <c r="I36" i="12"/>
  <c r="I86" i="3"/>
  <c r="I92" i="3"/>
  <c r="I96" i="3"/>
  <c r="I211" i="3"/>
  <c r="I240" i="3"/>
  <c r="I286" i="3"/>
  <c r="I302" i="3"/>
  <c r="I133" i="3"/>
  <c r="I375" i="12"/>
  <c r="I369" i="3"/>
  <c r="I373" i="3"/>
  <c r="I375" i="3"/>
  <c r="I172" i="3"/>
  <c r="I189" i="3"/>
  <c r="I335" i="3"/>
  <c r="I264" i="12"/>
  <c r="I406" i="12"/>
  <c r="J267" i="12"/>
  <c r="J269" i="12"/>
  <c r="J271" i="12"/>
  <c r="J273" i="12"/>
  <c r="J275" i="12"/>
  <c r="J307" i="12"/>
  <c r="H312" i="12"/>
  <c r="J312" i="12"/>
  <c r="I333" i="12"/>
  <c r="I338" i="12" s="1"/>
  <c r="E403" i="4"/>
  <c r="E1839" i="4"/>
  <c r="D1845" i="4" s="1"/>
  <c r="D2358" i="4"/>
  <c r="D2360" i="4" s="1"/>
  <c r="D2379" i="4"/>
  <c r="D2381" i="4" s="1"/>
  <c r="H75" i="6"/>
  <c r="H433" i="6"/>
  <c r="L48" i="7"/>
  <c r="L55" i="7" s="1"/>
  <c r="L317" i="7"/>
  <c r="L318" i="7" s="1"/>
  <c r="L793" i="7"/>
  <c r="L985" i="7"/>
  <c r="L986" i="7" s="1"/>
  <c r="L1396" i="7"/>
  <c r="L1515" i="7"/>
  <c r="L1522" i="7" s="1"/>
  <c r="L1539" i="7"/>
  <c r="L2280" i="7"/>
  <c r="L2281" i="7" s="1"/>
  <c r="L213" i="8"/>
  <c r="L337" i="8"/>
  <c r="L342" i="8" s="1"/>
  <c r="L546" i="8"/>
  <c r="L547" i="8" s="1"/>
  <c r="L799" i="8"/>
  <c r="L800" i="8" s="1"/>
  <c r="L925" i="8"/>
  <c r="L1087" i="8"/>
  <c r="L1091" i="8" s="1"/>
  <c r="L1093" i="8" s="1"/>
  <c r="L1260" i="8"/>
  <c r="L2162" i="7"/>
  <c r="L2163" i="7" s="1"/>
  <c r="L2259" i="7"/>
  <c r="L2260" i="7" s="1"/>
  <c r="L2379" i="7"/>
  <c r="L2380" i="7" s="1"/>
  <c r="L634" i="8"/>
  <c r="L638" i="8" s="1"/>
  <c r="L640" i="8" s="1"/>
  <c r="L642" i="8" s="1"/>
  <c r="L643" i="8" s="1"/>
  <c r="L864" i="8"/>
  <c r="L1079" i="8"/>
  <c r="L2031" i="7"/>
  <c r="L2038" i="7" s="1"/>
  <c r="L2353" i="7"/>
  <c r="L2354" i="7" s="1"/>
  <c r="L361" i="8"/>
  <c r="L1135" i="8"/>
  <c r="L1136" i="8" s="1"/>
  <c r="L1187" i="8"/>
  <c r="L1191" i="8" s="1"/>
  <c r="L1192" i="8" s="1"/>
  <c r="L2146" i="7"/>
  <c r="L2147" i="7" s="1"/>
  <c r="L621" i="8"/>
  <c r="L622" i="8" s="1"/>
  <c r="L623" i="8" s="1"/>
  <c r="L761" i="8"/>
  <c r="L1237" i="8"/>
  <c r="L1966" i="7"/>
  <c r="L2051" i="7"/>
  <c r="L2055" i="7" s="1"/>
  <c r="L2056" i="7" s="1"/>
  <c r="L2145" i="7"/>
  <c r="L190" i="8"/>
  <c r="L461" i="8"/>
  <c r="L465" i="8"/>
  <c r="L606" i="8"/>
  <c r="L749" i="8"/>
  <c r="L750" i="8" s="1"/>
  <c r="L751" i="8" s="1"/>
  <c r="L1979" i="7"/>
  <c r="L2366" i="7"/>
  <c r="L2367" i="7" s="1"/>
  <c r="L562" i="8"/>
  <c r="L563" i="8" s="1"/>
  <c r="L813" i="8"/>
  <c r="L814" i="8" s="1"/>
  <c r="L1064" i="8"/>
  <c r="L1068" i="8" s="1"/>
  <c r="L1070" i="8" s="1"/>
  <c r="L481" i="8"/>
  <c r="L482" i="8" s="1"/>
  <c r="L1717" i="8"/>
  <c r="L1718" i="8" s="1"/>
  <c r="L1811" i="8"/>
  <c r="L1833" i="8"/>
  <c r="L1354" i="8"/>
  <c r="L1355" i="8" s="1"/>
  <c r="L1357" i="8" s="1"/>
  <c r="L1365" i="8" s="1"/>
  <c r="L1392" i="8"/>
  <c r="L1393" i="8" s="1"/>
  <c r="L1932" i="8"/>
  <c r="L1315" i="8"/>
  <c r="L1316" i="8" s="1"/>
  <c r="L1318" i="8" s="1"/>
  <c r="L1322" i="8" s="1"/>
  <c r="L1323" i="8" s="1"/>
  <c r="L1364" i="8"/>
  <c r="L1731" i="8"/>
  <c r="L1732" i="8" s="1"/>
  <c r="L1800" i="8"/>
  <c r="L1891" i="8"/>
  <c r="L1591" i="8"/>
  <c r="L1592" i="8" s="1"/>
  <c r="L1822" i="8"/>
  <c r="L1993" i="8"/>
  <c r="L1994" i="8" s="1"/>
  <c r="L2099" i="8"/>
  <c r="L2577" i="8"/>
  <c r="L2578" i="8" s="1"/>
  <c r="L1452" i="8"/>
  <c r="L1647" i="8"/>
  <c r="L1648" i="8" s="1"/>
  <c r="L1675" i="8"/>
  <c r="L1676" i="8" s="1"/>
  <c r="L1922" i="8"/>
  <c r="L2061" i="8"/>
  <c r="L2270" i="8"/>
  <c r="L2271" i="8" s="1"/>
  <c r="L2324" i="8"/>
  <c r="L2325" i="8" s="1"/>
  <c r="L2542" i="8"/>
  <c r="L1489" i="8"/>
  <c r="L2472" i="8"/>
  <c r="I187" i="9"/>
  <c r="I188" i="9" s="1"/>
  <c r="I554" i="10"/>
  <c r="I555" i="10" s="1"/>
  <c r="J8" i="12" l="1"/>
  <c r="J8" i="3"/>
  <c r="H709" i="6"/>
  <c r="H76" i="6"/>
  <c r="L2493" i="8"/>
  <c r="L2494" i="8" s="1"/>
  <c r="L196" i="8"/>
  <c r="L197" i="8" s="1"/>
  <c r="L2186" i="8"/>
  <c r="L2187" i="8" s="1"/>
  <c r="L785" i="8"/>
  <c r="L786" i="8" s="1"/>
  <c r="L1980" i="7"/>
  <c r="L1981" i="7" s="1"/>
  <c r="L1026" i="8"/>
  <c r="L888" i="8"/>
  <c r="L889" i="8" s="1"/>
  <c r="I187" i="12"/>
  <c r="I339" i="12" s="1"/>
  <c r="J407" i="3"/>
  <c r="D11" i="1" s="1"/>
  <c r="J401" i="3"/>
  <c r="D10" i="1" s="1"/>
  <c r="J100" i="12"/>
  <c r="J233" i="3"/>
  <c r="J286" i="3"/>
  <c r="J160" i="12"/>
  <c r="J302" i="3"/>
  <c r="J127" i="12"/>
  <c r="J265" i="3"/>
  <c r="J148" i="12"/>
  <c r="J289" i="3"/>
  <c r="J105" i="12"/>
  <c r="J240" i="3"/>
  <c r="J134" i="12"/>
  <c r="J273" i="3"/>
  <c r="J111" i="12"/>
  <c r="J247" i="3"/>
  <c r="J118" i="12"/>
  <c r="J255" i="3"/>
  <c r="J103" i="12"/>
  <c r="J237" i="3"/>
  <c r="J90" i="12"/>
  <c r="J211" i="3"/>
  <c r="J36" i="3"/>
  <c r="J189" i="12"/>
  <c r="J211" i="12" s="1"/>
  <c r="J188" i="12" s="1"/>
  <c r="J38" i="12"/>
  <c r="D256" i="4"/>
  <c r="D1339" i="4"/>
  <c r="D1294" i="4"/>
  <c r="J15" i="12"/>
  <c r="J16" i="12" s="1"/>
  <c r="J7" i="12" s="1"/>
  <c r="D1395" i="4"/>
  <c r="D1259" i="4"/>
  <c r="D1872" i="4"/>
  <c r="D2898" i="4"/>
  <c r="D416" i="4"/>
  <c r="D2922" i="4"/>
  <c r="J362" i="12"/>
  <c r="J363" i="3"/>
  <c r="J355" i="12"/>
  <c r="J351" i="12" s="1"/>
  <c r="J350" i="12"/>
  <c r="J342" i="12" s="1"/>
  <c r="J218" i="12"/>
  <c r="J212" i="12" s="1"/>
  <c r="J92" i="3"/>
  <c r="J96" i="3"/>
  <c r="J75" i="3"/>
  <c r="J264" i="12"/>
  <c r="J244" i="12" s="1"/>
  <c r="J198" i="3"/>
  <c r="J133" i="3"/>
  <c r="J227" i="12"/>
  <c r="J219" i="12" s="1"/>
  <c r="J122" i="3"/>
  <c r="J369" i="3"/>
  <c r="J353" i="3"/>
  <c r="J36" i="12"/>
  <c r="J23" i="12" s="1"/>
  <c r="J309" i="3"/>
  <c r="J20" i="3"/>
  <c r="J19" i="3" s="1"/>
  <c r="D7" i="1" s="1"/>
  <c r="J151" i="3"/>
  <c r="J406" i="12"/>
  <c r="J400" i="12" s="1"/>
  <c r="J315" i="3"/>
  <c r="J349" i="3"/>
  <c r="J40" i="3"/>
  <c r="J128" i="3"/>
  <c r="D6" i="1"/>
  <c r="J323" i="3"/>
  <c r="D2992" i="4"/>
  <c r="L2208" i="8"/>
  <c r="J370" i="12"/>
  <c r="J373" i="3"/>
  <c r="J61" i="3"/>
  <c r="J338" i="12"/>
  <c r="J332" i="12" s="1"/>
  <c r="J46" i="3"/>
  <c r="L664" i="8"/>
  <c r="L665" i="8" s="1"/>
  <c r="D2945" i="4"/>
  <c r="J229" i="12"/>
  <c r="J234" i="12" s="1"/>
  <c r="J228" i="12" s="1"/>
  <c r="J172" i="3"/>
  <c r="J18" i="12"/>
  <c r="J19" i="12" s="1"/>
  <c r="J17" i="12" s="1"/>
  <c r="J236" i="12"/>
  <c r="J240" i="12" s="1"/>
  <c r="J235" i="12" s="1"/>
  <c r="J189" i="3"/>
  <c r="J377" i="12"/>
  <c r="J389" i="12" s="1"/>
  <c r="J376" i="12" s="1"/>
  <c r="J277" i="12"/>
  <c r="J265" i="12" s="1"/>
  <c r="J371" i="12"/>
  <c r="J375" i="3"/>
  <c r="J146" i="12"/>
  <c r="I407" i="12"/>
  <c r="B5" i="13" s="1"/>
  <c r="L1102" i="8"/>
  <c r="L1103" i="8" s="1"/>
  <c r="D3012" i="4"/>
  <c r="L158" i="8"/>
  <c r="L159" i="8" s="1"/>
  <c r="L845" i="8"/>
  <c r="L846" i="8" s="1"/>
  <c r="L67" i="8"/>
  <c r="L68" i="8" s="1"/>
  <c r="D2968" i="4"/>
  <c r="J55" i="3"/>
  <c r="J398" i="12"/>
  <c r="J399" i="12" s="1"/>
  <c r="J397" i="12" s="1"/>
  <c r="I348" i="3"/>
  <c r="I210" i="3"/>
  <c r="B3" i="13"/>
  <c r="I410" i="12"/>
  <c r="J317" i="12"/>
  <c r="J322" i="12" s="1"/>
  <c r="J316" i="12" s="1"/>
  <c r="J306" i="12"/>
  <c r="J315" i="12" s="1"/>
  <c r="J299" i="12" s="1"/>
  <c r="J391" i="12"/>
  <c r="J396" i="12" s="1"/>
  <c r="J390" i="12" s="1"/>
  <c r="I74" i="3"/>
  <c r="L1080" i="8"/>
  <c r="L1081" i="8" s="1"/>
  <c r="I19" i="3"/>
  <c r="J285" i="12"/>
  <c r="J298" i="12" s="1"/>
  <c r="J284" i="12" s="1"/>
  <c r="J279" i="12"/>
  <c r="J283" i="12" s="1"/>
  <c r="J278" i="12" s="1"/>
  <c r="J324" i="12"/>
  <c r="J331" i="12" s="1"/>
  <c r="J323" i="12" s="1"/>
  <c r="J187" i="12" l="1"/>
  <c r="J37" i="12" s="1"/>
  <c r="C18" i="2"/>
  <c r="C8" i="2"/>
  <c r="C16" i="2"/>
  <c r="M17" i="2" s="1"/>
  <c r="Q17" i="2" s="1"/>
  <c r="J335" i="3"/>
  <c r="I412" i="12"/>
  <c r="J74" i="3"/>
  <c r="O74" i="3" s="1"/>
  <c r="C10" i="2"/>
  <c r="D11" i="2" s="1"/>
  <c r="Q11" i="2" s="1"/>
  <c r="J375" i="12"/>
  <c r="J356" i="12" s="1"/>
  <c r="J210" i="3"/>
  <c r="J20" i="12"/>
  <c r="I35" i="3"/>
  <c r="F19" i="2"/>
  <c r="G19" i="2"/>
  <c r="H19" i="2"/>
  <c r="E19" i="2"/>
  <c r="B4" i="13"/>
  <c r="I411" i="12"/>
  <c r="D9" i="1" l="1"/>
  <c r="O335" i="3"/>
  <c r="J339" i="12"/>
  <c r="J35" i="3"/>
  <c r="C14" i="2"/>
  <c r="E15" i="2" s="1"/>
  <c r="J407" i="12"/>
  <c r="J341" i="12" s="1"/>
  <c r="C3" i="13"/>
  <c r="J410" i="12"/>
  <c r="J6" i="12"/>
  <c r="J19" i="2"/>
  <c r="Q19" i="2" s="1"/>
  <c r="J411" i="12"/>
  <c r="C4" i="13"/>
  <c r="J22" i="12"/>
  <c r="K9" i="2"/>
  <c r="D9" i="2"/>
  <c r="D20" i="2" s="1"/>
  <c r="O9" i="2"/>
  <c r="F9" i="2"/>
  <c r="E9" i="2"/>
  <c r="N9" i="2"/>
  <c r="J9" i="2"/>
  <c r="L9" i="2"/>
  <c r="M9" i="2"/>
  <c r="H9" i="2"/>
  <c r="G9" i="2"/>
  <c r="D8" i="1" l="1"/>
  <c r="D12" i="1" s="1"/>
  <c r="O35" i="3"/>
  <c r="J410" i="3"/>
  <c r="I161" i="9" s="1"/>
  <c r="B7" i="13"/>
  <c r="C5" i="13"/>
  <c r="J412" i="12"/>
  <c r="H15" i="2"/>
  <c r="F15" i="2"/>
  <c r="G15" i="2"/>
  <c r="P9" i="2"/>
  <c r="P20" i="2" s="1"/>
  <c r="D21" i="2"/>
  <c r="C12" i="2" l="1"/>
  <c r="L13" i="2" s="1"/>
  <c r="L20" i="2" s="1"/>
  <c r="L21" i="2" s="1"/>
  <c r="M13" i="2"/>
  <c r="G13" i="2"/>
  <c r="C20" i="2"/>
  <c r="Q20" i="2" s="1"/>
  <c r="K13" i="2"/>
  <c r="I414" i="12"/>
  <c r="I474" i="10"/>
  <c r="I336" i="10"/>
  <c r="I11" i="9"/>
  <c r="I274" i="10"/>
  <c r="I332" i="10"/>
  <c r="I253" i="10"/>
  <c r="I375" i="10"/>
  <c r="I44" i="9"/>
  <c r="J413" i="12"/>
  <c r="C6" i="13" s="1"/>
  <c r="I234" i="10"/>
  <c r="I298" i="10"/>
  <c r="I122" i="10"/>
  <c r="I113" i="10"/>
  <c r="I282" i="10"/>
  <c r="I200" i="10"/>
  <c r="I320" i="10"/>
  <c r="I45" i="10"/>
  <c r="I504" i="10"/>
  <c r="I367" i="10"/>
  <c r="I73" i="10"/>
  <c r="I76" i="10"/>
  <c r="I247" i="10"/>
  <c r="I288" i="10"/>
  <c r="I312" i="10"/>
  <c r="I141" i="10"/>
  <c r="I389" i="10"/>
  <c r="I76" i="9"/>
  <c r="I213" i="10"/>
  <c r="I430" i="10"/>
  <c r="I59" i="10"/>
  <c r="I418" i="10"/>
  <c r="I340" i="10"/>
  <c r="I277" i="10"/>
  <c r="I89" i="9"/>
  <c r="I353" i="10"/>
  <c r="I184" i="9"/>
  <c r="I43" i="9"/>
  <c r="I27" i="9"/>
  <c r="I224" i="10"/>
  <c r="I96" i="9"/>
  <c r="I385" i="10"/>
  <c r="I79" i="10"/>
  <c r="I111" i="10"/>
  <c r="I102" i="9"/>
  <c r="I78" i="10"/>
  <c r="I50" i="9"/>
  <c r="I230" i="10"/>
  <c r="I308" i="10"/>
  <c r="I98" i="9"/>
  <c r="I140" i="9"/>
  <c r="I48" i="9"/>
  <c r="I382" i="10"/>
  <c r="I285" i="10"/>
  <c r="I492" i="10"/>
  <c r="I242" i="10"/>
  <c r="I546" i="10"/>
  <c r="I245" i="10"/>
  <c r="I159" i="10"/>
  <c r="I398" i="10"/>
  <c r="I293" i="10"/>
  <c r="I36" i="9"/>
  <c r="I155" i="9"/>
  <c r="I173" i="10"/>
  <c r="I364" i="10"/>
  <c r="I124" i="10"/>
  <c r="I162" i="9"/>
  <c r="I38" i="10"/>
  <c r="I20" i="9"/>
  <c r="I34" i="9"/>
  <c r="I105" i="9"/>
  <c r="I270" i="10"/>
  <c r="I508" i="10"/>
  <c r="I443" i="10"/>
  <c r="I90" i="10"/>
  <c r="I273" i="10"/>
  <c r="I158" i="10"/>
  <c r="I157" i="10"/>
  <c r="I434" i="10"/>
  <c r="I110" i="9"/>
  <c r="I26" i="10"/>
  <c r="I321" i="10"/>
  <c r="I77" i="9"/>
  <c r="I326" i="10"/>
  <c r="I91" i="9"/>
  <c r="I415" i="10"/>
  <c r="I528" i="10"/>
  <c r="I29" i="9"/>
  <c r="I47" i="9"/>
  <c r="I482" i="10"/>
  <c r="I67" i="10"/>
  <c r="I538" i="10"/>
  <c r="I118" i="10"/>
  <c r="I166" i="9"/>
  <c r="I512" i="10"/>
  <c r="I39" i="9"/>
  <c r="I254" i="10"/>
  <c r="I143" i="10"/>
  <c r="I522" i="10"/>
  <c r="I304" i="10"/>
  <c r="I86" i="10"/>
  <c r="I540" i="10"/>
  <c r="I81" i="10"/>
  <c r="I357" i="10"/>
  <c r="I134" i="10"/>
  <c r="I396" i="10"/>
  <c r="I465" i="10"/>
  <c r="I120" i="10"/>
  <c r="I239" i="10"/>
  <c r="I156" i="9"/>
  <c r="I96" i="10"/>
  <c r="I48" i="10"/>
  <c r="I97" i="10"/>
  <c r="I315" i="10"/>
  <c r="I534" i="10"/>
  <c r="I44" i="10"/>
  <c r="I154" i="10"/>
  <c r="I35" i="9"/>
  <c r="I144" i="9"/>
  <c r="I107" i="10"/>
  <c r="I256" i="10"/>
  <c r="I185" i="9"/>
  <c r="I262" i="10"/>
  <c r="I473" i="10"/>
  <c r="I269" i="10"/>
  <c r="I7" i="9"/>
  <c r="J7" i="9" s="1"/>
  <c r="K7" i="9" s="1"/>
  <c r="I371" i="10"/>
  <c r="I83" i="10"/>
  <c r="I170" i="10"/>
  <c r="I548" i="10"/>
  <c r="I544" i="10"/>
  <c r="I61" i="10"/>
  <c r="I517" i="10"/>
  <c r="I405" i="10"/>
  <c r="I244" i="10"/>
  <c r="I531" i="10"/>
  <c r="I37" i="9"/>
  <c r="I107" i="9"/>
  <c r="I185" i="10"/>
  <c r="I70" i="9"/>
  <c r="I167" i="10"/>
  <c r="I135" i="10"/>
  <c r="I535" i="10"/>
  <c r="I13" i="10"/>
  <c r="I215" i="10"/>
  <c r="I286" i="10"/>
  <c r="I181" i="9"/>
  <c r="I417" i="10"/>
  <c r="I551" i="10"/>
  <c r="I515" i="10"/>
  <c r="I16" i="10"/>
  <c r="I123" i="9"/>
  <c r="I201" i="10"/>
  <c r="I500" i="10"/>
  <c r="I178" i="9"/>
  <c r="I453" i="10"/>
  <c r="I399" i="10"/>
  <c r="I113" i="9"/>
  <c r="I481" i="10"/>
  <c r="I509" i="10"/>
  <c r="I427" i="10"/>
  <c r="I122" i="9"/>
  <c r="I121" i="9"/>
  <c r="I231" i="10"/>
  <c r="I174" i="9"/>
  <c r="I180" i="9"/>
  <c r="I464" i="10"/>
  <c r="I514" i="10"/>
  <c r="I448" i="10"/>
  <c r="I126" i="9"/>
  <c r="I17" i="10"/>
  <c r="I217" i="10"/>
  <c r="I174" i="10"/>
  <c r="I26" i="9"/>
  <c r="I456" i="10"/>
  <c r="I457" i="10"/>
  <c r="I191" i="10"/>
  <c r="I359" i="10"/>
  <c r="I177" i="9"/>
  <c r="I104" i="9"/>
  <c r="I204" i="10"/>
  <c r="I190" i="10"/>
  <c r="I65" i="9"/>
  <c r="I175" i="10"/>
  <c r="I150" i="9"/>
  <c r="I240" i="10"/>
  <c r="I194" i="10"/>
  <c r="I33" i="9"/>
  <c r="I32" i="9"/>
  <c r="I121" i="10"/>
  <c r="I180" i="10"/>
  <c r="I292" i="10"/>
  <c r="I203" i="10"/>
  <c r="I184" i="10"/>
  <c r="I208" i="10"/>
  <c r="I160" i="10"/>
  <c r="I306" i="10"/>
  <c r="I435" i="10"/>
  <c r="I488" i="10"/>
  <c r="I232" i="10"/>
  <c r="I149" i="10"/>
  <c r="I9" i="10"/>
  <c r="I183" i="10"/>
  <c r="I138" i="9"/>
  <c r="I84" i="9"/>
  <c r="I80" i="9"/>
  <c r="I43" i="10"/>
  <c r="I162" i="10"/>
  <c r="I138" i="10"/>
  <c r="I506" i="10"/>
  <c r="I118" i="9"/>
  <c r="I99" i="10"/>
  <c r="I7" i="10"/>
  <c r="J7" i="10" s="1"/>
  <c r="K7" i="10" s="1"/>
  <c r="I233" i="10"/>
  <c r="I350" i="10"/>
  <c r="I451" i="10"/>
  <c r="I472" i="10"/>
  <c r="I151" i="9"/>
  <c r="I130" i="10"/>
  <c r="I196" i="10"/>
  <c r="I88" i="9"/>
  <c r="I31" i="10"/>
  <c r="I246" i="10"/>
  <c r="I206" i="10"/>
  <c r="I106" i="10"/>
  <c r="I50" i="10"/>
  <c r="I260" i="10"/>
  <c r="I156" i="10"/>
  <c r="I264" i="10"/>
  <c r="I71" i="9"/>
  <c r="I344" i="10"/>
  <c r="I302" i="10"/>
  <c r="I423" i="10"/>
  <c r="I28" i="9"/>
  <c r="I30" i="10"/>
  <c r="I77" i="10"/>
  <c r="I199" i="10"/>
  <c r="I167" i="9"/>
  <c r="I73" i="9"/>
  <c r="I318" i="10"/>
  <c r="I414" i="10"/>
  <c r="I170" i="9"/>
  <c r="I152" i="10"/>
  <c r="I266" i="10"/>
  <c r="I14" i="9"/>
  <c r="I53" i="10"/>
  <c r="I34" i="10"/>
  <c r="I249" i="10"/>
  <c r="I425" i="10"/>
  <c r="I316" i="10"/>
  <c r="I526" i="10"/>
  <c r="I41" i="9"/>
  <c r="I81" i="9"/>
  <c r="I186" i="10"/>
  <c r="I163" i="10"/>
  <c r="I351" i="10"/>
  <c r="I52" i="10"/>
  <c r="I104" i="10"/>
  <c r="I108" i="10"/>
  <c r="I267" i="10"/>
  <c r="I520" i="10"/>
  <c r="I223" i="10"/>
  <c r="I49" i="9"/>
  <c r="I131" i="9"/>
  <c r="I413" i="10"/>
  <c r="I442" i="10"/>
  <c r="I125" i="10"/>
  <c r="I462" i="10"/>
  <c r="I387" i="10"/>
  <c r="I108" i="9"/>
  <c r="I220" i="10"/>
  <c r="I310" i="10"/>
  <c r="I129" i="9"/>
  <c r="I255" i="10"/>
  <c r="I142" i="10"/>
  <c r="I265" i="10"/>
  <c r="I85" i="9"/>
  <c r="I145" i="10"/>
  <c r="I419" i="10"/>
  <c r="I378" i="10"/>
  <c r="I471" i="10"/>
  <c r="I144" i="10"/>
  <c r="I54" i="9"/>
  <c r="I468" i="10"/>
  <c r="I171" i="10"/>
  <c r="I257" i="10"/>
  <c r="I100" i="10"/>
  <c r="I370" i="10"/>
  <c r="I109" i="10"/>
  <c r="I120" i="9"/>
  <c r="I377" i="10"/>
  <c r="I510" i="10"/>
  <c r="I545" i="10"/>
  <c r="I416" i="10"/>
  <c r="I91" i="10"/>
  <c r="I148" i="9"/>
  <c r="I140" i="10"/>
  <c r="I501" i="10"/>
  <c r="I433" i="10"/>
  <c r="I110" i="10"/>
  <c r="I99" i="9"/>
  <c r="I373" i="10"/>
  <c r="I313" i="10"/>
  <c r="I420" i="10"/>
  <c r="I445" i="10"/>
  <c r="I14" i="10"/>
  <c r="I280" i="10"/>
  <c r="I98" i="10"/>
  <c r="I380" i="10"/>
  <c r="I45" i="9"/>
  <c r="I549" i="10"/>
  <c r="I532" i="10"/>
  <c r="I38" i="9"/>
  <c r="I115" i="10"/>
  <c r="I58" i="10"/>
  <c r="I369" i="10"/>
  <c r="I402" i="10"/>
  <c r="I493" i="10"/>
  <c r="I401" i="10"/>
  <c r="I268" i="10"/>
  <c r="I49" i="10"/>
  <c r="I35" i="10"/>
  <c r="I146" i="9"/>
  <c r="I36" i="10"/>
  <c r="I362" i="10"/>
  <c r="I101" i="9"/>
  <c r="I381" i="10"/>
  <c r="I47" i="10"/>
  <c r="I202" i="10"/>
  <c r="I365" i="10"/>
  <c r="I461" i="10"/>
  <c r="I503" i="10"/>
  <c r="I127" i="10"/>
  <c r="I116" i="9"/>
  <c r="I97" i="9"/>
  <c r="I161" i="10"/>
  <c r="I552" i="10"/>
  <c r="I284" i="10"/>
  <c r="I409" i="10"/>
  <c r="I114" i="10"/>
  <c r="I46" i="9"/>
  <c r="I66" i="10"/>
  <c r="I327" i="10"/>
  <c r="I151" i="10"/>
  <c r="I485" i="10"/>
  <c r="I20" i="10"/>
  <c r="I62" i="10"/>
  <c r="I37" i="10"/>
  <c r="I155" i="10"/>
  <c r="I59" i="9"/>
  <c r="I187" i="10"/>
  <c r="I237" i="10"/>
  <c r="I142" i="9"/>
  <c r="I334" i="10"/>
  <c r="I176" i="9"/>
  <c r="I484" i="10"/>
  <c r="I276" i="10"/>
  <c r="I132" i="9"/>
  <c r="I177" i="10"/>
  <c r="I212" i="10"/>
  <c r="I53" i="9"/>
  <c r="I366" i="10"/>
  <c r="I83" i="9"/>
  <c r="I74" i="10"/>
  <c r="I46" i="10"/>
  <c r="I130" i="9"/>
  <c r="I335" i="10"/>
  <c r="I393" i="10"/>
  <c r="I109" i="9"/>
  <c r="I68" i="10"/>
  <c r="I283" i="10"/>
  <c r="I153" i="9"/>
  <c r="I41" i="10"/>
  <c r="I207" i="10"/>
  <c r="I436" i="10"/>
  <c r="I143" i="9"/>
  <c r="I55" i="9"/>
  <c r="I495" i="10"/>
  <c r="I32" i="10"/>
  <c r="I193" i="10"/>
  <c r="I358" i="10"/>
  <c r="I24" i="9"/>
  <c r="I92" i="10"/>
  <c r="I128" i="9"/>
  <c r="I391" i="10"/>
  <c r="I330" i="10"/>
  <c r="I542" i="10"/>
  <c r="I169" i="10"/>
  <c r="I480" i="10"/>
  <c r="I129" i="10"/>
  <c r="I181" i="10"/>
  <c r="I117" i="10"/>
  <c r="I40" i="9"/>
  <c r="I222" i="10"/>
  <c r="I15" i="9"/>
  <c r="I115" i="9"/>
  <c r="I355" i="10"/>
  <c r="I325" i="10"/>
  <c r="I168" i="9"/>
  <c r="I128" i="10"/>
  <c r="I64" i="9"/>
  <c r="I214" i="10"/>
  <c r="I412" i="10"/>
  <c r="I421" i="10"/>
  <c r="I13" i="9"/>
  <c r="I159" i="9"/>
  <c r="I250" i="10"/>
  <c r="I395" i="10"/>
  <c r="I24" i="10"/>
  <c r="I479" i="10"/>
  <c r="I134" i="9"/>
  <c r="I11" i="10"/>
  <c r="I197" i="10"/>
  <c r="I229" i="10"/>
  <c r="I297" i="10"/>
  <c r="I17" i="9"/>
  <c r="I25" i="10"/>
  <c r="I178" i="10"/>
  <c r="I157" i="9"/>
  <c r="I360" i="10"/>
  <c r="I476" i="10"/>
  <c r="I407" i="10"/>
  <c r="I147" i="9"/>
  <c r="I54" i="10"/>
  <c r="I209" i="10"/>
  <c r="I57" i="9"/>
  <c r="I431" i="10"/>
  <c r="I374" i="10"/>
  <c r="I530" i="10"/>
  <c r="I61" i="9"/>
  <c r="I28" i="10"/>
  <c r="I404" i="10"/>
  <c r="I90" i="9"/>
  <c r="I117" i="9"/>
  <c r="I195" i="10"/>
  <c r="I18" i="10"/>
  <c r="I539" i="10"/>
  <c r="I205" i="10"/>
  <c r="I154" i="9"/>
  <c r="I218" i="10"/>
  <c r="I251" i="10"/>
  <c r="I40" i="10"/>
  <c r="I439" i="10"/>
  <c r="I147" i="10"/>
  <c r="I343" i="10"/>
  <c r="I271" i="10"/>
  <c r="I408" i="10"/>
  <c r="I168" i="10"/>
  <c r="I135" i="9"/>
  <c r="I192" i="10"/>
  <c r="I102" i="10"/>
  <c r="I126" i="10"/>
  <c r="I477" i="10"/>
  <c r="I92" i="9"/>
  <c r="I65" i="10"/>
  <c r="I137" i="10"/>
  <c r="I225" i="10"/>
  <c r="I483" i="10"/>
  <c r="I346" i="10"/>
  <c r="I311" i="10"/>
  <c r="I428" i="10"/>
  <c r="I498" i="10"/>
  <c r="I139" i="9"/>
  <c r="I164" i="10"/>
  <c r="I165" i="9"/>
  <c r="I133" i="9"/>
  <c r="I211" i="10"/>
  <c r="I101" i="10"/>
  <c r="I10" i="9"/>
  <c r="I33" i="10"/>
  <c r="I339" i="10"/>
  <c r="I356" i="10"/>
  <c r="I72" i="9"/>
  <c r="I216" i="10"/>
  <c r="I95" i="9"/>
  <c r="I169" i="9"/>
  <c r="I550" i="10"/>
  <c r="I146" i="10"/>
  <c r="I22" i="10"/>
  <c r="I383" i="10"/>
  <c r="I455" i="10"/>
  <c r="I94" i="10"/>
  <c r="I58" i="9"/>
  <c r="I119" i="10"/>
  <c r="I238" i="10"/>
  <c r="I394" i="10"/>
  <c r="I112" i="9"/>
  <c r="I21" i="10"/>
  <c r="I39" i="10"/>
  <c r="I241" i="10"/>
  <c r="I424" i="10"/>
  <c r="I384" i="10"/>
  <c r="I291" i="10"/>
  <c r="I429" i="10"/>
  <c r="I478" i="10"/>
  <c r="I543" i="10"/>
  <c r="I183" i="9"/>
  <c r="I23" i="9"/>
  <c r="I131" i="10"/>
  <c r="I259" i="10"/>
  <c r="I111" i="9"/>
  <c r="I289" i="10"/>
  <c r="I103" i="9"/>
  <c r="I294" i="10"/>
  <c r="I440" i="10"/>
  <c r="I165" i="10"/>
  <c r="I78" i="9"/>
  <c r="I31" i="9"/>
  <c r="I163" i="9"/>
  <c r="I432" i="10"/>
  <c r="I80" i="10"/>
  <c r="I51" i="10"/>
  <c r="I219" i="10"/>
  <c r="I22" i="9"/>
  <c r="I537" i="10"/>
  <c r="I324" i="10"/>
  <c r="I333" i="10"/>
  <c r="I133" i="10"/>
  <c r="I87" i="9"/>
  <c r="I450" i="10"/>
  <c r="I489" i="10"/>
  <c r="I490" i="10"/>
  <c r="I30" i="9"/>
  <c r="I338" i="10"/>
  <c r="I228" i="10"/>
  <c r="I342" i="10"/>
  <c r="I12" i="10"/>
  <c r="I361" i="10"/>
  <c r="I94" i="9"/>
  <c r="I529" i="10"/>
  <c r="I62" i="9"/>
  <c r="I172" i="10"/>
  <c r="I23" i="10"/>
  <c r="I368" i="10"/>
  <c r="I87" i="10"/>
  <c r="I160" i="9"/>
  <c r="I70" i="10"/>
  <c r="I124" i="9"/>
  <c r="I100" i="9"/>
  <c r="I303" i="10"/>
  <c r="I317" i="10"/>
  <c r="I136" i="9"/>
  <c r="I337" i="10"/>
  <c r="I348" i="10"/>
  <c r="I354" i="10"/>
  <c r="I69" i="10"/>
  <c r="I388" i="10"/>
  <c r="I88" i="10"/>
  <c r="I397" i="10"/>
  <c r="I521" i="10"/>
  <c r="I258" i="10"/>
  <c r="I139" i="10"/>
  <c r="I153" i="10"/>
  <c r="I227" i="10"/>
  <c r="I221" i="10"/>
  <c r="I149" i="9"/>
  <c r="I541" i="10"/>
  <c r="I252" i="10"/>
  <c r="I137" i="9"/>
  <c r="I173" i="9"/>
  <c r="I314" i="10"/>
  <c r="I486" i="10"/>
  <c r="I89" i="10"/>
  <c r="I152" i="9"/>
  <c r="I69" i="9"/>
  <c r="I392" i="10"/>
  <c r="I179" i="10"/>
  <c r="I502" i="10"/>
  <c r="I281" i="10"/>
  <c r="I513" i="10"/>
  <c r="I51" i="9"/>
  <c r="I105" i="10"/>
  <c r="I74" i="9"/>
  <c r="I236" i="10"/>
  <c r="I106" i="9"/>
  <c r="I55" i="10"/>
  <c r="I42" i="10"/>
  <c r="I29" i="10"/>
  <c r="I10" i="10"/>
  <c r="I243" i="10"/>
  <c r="I363" i="10"/>
  <c r="I66" i="9"/>
  <c r="I60" i="10"/>
  <c r="I15" i="10"/>
  <c r="I341" i="10"/>
  <c r="I454" i="10"/>
  <c r="I42" i="9"/>
  <c r="I261" i="10"/>
  <c r="I379" i="10"/>
  <c r="I119" i="9"/>
  <c r="I345" i="10"/>
  <c r="I319" i="10"/>
  <c r="I386" i="10"/>
  <c r="I189" i="10"/>
  <c r="I497" i="10"/>
  <c r="I491" i="10"/>
  <c r="I198" i="10"/>
  <c r="I63" i="10"/>
  <c r="I125" i="9"/>
  <c r="I295" i="10"/>
  <c r="I403" i="10"/>
  <c r="I469" i="10"/>
  <c r="I437" i="10"/>
  <c r="I235" i="10"/>
  <c r="I172" i="9"/>
  <c r="I72" i="10"/>
  <c r="I25" i="9"/>
  <c r="I275" i="10"/>
  <c r="I79" i="9"/>
  <c r="I64" i="10"/>
  <c r="I278" i="10"/>
  <c r="I309" i="10"/>
  <c r="I145" i="9"/>
  <c r="I444" i="10"/>
  <c r="I56" i="10"/>
  <c r="I182" i="9"/>
  <c r="I322" i="10"/>
  <c r="I511" i="10"/>
  <c r="I95" i="10"/>
  <c r="I127" i="9"/>
  <c r="I158" i="9"/>
  <c r="I349" i="10"/>
  <c r="I347" i="10"/>
  <c r="I175" i="9"/>
  <c r="I487" i="10"/>
  <c r="I112" i="10"/>
  <c r="I467" i="10"/>
  <c r="I103" i="10"/>
  <c r="I188" i="10"/>
  <c r="I441" i="10"/>
  <c r="I496" i="10"/>
  <c r="I182" i="10"/>
  <c r="I516" i="10"/>
  <c r="I519" i="10"/>
  <c r="I290" i="10"/>
  <c r="I93" i="10"/>
  <c r="I352" i="10"/>
  <c r="I93" i="9"/>
  <c r="I331" i="10"/>
  <c r="I372" i="10"/>
  <c r="I171" i="9"/>
  <c r="I494" i="10"/>
  <c r="I533" i="10"/>
  <c r="I406" i="10"/>
  <c r="I27" i="10"/>
  <c r="I226" i="10"/>
  <c r="I84" i="10"/>
  <c r="I296" i="10"/>
  <c r="I505" i="10"/>
  <c r="I547" i="10"/>
  <c r="I300" i="10"/>
  <c r="I527" i="10"/>
  <c r="I458" i="10"/>
  <c r="I176" i="10"/>
  <c r="I410" i="10"/>
  <c r="I148" i="10"/>
  <c r="I452" i="10"/>
  <c r="I19" i="9"/>
  <c r="I536" i="10"/>
  <c r="I507" i="10"/>
  <c r="I164" i="9"/>
  <c r="I16" i="9"/>
  <c r="I67" i="9"/>
  <c r="I132" i="10"/>
  <c r="I57" i="10"/>
  <c r="I438" i="10"/>
  <c r="I446" i="10"/>
  <c r="I376" i="10"/>
  <c r="I52" i="9"/>
  <c r="I68" i="9"/>
  <c r="I470" i="10"/>
  <c r="I272" i="10"/>
  <c r="I323" i="10"/>
  <c r="I75" i="10"/>
  <c r="I328" i="10"/>
  <c r="I426" i="10"/>
  <c r="I86" i="9"/>
  <c r="I524" i="10"/>
  <c r="I114" i="9"/>
  <c r="I499" i="10"/>
  <c r="I19" i="10"/>
  <c r="I150" i="10"/>
  <c r="I71" i="10"/>
  <c r="I411" i="10"/>
  <c r="I390" i="10"/>
  <c r="I56" i="9"/>
  <c r="I18" i="9"/>
  <c r="I305" i="10"/>
  <c r="I459" i="10"/>
  <c r="I307" i="10"/>
  <c r="I329" i="10"/>
  <c r="I475" i="10"/>
  <c r="I12" i="9"/>
  <c r="I141" i="9"/>
  <c r="I63" i="9"/>
  <c r="I82" i="9"/>
  <c r="I400" i="10"/>
  <c r="I301" i="10"/>
  <c r="I210" i="10"/>
  <c r="I279" i="10"/>
  <c r="I116" i="10"/>
  <c r="I9" i="9"/>
  <c r="I166" i="10"/>
  <c r="I422" i="10"/>
  <c r="I525" i="10"/>
  <c r="I75" i="9"/>
  <c r="I21" i="9"/>
  <c r="I136" i="10"/>
  <c r="I466" i="10"/>
  <c r="I179" i="9"/>
  <c r="I299" i="10"/>
  <c r="I8" i="9"/>
  <c r="I263" i="10"/>
  <c r="I447" i="10"/>
  <c r="E7" i="1"/>
  <c r="I248" i="10"/>
  <c r="I85" i="10"/>
  <c r="I82" i="10"/>
  <c r="I460" i="10"/>
  <c r="I123" i="10"/>
  <c r="I463" i="10"/>
  <c r="I523" i="10"/>
  <c r="I449" i="10"/>
  <c r="I287" i="10"/>
  <c r="I60" i="9"/>
  <c r="I518" i="10"/>
  <c r="I8" i="10"/>
  <c r="E11" i="1"/>
  <c r="E10" i="1"/>
  <c r="J3" i="12"/>
  <c r="C7" i="13"/>
  <c r="E8" i="1"/>
  <c r="E9" i="1"/>
  <c r="E6" i="1"/>
  <c r="J15" i="2"/>
  <c r="Q15" i="2" s="1"/>
  <c r="P21" i="2"/>
  <c r="Q9" i="2"/>
  <c r="E13" i="2" l="1"/>
  <c r="E20" i="2" s="1"/>
  <c r="E21" i="2" s="1"/>
  <c r="N13" i="2"/>
  <c r="F13" i="2"/>
  <c r="F20" i="2" s="1"/>
  <c r="F21" i="2" s="1"/>
  <c r="J13" i="2"/>
  <c r="J20" i="2" s="1"/>
  <c r="J21" i="2" s="1"/>
  <c r="H13" i="2"/>
  <c r="H20" i="2" s="1"/>
  <c r="H21" i="2" s="1"/>
  <c r="E12" i="1"/>
  <c r="G20" i="2"/>
  <c r="G21" i="2" s="1"/>
  <c r="N20" i="2"/>
  <c r="N21" i="2" s="1"/>
  <c r="K20" i="2"/>
  <c r="K21" i="2" s="1"/>
  <c r="M20" i="2"/>
  <c r="M21" i="2" s="1"/>
  <c r="O13" i="2"/>
  <c r="J414" i="12"/>
  <c r="J8" i="9"/>
  <c r="K8" i="9" s="1"/>
  <c r="J8" i="10"/>
  <c r="K8" i="10" s="1"/>
  <c r="D5" i="13"/>
  <c r="D3" i="13"/>
  <c r="D4" i="13"/>
  <c r="Q13" i="2" l="1"/>
  <c r="O20" i="2"/>
  <c r="O21" i="2" s="1"/>
  <c r="J9" i="9"/>
  <c r="K9" i="9" s="1"/>
  <c r="J9" i="10"/>
  <c r="K9" i="10" s="1"/>
  <c r="J10" i="9" l="1"/>
  <c r="K10" i="9" s="1"/>
  <c r="J10" i="10"/>
  <c r="J11" i="9" l="1"/>
  <c r="K11" i="9" s="1"/>
  <c r="K10" i="10"/>
  <c r="J11" i="10"/>
  <c r="J12" i="9" l="1"/>
  <c r="K11" i="10"/>
  <c r="J12" i="10"/>
  <c r="K12" i="9" l="1"/>
  <c r="J13" i="9"/>
  <c r="K12" i="10"/>
  <c r="J13" i="10"/>
  <c r="J14" i="9" l="1"/>
  <c r="K13" i="9"/>
  <c r="J14" i="10"/>
  <c r="K13" i="10"/>
  <c r="K14" i="9" l="1"/>
  <c r="J15" i="9"/>
  <c r="J15" i="10"/>
  <c r="K14" i="10"/>
  <c r="K15" i="9" l="1"/>
  <c r="J16" i="9"/>
  <c r="K15" i="10"/>
  <c r="J16" i="10"/>
  <c r="K16" i="9" l="1"/>
  <c r="J17" i="9"/>
  <c r="J17" i="10"/>
  <c r="K16" i="10"/>
  <c r="J18" i="9" l="1"/>
  <c r="K17" i="9"/>
  <c r="K17" i="10"/>
  <c r="J18" i="10"/>
  <c r="J19" i="9" l="1"/>
  <c r="K18" i="9"/>
  <c r="K18" i="10"/>
  <c r="J19" i="10"/>
  <c r="J20" i="9" l="1"/>
  <c r="K19" i="9"/>
  <c r="J20" i="10"/>
  <c r="K19" i="10"/>
  <c r="K20" i="9" l="1"/>
  <c r="J21" i="9"/>
  <c r="K20" i="10"/>
  <c r="J21" i="10"/>
  <c r="J22" i="9" l="1"/>
  <c r="K21" i="9"/>
  <c r="K21" i="10"/>
  <c r="J22" i="10"/>
  <c r="J23" i="9" l="1"/>
  <c r="K22" i="9"/>
  <c r="J23" i="10"/>
  <c r="K22" i="10"/>
  <c r="J24" i="9" l="1"/>
  <c r="K23" i="9"/>
  <c r="J24" i="10"/>
  <c r="K23" i="10"/>
  <c r="K24" i="9" l="1"/>
  <c r="J25" i="9"/>
  <c r="K24" i="10"/>
  <c r="J25" i="10"/>
  <c r="K25" i="9" l="1"/>
  <c r="J26" i="9"/>
  <c r="K25" i="10"/>
  <c r="J26" i="10"/>
  <c r="J27" i="9" l="1"/>
  <c r="K26" i="9"/>
  <c r="J27" i="10"/>
  <c r="K26" i="10"/>
  <c r="K27" i="9" l="1"/>
  <c r="J28" i="9"/>
  <c r="J28" i="10"/>
  <c r="K27" i="10"/>
  <c r="J29" i="9" l="1"/>
  <c r="K28" i="9"/>
  <c r="J29" i="10"/>
  <c r="K28" i="10"/>
  <c r="J30" i="9" l="1"/>
  <c r="K29" i="9"/>
  <c r="K29" i="10"/>
  <c r="J30" i="10"/>
  <c r="K30" i="9" l="1"/>
  <c r="J31" i="9"/>
  <c r="K30" i="10"/>
  <c r="J31" i="10"/>
  <c r="J32" i="9" l="1"/>
  <c r="K31" i="9"/>
  <c r="K31" i="10"/>
  <c r="J32" i="10"/>
  <c r="K32" i="9" l="1"/>
  <c r="J33" i="9"/>
  <c r="J33" i="10"/>
  <c r="K32" i="10"/>
  <c r="J34" i="9" l="1"/>
  <c r="K33" i="9"/>
  <c r="J34" i="10"/>
  <c r="K33" i="10"/>
  <c r="J35" i="9" l="1"/>
  <c r="K34" i="9"/>
  <c r="J35" i="10"/>
  <c r="K34" i="10"/>
  <c r="K35" i="9" l="1"/>
  <c r="J36" i="9"/>
  <c r="J36" i="10"/>
  <c r="K35" i="10"/>
  <c r="J37" i="9" l="1"/>
  <c r="K36" i="9"/>
  <c r="J37" i="10"/>
  <c r="K36" i="10"/>
  <c r="J38" i="9" l="1"/>
  <c r="K37" i="9"/>
  <c r="J38" i="10"/>
  <c r="K37" i="10"/>
  <c r="J39" i="9" l="1"/>
  <c r="K38" i="9"/>
  <c r="J39" i="10"/>
  <c r="K38" i="10"/>
  <c r="J40" i="9" l="1"/>
  <c r="K39" i="9"/>
  <c r="K39" i="10"/>
  <c r="J40" i="10"/>
  <c r="J41" i="9" l="1"/>
  <c r="K40" i="9"/>
  <c r="J41" i="10"/>
  <c r="K40" i="10"/>
  <c r="K41" i="9" l="1"/>
  <c r="J42" i="9"/>
  <c r="J42" i="10"/>
  <c r="K41" i="10"/>
  <c r="K42" i="9" l="1"/>
  <c r="J43" i="9"/>
  <c r="J43" i="10"/>
  <c r="K42" i="10"/>
  <c r="K43" i="9" l="1"/>
  <c r="J44" i="9"/>
  <c r="J44" i="10"/>
  <c r="K43" i="10"/>
  <c r="J45" i="9" l="1"/>
  <c r="K44" i="9"/>
  <c r="K44" i="10"/>
  <c r="J45" i="10"/>
  <c r="K45" i="9" l="1"/>
  <c r="J46" i="9"/>
  <c r="K45" i="10"/>
  <c r="J46" i="10"/>
  <c r="J47" i="9" l="1"/>
  <c r="K46" i="9"/>
  <c r="K46" i="10"/>
  <c r="J47" i="10"/>
  <c r="K47" i="9" l="1"/>
  <c r="J48" i="9"/>
  <c r="K47" i="10"/>
  <c r="J48" i="10"/>
  <c r="J49" i="9" l="1"/>
  <c r="K48" i="9"/>
  <c r="J49" i="10"/>
  <c r="K48" i="10"/>
  <c r="K49" i="9" l="1"/>
  <c r="J50" i="9"/>
  <c r="K49" i="10"/>
  <c r="J50" i="10"/>
  <c r="K50" i="9" l="1"/>
  <c r="J51" i="9"/>
  <c r="J51" i="10"/>
  <c r="K50" i="10"/>
  <c r="K51" i="9" l="1"/>
  <c r="J52" i="9"/>
  <c r="J52" i="10"/>
  <c r="K51" i="10"/>
  <c r="K52" i="9" l="1"/>
  <c r="J53" i="9"/>
  <c r="K52" i="10"/>
  <c r="J53" i="10"/>
  <c r="K53" i="9" l="1"/>
  <c r="J54" i="9"/>
  <c r="K53" i="10"/>
  <c r="J54" i="10"/>
  <c r="K54" i="9" l="1"/>
  <c r="J55" i="9"/>
  <c r="J55" i="10"/>
  <c r="K54" i="10"/>
  <c r="J56" i="9" l="1"/>
  <c r="K55" i="9"/>
  <c r="K55" i="10"/>
  <c r="J56" i="10"/>
  <c r="K56" i="9" l="1"/>
  <c r="J57" i="9"/>
  <c r="K56" i="10"/>
  <c r="J57" i="10"/>
  <c r="J58" i="9" l="1"/>
  <c r="K57" i="9"/>
  <c r="J58" i="10"/>
  <c r="K57" i="10"/>
  <c r="J59" i="9" l="1"/>
  <c r="K58" i="9"/>
  <c r="J59" i="10"/>
  <c r="K58" i="10"/>
  <c r="J60" i="9" l="1"/>
  <c r="K59" i="9"/>
  <c r="J60" i="10"/>
  <c r="K59" i="10"/>
  <c r="K60" i="9" l="1"/>
  <c r="J61" i="9"/>
  <c r="K60" i="10"/>
  <c r="J61" i="10"/>
  <c r="K61" i="9" l="1"/>
  <c r="J62" i="9"/>
  <c r="J62" i="10"/>
  <c r="K61" i="10"/>
  <c r="K62" i="9" l="1"/>
  <c r="J63" i="9"/>
  <c r="K62" i="10"/>
  <c r="J63" i="10"/>
  <c r="K63" i="9" l="1"/>
  <c r="J64" i="9"/>
  <c r="K63" i="10"/>
  <c r="J64" i="10"/>
  <c r="J65" i="9" l="1"/>
  <c r="K64" i="9"/>
  <c r="J65" i="10"/>
  <c r="K64" i="10"/>
  <c r="J66" i="9" l="1"/>
  <c r="K65" i="9"/>
  <c r="K65" i="10"/>
  <c r="J66" i="10"/>
  <c r="K66" i="9" l="1"/>
  <c r="J67" i="9"/>
  <c r="J67" i="10"/>
  <c r="K66" i="10"/>
  <c r="J68" i="9" l="1"/>
  <c r="K67" i="9"/>
  <c r="J68" i="10"/>
  <c r="K67" i="10"/>
  <c r="K68" i="9" l="1"/>
  <c r="J69" i="9"/>
  <c r="K68" i="10"/>
  <c r="J69" i="10"/>
  <c r="K69" i="9" l="1"/>
  <c r="J70" i="9"/>
  <c r="K69" i="10"/>
  <c r="J70" i="10"/>
  <c r="J71" i="9" l="1"/>
  <c r="K70" i="9"/>
  <c r="K70" i="10"/>
  <c r="J71" i="10"/>
  <c r="J72" i="9" l="1"/>
  <c r="K71" i="9"/>
  <c r="J72" i="10"/>
  <c r="K71" i="10"/>
  <c r="K72" i="9" l="1"/>
  <c r="J73" i="9"/>
  <c r="J73" i="10"/>
  <c r="K72" i="10"/>
  <c r="J74" i="9" l="1"/>
  <c r="K73" i="9"/>
  <c r="J74" i="10"/>
  <c r="K73" i="10"/>
  <c r="K74" i="9" l="1"/>
  <c r="J75" i="9"/>
  <c r="J75" i="10"/>
  <c r="K74" i="10"/>
  <c r="K75" i="9" l="1"/>
  <c r="J76" i="9"/>
  <c r="J76" i="10"/>
  <c r="K75" i="10"/>
  <c r="K76" i="9" l="1"/>
  <c r="J77" i="9"/>
  <c r="J77" i="10"/>
  <c r="K76" i="10"/>
  <c r="J78" i="9" l="1"/>
  <c r="K77" i="9"/>
  <c r="K77" i="10"/>
  <c r="J78" i="10"/>
  <c r="J79" i="9" l="1"/>
  <c r="K78" i="9"/>
  <c r="K78" i="10"/>
  <c r="J79" i="10"/>
  <c r="K79" i="9" l="1"/>
  <c r="J80" i="9"/>
  <c r="J80" i="10"/>
  <c r="K79" i="10"/>
  <c r="K80" i="9" l="1"/>
  <c r="J81" i="9"/>
  <c r="K80" i="10"/>
  <c r="J81" i="10"/>
  <c r="J82" i="9" l="1"/>
  <c r="K81" i="9"/>
  <c r="K81" i="10"/>
  <c r="J82" i="10"/>
  <c r="J83" i="9" l="1"/>
  <c r="K82" i="9"/>
  <c r="J83" i="10"/>
  <c r="K82" i="10"/>
  <c r="K83" i="9" l="1"/>
  <c r="J84" i="9"/>
  <c r="K83" i="10"/>
  <c r="J84" i="10"/>
  <c r="J85" i="9" l="1"/>
  <c r="K84" i="9"/>
  <c r="K84" i="10"/>
  <c r="J85" i="10"/>
  <c r="J86" i="9" l="1"/>
  <c r="K85" i="9"/>
  <c r="K85" i="10"/>
  <c r="J86" i="10"/>
  <c r="K86" i="9" l="1"/>
  <c r="J87" i="9"/>
  <c r="J87" i="10"/>
  <c r="K86" i="10"/>
  <c r="K87" i="9" l="1"/>
  <c r="J88" i="9"/>
  <c r="K87" i="10"/>
  <c r="J88" i="10"/>
  <c r="K88" i="9" l="1"/>
  <c r="J89" i="9"/>
  <c r="J89" i="10"/>
  <c r="K88" i="10"/>
  <c r="K89" i="9" l="1"/>
  <c r="J90" i="9"/>
  <c r="K89" i="10"/>
  <c r="J90" i="10"/>
  <c r="J91" i="9" l="1"/>
  <c r="K90" i="9"/>
  <c r="K90" i="10"/>
  <c r="J91" i="10"/>
  <c r="J92" i="9" l="1"/>
  <c r="K91" i="9"/>
  <c r="J92" i="10"/>
  <c r="K91" i="10"/>
  <c r="K92" i="9" l="1"/>
  <c r="J93" i="9"/>
  <c r="K92" i="10"/>
  <c r="J93" i="10"/>
  <c r="K93" i="9" l="1"/>
  <c r="J94" i="9"/>
  <c r="J94" i="10"/>
  <c r="K93" i="10"/>
  <c r="J95" i="9" l="1"/>
  <c r="K94" i="9"/>
  <c r="K94" i="10"/>
  <c r="J95" i="10"/>
  <c r="K95" i="9" l="1"/>
  <c r="J96" i="9"/>
  <c r="K95" i="10"/>
  <c r="J96" i="10"/>
  <c r="J97" i="9" l="1"/>
  <c r="K96" i="9"/>
  <c r="J97" i="10"/>
  <c r="K96" i="10"/>
  <c r="J98" i="9" l="1"/>
  <c r="K97" i="9"/>
  <c r="K97" i="10"/>
  <c r="J98" i="10"/>
  <c r="J99" i="9" l="1"/>
  <c r="K98" i="9"/>
  <c r="J99" i="10"/>
  <c r="K98" i="10"/>
  <c r="J100" i="9" l="1"/>
  <c r="K99" i="9"/>
  <c r="J100" i="10"/>
  <c r="K99" i="10"/>
  <c r="K100" i="9" l="1"/>
  <c r="J101" i="9"/>
  <c r="K100" i="10"/>
  <c r="J101" i="10"/>
  <c r="K101" i="9" l="1"/>
  <c r="J102" i="9"/>
  <c r="J102" i="10"/>
  <c r="K101" i="10"/>
  <c r="J103" i="9" l="1"/>
  <c r="K102" i="9"/>
  <c r="J103" i="10"/>
  <c r="K102" i="10"/>
  <c r="J104" i="9" l="1"/>
  <c r="K103" i="9"/>
  <c r="K103" i="10"/>
  <c r="J104" i="10"/>
  <c r="J105" i="9" l="1"/>
  <c r="K104" i="9"/>
  <c r="J105" i="10"/>
  <c r="K104" i="10"/>
  <c r="J106" i="9" l="1"/>
  <c r="K105" i="9"/>
  <c r="K105" i="10"/>
  <c r="J106" i="10"/>
  <c r="J107" i="9" l="1"/>
  <c r="K106" i="9"/>
  <c r="J107" i="10"/>
  <c r="K106" i="10"/>
  <c r="J108" i="9" l="1"/>
  <c r="K107" i="9"/>
  <c r="K107" i="10"/>
  <c r="J108" i="10"/>
  <c r="J109" i="9" l="1"/>
  <c r="K108" i="9"/>
  <c r="J109" i="10"/>
  <c r="K108" i="10"/>
  <c r="K109" i="9" l="1"/>
  <c r="J110" i="9"/>
  <c r="K109" i="10"/>
  <c r="J110" i="10"/>
  <c r="K110" i="9" l="1"/>
  <c r="J111" i="9"/>
  <c r="J111" i="10"/>
  <c r="K110" i="10"/>
  <c r="J112" i="9" l="1"/>
  <c r="K111" i="9"/>
  <c r="J112" i="10"/>
  <c r="K111" i="10"/>
  <c r="K112" i="9" l="1"/>
  <c r="J113" i="9"/>
  <c r="J113" i="10"/>
  <c r="K112" i="10"/>
  <c r="J114" i="9" l="1"/>
  <c r="K113" i="9"/>
  <c r="J114" i="10"/>
  <c r="K113" i="10"/>
  <c r="K114" i="9" l="1"/>
  <c r="J115" i="9"/>
  <c r="J115" i="10"/>
  <c r="K114" i="10"/>
  <c r="K115" i="9" l="1"/>
  <c r="J116" i="9"/>
  <c r="K115" i="10"/>
  <c r="J116" i="10"/>
  <c r="J117" i="9" l="1"/>
  <c r="K116" i="9"/>
  <c r="K116" i="10"/>
  <c r="J117" i="10"/>
  <c r="K117" i="9" l="1"/>
  <c r="J118" i="9"/>
  <c r="K117" i="10"/>
  <c r="J118" i="10"/>
  <c r="J119" i="9" l="1"/>
  <c r="K118" i="9"/>
  <c r="J119" i="10"/>
  <c r="K118" i="10"/>
  <c r="J120" i="9" l="1"/>
  <c r="K119" i="9"/>
  <c r="J120" i="10"/>
  <c r="K119" i="10"/>
  <c r="J121" i="9" l="1"/>
  <c r="K120" i="9"/>
  <c r="K120" i="10"/>
  <c r="J121" i="10"/>
  <c r="J122" i="9" l="1"/>
  <c r="K121" i="9"/>
  <c r="K121" i="10"/>
  <c r="J122" i="10"/>
  <c r="K122" i="9" l="1"/>
  <c r="J123" i="9"/>
  <c r="K122" i="10"/>
  <c r="J123" i="10"/>
  <c r="K123" i="9" l="1"/>
  <c r="J124" i="9"/>
  <c r="J124" i="10"/>
  <c r="K123" i="10"/>
  <c r="K124" i="9" l="1"/>
  <c r="J125" i="9"/>
  <c r="K124" i="10"/>
  <c r="J125" i="10"/>
  <c r="J126" i="9" l="1"/>
  <c r="K125" i="9"/>
  <c r="J126" i="10"/>
  <c r="K125" i="10"/>
  <c r="J127" i="9" l="1"/>
  <c r="K126" i="9"/>
  <c r="K126" i="10"/>
  <c r="J127" i="10"/>
  <c r="J128" i="9" l="1"/>
  <c r="K127" i="9"/>
  <c r="K127" i="10"/>
  <c r="J128" i="10"/>
  <c r="K128" i="9" l="1"/>
  <c r="J129" i="9"/>
  <c r="J129" i="10"/>
  <c r="K128" i="10"/>
  <c r="K129" i="9" l="1"/>
  <c r="J130" i="9"/>
  <c r="J130" i="10"/>
  <c r="K129" i="10"/>
  <c r="K130" i="9" l="1"/>
  <c r="J131" i="9"/>
  <c r="J131" i="10"/>
  <c r="K130" i="10"/>
  <c r="K131" i="9" l="1"/>
  <c r="J132" i="9"/>
  <c r="J132" i="10"/>
  <c r="K131" i="10"/>
  <c r="J133" i="9" l="1"/>
  <c r="K132" i="9"/>
  <c r="J133" i="10"/>
  <c r="K132" i="10"/>
  <c r="K133" i="9" l="1"/>
  <c r="J134" i="9"/>
  <c r="J134" i="10"/>
  <c r="K133" i="10"/>
  <c r="J135" i="9" l="1"/>
  <c r="K134" i="9"/>
  <c r="K134" i="10"/>
  <c r="J135" i="10"/>
  <c r="J136" i="9" l="1"/>
  <c r="K135" i="9"/>
  <c r="K135" i="10"/>
  <c r="J136" i="10"/>
  <c r="J137" i="9" l="1"/>
  <c r="K136" i="9"/>
  <c r="J137" i="10"/>
  <c r="K136" i="10"/>
  <c r="K137" i="9" l="1"/>
  <c r="J138" i="9"/>
  <c r="K137" i="10"/>
  <c r="J138" i="10"/>
  <c r="K138" i="9" l="1"/>
  <c r="J139" i="9"/>
  <c r="J139" i="10"/>
  <c r="K138" i="10"/>
  <c r="K139" i="9" l="1"/>
  <c r="J140" i="9"/>
  <c r="J140" i="10"/>
  <c r="K139" i="10"/>
  <c r="K140" i="9" l="1"/>
  <c r="J141" i="9"/>
  <c r="K140" i="10"/>
  <c r="J141" i="10"/>
  <c r="J142" i="9" l="1"/>
  <c r="K141" i="9"/>
  <c r="K141" i="10"/>
  <c r="J142" i="10"/>
  <c r="J143" i="9" l="1"/>
  <c r="K142" i="9"/>
  <c r="K142" i="10"/>
  <c r="J143" i="10"/>
  <c r="K143" i="9" l="1"/>
  <c r="J144" i="9"/>
  <c r="K143" i="10"/>
  <c r="J144" i="10"/>
  <c r="K144" i="9" l="1"/>
  <c r="J145" i="9"/>
  <c r="K144" i="10"/>
  <c r="J145" i="10"/>
  <c r="J146" i="9" l="1"/>
  <c r="K145" i="9"/>
  <c r="J146" i="10"/>
  <c r="K145" i="10"/>
  <c r="K146" i="9" l="1"/>
  <c r="J147" i="9"/>
  <c r="J147" i="10"/>
  <c r="K146" i="10"/>
  <c r="J148" i="9" l="1"/>
  <c r="K147" i="9"/>
  <c r="K147" i="10"/>
  <c r="J148" i="10"/>
  <c r="J149" i="9" l="1"/>
  <c r="K148" i="9"/>
  <c r="J149" i="10"/>
  <c r="K148" i="10"/>
  <c r="K149" i="9" l="1"/>
  <c r="J150" i="9"/>
  <c r="J150" i="10"/>
  <c r="K149" i="10"/>
  <c r="J151" i="9" l="1"/>
  <c r="K150" i="9"/>
  <c r="K150" i="10"/>
  <c r="J151" i="10"/>
  <c r="J152" i="9" l="1"/>
  <c r="K151" i="9"/>
  <c r="J152" i="10"/>
  <c r="K151" i="10"/>
  <c r="J153" i="9" l="1"/>
  <c r="K152" i="9"/>
  <c r="K152" i="10"/>
  <c r="J153" i="10"/>
  <c r="J154" i="9" l="1"/>
  <c r="K153" i="9"/>
  <c r="J154" i="10"/>
  <c r="K153" i="10"/>
  <c r="K154" i="9" l="1"/>
  <c r="J155" i="9"/>
  <c r="J155" i="10"/>
  <c r="K154" i="10"/>
  <c r="K155" i="9" l="1"/>
  <c r="J156" i="9"/>
  <c r="K155" i="10"/>
  <c r="J156" i="10"/>
  <c r="J157" i="9" l="1"/>
  <c r="K156" i="9"/>
  <c r="K156" i="10"/>
  <c r="J157" i="10"/>
  <c r="J158" i="9" l="1"/>
  <c r="K157" i="9"/>
  <c r="K157" i="10"/>
  <c r="J158" i="10"/>
  <c r="K158" i="9" l="1"/>
  <c r="J159" i="9"/>
  <c r="J159" i="10"/>
  <c r="K158" i="10"/>
  <c r="J160" i="9" l="1"/>
  <c r="K159" i="9"/>
  <c r="J160" i="10"/>
  <c r="K159" i="10"/>
  <c r="J161" i="9" l="1"/>
  <c r="K160" i="9"/>
  <c r="K160" i="10"/>
  <c r="J161" i="10"/>
  <c r="K161" i="9" l="1"/>
  <c r="J162" i="9"/>
  <c r="K161" i="10"/>
  <c r="J162" i="10"/>
  <c r="J163" i="9" l="1"/>
  <c r="K162" i="9"/>
  <c r="K162" i="10"/>
  <c r="J163" i="10"/>
  <c r="J164" i="9" l="1"/>
  <c r="K163" i="9"/>
  <c r="J164" i="10"/>
  <c r="K163" i="10"/>
  <c r="K164" i="9" l="1"/>
  <c r="J165" i="9"/>
  <c r="K164" i="10"/>
  <c r="J165" i="10"/>
  <c r="K165" i="9" l="1"/>
  <c r="J166" i="9"/>
  <c r="J166" i="10"/>
  <c r="K165" i="10"/>
  <c r="K166" i="9" l="1"/>
  <c r="J167" i="9"/>
  <c r="J167" i="10"/>
  <c r="K166" i="10"/>
  <c r="K167" i="9" l="1"/>
  <c r="J168" i="9"/>
  <c r="K167" i="10"/>
  <c r="J168" i="10"/>
  <c r="K168" i="9" l="1"/>
  <c r="J169" i="9"/>
  <c r="K168" i="10"/>
  <c r="J169" i="10"/>
  <c r="K169" i="9" l="1"/>
  <c r="J170" i="9"/>
  <c r="K169" i="10"/>
  <c r="J170" i="10"/>
  <c r="J171" i="9" l="1"/>
  <c r="K170" i="9"/>
  <c r="K170" i="10"/>
  <c r="J171" i="10"/>
  <c r="J172" i="9" l="1"/>
  <c r="K171" i="9"/>
  <c r="J172" i="10"/>
  <c r="K171" i="10"/>
  <c r="J173" i="9" l="1"/>
  <c r="K172" i="9"/>
  <c r="K172" i="10"/>
  <c r="J173" i="10"/>
  <c r="K173" i="9" l="1"/>
  <c r="J174" i="9"/>
  <c r="J174" i="10"/>
  <c r="K173" i="10"/>
  <c r="K174" i="9" l="1"/>
  <c r="J175" i="9"/>
  <c r="K174" i="10"/>
  <c r="J175" i="10"/>
  <c r="K175" i="9" l="1"/>
  <c r="J176" i="9"/>
  <c r="K175" i="10"/>
  <c r="J176" i="10"/>
  <c r="K176" i="9" l="1"/>
  <c r="J177" i="9"/>
  <c r="J177" i="10"/>
  <c r="K176" i="10"/>
  <c r="J178" i="9" l="1"/>
  <c r="K177" i="9"/>
  <c r="K177" i="10"/>
  <c r="J178" i="10"/>
  <c r="J179" i="9" l="1"/>
  <c r="K178" i="9"/>
  <c r="J179" i="10"/>
  <c r="K178" i="10"/>
  <c r="J180" i="9" l="1"/>
  <c r="K179" i="9"/>
  <c r="J180" i="10"/>
  <c r="K179" i="10"/>
  <c r="J181" i="9" l="1"/>
  <c r="K180" i="9"/>
  <c r="K180" i="10"/>
  <c r="J181" i="10"/>
  <c r="K181" i="9" l="1"/>
  <c r="J182" i="9"/>
  <c r="J182" i="10"/>
  <c r="K181" i="10"/>
  <c r="J183" i="9" l="1"/>
  <c r="K182" i="9"/>
  <c r="K182" i="10"/>
  <c r="J183" i="10"/>
  <c r="J184" i="9" l="1"/>
  <c r="K183" i="9"/>
  <c r="J184" i="10"/>
  <c r="K183" i="10"/>
  <c r="K184" i="9" l="1"/>
  <c r="J185" i="9"/>
  <c r="K184" i="10"/>
  <c r="J185" i="10"/>
  <c r="K185" i="9" l="1"/>
  <c r="G187" i="9"/>
  <c r="K185" i="10"/>
  <c r="J186" i="10"/>
  <c r="K186" i="10" l="1"/>
  <c r="J187" i="10"/>
  <c r="K187" i="10" l="1"/>
  <c r="J188" i="10"/>
  <c r="K188" i="10" l="1"/>
  <c r="J189" i="10"/>
  <c r="K189" i="10" l="1"/>
  <c r="J190" i="10"/>
  <c r="J191" i="10" l="1"/>
  <c r="K190" i="10"/>
  <c r="K191" i="10" l="1"/>
  <c r="J192" i="10"/>
  <c r="K192" i="10" l="1"/>
  <c r="J193" i="10"/>
  <c r="K193" i="10" l="1"/>
  <c r="J194" i="10"/>
  <c r="J195" i="10" l="1"/>
  <c r="K194" i="10"/>
  <c r="J196" i="10" l="1"/>
  <c r="K195" i="10"/>
  <c r="K196" i="10" l="1"/>
  <c r="J197" i="10"/>
  <c r="K197" i="10" l="1"/>
  <c r="J198" i="10"/>
  <c r="K198" i="10" l="1"/>
  <c r="J199" i="10"/>
  <c r="K199" i="10" l="1"/>
  <c r="J200" i="10"/>
  <c r="K200" i="10" l="1"/>
  <c r="J201" i="10"/>
  <c r="K201" i="10" l="1"/>
  <c r="J202" i="10"/>
  <c r="J203" i="10" l="1"/>
  <c r="K202" i="10"/>
  <c r="K203" i="10" l="1"/>
  <c r="J204" i="10"/>
  <c r="J205" i="10" l="1"/>
  <c r="K204" i="10"/>
  <c r="K205" i="10" l="1"/>
  <c r="J206" i="10"/>
  <c r="K206" i="10" l="1"/>
  <c r="J207" i="10"/>
  <c r="J208" i="10" l="1"/>
  <c r="K207" i="10"/>
  <c r="K208" i="10" l="1"/>
  <c r="J209" i="10"/>
  <c r="J210" i="10" l="1"/>
  <c r="K209" i="10"/>
  <c r="K210" i="10" l="1"/>
  <c r="J211" i="10"/>
  <c r="J212" i="10" l="1"/>
  <c r="K211" i="10"/>
  <c r="K212" i="10" l="1"/>
  <c r="J213" i="10"/>
  <c r="K213" i="10" l="1"/>
  <c r="J214" i="10"/>
  <c r="K214" i="10" l="1"/>
  <c r="J215" i="10"/>
  <c r="K215" i="10" l="1"/>
  <c r="J216" i="10"/>
  <c r="K216" i="10" l="1"/>
  <c r="J217" i="10"/>
  <c r="K217" i="10" l="1"/>
  <c r="J218" i="10"/>
  <c r="K218" i="10" l="1"/>
  <c r="J219" i="10"/>
  <c r="K219" i="10" l="1"/>
  <c r="J220" i="10"/>
  <c r="K220" i="10" l="1"/>
  <c r="J221" i="10"/>
  <c r="K221" i="10" l="1"/>
  <c r="J222" i="10"/>
  <c r="K222" i="10" l="1"/>
  <c r="J223" i="10"/>
  <c r="K223" i="10" l="1"/>
  <c r="J224" i="10"/>
  <c r="J225" i="10" l="1"/>
  <c r="K224" i="10"/>
  <c r="K225" i="10" l="1"/>
  <c r="J226" i="10"/>
  <c r="K226" i="10" l="1"/>
  <c r="J227" i="10"/>
  <c r="J228" i="10" l="1"/>
  <c r="K227" i="10"/>
  <c r="J229" i="10" l="1"/>
  <c r="K228" i="10"/>
  <c r="J230" i="10" l="1"/>
  <c r="K229" i="10"/>
  <c r="J231" i="10" l="1"/>
  <c r="K230" i="10"/>
  <c r="J232" i="10" l="1"/>
  <c r="K231" i="10"/>
  <c r="J233" i="10" l="1"/>
  <c r="K232" i="10"/>
  <c r="K233" i="10" l="1"/>
  <c r="J234" i="10"/>
  <c r="K234" i="10" l="1"/>
  <c r="J235" i="10"/>
  <c r="J236" i="10" l="1"/>
  <c r="K235" i="10"/>
  <c r="J237" i="10" l="1"/>
  <c r="K236" i="10"/>
  <c r="J238" i="10" l="1"/>
  <c r="K237" i="10"/>
  <c r="K238" i="10" l="1"/>
  <c r="J239" i="10"/>
  <c r="K239" i="10" l="1"/>
  <c r="J240" i="10"/>
  <c r="K240" i="10" l="1"/>
  <c r="J241" i="10"/>
  <c r="K241" i="10" l="1"/>
  <c r="J242" i="10"/>
  <c r="J243" i="10" l="1"/>
  <c r="K242" i="10"/>
  <c r="J244" i="10" l="1"/>
  <c r="K243" i="10"/>
  <c r="J245" i="10" l="1"/>
  <c r="K244" i="10"/>
  <c r="K245" i="10" l="1"/>
  <c r="J246" i="10"/>
  <c r="J247" i="10" l="1"/>
  <c r="K246" i="10"/>
  <c r="K247" i="10" l="1"/>
  <c r="J248" i="10"/>
  <c r="J249" i="10" l="1"/>
  <c r="K248" i="10"/>
  <c r="K249" i="10" l="1"/>
  <c r="J250" i="10"/>
  <c r="K250" i="10" l="1"/>
  <c r="J251" i="10"/>
  <c r="K251" i="10" l="1"/>
  <c r="J252" i="10"/>
  <c r="J253" i="10" l="1"/>
  <c r="K252" i="10"/>
  <c r="K253" i="10" l="1"/>
  <c r="J254" i="10"/>
  <c r="J255" i="10" l="1"/>
  <c r="K254" i="10"/>
  <c r="K255" i="10" l="1"/>
  <c r="J256" i="10"/>
  <c r="K256" i="10" l="1"/>
  <c r="J257" i="10"/>
  <c r="K257" i="10" l="1"/>
  <c r="J258" i="10"/>
  <c r="K258" i="10" l="1"/>
  <c r="J259" i="10"/>
  <c r="K259" i="10" l="1"/>
  <c r="J260" i="10"/>
  <c r="J261" i="10" l="1"/>
  <c r="K260" i="10"/>
  <c r="J262" i="10" l="1"/>
  <c r="K261" i="10"/>
  <c r="K262" i="10" l="1"/>
  <c r="J263" i="10"/>
  <c r="J264" i="10" l="1"/>
  <c r="K263" i="10"/>
  <c r="J265" i="10" l="1"/>
  <c r="K264" i="10"/>
  <c r="K265" i="10" l="1"/>
  <c r="J266" i="10"/>
  <c r="J267" i="10" l="1"/>
  <c r="K266" i="10"/>
  <c r="J268" i="10" l="1"/>
  <c r="K267" i="10"/>
  <c r="J269" i="10" l="1"/>
  <c r="K268" i="10"/>
  <c r="J270" i="10" l="1"/>
  <c r="K269" i="10"/>
  <c r="J271" i="10" l="1"/>
  <c r="K270" i="10"/>
  <c r="K271" i="10" l="1"/>
  <c r="J272" i="10"/>
  <c r="K272" i="10" l="1"/>
  <c r="J273" i="10"/>
  <c r="J274" i="10" l="1"/>
  <c r="K273" i="10"/>
  <c r="J275" i="10" l="1"/>
  <c r="K274" i="10"/>
  <c r="J276" i="10" l="1"/>
  <c r="K275" i="10"/>
  <c r="K276" i="10" l="1"/>
  <c r="J277" i="10"/>
  <c r="J278" i="10" l="1"/>
  <c r="K277" i="10"/>
  <c r="K278" i="10" l="1"/>
  <c r="J279" i="10"/>
  <c r="J280" i="10" l="1"/>
  <c r="K279" i="10"/>
  <c r="K280" i="10" l="1"/>
  <c r="J281" i="10"/>
  <c r="J282" i="10" l="1"/>
  <c r="K281" i="10"/>
  <c r="J283" i="10" l="1"/>
  <c r="K282" i="10"/>
  <c r="J284" i="10" l="1"/>
  <c r="K283" i="10"/>
  <c r="J285" i="10" l="1"/>
  <c r="K284" i="10"/>
  <c r="K285" i="10" l="1"/>
  <c r="J286" i="10"/>
  <c r="J287" i="10" l="1"/>
  <c r="K286" i="10"/>
  <c r="J288" i="10" l="1"/>
  <c r="K287" i="10"/>
  <c r="K288" i="10" l="1"/>
  <c r="J289" i="10"/>
  <c r="K289" i="10" l="1"/>
  <c r="J290" i="10"/>
  <c r="J291" i="10" l="1"/>
  <c r="K290" i="10"/>
  <c r="K291" i="10" l="1"/>
  <c r="J292" i="10"/>
  <c r="K292" i="10" l="1"/>
  <c r="J293" i="10"/>
  <c r="K293" i="10" l="1"/>
  <c r="J294" i="10"/>
  <c r="J295" i="10" l="1"/>
  <c r="K294" i="10"/>
  <c r="J296" i="10" l="1"/>
  <c r="K295" i="10"/>
  <c r="J297" i="10" l="1"/>
  <c r="K296" i="10"/>
  <c r="K297" i="10" l="1"/>
  <c r="J298" i="10"/>
  <c r="K298" i="10" l="1"/>
  <c r="J299" i="10"/>
  <c r="J300" i="10" l="1"/>
  <c r="K299" i="10"/>
  <c r="J301" i="10" l="1"/>
  <c r="K300" i="10"/>
  <c r="J302" i="10" l="1"/>
  <c r="K301" i="10"/>
  <c r="K302" i="10" l="1"/>
  <c r="J303" i="10"/>
  <c r="K303" i="10" l="1"/>
  <c r="J304" i="10"/>
  <c r="J305" i="10" l="1"/>
  <c r="K304" i="10"/>
  <c r="J306" i="10" l="1"/>
  <c r="K305" i="10"/>
  <c r="J307" i="10" l="1"/>
  <c r="K306" i="10"/>
  <c r="J308" i="10" l="1"/>
  <c r="K307" i="10"/>
  <c r="K308" i="10" l="1"/>
  <c r="J309" i="10"/>
  <c r="K309" i="10" l="1"/>
  <c r="J310" i="10"/>
  <c r="J311" i="10" l="1"/>
  <c r="K310" i="10"/>
  <c r="J312" i="10" l="1"/>
  <c r="K311" i="10"/>
  <c r="J313" i="10" l="1"/>
  <c r="K312" i="10"/>
  <c r="K313" i="10" l="1"/>
  <c r="J314" i="10"/>
  <c r="K314" i="10" l="1"/>
  <c r="J315" i="10"/>
  <c r="K315" i="10" l="1"/>
  <c r="J316" i="10"/>
  <c r="J317" i="10" l="1"/>
  <c r="K316" i="10"/>
  <c r="J318" i="10" l="1"/>
  <c r="K317" i="10"/>
  <c r="K318" i="10" l="1"/>
  <c r="J319" i="10"/>
  <c r="K319" i="10" l="1"/>
  <c r="J320" i="10"/>
  <c r="K320" i="10" l="1"/>
  <c r="J321" i="10"/>
  <c r="K321" i="10" l="1"/>
  <c r="J322" i="10"/>
  <c r="J323" i="10" l="1"/>
  <c r="K322" i="10"/>
  <c r="J324" i="10" l="1"/>
  <c r="K323" i="10"/>
  <c r="J325" i="10" l="1"/>
  <c r="K324" i="10"/>
  <c r="K325" i="10" l="1"/>
  <c r="J326" i="10"/>
  <c r="K326" i="10" l="1"/>
  <c r="J327" i="10"/>
  <c r="J328" i="10" l="1"/>
  <c r="K327" i="10"/>
  <c r="J329" i="10" l="1"/>
  <c r="K328" i="10"/>
  <c r="J330" i="10" l="1"/>
  <c r="K329" i="10"/>
  <c r="J331" i="10" l="1"/>
  <c r="K330" i="10"/>
  <c r="K331" i="10" l="1"/>
  <c r="J332" i="10"/>
  <c r="J333" i="10" l="1"/>
  <c r="K332" i="10"/>
  <c r="K333" i="10" l="1"/>
  <c r="J334" i="10"/>
  <c r="J335" i="10" l="1"/>
  <c r="K334" i="10"/>
  <c r="K335" i="10" l="1"/>
  <c r="J336" i="10"/>
  <c r="J337" i="10" l="1"/>
  <c r="K336" i="10"/>
  <c r="K337" i="10" l="1"/>
  <c r="J338" i="10"/>
  <c r="J339" i="10" l="1"/>
  <c r="K338" i="10"/>
  <c r="J340" i="10" l="1"/>
  <c r="K339" i="10"/>
  <c r="J341" i="10" l="1"/>
  <c r="K340" i="10"/>
  <c r="K341" i="10" l="1"/>
  <c r="J342" i="10"/>
  <c r="K342" i="10" l="1"/>
  <c r="J343" i="10"/>
  <c r="J344" i="10" l="1"/>
  <c r="K343" i="10"/>
  <c r="K344" i="10" l="1"/>
  <c r="J345" i="10"/>
  <c r="J346" i="10" l="1"/>
  <c r="K345" i="10"/>
  <c r="K346" i="10" l="1"/>
  <c r="J347" i="10"/>
  <c r="J348" i="10" l="1"/>
  <c r="K347" i="10"/>
  <c r="K348" i="10" l="1"/>
  <c r="J349" i="10"/>
  <c r="J350" i="10" l="1"/>
  <c r="K349" i="10"/>
  <c r="K350" i="10" l="1"/>
  <c r="J351" i="10"/>
  <c r="K351" i="10" l="1"/>
  <c r="J352" i="10"/>
  <c r="J353" i="10" l="1"/>
  <c r="K352" i="10"/>
  <c r="J354" i="10" l="1"/>
  <c r="K353" i="10"/>
  <c r="J355" i="10" l="1"/>
  <c r="K354" i="10"/>
  <c r="J356" i="10" l="1"/>
  <c r="K355" i="10"/>
  <c r="J357" i="10" l="1"/>
  <c r="K356" i="10"/>
  <c r="J358" i="10" l="1"/>
  <c r="K357" i="10"/>
  <c r="K358" i="10" l="1"/>
  <c r="J359" i="10"/>
  <c r="K359" i="10" l="1"/>
  <c r="J360" i="10"/>
  <c r="J361" i="10" l="1"/>
  <c r="K360" i="10"/>
  <c r="K361" i="10" l="1"/>
  <c r="J362" i="10"/>
  <c r="K362" i="10" l="1"/>
  <c r="J363" i="10"/>
  <c r="K363" i="10" l="1"/>
  <c r="J364" i="10"/>
  <c r="J365" i="10" l="1"/>
  <c r="K364" i="10"/>
  <c r="K365" i="10" l="1"/>
  <c r="J366" i="10"/>
  <c r="J367" i="10" l="1"/>
  <c r="K366" i="10"/>
  <c r="K367" i="10" l="1"/>
  <c r="J368" i="10"/>
  <c r="J369" i="10" l="1"/>
  <c r="K368" i="10"/>
  <c r="K369" i="10" l="1"/>
  <c r="J370" i="10"/>
  <c r="K370" i="10" l="1"/>
  <c r="J371" i="10"/>
  <c r="K371" i="10" l="1"/>
  <c r="J372" i="10"/>
  <c r="J373" i="10" l="1"/>
  <c r="K372" i="10"/>
  <c r="K373" i="10" l="1"/>
  <c r="J374" i="10"/>
  <c r="K374" i="10" l="1"/>
  <c r="J375" i="10"/>
  <c r="J376" i="10" l="1"/>
  <c r="K375" i="10"/>
  <c r="K376" i="10" l="1"/>
  <c r="J377" i="10"/>
  <c r="K377" i="10" l="1"/>
  <c r="J378" i="10"/>
  <c r="K378" i="10" l="1"/>
  <c r="J379" i="10"/>
  <c r="J380" i="10" l="1"/>
  <c r="K379" i="10"/>
  <c r="K380" i="10" l="1"/>
  <c r="J381" i="10"/>
  <c r="J382" i="10" l="1"/>
  <c r="K381" i="10"/>
  <c r="K382" i="10" l="1"/>
  <c r="J383" i="10"/>
  <c r="J384" i="10" l="1"/>
  <c r="K383" i="10"/>
  <c r="K384" i="10" l="1"/>
  <c r="J385" i="10"/>
  <c r="J386" i="10" l="1"/>
  <c r="K385" i="10"/>
  <c r="K386" i="10" l="1"/>
  <c r="J387" i="10"/>
  <c r="J388" i="10" l="1"/>
  <c r="K387" i="10"/>
  <c r="J389" i="10" l="1"/>
  <c r="K388" i="10"/>
  <c r="J390" i="10" l="1"/>
  <c r="K389" i="10"/>
  <c r="K390" i="10" l="1"/>
  <c r="J391" i="10"/>
  <c r="K391" i="10" l="1"/>
  <c r="J392" i="10"/>
  <c r="J393" i="10" l="1"/>
  <c r="K392" i="10"/>
  <c r="K393" i="10" l="1"/>
  <c r="J394" i="10"/>
  <c r="J395" i="10" l="1"/>
  <c r="K394" i="10"/>
  <c r="J396" i="10" l="1"/>
  <c r="K395" i="10"/>
  <c r="J397" i="10" l="1"/>
  <c r="K396" i="10"/>
  <c r="J398" i="10" l="1"/>
  <c r="K397" i="10"/>
  <c r="K398" i="10" l="1"/>
  <c r="J399" i="10"/>
  <c r="J400" i="10" l="1"/>
  <c r="K399" i="10"/>
  <c r="J401" i="10" l="1"/>
  <c r="K400" i="10"/>
  <c r="J402" i="10" l="1"/>
  <c r="K401" i="10"/>
  <c r="K402" i="10" l="1"/>
  <c r="J403" i="10"/>
  <c r="K403" i="10" l="1"/>
  <c r="J404" i="10"/>
  <c r="J405" i="10" l="1"/>
  <c r="K404" i="10"/>
  <c r="J406" i="10" l="1"/>
  <c r="K405" i="10"/>
  <c r="K406" i="10" l="1"/>
  <c r="J407" i="10"/>
  <c r="J408" i="10" l="1"/>
  <c r="K407" i="10"/>
  <c r="K408" i="10" l="1"/>
  <c r="J409" i="10"/>
  <c r="J410" i="10" l="1"/>
  <c r="K409" i="10"/>
  <c r="K410" i="10" l="1"/>
  <c r="J411" i="10"/>
  <c r="K411" i="10" l="1"/>
  <c r="J412" i="10"/>
  <c r="K412" i="10" l="1"/>
  <c r="J413" i="10"/>
  <c r="J414" i="10" l="1"/>
  <c r="K413" i="10"/>
  <c r="K414" i="10" l="1"/>
  <c r="J415" i="10"/>
  <c r="J416" i="10" l="1"/>
  <c r="K415" i="10"/>
  <c r="K416" i="10" l="1"/>
  <c r="J417" i="10"/>
  <c r="J418" i="10" l="1"/>
  <c r="K417" i="10"/>
  <c r="K418" i="10" l="1"/>
  <c r="J419" i="10"/>
  <c r="K419" i="10" l="1"/>
  <c r="J420" i="10"/>
  <c r="K420" i="10" l="1"/>
  <c r="J421" i="10"/>
  <c r="J422" i="10" l="1"/>
  <c r="K421" i="10"/>
  <c r="J423" i="10" l="1"/>
  <c r="K422" i="10"/>
  <c r="K423" i="10" l="1"/>
  <c r="J424" i="10"/>
  <c r="K424" i="10" l="1"/>
  <c r="J425" i="10"/>
  <c r="K425" i="10" l="1"/>
  <c r="J426" i="10"/>
  <c r="J427" i="10" l="1"/>
  <c r="K426" i="10"/>
  <c r="K427" i="10" l="1"/>
  <c r="J428" i="10"/>
  <c r="J429" i="10" l="1"/>
  <c r="K428" i="10"/>
  <c r="J430" i="10" l="1"/>
  <c r="K429" i="10"/>
  <c r="J431" i="10" l="1"/>
  <c r="K430" i="10"/>
  <c r="K431" i="10" l="1"/>
  <c r="J432" i="10"/>
  <c r="J433" i="10" l="1"/>
  <c r="K432" i="10"/>
  <c r="J434" i="10" l="1"/>
  <c r="K433" i="10"/>
  <c r="K434" i="10" l="1"/>
  <c r="J435" i="10"/>
  <c r="J436" i="10" l="1"/>
  <c r="K435" i="10"/>
  <c r="J437" i="10" l="1"/>
  <c r="K436" i="10"/>
  <c r="J438" i="10" l="1"/>
  <c r="K437" i="10"/>
  <c r="K438" i="10" l="1"/>
  <c r="J439" i="10"/>
  <c r="K439" i="10" l="1"/>
  <c r="J440" i="10"/>
  <c r="J441" i="10" l="1"/>
  <c r="K440" i="10"/>
  <c r="J442" i="10" l="1"/>
  <c r="K441" i="10"/>
  <c r="J443" i="10" l="1"/>
  <c r="K442" i="10"/>
  <c r="J444" i="10" l="1"/>
  <c r="K443" i="10"/>
  <c r="K444" i="10" l="1"/>
  <c r="J445" i="10"/>
  <c r="K445" i="10" l="1"/>
  <c r="J446" i="10"/>
  <c r="K446" i="10" l="1"/>
  <c r="J447" i="10"/>
  <c r="K447" i="10" l="1"/>
  <c r="J448" i="10"/>
  <c r="K448" i="10" l="1"/>
  <c r="J449" i="10"/>
  <c r="J450" i="10" l="1"/>
  <c r="K449" i="10"/>
  <c r="K450" i="10" l="1"/>
  <c r="J451" i="10"/>
  <c r="K451" i="10" l="1"/>
  <c r="J452" i="10"/>
  <c r="J453" i="10" l="1"/>
  <c r="K452" i="10"/>
  <c r="K453" i="10" l="1"/>
  <c r="J454" i="10"/>
  <c r="K454" i="10" l="1"/>
  <c r="J455" i="10"/>
  <c r="J456" i="10" l="1"/>
  <c r="K455" i="10"/>
  <c r="K456" i="10" l="1"/>
  <c r="J457" i="10"/>
  <c r="K457" i="10" l="1"/>
  <c r="J458" i="10"/>
  <c r="J459" i="10" l="1"/>
  <c r="K458" i="10"/>
  <c r="J460" i="10" l="1"/>
  <c r="K459" i="10"/>
  <c r="K460" i="10" l="1"/>
  <c r="J461" i="10"/>
  <c r="K461" i="10" l="1"/>
  <c r="J462" i="10"/>
  <c r="K462" i="10" l="1"/>
  <c r="J463" i="10"/>
  <c r="K463" i="10" l="1"/>
  <c r="J464" i="10"/>
  <c r="J465" i="10" l="1"/>
  <c r="K464" i="10"/>
  <c r="J466" i="10" l="1"/>
  <c r="K465" i="10"/>
  <c r="K466" i="10" l="1"/>
  <c r="J467" i="10"/>
  <c r="J468" i="10" l="1"/>
  <c r="K467" i="10"/>
  <c r="J469" i="10" l="1"/>
  <c r="K468" i="10"/>
  <c r="J470" i="10" l="1"/>
  <c r="K469" i="10"/>
  <c r="J471" i="10" l="1"/>
  <c r="K470" i="10"/>
  <c r="K471" i="10" l="1"/>
  <c r="J472" i="10"/>
  <c r="K472" i="10" l="1"/>
  <c r="J473" i="10"/>
  <c r="J474" i="10" l="1"/>
  <c r="K473" i="10"/>
  <c r="J475" i="10" l="1"/>
  <c r="K474" i="10"/>
  <c r="J476" i="10" l="1"/>
  <c r="K475" i="10"/>
  <c r="K476" i="10" l="1"/>
  <c r="J477" i="10"/>
  <c r="J478" i="10" l="1"/>
  <c r="K477" i="10"/>
  <c r="J479" i="10" l="1"/>
  <c r="K478" i="10"/>
  <c r="J480" i="10" l="1"/>
  <c r="K479" i="10"/>
  <c r="K480" i="10" l="1"/>
  <c r="J481" i="10"/>
  <c r="K481" i="10" l="1"/>
  <c r="J482" i="10"/>
  <c r="K482" i="10" l="1"/>
  <c r="J483" i="10"/>
  <c r="J484" i="10" l="1"/>
  <c r="K483" i="10"/>
  <c r="J485" i="10" l="1"/>
  <c r="K484" i="10"/>
  <c r="K485" i="10" l="1"/>
  <c r="J486" i="10"/>
  <c r="K486" i="10" l="1"/>
  <c r="J487" i="10"/>
  <c r="J488" i="10" l="1"/>
  <c r="K487" i="10"/>
  <c r="J489" i="10" l="1"/>
  <c r="K488" i="10"/>
  <c r="K489" i="10" l="1"/>
  <c r="J490" i="10"/>
  <c r="J491" i="10" l="1"/>
  <c r="K490" i="10"/>
  <c r="K491" i="10" l="1"/>
  <c r="J492" i="10"/>
  <c r="J493" i="10" l="1"/>
  <c r="K492" i="10"/>
  <c r="K493" i="10" l="1"/>
  <c r="J494" i="10"/>
  <c r="J495" i="10" l="1"/>
  <c r="K494" i="10"/>
  <c r="K495" i="10" l="1"/>
  <c r="J496" i="10"/>
  <c r="J497" i="10" l="1"/>
  <c r="K496" i="10"/>
  <c r="J498" i="10" l="1"/>
  <c r="K497" i="10"/>
  <c r="J499" i="10" l="1"/>
  <c r="K498" i="10"/>
  <c r="J500" i="10" l="1"/>
  <c r="K499" i="10"/>
  <c r="J501" i="10" l="1"/>
  <c r="K500" i="10"/>
  <c r="J502" i="10" l="1"/>
  <c r="K501" i="10"/>
  <c r="K502" i="10" l="1"/>
  <c r="J503" i="10"/>
  <c r="K503" i="10" l="1"/>
  <c r="J504" i="10"/>
  <c r="K504" i="10" l="1"/>
  <c r="J505" i="10"/>
  <c r="J506" i="10" l="1"/>
  <c r="K505" i="10"/>
  <c r="K506" i="10" l="1"/>
  <c r="J507" i="10"/>
  <c r="K507" i="10" l="1"/>
  <c r="J508" i="10"/>
  <c r="K508" i="10" l="1"/>
  <c r="J509" i="10"/>
  <c r="K509" i="10" l="1"/>
  <c r="J510" i="10"/>
  <c r="K510" i="10" l="1"/>
  <c r="J511" i="10"/>
  <c r="K511" i="10" l="1"/>
  <c r="J512" i="10"/>
  <c r="J513" i="10" l="1"/>
  <c r="K512" i="10"/>
  <c r="K513" i="10" l="1"/>
  <c r="J514" i="10"/>
  <c r="J515" i="10" l="1"/>
  <c r="K514" i="10"/>
  <c r="K515" i="10" l="1"/>
  <c r="J516" i="10"/>
  <c r="K516" i="10" l="1"/>
  <c r="J517" i="10"/>
  <c r="J518" i="10" l="1"/>
  <c r="K517" i="10"/>
  <c r="J519" i="10" l="1"/>
  <c r="K518" i="10"/>
  <c r="K519" i="10" l="1"/>
  <c r="J520" i="10"/>
  <c r="K520" i="10" l="1"/>
  <c r="J521" i="10"/>
  <c r="K521" i="10" l="1"/>
  <c r="J522" i="10"/>
  <c r="J523" i="10" l="1"/>
  <c r="K522" i="10"/>
  <c r="J524" i="10" l="1"/>
  <c r="K523" i="10"/>
  <c r="K524" i="10" l="1"/>
  <c r="J525" i="10"/>
  <c r="K525" i="10" l="1"/>
  <c r="J526" i="10"/>
  <c r="J527" i="10" l="1"/>
  <c r="K526" i="10"/>
  <c r="K527" i="10" l="1"/>
  <c r="J528" i="10"/>
  <c r="K528" i="10" l="1"/>
  <c r="J529" i="10"/>
  <c r="K529" i="10" l="1"/>
  <c r="J530" i="10"/>
  <c r="K530" i="10" l="1"/>
  <c r="J531" i="10"/>
  <c r="J532" i="10" l="1"/>
  <c r="K531" i="10"/>
  <c r="K532" i="10" l="1"/>
  <c r="J533" i="10"/>
  <c r="K533" i="10" l="1"/>
  <c r="J534" i="10"/>
  <c r="K534" i="10" l="1"/>
  <c r="J535" i="10"/>
  <c r="J536" i="10" l="1"/>
  <c r="K535" i="10"/>
  <c r="K536" i="10" l="1"/>
  <c r="J537" i="10"/>
  <c r="K537" i="10" l="1"/>
  <c r="J538" i="10"/>
  <c r="J539" i="10" l="1"/>
  <c r="K538" i="10"/>
  <c r="K539" i="10" l="1"/>
  <c r="J540" i="10"/>
  <c r="K540" i="10" l="1"/>
  <c r="J541" i="10"/>
  <c r="K541" i="10" l="1"/>
  <c r="J542" i="10"/>
  <c r="J543" i="10" l="1"/>
  <c r="K542" i="10"/>
  <c r="J544" i="10" l="1"/>
  <c r="K543" i="10"/>
  <c r="J545" i="10" l="1"/>
  <c r="K544" i="10"/>
  <c r="K545" i="10" l="1"/>
  <c r="J546" i="10"/>
  <c r="K546" i="10" l="1"/>
  <c r="J547" i="10"/>
  <c r="J548" i="10" l="1"/>
  <c r="K547" i="10"/>
  <c r="K548" i="10" l="1"/>
  <c r="J549" i="10"/>
  <c r="K549" i="10" l="1"/>
  <c r="J550" i="10"/>
  <c r="K550" i="10" l="1"/>
  <c r="J551" i="10"/>
  <c r="J552" i="10" l="1"/>
  <c r="K551" i="10"/>
  <c r="K552" i="10" l="1"/>
  <c r="G554" i="10"/>
  <c r="N410" i="3"/>
  <c r="O75" i="3"/>
  <c r="N75" i="3"/>
</calcChain>
</file>

<file path=xl/sharedStrings.xml><?xml version="1.0" encoding="utf-8"?>
<sst xmlns="http://schemas.openxmlformats.org/spreadsheetml/2006/main" count="25391" uniqueCount="4727">
  <si>
    <t>1</t>
  </si>
  <si>
    <t>CANTEIRO DE OBRAS</t>
  </si>
  <si>
    <t>2</t>
  </si>
  <si>
    <t>SERVIÇOS PRELIMINARES</t>
  </si>
  <si>
    <t>3</t>
  </si>
  <si>
    <t>4</t>
  </si>
  <si>
    <t>INSTALAÇÕES ELÉTRICAS</t>
  </si>
  <si>
    <t>5</t>
  </si>
  <si>
    <t>CLIMATIZAÇÃO</t>
  </si>
  <si>
    <t>6</t>
  </si>
  <si>
    <t>CABEAMENTO ESTRUTURADO</t>
  </si>
  <si>
    <t>7</t>
  </si>
  <si>
    <t>SPDA</t>
  </si>
  <si>
    <t>8</t>
  </si>
  <si>
    <t>PPCI</t>
  </si>
  <si>
    <t>9</t>
  </si>
  <si>
    <t>URBANISMO</t>
  </si>
  <si>
    <t>10</t>
  </si>
  <si>
    <t>PAISAGISMO</t>
  </si>
  <si>
    <t>11</t>
  </si>
  <si>
    <t>SERVIÇOS FINAIS</t>
  </si>
  <si>
    <t>12</t>
  </si>
  <si>
    <t>14</t>
  </si>
  <si>
    <t>15</t>
  </si>
  <si>
    <t>VALOR TOTAL:</t>
  </si>
  <si>
    <t>CARLOS RAPHAEL MONTEIRO DE LEMOS
ENGENHEIRO CIVIL | CREA-ES 011.840/D</t>
  </si>
  <si>
    <t>ITEM</t>
  </si>
  <si>
    <t>DESCRIÇÃO</t>
  </si>
  <si>
    <t>VALOR (R$)</t>
  </si>
  <si>
    <t>MÊS 1</t>
  </si>
  <si>
    <t>MÊS 2</t>
  </si>
  <si>
    <t>MÊS 3</t>
  </si>
  <si>
    <t>MÊS 4</t>
  </si>
  <si>
    <t>MÊS 5</t>
  </si>
  <si>
    <t>MÊS 6</t>
  </si>
  <si>
    <t>MÊS 7</t>
  </si>
  <si>
    <t>MÊS 8</t>
  </si>
  <si>
    <t>MÊS 9</t>
  </si>
  <si>
    <t>MÊS 10</t>
  </si>
  <si>
    <t>MÊS 11</t>
  </si>
  <si>
    <t>MÊS 12</t>
  </si>
  <si>
    <t>Total parcela</t>
  </si>
  <si>
    <t>FONTE</t>
  </si>
  <si>
    <t>CÓDIGO</t>
  </si>
  <si>
    <t>UNID</t>
  </si>
  <si>
    <t>QUANTIDADE</t>
  </si>
  <si>
    <t>PREÇO UNITÁRIO R$</t>
  </si>
  <si>
    <t>PREÇO TOTAL R$</t>
  </si>
  <si>
    <t>SEM BDI</t>
  </si>
  <si>
    <t>COM BDI</t>
  </si>
  <si>
    <t>1.1</t>
  </si>
  <si>
    <t>DER-ES EDIF</t>
  </si>
  <si>
    <t>S020305</t>
  </si>
  <si>
    <t>Placa de obra nas dimensões de 2.0 x 4.0 m, padrão DER</t>
  </si>
  <si>
    <t>m2</t>
  </si>
  <si>
    <t>1.2</t>
  </si>
  <si>
    <t>S020702</t>
  </si>
  <si>
    <t>Barracão para almoxarifado área de 10.90m2, de chapa de compensado de 12mm e pontalete 8x8cm, piso cimentado e cobertura de telhas de fibrocimento de 6mm, incl. ponto de luz, conf. projeto (1 utilização)</t>
  </si>
  <si>
    <t>1.3</t>
  </si>
  <si>
    <t>S020701</t>
  </si>
  <si>
    <t>Barracão para escritório com sanitário área de 14.50 m2, de chapa de compens. 12mm e pontalete 8x8cm, piso cimentado e cobertura de telha de fibroc. 6mm, incl. ponto de luz e cx. de inspeção, conf. projeto (1 utilização)</t>
  </si>
  <si>
    <t>1.4</t>
  </si>
  <si>
    <t>S020355</t>
  </si>
  <si>
    <t>Aluguel mensal container sanitário, incl porta, básc, 2 ptos luz, 1 pto aterram., 3vasos, 3lavatórios, calha mictório, 6 chuveiros (1 eletrico), torn.,registros, piso comp. Naval pintado, cert NR18 e laudo descontaminação</t>
  </si>
  <si>
    <t>ms</t>
  </si>
  <si>
    <t>1.5</t>
  </si>
  <si>
    <t>S020344</t>
  </si>
  <si>
    <t>Mobilização e desmobilização de conteiner locado para barracão de obra</t>
  </si>
  <si>
    <t>und</t>
  </si>
  <si>
    <t>1.6</t>
  </si>
  <si>
    <t>S020350</t>
  </si>
  <si>
    <t>Tapume Telha Metálica Ondulada em aço galvalume 0,50mm Branca h=2,20m, incl. montagem estr. mad. 8"x8", c/adesivo "DER-ES" 60x60cm a cada 10m, incl. faixas pint. esmalte sint. cores azul c/ h=30cm e rosa c/ h=10cm (Reaproveitamento 2x)</t>
  </si>
  <si>
    <t>m</t>
  </si>
  <si>
    <t>1.7</t>
  </si>
  <si>
    <t>S020346</t>
  </si>
  <si>
    <t>Locação de andaime metálico para fachada - tipo torre (aluguel mensal)</t>
  </si>
  <si>
    <t>1.8</t>
  </si>
  <si>
    <t>PRÓPRIA</t>
  </si>
  <si>
    <t>RES-018</t>
  </si>
  <si>
    <t>Restauro - Cobertura provisória p/ proteção de fachadas, executadas sobre andaimes existentes ao longo do passeio, com telha fibrocimento 4mm, apoiada em peças mistas 7,5 x 7,5cm, utilização = 2 vezes (Não incluido o custo c/ o andaime)</t>
  </si>
  <si>
    <t>2.1</t>
  </si>
  <si>
    <t>2.1.1</t>
  </si>
  <si>
    <t>SINAPI</t>
  </si>
  <si>
    <t>97622</t>
  </si>
  <si>
    <t>DEMOLIÇÃO DE ALVENARIA DE BLOCO FURADO, DE FORMA MANUAL, SEM REAPROVEITAMENTO. AF_09/2023</t>
  </si>
  <si>
    <t>M3</t>
  </si>
  <si>
    <t>2.1.2</t>
  </si>
  <si>
    <t>S010344</t>
  </si>
  <si>
    <t>Demolição de lajes, em concreto armado, de forma mecanizada com martelete demolidor elétrico, sem reaproveitamento</t>
  </si>
  <si>
    <t>m3</t>
  </si>
  <si>
    <t>2.1.3</t>
  </si>
  <si>
    <t>97627</t>
  </si>
  <si>
    <t>DEMOLIÇÃO DE PILARES E VIGAS EM CONCRETO ARMADO, DE FORMA MECANIZADA COM MARTELETE, SEM REAPROVEITAMENTO. AF_09/2023</t>
  </si>
  <si>
    <t>2.1.4</t>
  </si>
  <si>
    <t>S010325</t>
  </si>
  <si>
    <t>Demolição manual de estrutura de madeira para telhado, sem reaproveitamento</t>
  </si>
  <si>
    <t>2.1.5</t>
  </si>
  <si>
    <t>S010255</t>
  </si>
  <si>
    <t>Remoção manual de telhas cerâmicas, tipo colonial, inclusive cumeeira, sem reaproveitamento</t>
  </si>
  <si>
    <t>2.1.6</t>
  </si>
  <si>
    <t>S010224</t>
  </si>
  <si>
    <t>Retirada manual de grades, gradis, alambrados, cercas e portões metálicos, inclusive remoção de argamassa de chumbamento, acessórios de fixação e corte de soldas</t>
  </si>
  <si>
    <t>2.1.7</t>
  </si>
  <si>
    <t>S010214</t>
  </si>
  <si>
    <t>Retirada manual de portas e janelas de madeira, inclusive batentes (marcos), sem reaproveitamento</t>
  </si>
  <si>
    <t>2.1.8</t>
  </si>
  <si>
    <t>S010226</t>
  </si>
  <si>
    <t>Retirada de tanque em mármore sintético, cantoneiras de fixação, inclusive vedação dos pontos de esgoto e água fria, sem reaproveitamento</t>
  </si>
  <si>
    <t>2.1.9</t>
  </si>
  <si>
    <t>S010223</t>
  </si>
  <si>
    <t>Retirada manual de louças sanitárias, inclusive vedação dos pontos de esgoto e água fria, sem reaproveitamento</t>
  </si>
  <si>
    <t>2.1.10</t>
  </si>
  <si>
    <t>DEM-005</t>
  </si>
  <si>
    <t>Retirada manual de caixa d'água, sem considerar o reaproveitamento do reservatório, inclusive remoção dos flanges, boia e vedação dos pontos de alimentação de água fria</t>
  </si>
  <si>
    <t>2.1.11</t>
  </si>
  <si>
    <t>104790</t>
  </si>
  <si>
    <t>DEMOLIÇÃO DE PISO DE CONCRETO SIMPLES, DE FORMA MECANIZADA COM MARTELETE, SEM REAPROVEITAMENTO. AF_09/2023</t>
  </si>
  <si>
    <t>2.1.12</t>
  </si>
  <si>
    <t>S030304</t>
  </si>
  <si>
    <t>Índice de preço para remoção de entulho decorrente da execução de obras (Classe A CONAMA - NBR 10.004 - Classe II-B), incluindo aluguel da caçamba, carga, transporte e descarga em área licenciada</t>
  </si>
  <si>
    <t>2.2.1</t>
  </si>
  <si>
    <t>REMOÇÃO DE PISO DE BLOCO INTERTRAVADO OU DE PEDRA PORTUGUESA, DE FORMA MANUAL, COM REAPROVEITAMENTO. AF_09/2023</t>
  </si>
  <si>
    <t>M2</t>
  </si>
  <si>
    <t>2.2.2</t>
  </si>
  <si>
    <t>Retirada manual cuidadosa de pavimento em paralelepípedos, inclusive limpeza e empilhamento para reaproveitamento</t>
  </si>
  <si>
    <t>2.2.3</t>
  </si>
  <si>
    <t>97625</t>
  </si>
  <si>
    <t>DEMOLIÇÃO DE ALVENARIA PARA QUALQUER TIPO DE BLOCO, DE FORMA MECANIZADA, SEM REAPROVEITAMENTO. AF_09/2023</t>
  </si>
  <si>
    <t>2.2.4</t>
  </si>
  <si>
    <t>S010216</t>
  </si>
  <si>
    <t>Retirada manual de meio-fio de concreto, sem reaproveitamento</t>
  </si>
  <si>
    <t>2.2.5</t>
  </si>
  <si>
    <t>S010403</t>
  </si>
  <si>
    <t>Corte e destocamento manual de árvores com diâmetro de até 15 cm</t>
  </si>
  <si>
    <t>2.2.6</t>
  </si>
  <si>
    <t>S010210</t>
  </si>
  <si>
    <t>Demolição manual de concreto simples, sem reaproveitamento</t>
  </si>
  <si>
    <t>2.2.7</t>
  </si>
  <si>
    <t>S010219</t>
  </si>
  <si>
    <t>Demolição manual de concreto armado, sem reaproveitamento</t>
  </si>
  <si>
    <t>MOVIMENTAÇÕES DE TERRA</t>
  </si>
  <si>
    <t>2.3.1</t>
  </si>
  <si>
    <t>S030103</t>
  </si>
  <si>
    <t>Escavação mecânica em material de 1a. categoria</t>
  </si>
  <si>
    <t>2.3.2</t>
  </si>
  <si>
    <t>100994</t>
  </si>
  <si>
    <t>CARGA, MANOBRA E DESCARGA DE SOLOS E MATERIAIS GRANULARES EM CAMINHÃO BASCULANTE 10 M³ - CARGA COM ESCAVADEIRA HIDRÁULICA (CAÇAMBA DE 1,20 M³ / 155 HP) E DESCARGA LIVRE (UNIDADE: T). AF_02/2026</t>
  </si>
  <si>
    <t>T</t>
  </si>
  <si>
    <t>2.3.3</t>
  </si>
  <si>
    <t>95878</t>
  </si>
  <si>
    <t>TRANSPORTE COM CAMINHÃO BASCULANTE DE 10 M³, EM VIA URBANA PAVIMENTADA, DMT ATÉ 30 KM (UNIDADE: TXKM). AF_02/2026</t>
  </si>
  <si>
    <t>TXKM</t>
  </si>
  <si>
    <t>3.1</t>
  </si>
  <si>
    <t>PAREDES</t>
  </si>
  <si>
    <t>3.1.1</t>
  </si>
  <si>
    <t>REV-002</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</si>
  <si>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</si>
  <si>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3.1.2</t>
  </si>
  <si>
    <t>S120303</t>
  </si>
  <si>
    <t>Reboco tipo paulista de argamassa de cimento, cal hidratada CH1 e areia média ou grossa lavada no traço 1:0.5:6, espessura 25 mm</t>
  </si>
  <si>
    <t>3.1.3</t>
  </si>
  <si>
    <t>S050605</t>
  </si>
  <si>
    <t>Alvenaria de vedação com blocos cerâmicos furados 9x19x19cm, assentados c/ argamassa de cimento, cal hidratada CH1 e areia no traço 1:0,5:8, preparo com betoneira, juntas 10mm e esp. das paredes s/revestimento, 9cm (bloco comprado na praça de Vitória, posto obra)</t>
  </si>
  <si>
    <t>3.2</t>
  </si>
  <si>
    <t>3.2.1</t>
  </si>
  <si>
    <t>S160707</t>
  </si>
  <si>
    <t>Pintura com tinta látex PVA Suvinil, Coral ou Metalatex, inclusive selador em paredes internas e forros a três demãos</t>
  </si>
  <si>
    <t>3.2.2</t>
  </si>
  <si>
    <t>S120241</t>
  </si>
  <si>
    <t>Cerâmica retificada, acabamento brilhante, dim. 32x60cm, ref. TRADIZIONALLE BIANCO Biancogres/equiv. assentado com argamassa de cimento colante, inclusive rejuntamento com argamassapre-fabricada para rejunte</t>
  </si>
  <si>
    <t>3.2.3</t>
  </si>
  <si>
    <t>3.2.4</t>
  </si>
  <si>
    <t>S100202</t>
  </si>
  <si>
    <t>Impermeabilização com argamassa de igol 2 - marca de referência Sika</t>
  </si>
  <si>
    <t>3.2.5</t>
  </si>
  <si>
    <t>S160708</t>
  </si>
  <si>
    <t>Pintura com tinta acrílica Suvinil, Coral ou Metalatex, inclusive selador acrílico, em paredes externas a três demãos</t>
  </si>
  <si>
    <t>3.3</t>
  </si>
  <si>
    <t>PISOS</t>
  </si>
  <si>
    <t>3.3.1</t>
  </si>
  <si>
    <t>S130103</t>
  </si>
  <si>
    <t>Regularização de base para revestimento cerâmico, com argamassa de cimento e areia no traço 1:5, espessura: 3 cm</t>
  </si>
  <si>
    <t>3.3.2</t>
  </si>
  <si>
    <t>REV-003</t>
  </si>
  <si>
    <t>Porcelanato esmaltado, acabamento acetinado, dim. 90x90cm MARCA DE REF.: BIANCOGRÊS OU EQUIVALENTE, REJUNTE ACRÍLICO, NA COR CINZA PLATINA ESP. 1,5mm, ref. de cor CIMENTO CINZA BOLD Portobello/equiv, colagem de argamassa colante para porcelanato tipo ACIII.</t>
  </si>
  <si>
    <t>3.3.3</t>
  </si>
  <si>
    <t>98685</t>
  </si>
  <si>
    <t>RODAPÉ EM GRANITO, ALTURA 10 CM. AF_02/2026</t>
  </si>
  <si>
    <t>M</t>
  </si>
  <si>
    <t>3.3.4</t>
  </si>
  <si>
    <t>S130308</t>
  </si>
  <si>
    <t>Soleira de granito esp. 2 cm e largura de 15 cm</t>
  </si>
  <si>
    <t>3.3.5</t>
  </si>
  <si>
    <t>3.3.6</t>
  </si>
  <si>
    <t>SICRO NOVO</t>
  </si>
  <si>
    <t>4011209</t>
  </si>
  <si>
    <t>Regularização do subleito - 100% Proctor intermediário</t>
  </si>
  <si>
    <t>m²</t>
  </si>
  <si>
    <t>3.3.7</t>
  </si>
  <si>
    <t>S200206</t>
  </si>
  <si>
    <t>Execução de pavimentação com blocos intertravados de concreto tipo 'pavi-s', espessura de 8 cm e resistência mínima de 35 MPa, assentados sobre colchão de pó de pedra de 10 cm, com rejuntamento em areia, compactação com placa vibratória e cortes com cortadora de piso</t>
  </si>
  <si>
    <t>3.3.8</t>
  </si>
  <si>
    <t>PAV-005</t>
  </si>
  <si>
    <t>PISO DE BORRACHA 1X1M, ESPESSURA 15MM, ASSENTADO COM ARGAMASSA. COLORIDO.</t>
  </si>
  <si>
    <t>3.4</t>
  </si>
  <si>
    <t>COBERTURA, TETOS E FORROS</t>
  </si>
  <si>
    <t>3.4.1</t>
  </si>
  <si>
    <t>S110210</t>
  </si>
  <si>
    <t>Forro PVC branco L = 20 cm, frisado, estruturado por perfis de aço galvanizado e tirantes rígidos fabricado de acordo com a NBR-14285, colocado</t>
  </si>
  <si>
    <t>3.4.2</t>
  </si>
  <si>
    <t>S090302</t>
  </si>
  <si>
    <t>Rufo de chapa metálica nº 26 com largura de 30 cm</t>
  </si>
  <si>
    <t>3.5</t>
  </si>
  <si>
    <t>LOUÇAS, METAIS E ACESSÓRIOS</t>
  </si>
  <si>
    <t>3.5.1</t>
  </si>
  <si>
    <t>S170608</t>
  </si>
  <si>
    <t>Bacia sifonada de louça branca sem abertura frontal p/ banheiro PNE, consumo 6 litros por fluxo, Vogue Plus Conforto - P.510.17, Ref. Deca ou equiv., incl. tubo de ligação inox c/ canopla, anel de vedação, paraf. e rejunte epoxi p/ vedação</t>
  </si>
  <si>
    <t>3.5.2</t>
  </si>
  <si>
    <t>S170304</t>
  </si>
  <si>
    <t>Torneira bica baixa de mesa para lavatório PressMatic Alfa - Docol, Decamatic Smart - Deca ou equivalente</t>
  </si>
  <si>
    <t>3.5.3</t>
  </si>
  <si>
    <t>S170128</t>
  </si>
  <si>
    <t>Lavatório de louça branca com coluna suspensa, Vogue Plus Confort - L51+CS1V para portadores de necessidades especiais - DECA, inclusive válvula de saída cromada 1?, sifão em metal cromado 1? x 1/2", engate flexível trançado inox 1/2? x 30cm e parafusos para fixação, exclusive torneira</t>
  </si>
  <si>
    <t>3.5.4</t>
  </si>
  <si>
    <t>106766</t>
  </si>
  <si>
    <t>DISPENSER DE PLÁSTICO PARA PAPEL HIGIÊNICO, INCLUSO FIXAÇÃO. AF_02/2026</t>
  </si>
  <si>
    <t>UN</t>
  </si>
  <si>
    <t>3.5.5</t>
  </si>
  <si>
    <t>95547</t>
  </si>
  <si>
    <t>SABONETEIRA PLÁSTICA TIPO DISPENSER PARA SABONETE LÍQUIDO COM RESERVATÓRIO 800 A 1500 ML, INCLUSO FIXAÇÃO. AF_02/2026</t>
  </si>
  <si>
    <t>3.5.6</t>
  </si>
  <si>
    <t>S170519</t>
  </si>
  <si>
    <t>Ducha manual Acqua jet , linha Aquarius, com registro ref.C 2195, marcas de referência Fabrimar, Deca ou Docol</t>
  </si>
  <si>
    <t>3.5.7</t>
  </si>
  <si>
    <t>S170601</t>
  </si>
  <si>
    <t>Barra de apoio reta, em aço inox polido AISI 304, comprimento 40 cm, conforme requisitos de acessibilidade da NBR 9050 - fornecimento e instalação</t>
  </si>
  <si>
    <t>3.5.8</t>
  </si>
  <si>
    <t>S170615</t>
  </si>
  <si>
    <t>Barra de apoio reta, em aço inox polido AISI 304, comprimento 70 cm, conforme requisitos de acessibilidade da NBR 9050 - fornecimento e instalação</t>
  </si>
  <si>
    <t>3.5.9</t>
  </si>
  <si>
    <t>S170603</t>
  </si>
  <si>
    <t>Barra de apoio reta, em aço inox polido AISI 304, comprimento 80 cm, conforme requisitos de acessibilidade da NBR 9050 - fornecimento e instalação</t>
  </si>
  <si>
    <t>3.5.10</t>
  </si>
  <si>
    <t>S170115</t>
  </si>
  <si>
    <t>Cuba de louça branca de embutir redonda, 36cm - L-41 ? Deca ou equivalente, inclusive válvula de saída cromada 1?, sifão em metálico tipo copo cromado 1? x 1/2" e engate flexível trançado inox 1/2? x 30cm, exclusive torneira</t>
  </si>
  <si>
    <t>3.5.11</t>
  </si>
  <si>
    <t>ACE-001</t>
  </si>
  <si>
    <t>Espelho de cristal prata, instalado.</t>
  </si>
  <si>
    <t>3.5.12</t>
  </si>
  <si>
    <t>URB-020</t>
  </si>
  <si>
    <t>BANCO DE MADEIRA DE MACARANDUBA EM RIPAS DE (1,5X4)CM, FIXADAS EM ESTRUTURA DE (7, 50X3, 75)CM, COM VERNIZ. TUDO INCLUÍDO.</t>
  </si>
  <si>
    <t>UND</t>
  </si>
  <si>
    <t>3.6</t>
  </si>
  <si>
    <t>ESQUADRIAS</t>
  </si>
  <si>
    <t>3.6.1</t>
  </si>
  <si>
    <t>PORTAS</t>
  </si>
  <si>
    <t>3.6.1.1</t>
  </si>
  <si>
    <t>S071704</t>
  </si>
  <si>
    <t>Porta de abrir tipo veneziana em alumínio anodizado, linha 25, completa, incl. puxador com tranca, caixilho, alizar e contramarco</t>
  </si>
  <si>
    <t>3.6.1.2</t>
  </si>
  <si>
    <t>ESQ-003</t>
  </si>
  <si>
    <t>PORTA DE CORRER DE ALUMÍNIO ANODIZADO (VENEZIANA) C/ GUARNIÇÃO. TUDO INCLUÍDO.</t>
  </si>
  <si>
    <t>3.6.1.3</t>
  </si>
  <si>
    <t>RES-007</t>
  </si>
  <si>
    <t>Restauro - Desmontagem/retirada de esquadria/estrutura de madeira</t>
  </si>
  <si>
    <t>3.6.1.4</t>
  </si>
  <si>
    <t>RES-021</t>
  </si>
  <si>
    <t>Restauro - Recuperação de esquadria de madeira de obras históricas c/ aproveitamento de 75%.</t>
  </si>
  <si>
    <t>3.6.1.5</t>
  </si>
  <si>
    <t>ESQ-004</t>
  </si>
  <si>
    <t>PORTA DE ABRIR COM MOLA HIDRÁULICA, EM VIDRO TEMPERADO, 2 FOLHAS DE 75X205.5CM, ESPESSURA DE 8 MM, INCLUSIVE ACESSÓRIOS.</t>
  </si>
  <si>
    <t>3.6.1.6</t>
  </si>
  <si>
    <t>ESQ-005</t>
  </si>
  <si>
    <t>PORTA DE ABRIR COM MOLA HIDRÁULICA, EM VIDRO TEMPERADO, 2 FOLHAS DE 60X210CM, ESPESSURA DE 8 MM, INCLUSIVE ACESSÓRIOS.</t>
  </si>
  <si>
    <t>3.6.1.7</t>
  </si>
  <si>
    <t>SER-002</t>
  </si>
  <si>
    <t>Aplicação de neutralizador de ferrugem, com duas demãos, e Remoção de ferrugem em esquadrias ou estruturas metálicas com escova de aço.</t>
  </si>
  <si>
    <t>3.6.1.8</t>
  </si>
  <si>
    <t>SER-003</t>
  </si>
  <si>
    <t>Remoção de pintura com removedor de tinta tipo striptizi ou similar, emassamento de esquarias de madeira, em uma demão de massa à base de óleo e pintura com tinta esmalte sintético Suvinil - marca de referência, inclusive fundo branco nivelador, em esquadrias de madeira, a duas demãos. Tudo incluído.</t>
  </si>
  <si>
    <t>3.6.1.9</t>
  </si>
  <si>
    <t>RES-022</t>
  </si>
  <si>
    <t>Retirada e reinstalação de vidro em esquadria de madeira, fixado com silicone acetico. (com aproveitamento de vidro existente). Tudo incluído.</t>
  </si>
  <si>
    <t>3.6.1.10</t>
  </si>
  <si>
    <t>Retirada e instalação de novo vidro em esquadria de madeira, fixado com silicone acetico. (sem aproveitamento de vidro existente). Tudo incluído.</t>
  </si>
  <si>
    <t>3.6.2</t>
  </si>
  <si>
    <t>JANELAS</t>
  </si>
  <si>
    <t>3.6.2.1</t>
  </si>
  <si>
    <t>ESQ-007</t>
  </si>
  <si>
    <t>JANELA DE MADEIRA PARA VIDRO, INCLUSO VIDRO TEMPERADO 6MM E PINTURA.</t>
  </si>
  <si>
    <t>3.6.2.2</t>
  </si>
  <si>
    <t>3.6.2.3</t>
  </si>
  <si>
    <t>3.6.2.4</t>
  </si>
  <si>
    <t>3.6.2.5</t>
  </si>
  <si>
    <t>3.7</t>
  </si>
  <si>
    <t>PEDRAS/GRANITOS/MÁRMORES</t>
  </si>
  <si>
    <t>3.7.1</t>
  </si>
  <si>
    <t>ACE-002</t>
  </si>
  <si>
    <t>Bancada de granito tipo Branco Siena, com espessura de 2 cm, com acabamento polido, inclusive chumbamento na alvenaria, exclusive cantoneira de apoio. Saia h=10cm e rodabanca h=10cm. Tudo incluído.</t>
  </si>
  <si>
    <t>3.7.2</t>
  </si>
  <si>
    <t>ACE-003</t>
  </si>
  <si>
    <t>RODABANCA/SAIA EM GRANITO BRANCO SIENA, E= 2CM, H= 10CM</t>
  </si>
  <si>
    <t>3.7.3</t>
  </si>
  <si>
    <t>ACE-004</t>
  </si>
  <si>
    <t>GRANITO BRANCO SIENA, ESP = 3CM, ASSENTADO COM ARGAMASSA COLANTE AC III-E.</t>
  </si>
  <si>
    <t>3.8</t>
  </si>
  <si>
    <t>GRADIS</t>
  </si>
  <si>
    <t>3.8.1</t>
  </si>
  <si>
    <t>S071106</t>
  </si>
  <si>
    <t>Portão de ferro de correr em barra chata, inclusive chumbamento</t>
  </si>
  <si>
    <t>3.8.2</t>
  </si>
  <si>
    <t>S071105</t>
  </si>
  <si>
    <t>Grade de ferro em barra chata, inclusive chumbamento</t>
  </si>
  <si>
    <t>3.8.3</t>
  </si>
  <si>
    <t>S190417</t>
  </si>
  <si>
    <t>Pintura sobre metal, aplicação manual, com duas demãos de tinta esmalte sintético, referência Suvinil, Coral ou Metalatex, inclusive uma demão de fundo anticorrosivo</t>
  </si>
  <si>
    <t>3.8.4</t>
  </si>
  <si>
    <t>3.9</t>
  </si>
  <si>
    <t>3.9.1</t>
  </si>
  <si>
    <t>NAVE CENTRAL</t>
  </si>
  <si>
    <t>3.9.1.1</t>
  </si>
  <si>
    <t>S010230</t>
  </si>
  <si>
    <t>Retirada de pintura à base de PVA, utilizando a raspagem manual</t>
  </si>
  <si>
    <t>3.9.1.2</t>
  </si>
  <si>
    <t>S010208</t>
  </si>
  <si>
    <t>Retirada manual de revestimento em argamassa cimento e areia (emboço e reboco), sem reaproveitamento</t>
  </si>
  <si>
    <t>3.9.1.3</t>
  </si>
  <si>
    <t>3.9.1.4</t>
  </si>
  <si>
    <t>3.9.1.5</t>
  </si>
  <si>
    <t>RES-015</t>
  </si>
  <si>
    <t>Piso em ladrilho hidráulico colorido/Mosaico colorido, 20 x 20 cm,aplicado com argamassa industrializada ac-i, rejuntado, exclusive regularização de base ou emboço</t>
  </si>
  <si>
    <t>3.9.1.6</t>
  </si>
  <si>
    <t>RES-014</t>
  </si>
  <si>
    <t>Piso em ladrilho hidráulico liso, uma cor, 20 x 20 cm,aplicado com argamassa industrializada ac-i, rejuntado, exclusive regularização de base ou emboço</t>
  </si>
  <si>
    <t>3.9.1.7</t>
  </si>
  <si>
    <t>S190116</t>
  </si>
  <si>
    <t>Pintura, sobre paredes e forros, aplicação manual, com duas demãos de tinta esmalte sintético, referência Suvinil, Coral e Metalatex, inclusive uma demão de liquido selador PVA, referência Suvinil, Coral ou Metalatex ou equivalente</t>
  </si>
  <si>
    <t>3.9.1.8</t>
  </si>
  <si>
    <t>S190117</t>
  </si>
  <si>
    <t>Pintura sobre paredes e forros, aplicação manual, com duas demãos de tinta látex acrílico premium, acabamento fosco, referência Suvinil, Coral e Metalatex, inclusive uma demão de liquido selador acrílico, referência Suvinil, Coral ou Metalatex</t>
  </si>
  <si>
    <t>3.9.1.9</t>
  </si>
  <si>
    <t>ORSE</t>
  </si>
  <si>
    <t>S12393</t>
  </si>
  <si>
    <t>Restauro - Emassamento e nivelamento de camada pictórica em paredes com pintura parietal</t>
  </si>
  <si>
    <t>3.9.1.10</t>
  </si>
  <si>
    <t>S12391</t>
  </si>
  <si>
    <t>Restauro - Refixação de policromia em paredes com pintura parietal</t>
  </si>
  <si>
    <t>3.9.2</t>
  </si>
  <si>
    <t>PRESBITÉRIO</t>
  </si>
  <si>
    <t>3.9.2.1</t>
  </si>
  <si>
    <t>S010331</t>
  </si>
  <si>
    <t>Demolição manual de piso, soleira, peitoris e escadas em mármore ou granito, exclusive regularização, sem reaproveitamento</t>
  </si>
  <si>
    <t>3.9.2.2</t>
  </si>
  <si>
    <t>RES-009</t>
  </si>
  <si>
    <t>Restauro - Restauração de forro ou piso em assoalho de madeira compreendendo substituição de peças de apoio até 20%, raspagem, calafetagem, enceramento e parquetagem</t>
  </si>
  <si>
    <t>3.9.2.3</t>
  </si>
  <si>
    <t>3.9.3</t>
  </si>
  <si>
    <t>ALTAR-MOR</t>
  </si>
  <si>
    <t>3.9.3.1</t>
  </si>
  <si>
    <t>3.9.3.2</t>
  </si>
  <si>
    <t>S03912</t>
  </si>
  <si>
    <t>Restauro - Restauração de cimalhas em forro artístico de madeira</t>
  </si>
  <si>
    <t>3.9.4</t>
  </si>
  <si>
    <t>RETRO-ALTAR</t>
  </si>
  <si>
    <t>3.9.4.1</t>
  </si>
  <si>
    <t>PIS-003</t>
  </si>
  <si>
    <t>PISO/REVESTIMENTO EM MADEIRA MADEIRA DE LEI, LARGURA DE 10CM, INCLUSIVE ASSENTAMENTO COM COLA, INCLUSIVE PINTURA A BASE DE ESMALTE SINTÉTICO FOSCO.</t>
  </si>
  <si>
    <t>3.9.4.2</t>
  </si>
  <si>
    <t>3.9.4.3</t>
  </si>
  <si>
    <t>3.9.4.4</t>
  </si>
  <si>
    <t>S010220</t>
  </si>
  <si>
    <t>Demolição manual de piso cimentado espessura de 1,5 cm, exclusive lastro de concreto, sem reaproveitamento</t>
  </si>
  <si>
    <t>3.9.4.5</t>
  </si>
  <si>
    <t>102073</t>
  </si>
  <si>
    <t>ESCADA EM CONCRETO ARMADO MOLDADO IN LOCO, FCK 25 MPA, COM 1 LANCE E LAJE PLANA, FÔRMA EM CHAPA DE MADEIRA COMPENSADA RESINADA. AF_11/2020</t>
  </si>
  <si>
    <t>3.9.4.6</t>
  </si>
  <si>
    <t>3.9.5</t>
  </si>
  <si>
    <t>TORRE ESQUERDA</t>
  </si>
  <si>
    <t>3.9.5.1</t>
  </si>
  <si>
    <t>3.9.5.2</t>
  </si>
  <si>
    <t>3.9.5.3</t>
  </si>
  <si>
    <t>S200704</t>
  </si>
  <si>
    <t>Pintura com tinta à base de resinas acrílicas, marcas de referencia Suvinil, Coral ou Novacor, sobre piso de concreto a duas demãos</t>
  </si>
  <si>
    <t>3.9.5.4</t>
  </si>
  <si>
    <t>3.9.5.5</t>
  </si>
  <si>
    <t>3.9.5.6</t>
  </si>
  <si>
    <t>3.9.5.7</t>
  </si>
  <si>
    <t>TORRE DIREITA</t>
  </si>
  <si>
    <t>3.9.6.1</t>
  </si>
  <si>
    <t>3.9.6.2</t>
  </si>
  <si>
    <t>3.9.6.3</t>
  </si>
  <si>
    <t>3.9.6.4</t>
  </si>
  <si>
    <t>3.9.6.5</t>
  </si>
  <si>
    <t>3.9.6.6</t>
  </si>
  <si>
    <t>3.9.6.7</t>
  </si>
  <si>
    <t>3.9.6.8</t>
  </si>
  <si>
    <t>3.9.6.9</t>
  </si>
  <si>
    <t>CAPELA DO SANTÍSSIMO</t>
  </si>
  <si>
    <t>3.9.7.1</t>
  </si>
  <si>
    <t>3.9.7.2</t>
  </si>
  <si>
    <t>3.9.7.3</t>
  </si>
  <si>
    <t>3.9.7.4</t>
  </si>
  <si>
    <t>3.9.7.5</t>
  </si>
  <si>
    <t>3.9.7.6</t>
  </si>
  <si>
    <t>3.9.7.7</t>
  </si>
  <si>
    <t>SERVIÇO</t>
  </si>
  <si>
    <t>3.9.8.1</t>
  </si>
  <si>
    <t>3.9.8.2</t>
  </si>
  <si>
    <t>97633</t>
  </si>
  <si>
    <t>DEMOLIÇÃO DE REVESTIMENTO CERÂMICO, DE FORMA MANUAL, SEM REAPROVEITAMENTO. AF_09/2023</t>
  </si>
  <si>
    <t>3.9.8.3</t>
  </si>
  <si>
    <t>3.9.8.4</t>
  </si>
  <si>
    <t>S010202</t>
  </si>
  <si>
    <t>Demolição manual de revestimento cerâmico/porcelanato (pisos), exclusive lastro, sem reaproveitamento</t>
  </si>
  <si>
    <t>3.9.8.5</t>
  </si>
  <si>
    <t>97640</t>
  </si>
  <si>
    <t>REMOÇÃO DE FORROS DE DRYWALL, PVC E FIBROMINERAL, DE FORMA MANUAL, SEM REAPROVEITAMENTO. AF_09/2023</t>
  </si>
  <si>
    <t>3.9.8.6</t>
  </si>
  <si>
    <t>3.9.8.7</t>
  </si>
  <si>
    <t>3.9.8.8</t>
  </si>
  <si>
    <t>3.9.8.9</t>
  </si>
  <si>
    <t>FOR-001</t>
  </si>
  <si>
    <t>FORRO DE MADEIRA EM ANGELIM OU MADEIRA EQUIVALENTE, INCLUSIVE ESTRUTURA DE FIXAÇÃO, EXCLUSIVE CIMALHA DE ACABAMENTO.</t>
  </si>
  <si>
    <t>3.9.8.10</t>
  </si>
  <si>
    <t>3.9.8.11</t>
  </si>
  <si>
    <t>RES-010</t>
  </si>
  <si>
    <t>Restauro - Execução e colocação de cimalha em madeira</t>
  </si>
  <si>
    <t>3.9.8.12</t>
  </si>
  <si>
    <t>CIRCULAÇÃO LATERAL</t>
  </si>
  <si>
    <t>3.9.9.1</t>
  </si>
  <si>
    <t>3.9.9.2</t>
  </si>
  <si>
    <t>SACRISTIA</t>
  </si>
  <si>
    <t>3.9.10.1</t>
  </si>
  <si>
    <t>3.9.10.2</t>
  </si>
  <si>
    <t>3.9.10.3</t>
  </si>
  <si>
    <t>3.9.10.4</t>
  </si>
  <si>
    <t>3.9.10.5</t>
  </si>
  <si>
    <t>3.9.10.6</t>
  </si>
  <si>
    <t>3.9.10.7</t>
  </si>
  <si>
    <t>3.9.10.8</t>
  </si>
  <si>
    <t>87267</t>
  </si>
  <si>
    <t>REVESTIMENTO CERÂMICO PARA PAREDES INTERNAS COM PLACAS TIPO ESMALTADA DE DIMENSÕES 20X20 CM APLICADAS A MEIA ALTURA DAS PAREDES. AF_02/2023_PE</t>
  </si>
  <si>
    <t>3.9.10.9</t>
  </si>
  <si>
    <t>3.9.10.10</t>
  </si>
  <si>
    <t>3.9.10.11</t>
  </si>
  <si>
    <t>3.9.10.12</t>
  </si>
  <si>
    <t>ESCADA</t>
  </si>
  <si>
    <t>3.9.11.1</t>
  </si>
  <si>
    <t>3.9.11.2</t>
  </si>
  <si>
    <t>3.9.11.3</t>
  </si>
  <si>
    <t>3.9.11.4</t>
  </si>
  <si>
    <t>3.9.11.5</t>
  </si>
  <si>
    <t>3.9.11.6</t>
  </si>
  <si>
    <t>CORO</t>
  </si>
  <si>
    <t>3.9.12.1</t>
  </si>
  <si>
    <t>3.9.12.2</t>
  </si>
  <si>
    <t>3.9.12.3</t>
  </si>
  <si>
    <t>3.9.12.4</t>
  </si>
  <si>
    <t>3.9.12.5</t>
  </si>
  <si>
    <t>FACHADAS</t>
  </si>
  <si>
    <t>3.9.13.1</t>
  </si>
  <si>
    <t>3.9.13.2</t>
  </si>
  <si>
    <t>3.9.13.3</t>
  </si>
  <si>
    <t>S120302</t>
  </si>
  <si>
    <t>Reboco de argamassa de cimento, cal hidratada CH1 e areia média ou grossa lavada no traço 1:0.5:6, espessura 5mm</t>
  </si>
  <si>
    <t>3.9.13.4</t>
  </si>
  <si>
    <t>3.9.13.5</t>
  </si>
  <si>
    <t>ESQ-002</t>
  </si>
  <si>
    <t>TELA TIPO MOSQUITEIRO, COM MOLDURA EM PERFIL DE ALUMINIO ANODIZADO, PINTURA NA COR BRANCA.FORNECIMENTO E COLOCACAO</t>
  </si>
  <si>
    <t>3.9.13.6</t>
  </si>
  <si>
    <t>RES-019</t>
  </si>
  <si>
    <t>Restauro - Erradicação de liquens e fungos em paredes e ornatos.</t>
  </si>
  <si>
    <t>3.9.13.7</t>
  </si>
  <si>
    <t>REV-004</t>
  </si>
  <si>
    <t>Pintura com tinta mineral ecossílica Kroten ou similar, em paredes externas a 2 demãos.</t>
  </si>
  <si>
    <t>ELEMENTOS DECORATIVOS</t>
  </si>
  <si>
    <t>3.9.14.1</t>
  </si>
  <si>
    <t>3.9.14.2</t>
  </si>
  <si>
    <t>RES-006</t>
  </si>
  <si>
    <t>Restauro - Execução de ornato com confecção de molde e fôrma - 04 usos</t>
  </si>
  <si>
    <t>3.9.14.3</t>
  </si>
  <si>
    <t>S11763</t>
  </si>
  <si>
    <t>Restauro - Recuperação de ornatos e cercaduras. Rev 01_10/2025</t>
  </si>
  <si>
    <t>3.9.14.4</t>
  </si>
  <si>
    <t>RES-005</t>
  </si>
  <si>
    <t>Restauro - Fixação e tratamento de elementos decorativos</t>
  </si>
  <si>
    <t>3.9.14.5</t>
  </si>
  <si>
    <t>RES-016</t>
  </si>
  <si>
    <t>Restauro - Enxerto em esquadrias/balaustres de madeira com aplicação de pasta de pó de serra e cola, e pintura.</t>
  </si>
  <si>
    <t>3.9.14.6</t>
  </si>
  <si>
    <t>RES-017</t>
  </si>
  <si>
    <t>Restauro - Enrijecimento de suporte - Argamassa, gesso em ornatos e escuturas</t>
  </si>
  <si>
    <t>3.9.14.7</t>
  </si>
  <si>
    <t>RES-013</t>
  </si>
  <si>
    <t>Restauração de cimalha de massa</t>
  </si>
  <si>
    <t>3.9.14.8</t>
  </si>
  <si>
    <t>S13371</t>
  </si>
  <si>
    <t>Restauração de pináculos de massa</t>
  </si>
  <si>
    <t>3.9.14.9</t>
  </si>
  <si>
    <t>4.1</t>
  </si>
  <si>
    <t>4.1.1</t>
  </si>
  <si>
    <t>4.1.1.1</t>
  </si>
  <si>
    <t>S151401</t>
  </si>
  <si>
    <t>Cabo de cobre termoplástico (PVC) flexível isolado 450/750V, antichama BWF livre de chumbo, 70ºC - 1,5mm2</t>
  </si>
  <si>
    <t>4.1.1.2</t>
  </si>
  <si>
    <t>S151403</t>
  </si>
  <si>
    <t>Cabo de cobre termoplástico (PVC) flexível isolado 450/750V, antichama BWF livre de chumbo, 70ºC ? 4,0mm2</t>
  </si>
  <si>
    <t>4.1.1.3</t>
  </si>
  <si>
    <t>S151402</t>
  </si>
  <si>
    <t>Cabo de cobre termoplástico (PVC) flexível isolado 450/750V, antichama BWF livre de chumbo, 70ºC - 2,5mm2</t>
  </si>
  <si>
    <t>4.1.1.4</t>
  </si>
  <si>
    <t>S151404</t>
  </si>
  <si>
    <t>Cabo de cobre termoplástico (PVC) flexível isolado 450/750V, antichama BWF livre de chumbo, 70ºC ? 6,0mm2</t>
  </si>
  <si>
    <t>4.1.1.5</t>
  </si>
  <si>
    <t>S151420</t>
  </si>
  <si>
    <t>Cabo de cobre termoplástico (PVC) flexível isolado 0,60/1kV, antichama, HEPR 90ºC ? 10,0mm2</t>
  </si>
  <si>
    <t>4.1.1.6</t>
  </si>
  <si>
    <t>S151425</t>
  </si>
  <si>
    <t>Cabo de cobre termoplástico (PVC) flexível isolado 0,60/1kV, antichama, HEPR 90ºC ? 50,0mm2</t>
  </si>
  <si>
    <t>4.1.1.7</t>
  </si>
  <si>
    <t>S151422</t>
  </si>
  <si>
    <t>Cabo de cobre termoplástico (PVC) flexível isolado 0,60/1kV, antichama, HEPR 90ºC ? 25,0mm2</t>
  </si>
  <si>
    <t>4.1.1.8</t>
  </si>
  <si>
    <t>ELE-010</t>
  </si>
  <si>
    <t>Eletrocalha LISA OU PERFURADA, TIPO U, EM CHAPA DE ACO GALVANIZADO A FOGO, ESPESSURA # 22, DE 200 X 50 MM.</t>
  </si>
  <si>
    <t>4.1.1.9</t>
  </si>
  <si>
    <t>S151132</t>
  </si>
  <si>
    <t>Eletroduto flexível corrugado diâmetro 3/4", Amarelo ? Tigreflex ou equivalente</t>
  </si>
  <si>
    <t>4.1.1.10</t>
  </si>
  <si>
    <t>S151133</t>
  </si>
  <si>
    <t>Eletroduto flexível corrugado diâmetro 1", Amarelo ? Tigreflex ou equivalente</t>
  </si>
  <si>
    <t>4.1.1.11</t>
  </si>
  <si>
    <t>S150628</t>
  </si>
  <si>
    <t>Caixa de embutir marca de referência Tigreflex, 4x2"</t>
  </si>
  <si>
    <t>4.1.1.12</t>
  </si>
  <si>
    <t>ELE-011</t>
  </si>
  <si>
    <t>Caixa de embutir marca de referência Tigreflex, 4x4" OCTOGONAL</t>
  </si>
  <si>
    <t>4.1.2</t>
  </si>
  <si>
    <t>4.1.2.1.1</t>
  </si>
  <si>
    <t>101878</t>
  </si>
  <si>
    <t>QUADRO DE DISTRIBUIÇÃO DE ENERGIA EM CHAPA DE AÇO GALVANIZADO, DE SOBREPOR, COM BARRAMENTO TRIFÁSICO, PARA 18 DISJUNTORES DIN 100A - FORNECIMENTO E INSTALAÇÃO. AF_07/2025</t>
  </si>
  <si>
    <t>4.1.2.1.2</t>
  </si>
  <si>
    <t>106020</t>
  </si>
  <si>
    <t>DISJUNTOR TRIPOLAR DIN 63A - FORNECIMENTO E INSTALAÇÃO. AF_07/2025</t>
  </si>
  <si>
    <t>4.1.2.1.3</t>
  </si>
  <si>
    <t>93661</t>
  </si>
  <si>
    <t>DISJUNTOR BIPOLAR TIPO DIN, CORRENTE NOMINAL DE 16A - FORNECIMENTO E INSTALAÇÃO. AF_07/2025</t>
  </si>
  <si>
    <t>4.1.2.1.4</t>
  </si>
  <si>
    <t>93663</t>
  </si>
  <si>
    <t>DISJUNTOR BIPOLAR TIPO DIN, CORRENTE NOMINAL DE 25A - FORNECIMENTO E INSTALAÇÃO. AF_07/2025</t>
  </si>
  <si>
    <t>4.1.2.1.5</t>
  </si>
  <si>
    <t>106027</t>
  </si>
  <si>
    <t>DISPOSITIVO DPS 20KA-175V OU 275V - FORNECIMENTO E INSTALAÇÃO. AF_07/2025</t>
  </si>
  <si>
    <t>4.1.2.2.1</t>
  </si>
  <si>
    <t>91935</t>
  </si>
  <si>
    <t>CABO DE COBRE FLEXÍVEL ISOLADO, 16 MM², ANTI-CHAMA 0,6/1,0 KV, PARA CIRCUITOS TERMINAIS - FORNECIMENTO E INSTALAÇÃO. AF_03/2023</t>
  </si>
  <si>
    <t>4.1.2.2.2</t>
  </si>
  <si>
    <t>91929</t>
  </si>
  <si>
    <t>CABO DE COBRE FLEXÍVEL ISOLADO, 4 MM², ANTI-CHAMA 0,6/1,0 KV, PARA CIRCUITOS TERMINAIS - FORNECIMENTO E INSTALAÇÃO. AF_03/2023</t>
  </si>
  <si>
    <t>4.1.2.2.3</t>
  </si>
  <si>
    <t>91931</t>
  </si>
  <si>
    <t>CABO DE COBRE FLEXÍVEL ISOLADO, 6 MM², ANTI-CHAMA 0,6/1,0 KV, PARA CIRCUITOS TERMINAIS - FORNECIMENTO E INSTALAÇÃO. AF_03/2023</t>
  </si>
  <si>
    <t>4.1.2.2.4</t>
  </si>
  <si>
    <t>ELE-018</t>
  </si>
  <si>
    <t>ELETRODUTO RÍGIDO SOLDÁVEL, PVC, DN 40 MM (1 1/2"), APARENTE - FORNECIMENTO E INSTALAÇÃO.</t>
  </si>
  <si>
    <t>4.1.2.3.1</t>
  </si>
  <si>
    <t>S150633</t>
  </si>
  <si>
    <t>Caixa de passagem 200x200x100mm, chapa 18, com tampa parafusada</t>
  </si>
  <si>
    <t>4.2</t>
  </si>
  <si>
    <t>PRAÇAS</t>
  </si>
  <si>
    <t>4.2.1</t>
  </si>
  <si>
    <t>LUMINÁRIAS</t>
  </si>
  <si>
    <t>4.2.1.1</t>
  </si>
  <si>
    <t>POSTE DE AÇO CÔNICO CONTÍNUO CURVO SIMPLES, FLANGEADO, H=9M - FORNECIMENTO E INSTALAÇÃO. AF_04/2025</t>
  </si>
  <si>
    <t>4.2.1.2</t>
  </si>
  <si>
    <t>LUMINÁRIA DE LED PARA ILUMINAÇÃO PÚBLICA, DE 240 W ATÉ 350 W - FORNECIMENTO E INSTALAÇÃO. AF_02/2025_PS</t>
  </si>
  <si>
    <t>4.2.1.3</t>
  </si>
  <si>
    <t>ELE-014</t>
  </si>
  <si>
    <t>Luminária tipo spot de embutir com lâmpada led 15w.</t>
  </si>
  <si>
    <t>un</t>
  </si>
  <si>
    <t>4.2.2</t>
  </si>
  <si>
    <t>ENTRADA DE ENERGIA E ATERRAMENTO</t>
  </si>
  <si>
    <t>4.2.2.1</t>
  </si>
  <si>
    <t>101526</t>
  </si>
  <si>
    <t>ENTRADA DE ENERGIA ELÉTRICA, SUBTERRÂNEA, BIFÁSICA, COM CAIXA DE EMBUTIR, CABO DE 16 MM2 E DISJUNTOR DIN 50A (NÃO INCLUSA MURETA DE ALVENARIA). AF_12/2025</t>
  </si>
  <si>
    <t>4.2.2.2</t>
  </si>
  <si>
    <t>96986</t>
  </si>
  <si>
    <t>HASTE DE ATERRAMENTO, DIÂMETRO 3/4", COM 3 METROS - FORNECIMENTO E INSTALAÇÃO. AF_08/2023</t>
  </si>
  <si>
    <t>4.2.3</t>
  </si>
  <si>
    <t>QUADRO DE DISTRIBUIÇÃO DA PRAÇA</t>
  </si>
  <si>
    <t>4.2.3.1</t>
  </si>
  <si>
    <t>4.2.3.2</t>
  </si>
  <si>
    <t>ELE-015</t>
  </si>
  <si>
    <t>DISJUNTOR BIPOLAR TIPO DIN, CORRENTE NOMINAL DE 63A - FORNECIMENTO E INSTALAÇÃO.</t>
  </si>
  <si>
    <t>4.2.3.3</t>
  </si>
  <si>
    <t>S151337</t>
  </si>
  <si>
    <t>Dispositivo de proteção contra surto (DPS) bipolar, 40kA, 275Vca, referência Siemens, Steck, Clamper ou equivalente</t>
  </si>
  <si>
    <t>4.2.3.4</t>
  </si>
  <si>
    <t>4.2.3.5</t>
  </si>
  <si>
    <t>101901</t>
  </si>
  <si>
    <t>CONTATOR TRIPOLAR I NOMINAL 12A - FORNECIMENTO E INSTALAÇÃO. AF_07/2025</t>
  </si>
  <si>
    <t>CONDUTORES ELÉTRICOS</t>
  </si>
  <si>
    <t>4.2.4.1</t>
  </si>
  <si>
    <t>4.2.4.2</t>
  </si>
  <si>
    <t>91927</t>
  </si>
  <si>
    <t>CABO DE COBRE FLEXÍVEL ISOLADO, 2,5 MM², ANTI-CHAMA 0,6/1,0 KV, PARA CIRCUITOS TERMINAIS - FORNECIMENTO E INSTALAÇÃO. AF_03/2023</t>
  </si>
  <si>
    <t>4.2.4.3</t>
  </si>
  <si>
    <t>ELETRODUTOS</t>
  </si>
  <si>
    <t>4.2.5.1</t>
  </si>
  <si>
    <t>S151127</t>
  </si>
  <si>
    <t>Eletroduto de PVC rígido roscável, diâmetro 1", inclusive conexões</t>
  </si>
  <si>
    <t>CAIXAS DE PASSAGEM</t>
  </si>
  <si>
    <t>4.2.6.1</t>
  </si>
  <si>
    <t>ELE-012</t>
  </si>
  <si>
    <t>Caixa de passagem com tampão ferro fundido, 300×300×300mm</t>
  </si>
  <si>
    <t>INFRAESTRUTURA CIVIL</t>
  </si>
  <si>
    <t>4.2.7.1</t>
  </si>
  <si>
    <t>102279</t>
  </si>
  <si>
    <t>ESCAVAÇÃO MECANIZADA DE VALA COM PROF. ATÉ 1,5 M (MÉDIA MONTANTE E JUSANTE/UMA COMPOSIÇÃO POR TRECHO), ESCAVADEIRA (0,8 M3),LARG. MENOR QUE 1,5 M, EM SOLO DE 1A CATEGORIA, LOCAIS COM BAIXO NÍVEL DE INTERFERÊNCIA. AF_09/2024</t>
  </si>
  <si>
    <t>4.2.7.2</t>
  </si>
  <si>
    <t>S030201</t>
  </si>
  <si>
    <t>Reaterro apiloado de cavas de fundação, em camadas de 20 cm</t>
  </si>
  <si>
    <t>4.2.7.3</t>
  </si>
  <si>
    <t>SER-004</t>
  </si>
  <si>
    <t>EXEC. DE ENVOLTORIA OU BERCO DE AREIA EM VALAS, INCL. LANCAM., ESPALHAM. E COMPACTACAO MECANIZADA COM COMPACTADOR TIPO PLACA VIBRATORIA OU A PERCUSSÃO.</t>
  </si>
  <si>
    <t>5.1</t>
  </si>
  <si>
    <t>103276</t>
  </si>
  <si>
    <t>AR CONDICIONADO SPLIT ON/OFF, CASSETE (TETO), 60000 BTU/H, CICLO QUENTE/FRIO - FORNECIMENTO E INSTALAÇÃO. AF_11/2021_PE</t>
  </si>
  <si>
    <t>5.2</t>
  </si>
  <si>
    <t>103263</t>
  </si>
  <si>
    <t>AR CONDICIONADO SPLIT INVERTER, PISO TETO, 48000 BTU/H, CICLO FRIO - FORNECIMENTO E INSTALAÇÃO. AF_11/2021_PE</t>
  </si>
  <si>
    <t>5.3</t>
  </si>
  <si>
    <t>103253</t>
  </si>
  <si>
    <t>AR CONDICIONADO SPLIT INVERTER, HI-WALL (PAREDE), 24000 BTU/H, CICLO FRIO - FORNECIMENTO E INSTALAÇÃO. AF_11/2021_PE</t>
  </si>
  <si>
    <t>5.4</t>
  </si>
  <si>
    <t>CLI-003</t>
  </si>
  <si>
    <t>CORTINA DE AR COM DUAS VELOCIDADES, PARA VAO DE 1, 50M.FORNECIMENTO E COLOCACÃO.</t>
  </si>
  <si>
    <t>5.5</t>
  </si>
  <si>
    <t>S161016</t>
  </si>
  <si>
    <t>Instalação de Linha frigorígena para interligação do sistema de climatização incl. acessórios de fixação, fita PVC auto-aderente e cabo PP, exclusive tubos de cobre da linha liquida e sucção, espuma elastomérica flexivel, exclusive gás refrigerante</t>
  </si>
  <si>
    <t>6.1</t>
  </si>
  <si>
    <t>CAB-001</t>
  </si>
  <si>
    <t>Antena WI-FI dual band access point, bandas simultâneas - 1750Mbps</t>
  </si>
  <si>
    <t>6.2</t>
  </si>
  <si>
    <t>CAB-002</t>
  </si>
  <si>
    <t>Ponto seco para instalação de som, tv, alarme e lógica, incluindo caixa com espelho</t>
  </si>
  <si>
    <t>6.3</t>
  </si>
  <si>
    <t>I051033</t>
  </si>
  <si>
    <t>ESPELHO 4" X 4" C/ 2 CONECTORES RJ-45 FEMEA CAT. 6</t>
  </si>
  <si>
    <t>6.4</t>
  </si>
  <si>
    <t>CAB-003</t>
  </si>
  <si>
    <t>Fornecimento e lançamento de cabo utp 4 pares cat 6</t>
  </si>
  <si>
    <t>6.5</t>
  </si>
  <si>
    <t>S150806</t>
  </si>
  <si>
    <t>Eletroduto aparente de PVC rígido roscável diâmetro 1", inclusive abraçadeira de fixação</t>
  </si>
  <si>
    <t>6.6</t>
  </si>
  <si>
    <t>CAB-004</t>
  </si>
  <si>
    <t>CURVA 90 GRAUS PARA ELETRODUTO, PVC, ROSCÁVEL, DN 32 MM (1"), PARA CIRCUITOS TERMINAIS - FORNECIMENTO E INSTALAÇÃO.</t>
  </si>
  <si>
    <t>6.7</t>
  </si>
  <si>
    <t>95782</t>
  </si>
  <si>
    <t>CONDULETE DE ALUMÍNIO, TIPO E, ELETRODUTO DE AÇO GALVANIZADO DN 25 MM (1''), APARENTE - FORNECIMENTO E INSTALAÇÃO. AF_01/2026</t>
  </si>
  <si>
    <t>7.1</t>
  </si>
  <si>
    <t>SPDA-001</t>
  </si>
  <si>
    <t>Pára-raio tipo Franklin montado em mastro de Ø 2" x 4000 mm</t>
  </si>
  <si>
    <t>cj</t>
  </si>
  <si>
    <t>7.2</t>
  </si>
  <si>
    <t>SPDA-002</t>
  </si>
  <si>
    <t>Terminal aéreo em aço galvanizado 3/8" x 50cm, com fixação horizontal</t>
  </si>
  <si>
    <t>7.3</t>
  </si>
  <si>
    <t>S160318</t>
  </si>
  <si>
    <t>Cabo de cobre nú 35mm2, ref. TEL 5735, marca de referência Termotécnica ou equivalente</t>
  </si>
  <si>
    <t>7.4</t>
  </si>
  <si>
    <t>S160317</t>
  </si>
  <si>
    <t>Cabo de cobre nú 50mm2, ref. TEL 5750, marca de referência Termotécnica ou equivalente</t>
  </si>
  <si>
    <t>7.5</t>
  </si>
  <si>
    <t>S160311</t>
  </si>
  <si>
    <t>Haste de terra tipo COPPERWELD - 5/8" x 2.40m</t>
  </si>
  <si>
    <t>8.1</t>
  </si>
  <si>
    <t>S160607</t>
  </si>
  <si>
    <t>Extintor de incêndio portátil de pó químico ABC com capacidade 2A-20B:C (4 kg), inclusive suporte de parede universal, parafuso e bucha S8, exclusive placa sinalizadora em PVC fotoluminescente e pintura de sinalização</t>
  </si>
  <si>
    <t>8.2</t>
  </si>
  <si>
    <t>101907</t>
  </si>
  <si>
    <t>EXTINTOR DE INCÊNDIO PORTÁTIL COM CARGA DE CO2 DE 6 KG, CLASSE BC - FORNECIMENTO E INSTALAÇÃO. AF_01/2026_PE</t>
  </si>
  <si>
    <t>8.3</t>
  </si>
  <si>
    <t>PPCI-001</t>
  </si>
  <si>
    <t>BLOCO AUTÔNOMO DE ILUMINAÇÃO DE EMERGÊNCIA COM DOIS REFLETORES</t>
  </si>
  <si>
    <t>8.4</t>
  </si>
  <si>
    <t>S160612</t>
  </si>
  <si>
    <t>Placa de sinalização de segurança do tipo ?SAÍDA DE EMERGÊNCIA? com seta vertical, conforme Código 14 - 315/158 da ABNT NBR 13434 e Código S3 da NT 14/2010 do Corpo de Bombeiros do Espírito Santo (CBMES)</t>
  </si>
  <si>
    <t>PAVIMENTAÇÃO</t>
  </si>
  <si>
    <t>9.1.1</t>
  </si>
  <si>
    <t>9.1.2</t>
  </si>
  <si>
    <t>4011276</t>
  </si>
  <si>
    <t>Base ou sub-base de brita graduada com brita comercial - 100% Proctor modificado</t>
  </si>
  <si>
    <t>m³</t>
  </si>
  <si>
    <t>9.1.3</t>
  </si>
  <si>
    <t>S200202</t>
  </si>
  <si>
    <t>Assentamento de meio-fio pré-moldado de concreto com dimensões de 15 x 12 x 30 x 100 cm, rejuntado com argamassa de cimento e areia no traço 1:3</t>
  </si>
  <si>
    <t>9.1.4</t>
  </si>
  <si>
    <t>S190205</t>
  </si>
  <si>
    <t>Pintura a cal de meio-fio (tipo a caiação), aplicação manual, a três demãos</t>
  </si>
  <si>
    <t>9.1.5</t>
  </si>
  <si>
    <t>94993</t>
  </si>
  <si>
    <t>EXECUÇÃO DE PASSEIO (CALÇADA) OU PISO DE CONCRETO COM CONCRETO MOLDADO IN LOCO, USINADO, ACABAMENTO CONVENCIONAL, ESPESSURA 6 CM, ARMADO. AF_08/2022</t>
  </si>
  <si>
    <t>9.1.6</t>
  </si>
  <si>
    <t>IOPES</t>
  </si>
  <si>
    <t>S130230</t>
  </si>
  <si>
    <t>Piso argamassa alta resistência tipo granilite ou equiv de qualidade comprovada, esp de 10mm, com juntas plástica em quadros de 1m, colorido com pó xadrez, com acabamento anti-derrapante mecanizado, inclusive regularização e=3.0cm</t>
  </si>
  <si>
    <t>9.1.7</t>
  </si>
  <si>
    <t>Piso argamassa alta resistência tipo granilite ou equiv de qualidade comprovada, esp de 10mm, com juntas plástica em quadros de 1m, na cor natural, com acabamento anti-derrapante mecanizado, inclusive regularização e=3.0cm</t>
  </si>
  <si>
    <t>9.1.8</t>
  </si>
  <si>
    <t>104658</t>
  </si>
  <si>
    <t>PISO PODOTÁTIL DE ALERTA OU DIRECIONAL, DE CONCRETO, ASSENTADO SOBRE ARGAMASSA. AF_03/2024</t>
  </si>
  <si>
    <t>9.1.9</t>
  </si>
  <si>
    <t>105004</t>
  </si>
  <si>
    <t>RAMPA DE ACESSIBILIDADE EM CONCRETO MOLDADO IN LOCO, EM CALÇADA NOVA COM LARGURA MENOR À 3,00 M, FCK 25MPA, COM PISO PODOTÁTIL. AF_03/2024</t>
  </si>
  <si>
    <t>9.1.10</t>
  </si>
  <si>
    <t>S200237</t>
  </si>
  <si>
    <t>Blocos pré-moldados de concreto intertravados tipo pavi-s ou equivalente, espessura de 6 cm e resistência a compressão mínima de 35MPa, assentados sobre colchão de pó de pedra na espessura de 10 cm e rejuntamento com areia, utilizando compactador de placa vibratória e cortadora de piso</t>
  </si>
  <si>
    <t>9.1.11</t>
  </si>
  <si>
    <t>9.1.12</t>
  </si>
  <si>
    <t>MOBILIÁRIO</t>
  </si>
  <si>
    <t>10.1</t>
  </si>
  <si>
    <t>S200326</t>
  </si>
  <si>
    <t>Fornecimento e plantio de grama em placas tipo esmeralda, inclusive fornecimento de terra vegetal</t>
  </si>
  <si>
    <t>10.2</t>
  </si>
  <si>
    <t>98516</t>
  </si>
  <si>
    <t>PLANTIO DE PALMEIRA COM ALTURA DE MUDA MENOR OU IGUAL A 2,00 M . AF_07/2024</t>
  </si>
  <si>
    <t>10.3</t>
  </si>
  <si>
    <t>98509</t>
  </si>
  <si>
    <t>PLANTIO DE ARBUSTO OU CERCA VIVA. AF_07/2024</t>
  </si>
  <si>
    <t>10.4</t>
  </si>
  <si>
    <t>98511</t>
  </si>
  <si>
    <t>PLANTIO DE ÁRVORE ORNAMENTAL COM ALTURA DE MUDA MAIOR QUE 2,00 M E MENOR OU IGUAL A 4,00 M . AF_07/2024</t>
  </si>
  <si>
    <t>10.5</t>
  </si>
  <si>
    <t>PAI-003</t>
  </si>
  <si>
    <t>PLANTIO DE ONZE HORAS</t>
  </si>
  <si>
    <t>11.1</t>
  </si>
  <si>
    <t>S200402</t>
  </si>
  <si>
    <t>Limpeza geral de obras (quadras, praças e jardins)</t>
  </si>
  <si>
    <t>11.2</t>
  </si>
  <si>
    <t>S200401</t>
  </si>
  <si>
    <t>Limpeza geral da obra (edificação)</t>
  </si>
  <si>
    <t>12.1</t>
  </si>
  <si>
    <t xml:space="preserve"> 020704 </t>
  </si>
  <si>
    <t>Refeitório com paredes de chapa de compens. 12mm e pontaletes 8x8cm, piso ciment. e cob. de telhas fibroc. 6mm, incl. ponto de luz e cx. de inspeção (cons. 1.21 m2/func./turno), conf. projeto (1 utilização)</t>
  </si>
  <si>
    <t>12.2</t>
  </si>
  <si>
    <t>090101</t>
  </si>
  <si>
    <t>Estrutura de madeira de lei tipo Paraju, peroba mica, angelim pedra ou equivalente para telhado de telha cerâmica tipo capa e canal, com pontaletes, terças, caibros e ripas, inclusive tratamento com cupinicida, exclusive telhas</t>
  </si>
  <si>
    <t>12.3</t>
  </si>
  <si>
    <t>090211</t>
  </si>
  <si>
    <t>Cobertura nova de telhas cerâmicas tipo capa e canal inclusive cumeeira (telhas compradas na praça de Vitória, posto obra)</t>
  </si>
  <si>
    <t>12.4</t>
  </si>
  <si>
    <t>SIURB</t>
  </si>
  <si>
    <t>ESTRUTURA COM TESOURAS DE MADEIRA PARA TELHAS ONDULADAS CRFS/AL/PL - VÃOS ATÉ 7,00M</t>
  </si>
  <si>
    <t>12.5</t>
  </si>
  <si>
    <t>12.6</t>
  </si>
  <si>
    <t xml:space="preserve"> 010218 </t>
  </si>
  <si>
    <t>Remoção de pintura a óleo ou esmalte sobre paredes, com aplicação de removedor</t>
  </si>
  <si>
    <t>12.7</t>
  </si>
  <si>
    <t xml:space="preserve"> 010240 </t>
  </si>
  <si>
    <t>Retirada manual de interruptores e tomadas, sem reaproveitamento</t>
  </si>
  <si>
    <t>12.8</t>
  </si>
  <si>
    <t xml:space="preserve"> 010329 </t>
  </si>
  <si>
    <t>Retirada manual de disjuntor monofásico, bifásico ou trifásico, sem reaproveitamento</t>
  </si>
  <si>
    <t>12.9</t>
  </si>
  <si>
    <t xml:space="preserve"> 040802 </t>
  </si>
  <si>
    <t>Escarificação manual de concreto, com profundidade máxima de 5cm, exclusive limpeza do concreto afetado por processo de hidrojateamento e tratamento de armaduras corroídas</t>
  </si>
  <si>
    <t>12.10</t>
  </si>
  <si>
    <t>010201</t>
  </si>
  <si>
    <t>Demolição manual de piso cimentado espessura de 1,5 cm, inclusive lastro de concreto espessura de 6,0 cm, sem reaproveitamento</t>
  </si>
  <si>
    <t>12.11</t>
  </si>
  <si>
    <t>12.12</t>
  </si>
  <si>
    <t>Abertura e fechamento de rasgos em alvenaria, para passagem de eletroduto diâm. 2 1/2" a 4"</t>
  </si>
  <si>
    <t>12.13</t>
  </si>
  <si>
    <t xml:space="preserve"> 040803 </t>
  </si>
  <si>
    <t>Preparação do substrato para reparo em estrutura de concreto por apicoamento manual da superfície</t>
  </si>
  <si>
    <t>12.14</t>
  </si>
  <si>
    <t xml:space="preserve"> 040806 </t>
  </si>
  <si>
    <t>Tratamento de armaduras corroídas com lixamento manual com escova de aço, até a completa remoção de partículas soltas, materiais indesejáveis e corrosão, exclusive aplicação de argamassa cimentícia, polimérica com inibidor de corrosão</t>
  </si>
  <si>
    <t>12.15</t>
  </si>
  <si>
    <t xml:space="preserve"> 040807 </t>
  </si>
  <si>
    <t>Tratamento de armadura com duas demãos (esp. 1mm) de Sika Top 108 ou equivalente, exclusive aplicação de graute cimentício</t>
  </si>
  <si>
    <t>12.16</t>
  </si>
  <si>
    <t xml:space="preserve"> 040808 </t>
  </si>
  <si>
    <t>Retirada (corte) de armadura deteriorada, superior a 20% do diâmetro original</t>
  </si>
  <si>
    <t>kg</t>
  </si>
  <si>
    <t>12.17</t>
  </si>
  <si>
    <t xml:space="preserve"> 040809 </t>
  </si>
  <si>
    <t>Recomposição de concreto estrutural, com utilização de argamassa de uso geral Graute cimentício, com profundidade máxima 5cm</t>
  </si>
  <si>
    <t>12.18</t>
  </si>
  <si>
    <t xml:space="preserve"> 040813 </t>
  </si>
  <si>
    <t>Impermeabilização de superfície com argamassa impemeabilizante, semiflexível bicomponente, 4 demãos , SIKA Top 107, VIAPLUS 1000 ou equivalente</t>
  </si>
  <si>
    <t>12.19</t>
  </si>
  <si>
    <t xml:space="preserve"> 040206 </t>
  </si>
  <si>
    <t>Fôrma de tábua de madeira de 2.5 x 30.0 cm para fundações, levando-se em conta a utilização 5 vezes (incluido o material, corte, montagem, escoramento e desforma)</t>
  </si>
  <si>
    <t>12.20</t>
  </si>
  <si>
    <t xml:space="preserve"> 040243 </t>
  </si>
  <si>
    <t>Fornecimento, dobragem e colocação em fôrma, de armadura CA-50 A média, diâmetro de 6.3 a 10.0 mm</t>
  </si>
  <si>
    <t>12.21</t>
  </si>
  <si>
    <t xml:space="preserve"> 040224 </t>
  </si>
  <si>
    <t>Fornecimento, preparo e aplicação de concreto Fck = 30 MPa (com brita 1 e 2) - (5% de perdas já incluído no custo)</t>
  </si>
  <si>
    <t>12.22</t>
  </si>
  <si>
    <t>TUBO DE PVC CORRUGADO DE DUPLA PAREDE PARA REDE COLETORA DE ESGOTO, DN 400 MM, JUNTA ELÁSTICA - FORNECIMENTO E ASSENTAMENTO. AF_01/2021</t>
  </si>
  <si>
    <t>12.23</t>
  </si>
  <si>
    <t>CAIXA COM GRELHA DUPLA RETANGULAR, EM CONCRETO PRÉ-MOLDADO, DIMENSÕES INTERNAS: 0,5X2,2X1,0 M. AF_12/2020</t>
  </si>
  <si>
    <t>12.24</t>
  </si>
  <si>
    <t>BASE PARA POÇO DE VISITA RETANGULAR PARA DRENAGEM, EM ALVENARIA COM BLOCOS DE CONCRETO, DIMENSÕES INTERNAS = 1,5X1,5 M, PROFUNDIDADE = 1,40 M, EXCLUINDO TAMPÃO. AF_12/2020</t>
  </si>
  <si>
    <t xml:space="preserve">un </t>
  </si>
  <si>
    <t>12.25</t>
  </si>
  <si>
    <t>PROPRIA</t>
  </si>
  <si>
    <t>Elemento escultórico em porticos metalicos de aço corten perfuradas – fornecimento e instalação</t>
  </si>
  <si>
    <t>13.1</t>
  </si>
  <si>
    <t>Próprio</t>
  </si>
  <si>
    <t xml:space="preserve"> 2CF3.000305-1 </t>
  </si>
  <si>
    <t>Perfil em alumínio esp. 2 mm para fixação de módulo solar fotovoltaico, inclusive fixação em telha.</t>
  </si>
  <si>
    <t>13.2</t>
  </si>
  <si>
    <t xml:space="preserve"> 2CF3.000306-1 </t>
  </si>
  <si>
    <t>Presilha em alumínio para fixação lateral 40mm do módulo solar (completo)</t>
  </si>
  <si>
    <t>13.3</t>
  </si>
  <si>
    <t xml:space="preserve"> 2CF3.000307-1 </t>
  </si>
  <si>
    <t>Junção para perfil em alumínio para painéis solares, inclusive parafusos sextavados M8, porcas sextavadas M8 e arruelas lisas e de pressão M8 em aço inox AISI 304</t>
  </si>
  <si>
    <t>13.4</t>
  </si>
  <si>
    <t xml:space="preserve"> 2CF3.000287-1 </t>
  </si>
  <si>
    <t>Poliuretano flexível bisnaga 360g TEL-5905, marca de referência Termotécnica ou equivalente</t>
  </si>
  <si>
    <t>13.5</t>
  </si>
  <si>
    <t xml:space="preserve"> 2CF3.000299-1 </t>
  </si>
  <si>
    <t>Chave seccionadora DC rotativa 20A, 4 polos, 1200VDC, para trilho DIN 35</t>
  </si>
  <si>
    <t>13.6</t>
  </si>
  <si>
    <t xml:space="preserve"> 2CF3.000300-1 </t>
  </si>
  <si>
    <t>Dispositivo de proteção contra surto (DPS) monopolar tipo II, tensão nominal 175VCA, corrente de surto máxima 20KA, marcas CLAMPER, SIEMENS, ELETROMAR</t>
  </si>
  <si>
    <t>13.7</t>
  </si>
  <si>
    <t xml:space="preserve"> 2CF3.000208-1 </t>
  </si>
  <si>
    <t>Disjuntor Compacto em caixa moldada tripolar 200 A - 25KA 220CA (NBR IEC 60947-2), Ref. Siemens, GE, Schneider ou equivalente</t>
  </si>
  <si>
    <t>13.8</t>
  </si>
  <si>
    <t xml:space="preserve"> 2CF3.000302-1 </t>
  </si>
  <si>
    <t>Fornecimento de fusível 20A gPV DC 1000VDC, 10kA, 10 x 38 mm</t>
  </si>
  <si>
    <t>13.9</t>
  </si>
  <si>
    <t xml:space="preserve"> 2CF3.000303-1 </t>
  </si>
  <si>
    <t>Porta Fusível fotovoltaico para trilho DIN 35, 32A, 1000VDC, cartucho 10 x 38 mm</t>
  </si>
  <si>
    <t>13.10</t>
  </si>
  <si>
    <t xml:space="preserve"> 2CF3.000304-1 </t>
  </si>
  <si>
    <t>Quadro elétrico modular para stringbox em Policarbonato, s/ barramento, 20 disjuntores DIN, sobrepor, IP 40, norma ABNT NBR IEC 60439, tampa transparente ou fumê, inclusive 2 prensas cabos 1”</t>
  </si>
  <si>
    <t>13.11</t>
  </si>
  <si>
    <t xml:space="preserve"> 2CF3.000497-1 </t>
  </si>
  <si>
    <t>Quadro de fabricação especial 80x60x25cm em chapa de aço de 1,5mm (16 MSG), IP-65, corrente máxima 275 A, capacidade p/ 34 dispositivos modulares padrão DIN, barram. trifásico, barras de N+T, com porta, placa de acrílico, e trinco</t>
  </si>
  <si>
    <t>14.1</t>
  </si>
  <si>
    <t xml:space="preserve"> CVL043 </t>
  </si>
  <si>
    <t>Sensor infravermelho (receptor + transmissor) ativo para uso externo, com proteção contra violação, alcance mínimo de 40 metros , montado em caixa de embutir na alvenaria 2"x4"</t>
  </si>
  <si>
    <t>14.2</t>
  </si>
  <si>
    <t xml:space="preserve"> 160676 </t>
  </si>
  <si>
    <t>Sirene eletrônica média tipo corneta em ABS, IP52 ? 12 e 24V ? Fornecimento e instalação</t>
  </si>
  <si>
    <t>14.3</t>
  </si>
  <si>
    <t xml:space="preserve"> CVL044 </t>
  </si>
  <si>
    <t>Central de alarme monitorada com 8 zonas, com placa de expansão + 8 zonas, teclado e fonte 220Vca / 12Vcc.</t>
  </si>
  <si>
    <t>14.4</t>
  </si>
  <si>
    <t xml:space="preserve"> CVL045 </t>
  </si>
  <si>
    <t>Cabo de energia , classe de tensão 0,6/1kV, temperatura máxima em serviço contínuo 90 graus Celsius, formado por condutor de fios de cobre nu, têmpera mole,encordoamento classe 5, isolação em HEPR,  conforme NBR 13248 , 1 x 2C#1,0  mm²-Ref.: PRYSMIAN ou equivalente - azul. Ref.: Prysmian ou Similar</t>
  </si>
  <si>
    <t>15.1</t>
  </si>
  <si>
    <t>TOMADA DE REDE RJ45 - FORNECIMENTO E INSTALAÇÃO. AF_08/2025</t>
  </si>
  <si>
    <t>15.2</t>
  </si>
  <si>
    <t xml:space="preserve"> 151133 </t>
  </si>
  <si>
    <t>15.3</t>
  </si>
  <si>
    <t xml:space="preserve"> 151137 </t>
  </si>
  <si>
    <t>Eletroduto PEAD parede simples, corrugado, cor preta, diâmetro 1.1/2", referencia Kanaflex, Plastibras ou equivalente</t>
  </si>
  <si>
    <t>15.4</t>
  </si>
  <si>
    <t>CABO ELETRÔNICO CATEGORIA 5E, INSTALADO EM EDIFICAÇÃO INSTITUCIONAL - FORNECIMENTO E INSTALAÇÃO. AF_08/2025</t>
  </si>
  <si>
    <t>15.5</t>
  </si>
  <si>
    <t xml:space="preserve"> 160812 </t>
  </si>
  <si>
    <t>Fornecimento e instalação de Mini Rack de Parede Padrão 19" - 16 U´s x 570mm</t>
  </si>
  <si>
    <t>15.6</t>
  </si>
  <si>
    <t xml:space="preserve"> CVL051 </t>
  </si>
  <si>
    <t>Tampa cega 1u para Rack 19"</t>
  </si>
  <si>
    <t>15.7</t>
  </si>
  <si>
    <t xml:space="preserve"> CVL052 </t>
  </si>
  <si>
    <t>Régua com 4 tomadas elétricas para montagem em Rack 19".</t>
  </si>
  <si>
    <t>15.8</t>
  </si>
  <si>
    <t xml:space="preserve"> CVL053 </t>
  </si>
  <si>
    <t>Guia frontal 1u para Patch Cord´s montagem em Rack 19"</t>
  </si>
  <si>
    <t>15.9</t>
  </si>
  <si>
    <t xml:space="preserve"> 160840 </t>
  </si>
  <si>
    <t>Patch Panel 24 Portas RJ45/IDC Cat.5e, inclusive fixação em Rack 19"</t>
  </si>
  <si>
    <t>15.10</t>
  </si>
  <si>
    <t xml:space="preserve"> 160845 </t>
  </si>
  <si>
    <t>Patch Cord Multilan Extra Flexível CAT 5e U/UTP RJ-45 - 1,50 m</t>
  </si>
  <si>
    <t>15.11</t>
  </si>
  <si>
    <t xml:space="preserve"> CVL055 </t>
  </si>
  <si>
    <t>Switch ethernet, gerenciável, instalação em rack 19",com 12 portas elétricas 100/1000mbps, POE</t>
  </si>
  <si>
    <t>15.12</t>
  </si>
  <si>
    <t xml:space="preserve"> CVL056 </t>
  </si>
  <si>
    <t>CAIXA DE PASSAGEM METALICA DE SOBREPOR COM TAMPA PARAFUSADA, DIMENSOES 40 X UN 40 X 15 CM</t>
  </si>
  <si>
    <t>15.13</t>
  </si>
  <si>
    <t xml:space="preserve"> CVL057 </t>
  </si>
  <si>
    <t>CAIXA DE PASSAGEM METALICA DE SOBREPOR COM TAMPA PARAFUSADA, DIMENSOES 20 X UN 20 X 10 CM</t>
  </si>
  <si>
    <t xml:space="preserve">  CIRCUITO FECHADO DE TV</t>
  </si>
  <si>
    <t>16.1</t>
  </si>
  <si>
    <t xml:space="preserve"> CVL058 </t>
  </si>
  <si>
    <t>Câmera fixa para uso externo, Dia/Noite, IP, tipo BOX, alimentação POE, CCD 1/3", rede 100 BASE-T, montada em caixa antivandalismo e acessórios de montagem. Ref.: Samsung SNB 2000 ou similar</t>
  </si>
  <si>
    <t>16.2</t>
  </si>
  <si>
    <t xml:space="preserve"> 151132 </t>
  </si>
  <si>
    <t>16.3</t>
  </si>
  <si>
    <t>16.4</t>
  </si>
  <si>
    <t>16.5</t>
  </si>
  <si>
    <t xml:space="preserve"> 96977 </t>
  </si>
  <si>
    <t>CORDOALHA DE COBRE NU 50 MM², ENTERRADA - FORNECIMENTO E INSTALAÇÃO. AF_08/2023</t>
  </si>
  <si>
    <t>16.6</t>
  </si>
  <si>
    <t xml:space="preserve"> 96973 </t>
  </si>
  <si>
    <t>CORDOALHA DE COBRE NU 35 MM², NÃO ENTERRADA, COM ISOLADOR - FORNECIMENTO E INSTALAÇÃO. AF_08/2023</t>
  </si>
  <si>
    <t>16.7</t>
  </si>
  <si>
    <t xml:space="preserve"> CVL060 </t>
  </si>
  <si>
    <t>Conector para fixação de cabos de aterramento, fabricado em liga de cobre de alta resistência mecânica, dotado de parafuso de fixação em bronze silicioso - DURIUM - (ASTMB99), com comprimento suficiente para chapa ou barramento de até 7mm de espessura. Fabricante: BURNDY ou equivalente</t>
  </si>
  <si>
    <t>16.8</t>
  </si>
  <si>
    <t xml:space="preserve"> CVL061 </t>
  </si>
  <si>
    <t>Caixa de medição em PVC 100x150x80mm</t>
  </si>
  <si>
    <t>16.9</t>
  </si>
  <si>
    <t xml:space="preserve"> 101549 </t>
  </si>
  <si>
    <t>GRAMPO PARALELO METÁLICO, PARA REDES AÉREAS DE DISTRIBUIÇÃO DE ENERGIA ELÉTRICA DE BAIXA TENSÃO - FORNECIMENTO E INSTALAÇÃO. AF_12/2025</t>
  </si>
  <si>
    <t>16.10</t>
  </si>
  <si>
    <t xml:space="preserve"> 96986 </t>
  </si>
  <si>
    <t>16.11</t>
  </si>
  <si>
    <t xml:space="preserve"> CVL063 </t>
  </si>
  <si>
    <t>Haste de aterramento tipo cantoneira zincada (aterramento), 25x5x240 cm.</t>
  </si>
  <si>
    <t>16.12</t>
  </si>
  <si>
    <t xml:space="preserve"> CVL064 </t>
  </si>
  <si>
    <t>Caixa tipo solo de POLIURETANO de diâmetro de 300mm com tampa de ferro fundido.  Ref.: TEL-505/TEL-506   Fabricante: TERMOTÉCNICA ou equivalente</t>
  </si>
  <si>
    <t>16.13</t>
  </si>
  <si>
    <t xml:space="preserve"> CVL065 </t>
  </si>
  <si>
    <t>Conector split bolt para cabo de 35.0 mm2</t>
  </si>
  <si>
    <t>16.14</t>
  </si>
  <si>
    <t xml:space="preserve"> CVL066 </t>
  </si>
  <si>
    <t>CONECTOR PARAFUSO FENDIDO SPLIT-BOLT - PARA CABO DE 35MM2 - FORNECIMENTO E INSTALACAO - REF. SINAPI 72272 - 07/2018)</t>
  </si>
  <si>
    <t>16.15</t>
  </si>
  <si>
    <t xml:space="preserve"> CVL067 </t>
  </si>
  <si>
    <t>Presilha para cabo captor 35mm2 - TEL-744 Fabricante: TERMOTÉCNICA ou equivalente</t>
  </si>
  <si>
    <t>17.1</t>
  </si>
  <si>
    <t xml:space="preserve"> 161001 </t>
  </si>
  <si>
    <t>Fornecimento de tubo de cobre flexível, diâmetro nominal 1/4" x 1/32? (0,79mm), destinado a instalações de sistemas de ar-condicionado e refrigeração, revestido com isolamento térmico elastômero de 9 mm de espessura, para uso em tubulações frigorígenas</t>
  </si>
  <si>
    <t>17.2</t>
  </si>
  <si>
    <t xml:space="preserve"> 161002 </t>
  </si>
  <si>
    <t>Fornecimento de tubo de cobre flexível, diâmetro nominal 3/8" x 1/32? (0,79mm), destinado a instalações de sistemas de ar-condicionado e refrigeração, revestido com isolamento térmico elastômero de 9 mm de espessura, para uso em tubulações frigorígenas</t>
  </si>
  <si>
    <t>17.3</t>
  </si>
  <si>
    <t xml:space="preserve"> 161003 </t>
  </si>
  <si>
    <t>Fornecimento de tubo de cobre flexível, diâmetro nominal 1/2" x 1/32? (0,79mm), destinado a instalações de sistemas de ar-condicionado e refrigeração, revestido com isolamento térmico elastômero de 9 mm de espessura, para uso em tubulações frigorígenas</t>
  </si>
  <si>
    <t>17.4</t>
  </si>
  <si>
    <t xml:space="preserve"> 161015 </t>
  </si>
  <si>
    <t>Fornecimento e carga de gás refrigerante R410A</t>
  </si>
  <si>
    <t>17.5</t>
  </si>
  <si>
    <t xml:space="preserve"> 2CF3.000317-1 </t>
  </si>
  <si>
    <t>Mão francesa em aço galvanizado 700 mm, fixação com chumbador 3/8" rosca interna com expansor, inclusive pintura esmalte sintético a duas demãos e fundo anticorrosivo a uma demão</t>
  </si>
  <si>
    <t>18.1</t>
  </si>
  <si>
    <t xml:space="preserve"> CVL035 </t>
  </si>
  <si>
    <t>CAIXA DE PROTECAO EXTERNA PARA MEDIDOR HOROSAZONAL, DE BAIXA TENSAO, COM MODULO, EM CHAPA DE ACO (PADRAO DA CONCESSIONARIA LOCAL)</t>
  </si>
  <si>
    <t>18.2</t>
  </si>
  <si>
    <t xml:space="preserve"> CVL036 </t>
  </si>
  <si>
    <t>CAIXA DE PROTECAO PARA TRANSFORMADOR CORRENTE, EM CHAPA DE ACO 18 USG (PADRAO DA CONCESSIONARIA LOCAL)</t>
  </si>
  <si>
    <t>18.3</t>
  </si>
  <si>
    <t xml:space="preserve"> 101897 </t>
  </si>
  <si>
    <t>DISJUNTOR TERMOMAGNÉTICO TRIPOLAR, CORRENTE NOMINAL DE 250A - FORNECIMENTO E INSTALAÇÃO. AF_07/2025</t>
  </si>
  <si>
    <t>18.4</t>
  </si>
  <si>
    <t xml:space="preserve"> 92990 </t>
  </si>
  <si>
    <t>CABO DE COBRE FLEXÍVEL ISOLADO, 70 MM², ANTI-CHAMA 0,6/1,0 KV, PARA REDE ENTERRADA DE DISTRIBUIÇÃO DE ENERGIA ELÉTRICA - FORNECIMENTO E INSTALAÇÃO. AF_12/2021</t>
  </si>
  <si>
    <t>18.5</t>
  </si>
  <si>
    <t xml:space="preserve"> CVL037 </t>
  </si>
  <si>
    <t>ELETRODUTO EM ACO GALVANIZADO ELETROLITICO, PESADO, DIAMETRO 4"</t>
  </si>
  <si>
    <t>18.6</t>
  </si>
  <si>
    <t>CABO DE COBRE FLEXÍVEL ISOLADO, 16 MM², ANTI-CHAMA 450/750 V, PARA DISTRIBUIÇÃO - FORNECIMENTO E INSTALAÇÃO. AF_10/2020</t>
  </si>
  <si>
    <t>18.7</t>
  </si>
  <si>
    <t xml:space="preserve"> CVL038 </t>
  </si>
  <si>
    <t>CAIXA INSPECAO EM CONCRETO PARA ATERRAMENTO E PARA RAIOS DIAMETRO = 300 MM</t>
  </si>
  <si>
    <t xml:space="preserve">  QUADRO DE DISTRIBUIÇÃO DIAGRAMA UNIFILAR QDC-01</t>
  </si>
  <si>
    <t>19.1</t>
  </si>
  <si>
    <t>19.2</t>
  </si>
  <si>
    <t xml:space="preserve"> 101892 </t>
  </si>
  <si>
    <t>DISJUNTOR BIPOLAR TIPO NEMA, CORRENTE NOMINAL DE 10 ATÉ 50A - FORNECIMENTO E INSTALAÇÃO. AF_07/2025</t>
  </si>
  <si>
    <t>19.3</t>
  </si>
  <si>
    <t xml:space="preserve"> 151357 </t>
  </si>
  <si>
    <t>Interruptor Diferencial Bipolar DR 40A, 30mA ? 6kA, referência Siemens, Schneider, WEG ou equivalente</t>
  </si>
  <si>
    <t>19.4</t>
  </si>
  <si>
    <t xml:space="preserve"> 151337 </t>
  </si>
  <si>
    <t>19.5</t>
  </si>
  <si>
    <t xml:space="preserve"> 2CF3.000232-1 </t>
  </si>
  <si>
    <t>Cabo flexível, com isol. de 1 KV e seção de 70,0 mm², com características de não propagação e auto extinção do fogo, com baixa emissão de fumaça e cobertura de composto não halogenado 90º C, ref.: Induscabos, Sil, Corfio ou equiv</t>
  </si>
  <si>
    <t>1. ​CANTEIRO DE OBRAS</t>
  </si>
  <si>
    <t>1.1. ​S020305​ Placa de obra nas dimensões de 2.0 x 4.0 m, padrão DER​ (m2)</t>
  </si>
  <si>
    <t>QTD</t>
  </si>
  <si>
    <t>PLACA - IDENTIFICAÇÃO DE OBRA</t>
  </si>
  <si>
    <t>1.2. ​S020702​ Barracão para almoxarifado área de 10.90m2, de chapa de compensado de 12mm e pontalete 8x8cm, piso cimentado e cobertura de telhas de fibrocimento de 6mm, incl. ponto de luz, conf. projeto (1 utilização)​ (m2)</t>
  </si>
  <si>
    <t>1 BARRACÃO</t>
  </si>
  <si>
    <t>10,90</t>
  </si>
  <si>
    <t>14,50</t>
  </si>
  <si>
    <t>12 MESES</t>
  </si>
  <si>
    <t>container sanitário</t>
  </si>
  <si>
    <t>PRAÇA 1</t>
  </si>
  <si>
    <t>PERÍMETRO</t>
  </si>
  <si>
    <t>201,53</t>
  </si>
  <si>
    <t>PRAÇA 2 E IGREJA MATRIZ</t>
  </si>
  <si>
    <t>255,53</t>
  </si>
  <si>
    <t>P</t>
  </si>
  <si>
    <t>MÊS</t>
  </si>
  <si>
    <t>PERÍMETRO IGREJA = 118,30M (TRABALHO POR 1/4)</t>
  </si>
  <si>
    <t>(P/4)*MÊS</t>
  </si>
  <si>
    <t>TRABALHO EM FACHADA FRONTAL = METRAGEM ESTIMADA</t>
  </si>
  <si>
    <t>2. ​SERVIÇOS PRELIMINARES</t>
  </si>
  <si>
    <t>2.1. ​DEMOLIÇÕES IGREJA</t>
  </si>
  <si>
    <t>2.1.1. ​97622​ DEMOLIÇÃO DE ALVENARIA DE BLOCO FURADO, DE FORMA MANUAL, SEM REAPROVEITAMENTO. AF_09/2023​ (M3)</t>
  </si>
  <si>
    <t>ÁREA EXTERNA - AOS FUNDOS DA IGREJA</t>
  </si>
  <si>
    <t>L</t>
  </si>
  <si>
    <t>A</t>
  </si>
  <si>
    <t>MURO EXTERNO</t>
  </si>
  <si>
    <t>A*L</t>
  </si>
  <si>
    <t>PAVIMENTO SUPERIOR</t>
  </si>
  <si>
    <t>PAREDE ENTRE COZINHA E CIRCULAÇÃO/WC</t>
  </si>
  <si>
    <t>PAREDE</t>
  </si>
  <si>
    <t>ÁREA EXTERNA ENTRE TORRE ESQUERDA E A. SERV.</t>
  </si>
  <si>
    <t>MURETA GRADIL</t>
  </si>
  <si>
    <t xml:space="preserve">L = LARGURA; A = AREA; </t>
  </si>
  <si>
    <t>2.1.2. ​S010344​ Demolição de lajes, em concreto armado, de forma mecanizada com martelete demolidor elétrico, sem reaproveitamento​ (m3)</t>
  </si>
  <si>
    <t>ÁREA EXTERNA -  AOS FUNDOS</t>
  </si>
  <si>
    <t>PISO (BASE)</t>
  </si>
  <si>
    <t>LAJE 12CM (COBERTURA) E PATAMAR ÁREA SERVIÇO SUPERIOR</t>
  </si>
  <si>
    <t>ESCADA CONCRETO (VOLUME)</t>
  </si>
  <si>
    <t>3,31</t>
  </si>
  <si>
    <t>2.1.3. ​97627​ DEMOLIÇÃO DE PILARES E VIGAS EM CONCRETO ARMADO, DE FORMA MECANIZADA COM MARTELETE, SEM REAPROVEITAMENTO. AF_09/2023​ (M3)</t>
  </si>
  <si>
    <t>ÁREA EXTERNA - AOS FUNDOS</t>
  </si>
  <si>
    <t>H</t>
  </si>
  <si>
    <t>E</t>
  </si>
  <si>
    <t>PILARES CONCRETO 15X30X215CM</t>
  </si>
  <si>
    <t>L*H*E*2</t>
  </si>
  <si>
    <t>2.1.4. ​S010325​ Demolição manual de estrutura de madeira para telhado, sem reaproveitamento​ (m2)</t>
  </si>
  <si>
    <t>COBERTURA ESCADA/ÁREA TANQUE</t>
  </si>
  <si>
    <t>COBERTURA TELHAS E TRAMA DE MADEIRA</t>
  </si>
  <si>
    <t>2.1.5. ​S010255​ Remoção manual de telhas cerâmicas, tipo colonial, inclusive cumeeira, sem reaproveitamento​ (m2)</t>
  </si>
  <si>
    <t>COBERTURA ÁREA DE SERVIÇO/ESCADA</t>
  </si>
  <si>
    <t>PORTÃO</t>
  </si>
  <si>
    <t>L*H</t>
  </si>
  <si>
    <t>ÁREA EXTERNA - CENTRO DA FACHADA SUL (BECO DE GRADIL)</t>
  </si>
  <si>
    <t>GRADIL</t>
  </si>
  <si>
    <t>PORTA 60</t>
  </si>
  <si>
    <t>H*L</t>
  </si>
  <si>
    <t>PORTA 80</t>
  </si>
  <si>
    <t>TANQUES</t>
  </si>
  <si>
    <t>VASOS DE VÁLVULA DE DESCARGA</t>
  </si>
  <si>
    <t>VASOS CAIXA ACOPLADA</t>
  </si>
  <si>
    <t>PIA</t>
  </si>
  <si>
    <t>CX - RESERVATÓRIO 500L</t>
  </si>
  <si>
    <t>ÁREA EXTERNA</t>
  </si>
  <si>
    <t>A*H</t>
  </si>
  <si>
    <t>H*L*0,05</t>
  </si>
  <si>
    <t>A*E</t>
  </si>
  <si>
    <t>PISO A DEMOLIR</t>
  </si>
  <si>
    <t>2.2. ​DEMOLIÇÕES PRAÇAS</t>
  </si>
  <si>
    <t>2.2.1. ​DEM-003​ DEMOLIÇÃO DE CALÇADA PORTUGUESA.​ (M2)</t>
  </si>
  <si>
    <t>PRAÇA 01</t>
  </si>
  <si>
    <t>PISO PEDRA PORTUGUESA</t>
  </si>
  <si>
    <t>869,67</t>
  </si>
  <si>
    <t>2.2.2. ​DEM-004​ DEMOLICÃO MANUAL DE PISO INTERTRAVADO COM EMPILHAMENTO​ (m2)</t>
  </si>
  <si>
    <t>PISO</t>
  </si>
  <si>
    <t>1181,50</t>
  </si>
  <si>
    <t>2.2.3. ​97625​ DEMOLIÇÃO DE ALVENARIA PARA QUALQUER TIPO DE BLOCO, DE FORMA MECANIZADA, SEM REAPROVEITAMENTO. AF_09/2023​ (M3)</t>
  </si>
  <si>
    <t>C</t>
  </si>
  <si>
    <t>MURETAS CANTEIROS H=20CM - 1</t>
  </si>
  <si>
    <t>C*L*H</t>
  </si>
  <si>
    <t>MURETAS CANTEIROS H=20CM - 2</t>
  </si>
  <si>
    <t>MURETAS CANTEIROS H=20CM - 3</t>
  </si>
  <si>
    <t>MURETAS CANTEIROS H=20CM - 4</t>
  </si>
  <si>
    <t>MURETAS CANTEIROS H=20CM - 5</t>
  </si>
  <si>
    <t>MURETAS CANTEIROS H=20CM - 6</t>
  </si>
  <si>
    <t xml:space="preserve">C = COMP.; L = LARGURA; H = ALTURA; </t>
  </si>
  <si>
    <t>2.2.4. ​S010216​ Retirada manual de meio-fio de concreto, sem reaproveitamento​ (m)</t>
  </si>
  <si>
    <t>MEIO-FIO</t>
  </si>
  <si>
    <t>136,73</t>
  </si>
  <si>
    <t>PRAÇA 02</t>
  </si>
  <si>
    <t>177,52</t>
  </si>
  <si>
    <t>2.2.5. ​S010403​ Corte e destocamento manual de árvores com diâmetro de até 15 cm​ (und)</t>
  </si>
  <si>
    <t>ÁRVORES</t>
  </si>
  <si>
    <t>2.2.6. ​S010210​ Demolição manual de concreto simples, sem reaproveitamento​ (m3)</t>
  </si>
  <si>
    <t>RAMPAS DE ACESSO</t>
  </si>
  <si>
    <t>2.2.7. ​S010219​ Demolição manual de concreto armado, sem reaproveitamento​ (m3)</t>
  </si>
  <si>
    <t>QNT</t>
  </si>
  <si>
    <t>BANCOS DE CONCRETO A DEMOLIR</t>
  </si>
  <si>
    <t>QNT*C*L*H</t>
  </si>
  <si>
    <t>2.3. ​MOVIMENTAÇÕES DE TERRA</t>
  </si>
  <si>
    <t>2.3.1. ​S030103​ Escavação mecânica em material de 1a. categoria​ (m3)</t>
  </si>
  <si>
    <t>ÁREA EXTERNA IGREJA</t>
  </si>
  <si>
    <t>ESCAVAÇÃO PARA ASSENTAMENTO PAVI-S</t>
  </si>
  <si>
    <t>2.3.2. ​100994​ CARGA, MANOBRA E DESCARGA DE SOLOS E MATERIAIS GRANULARES EM CAMINHÃO BASCULANTE 10 M³ - CARGA COM ESCAVADEIRA HIDRÁULICA (CAÇAMBA DE 1,20 M³ / 155 HP) E DESCARGA LIVRE (UNIDADE: T). AF_02/2026​ (T)</t>
  </si>
  <si>
    <t>OBRA &gt; BOTA FORA</t>
  </si>
  <si>
    <t>V</t>
  </si>
  <si>
    <t>D</t>
  </si>
  <si>
    <t>ESCAVAÇÃO</t>
  </si>
  <si>
    <t>V*E*D</t>
  </si>
  <si>
    <t>2.3.3. ​95878​ TRANSPORTE COM CAMINHÃO BASCULANTE DE 10 M³, EM VIA URBANA PAVIMENTADA, DMT ATÉ 30 KM (UNIDADE: TXKM). AF_02/2026​ (TXKM)</t>
  </si>
  <si>
    <t>KM</t>
  </si>
  <si>
    <t>V*E*D*KM</t>
  </si>
  <si>
    <t>3. ​ARQUITETURA/RESTAURO IGREJA</t>
  </si>
  <si>
    <t>3.1. ​PAREDES</t>
  </si>
  <si>
    <t>3.1.1. ​REV-002​ 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 (M2)</t>
  </si>
  <si>
    <t>SANITÁRIOS</t>
  </si>
  <si>
    <t>sanitário PCD</t>
  </si>
  <si>
    <t>C*L</t>
  </si>
  <si>
    <t>WC</t>
  </si>
  <si>
    <t>3.1.2. ​S120303​ Reboco tipo paulista de argamassa de cimento, cal hidratada CH1 e areia média ou grossa lavada no traço 1:0.5:6, espessura 25 mm​ (m2)</t>
  </si>
  <si>
    <t>MURETA DO GRADIL - PAREDE DUPLA</t>
  </si>
  <si>
    <t>C*2*H</t>
  </si>
  <si>
    <t>JARDINEIRAS - PAREDE DUPLA</t>
  </si>
  <si>
    <t>C*H*2</t>
  </si>
  <si>
    <t>3.1.3. ​S050605​ Alvenaria de vedação com blocos cerâmicos furados 9x19x19cm, assentados c/ argamassa de cimento, cal hidratada CH1 e areia no traço 1:0,5:8, preparo com betoneira, juntas 10mm e esp. das paredes s/revestimento, 9cm (bloco comprado na praça de Vitória, posto obra)​ (m2)</t>
  </si>
  <si>
    <t>C*H</t>
  </si>
  <si>
    <t>3.2. ​REVESTIMENTOS DE PAREDE</t>
  </si>
  <si>
    <t>3.2.1. ​S160707​ Pintura com tinta látex PVA Suvinil, Coral ou Metalatex, inclusive selador em paredes internas e forros a três demãos​ (m2)</t>
  </si>
  <si>
    <t>SALA</t>
  </si>
  <si>
    <t>DESCONTO PORTA</t>
  </si>
  <si>
    <t>-C*H</t>
  </si>
  <si>
    <t>DESCONTO JANELA</t>
  </si>
  <si>
    <t>SALA REUNIÕES</t>
  </si>
  <si>
    <t>CIRCULAÇÃO</t>
  </si>
  <si>
    <t>RECEPÇÃO</t>
  </si>
  <si>
    <t>DESCONTO ESQUADRIA SANITÁRIO</t>
  </si>
  <si>
    <t>3.2.2. ​S120241​ Cerâmica retificada, acabamento brilhante, dim. 32x60cm, ref. TRADIZIONALLE BIANCO Biancogres/equiv. assentado com argamassa de cimento colante, inclusive rejuntamento com argamassapre-fabricada para rejunte​ (m2)</t>
  </si>
  <si>
    <t>SANITÁRIO PCD</t>
  </si>
  <si>
    <t>SANITÁRIO - PAREDE</t>
  </si>
  <si>
    <t>BANHEIRO</t>
  </si>
  <si>
    <t>BANHEIRO - PAREDE</t>
  </si>
  <si>
    <t>3.2.3. ​S160707​ Pintura com tinta látex PVA Suvinil, Coral ou Metalatex, inclusive selador em paredes internas e forros a três demãos​ (m2)</t>
  </si>
  <si>
    <t>parede sanitário</t>
  </si>
  <si>
    <t>parede BANHEIRO</t>
  </si>
  <si>
    <t>3.2.4. ​S100202​ Impermeabilização com argamassa de igol 2 - marca de referência Sika​ (m2)</t>
  </si>
  <si>
    <t>3.2.5. ​S160708​ Pintura com tinta acrílica Suvinil, Coral ou Metalatex, inclusive selador acrílico, em paredes externas a três demãos​ (m2)</t>
  </si>
  <si>
    <t>3.3. ​PISOS</t>
  </si>
  <si>
    <t>3.3.1. ​S130103​ Regularização de base para revestimento cerâmico, com argamassa de cimento e areia no traço 1:5, espessura: 3 cm​ (m2)</t>
  </si>
  <si>
    <t>CONTRAPISO</t>
  </si>
  <si>
    <t>186,68</t>
  </si>
  <si>
    <t>3.3.2. ​REV-003​ Porcelanato esmaltado, acabamento acetinado, dim. 90x90cm MARCA DE REF.: BIANCOGRÊS OU EQUIVALENTE, REJUNTE ACRÍLICO, NA COR CINZA PLATINA ESP. 1,5mm, ref. de cor CIMENTO CINZA BOLD Portobello/equiv, colagem de argamassa colante para porcelanato tipo ACIII.​ (m2)</t>
  </si>
  <si>
    <t>AREA</t>
  </si>
  <si>
    <t>3,56</t>
  </si>
  <si>
    <t>2,7</t>
  </si>
  <si>
    <t>CIRCULAÇÕES</t>
  </si>
  <si>
    <t>CIRCULAÇÃO 1</t>
  </si>
  <si>
    <t>2,27</t>
  </si>
  <si>
    <t>CIRCULAÇÃO 2</t>
  </si>
  <si>
    <t>7,86</t>
  </si>
  <si>
    <t>9,47</t>
  </si>
  <si>
    <t>SALA DE REUNIÕES</t>
  </si>
  <si>
    <t>11,64</t>
  </si>
  <si>
    <t>23,32</t>
  </si>
  <si>
    <t>3.3.3. ​98685​ RODAPÉ EM GRANITO, ALTURA 10 CM. AF_02/2026​ (M)</t>
  </si>
  <si>
    <t>COMPRIMENTO</t>
  </si>
  <si>
    <t>11,79</t>
  </si>
  <si>
    <t>13,48</t>
  </si>
  <si>
    <t>14,26</t>
  </si>
  <si>
    <t>14,40</t>
  </si>
  <si>
    <t>3.3.4. ​S130308​ Soleira de granito esp. 2 cm e largura de 15 cm​ (m)</t>
  </si>
  <si>
    <t>PORTA 80CM</t>
  </si>
  <si>
    <t>QNT*C</t>
  </si>
  <si>
    <t>PORTA 70CM</t>
  </si>
  <si>
    <t>PORTA 60CM</t>
  </si>
  <si>
    <t>PORTA 100CM</t>
  </si>
  <si>
    <t>VÃO 160CM</t>
  </si>
  <si>
    <t>3.3.5. ​S100202​ Impermeabilização com argamassa de igol 2 - marca de referência Sika​ (m2)</t>
  </si>
  <si>
    <t>Pisos + revestimento até 40cm - Banheiros</t>
  </si>
  <si>
    <t>14,43</t>
  </si>
  <si>
    <t>3.3.6. ​4011209​ Regularização do subleito - 100% Proctor intermediário​ (m²)</t>
  </si>
  <si>
    <t>115,92</t>
  </si>
  <si>
    <t>3.3.7. ​S200206​ Execução de pavimentação com blocos intertravados de concreto tipo 'pavi-s', espessura de 8 cm e resistência mínima de 35 MPa, assentados sobre colchão de pó de pedra de 10 cm, com rejuntamento em areia, compactação com placa vibratória e cortes com cortadora de piso​ (m2)</t>
  </si>
  <si>
    <t>3.3.8. ​PAV-005​ PISO DE BORRACHA 1X1M, ESPESSURA 15MM, ASSENTADO COM ARGAMASSA. COLORIDO.​ (M2)</t>
  </si>
  <si>
    <t>Conforme Planta Baixa - Pavimento Térreo Revestimentos</t>
  </si>
  <si>
    <t>113,92</t>
  </si>
  <si>
    <t>3.4. ​COBERTURA, TETOS E FORROS</t>
  </si>
  <si>
    <t>3.4.1. ​S110210​ Forro PVC branco L = 20 cm, frisado, estruturado por perfis de aço galvanizado e tirantes rígidos fabricado de acordo com a NBR-14285, colocado​ (m2)</t>
  </si>
  <si>
    <t>ÁREA</t>
  </si>
  <si>
    <t>ÁREA 1</t>
  </si>
  <si>
    <t>ÁREA 2</t>
  </si>
  <si>
    <t>3.4.2. ​S090302​ Rufo de chapa metálica nº 26 com largura de 30 cm​ (m)</t>
  </si>
  <si>
    <t>Cobertura</t>
  </si>
  <si>
    <t>27,50</t>
  </si>
  <si>
    <t>3.5. ​LOUÇAS, METAIS E ACESSÓRIOS</t>
  </si>
  <si>
    <t>3.5.1. ​S170608​ Bacia sifonada de louça branca sem abertura frontal p/ banheiro PNE, consumo 6 litros por fluxo, Vogue Plus Conforto - P.510.17, Ref. Deca ou equiv., incl. tubo de ligação inox c/ canopla, anel de vedação, paraf. e rejunte epoxi p/ vedação​ (und)</t>
  </si>
  <si>
    <t>UNIDADES</t>
  </si>
  <si>
    <t>3.5.2. ​S170304​ Torneira bica baixa de mesa para lavatório PressMatic Alfa - Docol, Decamatic Smart - Deca ou equivalente​ (und)</t>
  </si>
  <si>
    <t>3.5.3. ​S170128​ Lavatório de louça branca com coluna suspensa, Vogue Plus Confort - L51+CS1V para portadores de necessidades especiais - DECA, inclusive válvula de saída cromada 1?, sifão em metal cromado 1? x 1/2", engate flexível trançado inox 1/2? x 30cm e parafusos para fixação, exclusive torneira​ (und)</t>
  </si>
  <si>
    <t>3.5.4. ​106766​ DISPENSER DE PLÁSTICO PARA PAPEL HIGIÊNICO, INCLUSO FIXAÇÃO. AF_02/2026​ (UN)</t>
  </si>
  <si>
    <t>3.5.5. ​95547​ SABONETEIRA PLÁSTICA TIPO DISPENSER PARA SABONETE LÍQUIDO COM RESERVATÓRIO 800 A 1500 ML, INCLUSO FIXAÇÃO. AF_02/2026​ (UN)</t>
  </si>
  <si>
    <t>3.5.6. ​S170519​ Ducha manual Acqua jet , linha Aquarius, com registro ref.C 2195, marcas de referência Fabrimar, Deca ou Docol​ (und)</t>
  </si>
  <si>
    <t>3.5.7. ​S170601​ Barra de apoio reta, em aço inox polido AISI 304, comprimento 40 cm, conforme requisitos de acessibilidade da NBR 9050 - fornecimento e instalação​ (und)</t>
  </si>
  <si>
    <t>3.5.8. ​S170615​ Barra de apoio reta, em aço inox polido AISI 304, comprimento 70 cm, conforme requisitos de acessibilidade da NBR 9050 - fornecimento e instalação​ (und)</t>
  </si>
  <si>
    <t>3.5.9. ​S170603​ Barra de apoio reta, em aço inox polido AISI 304, comprimento 80 cm, conforme requisitos de acessibilidade da NBR 9050 - fornecimento e instalação​ (und)</t>
  </si>
  <si>
    <t>3.5.10. ​S170115​ Cuba de louça branca de embutir redonda, 36cm - L-41 ? Deca ou equivalente, inclusive válvula de saída cromada 1?, sifão em metálico tipo copo cromado 1? x 1/2" e engate flexível trançado inox 1/2? x 30cm, exclusive torneira​ (und)</t>
  </si>
  <si>
    <t>3.5.11. ​ACE-001​ Espelho de cristal prata, instalado.​ (m2)</t>
  </si>
  <si>
    <t>ESPELHO 1</t>
  </si>
  <si>
    <t>ESPELHO 2</t>
  </si>
  <si>
    <t>3.5.12. ​URB-020​ BANCO DE MADEIRA DE MACARANDUBA EM RIPAS DE (1,5X4)CM, FIXADAS EM ESTRUTURA DE (7, 50X3, 75)CM, COM VERNIZ. TUDO INCLUÍDO.​ (UND)</t>
  </si>
  <si>
    <t>3.6. ​ESQUADRIAS</t>
  </si>
  <si>
    <t>3.6.1. ​PORTAS</t>
  </si>
  <si>
    <t>3.6.1.1. ​S071704​ Porta de abrir tipo veneziana em alumínio anodizado, linha 25, completa, incl. puxador com tranca, caixilho, alizar e contramarco​ (m2)</t>
  </si>
  <si>
    <t>Conforme Quadro de Esquadrias - P22 (90x210cm)</t>
  </si>
  <si>
    <t>QNT*H*L</t>
  </si>
  <si>
    <t>3.6.1.2. ​ESQ-003​ PORTA DE CORRER DE ALUMÍNIO ANODIZADO (VENEZIANA) C/ GUARNIÇÃO. TUDO INCLUÍDO.​ (M2)</t>
  </si>
  <si>
    <t>Conforme Quadro de Esquadrias - P28 (80x210cm)</t>
  </si>
  <si>
    <t>3.6.1.3. ​RES-007​ Restauro - Desmontagem/retirada de esquadria/estrutura de madeira​ (m2)</t>
  </si>
  <si>
    <t>P7</t>
  </si>
  <si>
    <t>H*C</t>
  </si>
  <si>
    <t>TORRES</t>
  </si>
  <si>
    <t>P12 E P14</t>
  </si>
  <si>
    <t>H*C*2</t>
  </si>
  <si>
    <t>3.6.1.4. ​RES-021​ Restauro - Recuperação de esquadria de madeira de obras históricas c/ aproveitamento de 75%.​ (m2)</t>
  </si>
  <si>
    <t>P1</t>
  </si>
  <si>
    <t>P2</t>
  </si>
  <si>
    <t>P3</t>
  </si>
  <si>
    <t>P4</t>
  </si>
  <si>
    <t>P5</t>
  </si>
  <si>
    <t>P6, P7</t>
  </si>
  <si>
    <t>P8</t>
  </si>
  <si>
    <t>P9</t>
  </si>
  <si>
    <t>P10</t>
  </si>
  <si>
    <t>P11</t>
  </si>
  <si>
    <t>P13</t>
  </si>
  <si>
    <t>P15</t>
  </si>
  <si>
    <t>P16</t>
  </si>
  <si>
    <t>3.6.1.5. ​ESQ-004​ PORTA DE ABRIR COM MOLA HIDRÁULICA, EM VIDRO TEMPERADO, 2 FOLHAS DE 75X205.5CM, ESPESSURA DE 8 MM, INCLUSIVE ACESSÓRIOS.​ (UN)</t>
  </si>
  <si>
    <t>P12</t>
  </si>
  <si>
    <t>3.6.1.6. ​ESQ-005​ PORTA DE ABRIR COM MOLA HIDRÁULICA, EM VIDRO TEMPERADO, 2 FOLHAS DE 60X210CM, ESPESSURA DE 8 MM, INCLUSIVE ACESSÓRIOS.​ (UN)</t>
  </si>
  <si>
    <t>P18</t>
  </si>
  <si>
    <t>3.6.1.7. ​SER-002​ Aplicação de neutralizador de ferrugem, com duas demãos, e Remoção de ferrugem em esquadrias ou estruturas metálicas com escova de aço.​ (m2)</t>
  </si>
  <si>
    <t>DOBRADIÇAS P4</t>
  </si>
  <si>
    <t>0,007*6</t>
  </si>
  <si>
    <t>3.6.1.8. ​SER-003​ Remoção de pintura com removedor de tinta tipo striptizi ou similar, emassamento de esquarias de madeira, em uma demão de massa à base de óleo e pintura com tinta esmalte sintético Suvinil - marca de referência, inclusive fundo branco nivelador, em esquadrias de madeira, a duas demãos. Tudo incluído.​ (M2)</t>
  </si>
  <si>
    <t>50% da área de esquadria referente à madeira</t>
  </si>
  <si>
    <t>51,32*0,5</t>
  </si>
  <si>
    <t>3.6.1.9. ​RES-022​ Retirada e reinstalação de vidro em esquadria de madeira, fixado com silicone acetico. (com aproveitamento de vidro existente). Tudo incluído.​ (M2)</t>
  </si>
  <si>
    <t>CONTABILIZANDO 5% DAS ESQUADRIAS DE MADEIRA</t>
  </si>
  <si>
    <t>51,32*0,05</t>
  </si>
  <si>
    <t>3.6.1.10. ​RES-022​ Retirada e instalação de novo vidro em esquadria de madeira, fixado com silicone acetico. (sem aproveitamento de vidro existente). Tudo incluído.​ (M2)</t>
  </si>
  <si>
    <t>3.6.2. ​JANELAS</t>
  </si>
  <si>
    <t>3.6.2.1. ​ESQ-007​ JANELA DE MADEIRA PARA VIDRO, INCLUSO VIDRO TEMPERADO 6MM E PINTURA.​ (M2)</t>
  </si>
  <si>
    <t>J9</t>
  </si>
  <si>
    <t>J10</t>
  </si>
  <si>
    <t>3.6.2.2. ​RES-021​ Restauro - Recuperação de esquadria de madeira de obras históricas c/ aproveitamento de 75%.​ (m2)</t>
  </si>
  <si>
    <t>J1</t>
  </si>
  <si>
    <t>J2</t>
  </si>
  <si>
    <t>J4 A J8</t>
  </si>
  <si>
    <t>H*C*5</t>
  </si>
  <si>
    <t>J11; J13 A J17</t>
  </si>
  <si>
    <t>H*C*6</t>
  </si>
  <si>
    <t>J12</t>
  </si>
  <si>
    <t>J18 A J23 - REDONDAS</t>
  </si>
  <si>
    <t>(π*(C/2)^2)*6</t>
  </si>
  <si>
    <t>J32 A J39 - REDONDAS</t>
  </si>
  <si>
    <t>(π*((C/2)^2))*8</t>
  </si>
  <si>
    <t>J24 A J31</t>
  </si>
  <si>
    <t>H*C*8</t>
  </si>
  <si>
    <t>3.6.2.3. ​SER-003​ Remoção de pintura com removedor de tinta tipo striptizi ou similar, emassamento de esquarias de madeira, em uma demão de massa à base de óleo e pintura com tinta esmalte sintético Suvinil - marca de referência, inclusive fundo branco nivelador, em esquadrias de madeira, a duas demãos. Tudo incluído.​ (M2)</t>
  </si>
  <si>
    <t>38,18*0,5</t>
  </si>
  <si>
    <t>3.6.2.4. ​RES-022​ Retirada e reinstalação de vidro em esquadria de madeira, fixado com silicone acetico. (com aproveitamento de vidro existente). Tudo incluído.​ (M2)</t>
  </si>
  <si>
    <t xml:space="preserve">CONSIDERANDO 10% DAS JANELAS </t>
  </si>
  <si>
    <t>38,18*0,10</t>
  </si>
  <si>
    <t>3.6.2.5. ​RES-022​ Retirada e instalação de novo vidro em esquadria de madeira, fixado com silicone acetico. (sem aproveitamento de vidro existente). Tudo incluído.​ (M2)</t>
  </si>
  <si>
    <t xml:space="preserve">CONSIDERANDO 15% DAS JANELAS </t>
  </si>
  <si>
    <t>38,18*0,15</t>
  </si>
  <si>
    <t>3.7. ​PEDRAS/GRANITOS/MÁRMORES</t>
  </si>
  <si>
    <t>3.7.1. ​ACE-002​ Bancada de granito tipo Branco Siena, com espessura de 2 cm, com acabamento polido, inclusive chumbamento na alvenaria, exclusive cantoneira de apoio. Saia h=10cm e rodabanca h=10cm. Tudo incluído.​ (m2)</t>
  </si>
  <si>
    <t>BANCADA</t>
  </si>
  <si>
    <t>ALTAR</t>
  </si>
  <si>
    <t>TAMPO</t>
  </si>
  <si>
    <t>PÚLPITO</t>
  </si>
  <si>
    <t>BANCADA SUPORTE</t>
  </si>
  <si>
    <t>3.7.2. ​ACE-003​ RODABANCA/SAIA EM GRANITO BRANCO SIENA, E= 2CM, H= 10CM​ (M)</t>
  </si>
  <si>
    <t>RODABANCA</t>
  </si>
  <si>
    <t>SAIA</t>
  </si>
  <si>
    <t>0,5*C</t>
  </si>
  <si>
    <t>3.7.3. ​ACE-004​ GRANITO BRANCO SIENA, ESP = 3CM, ASSENTADO COM ARGAMASSA COLANTE AC III-E.​ (M2)</t>
  </si>
  <si>
    <t>LATERAIS</t>
  </si>
  <si>
    <t>(H*L*2)+(C*H)+(0,2*C)+(0,2*L)</t>
  </si>
  <si>
    <t>H*L*4</t>
  </si>
  <si>
    <t>3.8. ​GRADIS</t>
  </si>
  <si>
    <t>3.8.1. ​S071106​ Portão de ferro de correr em barra chata, inclusive chumbamento​ (m2)</t>
  </si>
  <si>
    <t>3.8.2. ​S071105​ Grade de ferro em barra chata, inclusive chumbamento​ (m2)</t>
  </si>
  <si>
    <t>3.8.3. ​S190417​ Pintura sobre metal, aplicação manual, com duas demãos de tinta esmalte sintético, referência Suvinil, Coral ou Metalatex, inclusive uma demão de fundo anticorrosivo​ (m2)</t>
  </si>
  <si>
    <t>3.8.4. ​S010224​ Retirada manual de grades, gradis, alambrados, cercas e portões metálicos, inclusive remoção de argamassa de chumbamento, acessórios de fixação e corte de soldas​ (m2)</t>
  </si>
  <si>
    <t>3.9. ​RESTAUROS</t>
  </si>
  <si>
    <t>3.9.1. ​NAVE CENTRAL</t>
  </si>
  <si>
    <t>3.9.1.1. ​S010230​ Retirada de pintura à base de PVA, utilizando a raspagem manual​ (m2)</t>
  </si>
  <si>
    <t>96,02</t>
  </si>
  <si>
    <t>3.9.1.2. ​S010208​ Retirada manual de revestimento em argamassa cimento e areia (emboço e reboco), sem reaproveitamento​ (m2)</t>
  </si>
  <si>
    <t>224,05</t>
  </si>
  <si>
    <t>320,07</t>
  </si>
  <si>
    <t>111,02</t>
  </si>
  <si>
    <t>NAVE CENRTAL - RECOMPOSIÇÃO</t>
  </si>
  <si>
    <t>12,8</t>
  </si>
  <si>
    <t>123,82</t>
  </si>
  <si>
    <t>27,18</t>
  </si>
  <si>
    <t>ARCO CRUZEIRO - TRINCAS</t>
  </si>
  <si>
    <t>ARCO CRUZEIRO</t>
  </si>
  <si>
    <t>3.9.2. ​PRESBITÉRIO</t>
  </si>
  <si>
    <t>3.9.2.1. ​S010331​ Demolição manual de piso, soleira, peitoris e escadas em mármore ou granito, exclusive regularização, sem reaproveitamento​ (m2)</t>
  </si>
  <si>
    <t>Demolição do piso em mármore bege</t>
  </si>
  <si>
    <t>13,09</t>
  </si>
  <si>
    <t>3.9.2.2. ​RES-009​ Restauro - Restauração de forro ou piso em assoalho de madeira compreendendo substituição de peças de apoio até 20%, raspagem, calafetagem, enceramento e parquetagem​ (m2)</t>
  </si>
  <si>
    <t>PISO EM TÁBUAS- SUBST MARMORE DEMOLIDO</t>
  </si>
  <si>
    <t>3.9.2.3. ​S030304​ Índice de preço para remoção de entulho decorrente da execução de obras (Classe A CONAMA - NBR 10.004 - Classe II-B), incluindo aluguel da caçamba, carga, transporte e descarga em área licenciada​ (m3)</t>
  </si>
  <si>
    <t>Demolição do piso em mármore bege e=2cm</t>
  </si>
  <si>
    <t>13,09*0,02</t>
  </si>
  <si>
    <t>3.9.3. ​ALTAR-MOR</t>
  </si>
  <si>
    <t>3.9.3.1. ​RES-009​ Restauro - Restauração de forro ou piso em assoalho de madeira compreendendo substituição de peças de apoio até 20%, raspagem, calafetagem, enceramento e parquetagem​ (m2)</t>
  </si>
  <si>
    <t>ALTAR MOR</t>
  </si>
  <si>
    <t>18,00</t>
  </si>
  <si>
    <t>ESPELHOS E DA ESCADINHA</t>
  </si>
  <si>
    <t>(1,41*2)*(0,20)</t>
  </si>
  <si>
    <t>FORRO</t>
  </si>
  <si>
    <t>31,28</t>
  </si>
  <si>
    <t>3.9.3.2. ​S03912​ Restauro - Restauração de cimalhas em forro artístico de madeira​ (m)</t>
  </si>
  <si>
    <t>RECUPERAÇÃO CIMALHA - LATERAIS ALTAR</t>
  </si>
  <si>
    <t>13,24</t>
  </si>
  <si>
    <t>3.9.4. ​RETRO-ALTAR</t>
  </si>
  <si>
    <t>3.9.4.1. ​PIS-003​ PISO/REVESTIMENTO EM MADEIRA MADEIRA DE LEI, LARGURA DE 10CM, INCLUSIVE ASSENTAMENTO COM COLA, INCLUSIVE PINTURA A BASE DE ESMALTE SINTÉTICO FOSCO.​ (m2)</t>
  </si>
  <si>
    <t>ESCADA - PISO RETRO ALTAR</t>
  </si>
  <si>
    <t>2,06</t>
  </si>
  <si>
    <t>ESCADA - ESPELHOS RETRO ALTAR</t>
  </si>
  <si>
    <t>2,16</t>
  </si>
  <si>
    <t>PISO - RETRO ALTAR</t>
  </si>
  <si>
    <t>2,29</t>
  </si>
  <si>
    <t>PAREDE RETRO ALTAR</t>
  </si>
  <si>
    <t>6,60</t>
  </si>
  <si>
    <t>3.9.4.2. ​S010230​ Retirada de pintura à base de PVA, utilizando a raspagem manual​ (m2)</t>
  </si>
  <si>
    <t>Retirada de pintura antiga - PAREDES E TETO(  ÁREA)</t>
  </si>
  <si>
    <t>9,70</t>
  </si>
  <si>
    <t>3.9.4.3. ​S160707​ Pintura com tinta látex PVA Suvinil, Coral ou Metalatex, inclusive selador em paredes internas e forros a três demãos​ (m2)</t>
  </si>
  <si>
    <t>3.9.4.4. ​S010220​ Demolição manual de piso cimentado espessura de 1,5 cm, exclusive lastro de concreto, sem reaproveitamento​ (m2)</t>
  </si>
  <si>
    <t>RETRO ALTAR</t>
  </si>
  <si>
    <t>ACABAMENTO PISO RETRO ALTAR</t>
  </si>
  <si>
    <t>4,30</t>
  </si>
  <si>
    <t>3.9.4.5. ​102073​ ESCADA EM CONCRETO ARMADO MOLDADO IN LOCO, FCK 25 MPA, COM 1 LANCE E LAJE PLANA, FÔRMA EM CHAPA DE MADEIRA COMPENSADA RESINADA. AF_11/2020​ (M3)</t>
  </si>
  <si>
    <t>H*A</t>
  </si>
  <si>
    <t>3.9.4.6. ​S030304​ Índice de preço para remoção de entulho decorrente da execução de obras (Classe A CONAMA - NBR 10.004 - Classe II-B), incluindo aluguel da caçamba, carga, transporte e descarga em área licenciada​ (m3)</t>
  </si>
  <si>
    <t>4,30*0,015</t>
  </si>
  <si>
    <t>3.9.5. ​TORRE ESQUERDA</t>
  </si>
  <si>
    <t>3.9.5.1. ​S010230​ Retirada de pintura à base de PVA, utilizando a raspagem manual​ (m2)</t>
  </si>
  <si>
    <t>FACE PAREDES INTERNO ESCADA</t>
  </si>
  <si>
    <t>DESCONTO P2</t>
  </si>
  <si>
    <t>-QNT*H*C</t>
  </si>
  <si>
    <t xml:space="preserve"> DESCONTO J1</t>
  </si>
  <si>
    <t>DESCONTO J6</t>
  </si>
  <si>
    <t>DESCONTO P14</t>
  </si>
  <si>
    <t>3.9.5.2. ​S010208​ Retirada manual de revestimento em argamassa cimento e areia (emboço e reboco), sem reaproveitamento​ (m2)</t>
  </si>
  <si>
    <t>3.9.5.3. ​S200704​ Pintura com tinta à base de resinas acrílicas, marcas de referencia Suvinil, Coral ou Novacor, sobre piso de concreto a duas demãos​ (m2)</t>
  </si>
  <si>
    <t>ÁREA PROJEÇÃO DE PISO INF E SUP</t>
  </si>
  <si>
    <t>A*QNT</t>
  </si>
  <si>
    <t>ESPELHOS DA ESCADA</t>
  </si>
  <si>
    <t>H*C*QNT</t>
  </si>
  <si>
    <t>3.9.5.4. ​S120303​ Reboco tipo paulista de argamassa de cimento, cal hidratada CH1 e areia média ou grossa lavada no traço 1:0.5:6, espessura 25 mm​ (m2)</t>
  </si>
  <si>
    <t>3.9.5.5. ​S160707​ Pintura com tinta látex PVA Suvinil, Coral ou Metalatex, inclusive selador em paredes internas e forros a três demãos​ (m2)</t>
  </si>
  <si>
    <t>J6</t>
  </si>
  <si>
    <t>P14</t>
  </si>
  <si>
    <t>3.9.5.6. ​S190117​ Pintura sobre paredes e forros, aplicação manual, com duas demãos de tinta látex acrílico premium, acabamento fosco, referência Suvinil, Coral e Metalatex, inclusive uma demão de liquido selador acrílico, referência Suvinil, Coral ou Metalatex​ (m2)</t>
  </si>
  <si>
    <t>ÁREA TETO</t>
  </si>
  <si>
    <t>SOB ESCADA</t>
  </si>
  <si>
    <t>DESCONTO ABERTURA ESCADA</t>
  </si>
  <si>
    <t>-A*QNT</t>
  </si>
  <si>
    <t>3.9.5.7. ​S030304​ Índice de preço para remoção de entulho decorrente da execução de obras (Classe A CONAMA - NBR 10.004 - Classe II-B), incluindo aluguel da caçamba, carga, transporte e descarga em área licenciada​ (m3)</t>
  </si>
  <si>
    <t>ESP</t>
  </si>
  <si>
    <t>REBOCO</t>
  </si>
  <si>
    <t>A*ESP</t>
  </si>
  <si>
    <t>3.9.6. ​TORRE DIREITA</t>
  </si>
  <si>
    <t>3.9.6.1. ​S010230​ Retirada de pintura à base de PVA, utilizando a raspagem manual​ (m2)</t>
  </si>
  <si>
    <t>3.9.6.2. ​S010208​ Retirada manual de revestimento em argamassa cimento e areia (emboço e reboco), sem reaproveitamento​ (m2)</t>
  </si>
  <si>
    <t>3.9.6.3. ​S200704​ Pintura com tinta à base de resinas acrílicas, marcas de referencia Suvinil, Coral ou Novacor, sobre piso de concreto a duas demãos​ (m2)</t>
  </si>
  <si>
    <t xml:space="preserve">ÁREA PISO </t>
  </si>
  <si>
    <t>3.9.6.4. ​S120303​ Reboco tipo paulista de argamassa de cimento, cal hidratada CH1 e areia média ou grossa lavada no traço 1:0.5:6, espessura 25 mm​ (m2)</t>
  </si>
  <si>
    <t>3.9.6.5. ​S160707​ Pintura com tinta látex PVA Suvinil, Coral ou Metalatex, inclusive selador em paredes internas e forros a três demãos​ (m2)</t>
  </si>
  <si>
    <t>3.9.6.6. ​S190117​ Pintura sobre paredes e forros, aplicação manual, com duas demãos de tinta látex acrílico premium, acabamento fosco, referência Suvinil, Coral e Metalatex, inclusive uma demão de liquido selador acrílico, referência Suvinil, Coral ou Metalatex​ (m2)</t>
  </si>
  <si>
    <t>3.9.6.7. ​S030304​ Índice de preço para remoção de entulho decorrente da execução de obras (Classe A CONAMA - NBR 10.004 - Classe II-B), incluindo aluguel da caçamba, carga, transporte e descarga em área licenciada​ (m3)</t>
  </si>
  <si>
    <t>3.9.6.8. ​S12393​ Restauro - Emassamento e nivelamento de camada pictórica em paredes com pintura parietal​ (m2)</t>
  </si>
  <si>
    <t>AFRESCO A RECUPERAR - 2º NÍVEL DA TORRE</t>
  </si>
  <si>
    <t>DESCONTO ESQUADRIAS 3XJ6</t>
  </si>
  <si>
    <t>-C*H*3</t>
  </si>
  <si>
    <t>3.9.6.9. ​S12391​ Restauro - Refixação de policromia em paredes com pintura parietal​ (m2)</t>
  </si>
  <si>
    <t>3.9.7. ​CAPELA DO SANTÍSSIMO</t>
  </si>
  <si>
    <t>3.9.7.1. ​S010230​ Retirada de pintura à base de PVA, utilizando a raspagem manual​ (m2)</t>
  </si>
  <si>
    <t>CA</t>
  </si>
  <si>
    <t>VA</t>
  </si>
  <si>
    <t>TETO EM ARCO</t>
  </si>
  <si>
    <t>CA*VA</t>
  </si>
  <si>
    <t>DESCONTO P5</t>
  </si>
  <si>
    <t>-H*C</t>
  </si>
  <si>
    <t>DESCONTO P6*2</t>
  </si>
  <si>
    <t>-H*C*2</t>
  </si>
  <si>
    <t>3.9.7.2. ​S010208​ Retirada manual de revestimento em argamassa cimento e areia (emboço e reboco), sem reaproveitamento​ (m2)</t>
  </si>
  <si>
    <t>3.9.7.3. ​S120303​ Reboco tipo paulista de argamassa de cimento, cal hidratada CH1 e areia média ou grossa lavada no traço 1:0.5:6, espessura 25 mm​ (m2)</t>
  </si>
  <si>
    <t>3.9.7.4. ​S160707​ Pintura com tinta látex PVA Suvinil, Coral ou Metalatex, inclusive selador em paredes internas e forros a três demãos​ (m2)</t>
  </si>
  <si>
    <t>3.9.7.5. ​S03912​ Restauro - Restauração de cimalhas em forro artístico de madeira​ (m)</t>
  </si>
  <si>
    <t>RECUPERAÇÃO CIMALHA - LATERAIS</t>
  </si>
  <si>
    <t>4,89*2</t>
  </si>
  <si>
    <t>3.9.7.6. ​S190116​ Pintura, sobre paredes e forros, aplicação manual, com duas demãos de tinta esmalte sintético, referência Suvinil, Coral e Metalatex, inclusive uma demão de liquido selador PVA, referência Suvinil, Coral ou Metalatex ou equivalente​ (m2)</t>
  </si>
  <si>
    <t>3.9.7.7. ​RES-015​ Piso em ladrilho hidráulico colorido/Mosaico colorido, 20 x 20 cm,aplicado com argamassa industrializada ac-i, rejuntado, exclusive regularização de base ou emboço​ (m2)</t>
  </si>
  <si>
    <t>TX</t>
  </si>
  <si>
    <t>COEFICIENTE PARA EVENTUL REPARO DE PISO NECESSÁRIO</t>
  </si>
  <si>
    <t>A*TX/100</t>
  </si>
  <si>
    <t>3.9.8. ​SERVIÇO</t>
  </si>
  <si>
    <t>3.9.8.1. ​S010230​ Retirada de pintura à base de PVA, utilizando a raspagem manual​ (m2)</t>
  </si>
  <si>
    <t>MEIA PAREDE</t>
  </si>
  <si>
    <t>H*C/2</t>
  </si>
  <si>
    <t>DESCONTO P6 - MEIO</t>
  </si>
  <si>
    <t>-C*H/2</t>
  </si>
  <si>
    <t>DESCONTO P7 - MEIO</t>
  </si>
  <si>
    <t>DESCONTO J2 - MEIO</t>
  </si>
  <si>
    <t>3.9.8.2. ​97633​ DEMOLIÇÃO DE REVESTIMENTO CERÂMICO, DE FORMA MANUAL, SEM REAPROVEITAMENTO. AF_09/2023​ (M2)</t>
  </si>
  <si>
    <t>3.9.8.3. ​S010208​ Retirada manual de revestimento em argamassa cimento e areia (emboço e reboco), sem reaproveitamento​ (m2)</t>
  </si>
  <si>
    <t>3.9.8.4. ​S010202​ Demolição manual de revestimento cerâmico/porcelanato (pisos), exclusive lastro, sem reaproveitamento​ (m2)</t>
  </si>
  <si>
    <t>21,43</t>
  </si>
  <si>
    <t>3.9.8.5. ​97640​ REMOÇÃO DE FORROS DE DRYWALL, PVC E FIBROMINERAL, DE FORMA MANUAL, SEM REAPROVEITAMENTO. AF_09/2023​ (M2)</t>
  </si>
  <si>
    <t>21,42</t>
  </si>
  <si>
    <t>3.9.8.6. ​S120303​ Reboco tipo paulista de argamassa de cimento, cal hidratada CH1 e areia média ou grossa lavada no traço 1:0.5:6, espessura 25 mm​ (m2)</t>
  </si>
  <si>
    <t>AREA PAREDES SEM ESQUADRIAS</t>
  </si>
  <si>
    <t>55,43</t>
  </si>
  <si>
    <t>3.9.8.7. ​S160707​ Pintura com tinta látex PVA Suvinil, Coral ou Metalatex, inclusive selador em paredes internas e forros a três demãos​ (m2)</t>
  </si>
  <si>
    <t>3.9.8.8. ​RES-014​ Piso em ladrilho hidráulico liso, uma cor, 20 x 20 cm,aplicado com argamassa industrializada ac-i, rejuntado, exclusive regularização de base ou emboço​ (m2)</t>
  </si>
  <si>
    <t>3.9.8.9. ​FOR-001​ FORRO DE MADEIRA EM ANGELIM OU MADEIRA EQUIVALENTE, INCLUSIVE ESTRUTURA DE FIXAÇÃO, EXCLUSIVE CIMALHA DE ACABAMENTO.​ (m2)</t>
  </si>
  <si>
    <t>3.9.8.10. ​S190116​ Pintura, sobre paredes e forros, aplicação manual, com duas demãos de tinta esmalte sintético, referência Suvinil, Coral e Metalatex, inclusive uma demão de liquido selador PVA, referência Suvinil, Coral ou Metalatex ou equivalente​ (m2)</t>
  </si>
  <si>
    <t>3.9.8.11. ​RES-010​ Restauro - Execução e colocação de cimalha em madeira​ (m)</t>
  </si>
  <si>
    <t>COMPRIMENTO SERVIÇO</t>
  </si>
  <si>
    <t>21,25</t>
  </si>
  <si>
    <t>3.9.8.12. ​S030304​ Índice de preço para remoção de entulho decorrente da execução de obras (Classe A CONAMA - NBR 10.004 - Classe II-B), incluindo aluguel da caçamba, carga, transporte e descarga em área licenciada​ (m3)</t>
  </si>
  <si>
    <t>CERÂMICA PAREDE</t>
  </si>
  <si>
    <t>3.9.9. ​CIRCULAÇÃO LATERAL</t>
  </si>
  <si>
    <t>3.9.9.1. ​S200704​ Pintura com tinta à base de resinas acrílicas, marcas de referencia Suvinil, Coral ou Novacor, sobre piso de concreto a duas demãos​ (m2)</t>
  </si>
  <si>
    <t>ÁREA PISO</t>
  </si>
  <si>
    <t>12,15</t>
  </si>
  <si>
    <t>3.9.9.2. ​S160707​ Pintura com tinta látex PVA Suvinil, Coral ou Metalatex, inclusive selador em paredes internas e forros a três demãos​ (m2)</t>
  </si>
  <si>
    <t>PAREDES BRANCAS</t>
  </si>
  <si>
    <t>DESCONTO ARMÁRIO</t>
  </si>
  <si>
    <t>DESCONTO P8</t>
  </si>
  <si>
    <t>3.9.10. ​SACRISTIA</t>
  </si>
  <si>
    <t>3.9.10.1. ​S010230​ Retirada de pintura à base de PVA, utilizando a raspagem manual​ (m2)</t>
  </si>
  <si>
    <t>DESCONTO J11</t>
  </si>
  <si>
    <t>DESCONTO P9</t>
  </si>
  <si>
    <t>3.9.10.2. ​S010208​ Retirada manual de revestimento em argamassa cimento e areia (emboço e reboco), sem reaproveitamento​ (m2)</t>
  </si>
  <si>
    <t>3.9.10.3. ​S010202​ Demolição manual de revestimento cerâmico/porcelanato (pisos), exclusive lastro, sem reaproveitamento​ (m2)</t>
  </si>
  <si>
    <t>15,36</t>
  </si>
  <si>
    <t>3.9.10.4. ​97633​ DEMOLIÇÃO DE REVESTIMENTO CERÂMICO, DE FORMA MANUAL, SEM REAPROVEITAMENTO. AF_09/2023​ (M2)</t>
  </si>
  <si>
    <t>PIAS</t>
  </si>
  <si>
    <t>H*C*3</t>
  </si>
  <si>
    <t>3.9.10.5. ​97640​ REMOÇÃO DE FORROS DE DRYWALL, PVC E FIBROMINERAL, DE FORMA MANUAL, SEM REAPROVEITAMENTO. AF_09/2023​ (M2)</t>
  </si>
  <si>
    <t>3.9.10.6. ​RES-014​ Piso em ladrilho hidráulico liso, uma cor, 20 x 20 cm,aplicado com argamassa industrializada ac-i, rejuntado, exclusive regularização de base ou emboço​ (m2)</t>
  </si>
  <si>
    <t>3.9.10.7. ​S120303​ Reboco tipo paulista de argamassa de cimento, cal hidratada CH1 e areia média ou grossa lavada no traço 1:0.5:6, espessura 25 mm​ (m2)</t>
  </si>
  <si>
    <t>3.9.10.8. ​87267​ REVESTIMENTO CERÂMICO PARA PAREDES INTERNAS COM PLACAS TIPO ESMALTADA DE DIMENSÕES 20X20 CM APLICADAS A MEIA ALTURA DAS PAREDES. AF_02/2023_PE​ (M2)</t>
  </si>
  <si>
    <t>3.9.10.9. ​S160707​ Pintura com tinta látex PVA Suvinil, Coral ou Metalatex, inclusive selador em paredes internas e forros a três demãos​ (m2)</t>
  </si>
  <si>
    <t>3.9.10.10. ​FOR-001​ FORRO DE MADEIRA EM ANGELIM OU MADEIRA EQUIVALENTE, INCLUSIVE ESTRUTURA DE FIXAÇÃO, EXCLUSIVE CIMALHA DE ACABAMENTO.​ (m2)</t>
  </si>
  <si>
    <t>3.9.10.11. ​S190116​ Pintura, sobre paredes e forros, aplicação manual, com duas demãos de tinta esmalte sintético, referência Suvinil, Coral e Metalatex, inclusive uma demão de liquido selador PVA, referência Suvinil, Coral ou Metalatex ou equivalente​ (m2)</t>
  </si>
  <si>
    <t>3.9.10.12. ​S030304​ Índice de preço para remoção de entulho decorrente da execução de obras (Classe A CONAMA - NBR 10.004 - Classe II-B), incluindo aluguel da caçamba, carga, transporte e descarga em área licenciada​ (m3)</t>
  </si>
  <si>
    <t>CERAMICA</t>
  </si>
  <si>
    <t>3.9.11. ​ESCADA</t>
  </si>
  <si>
    <t>3.9.11.1. ​S200704​ Pintura com tinta à base de resinas acrílicas, marcas de referencia Suvinil, Coral ou Novacor, sobre piso de concreto a duas demãos​ (m2)</t>
  </si>
  <si>
    <t>PROJEÇÃO AREA DO PISO</t>
  </si>
  <si>
    <t>115,83</t>
  </si>
  <si>
    <t>ESPELHOS ESCADA</t>
  </si>
  <si>
    <t>18*0,20*1,35</t>
  </si>
  <si>
    <t>3.9.11.2. ​S010230​ Retirada de pintura à base de PVA, utilizando a raspagem manual​ (m2)</t>
  </si>
  <si>
    <t>PAREDES ESCADA</t>
  </si>
  <si>
    <t>DESCONTO ESQUADRIAS P11</t>
  </si>
  <si>
    <t>DESCONTO ESQUADRIAS P10</t>
  </si>
  <si>
    <t>DESCONTO ESQUADRIAS 2*J9</t>
  </si>
  <si>
    <t>DESCONTO ESQUADRIAS P15</t>
  </si>
  <si>
    <t>3.9.11.3. ​S010208​ Retirada manual de revestimento em argamassa cimento e areia (emboço e reboco), sem reaproveitamento​ (m2)</t>
  </si>
  <si>
    <t>3.9.11.4. ​S120303​ Reboco tipo paulista de argamassa de cimento, cal hidratada CH1 e areia média ou grossa lavada no traço 1:0.5:6, espessura 25 mm​ (m2)</t>
  </si>
  <si>
    <t>3.9.11.5. ​S160707​ Pintura com tinta látex PVA Suvinil, Coral ou Metalatex, inclusive selador em paredes internas e forros a três demãos​ (m2)</t>
  </si>
  <si>
    <t>3.9.11.6. ​S030304​ Índice de preço para remoção de entulho decorrente da execução de obras (Classe A CONAMA - NBR 10.004 - Classe II-B), incluindo aluguel da caçamba, carga, transporte e descarga em área licenciada​ (m3)</t>
  </si>
  <si>
    <t>36,72*0,025</t>
  </si>
  <si>
    <t>3.9.12. ​CORO</t>
  </si>
  <si>
    <t>3.9.12.1. ​S010230​ Retirada de pintura à base de PVA, utilizando a raspagem manual​ (m2)</t>
  </si>
  <si>
    <t>DESCONTO 3*J5</t>
  </si>
  <si>
    <t>-H*C*3</t>
  </si>
  <si>
    <t>DESCONTO P12</t>
  </si>
  <si>
    <t>3.9.12.2. ​S010208​ Retirada manual de revestimento em argamassa cimento e areia (emboço e reboco), sem reaproveitamento​ (m2)</t>
  </si>
  <si>
    <t>PAREDE FUNDO</t>
  </si>
  <si>
    <t>3.9.12.3. ​S160707​ Pintura com tinta látex PVA Suvinil, Coral ou Metalatex, inclusive selador em paredes internas e forros a três demãos​ (m2)</t>
  </si>
  <si>
    <t>3.9.12.4. ​S200704​ Pintura com tinta à base de resinas acrílicas, marcas de referencia Suvinil, Coral ou Novacor, sobre piso de concreto a duas demãos​ (m2)</t>
  </si>
  <si>
    <t>26,56</t>
  </si>
  <si>
    <t>3.9.12.5. ​S030304​ Índice de preço para remoção de entulho decorrente da execução de obras (Classe A CONAMA - NBR 10.004 - Classe II-B), incluindo aluguel da caçamba, carga, transporte e descarga em área licenciada​ (m3)</t>
  </si>
  <si>
    <t>25,19*0,025</t>
  </si>
  <si>
    <t>3.9.13. ​FACHADAS</t>
  </si>
  <si>
    <t>3.9.13.1. ​S010230​ Retirada de pintura à base de PVA, utilizando a raspagem manual​ (m2)</t>
  </si>
  <si>
    <t>3.9.13.2. ​S010208​ Retirada manual de revestimento em argamassa cimento e areia (emboço e reboco), sem reaproveitamento​ (m2)</t>
  </si>
  <si>
    <t>BARRA INFERIOR FACHADA - h140cm</t>
  </si>
  <si>
    <t>FAIXA INFERIOR FACHADAS</t>
  </si>
  <si>
    <t>DESCONTO VÃOS</t>
  </si>
  <si>
    <t>FACHADA</t>
  </si>
  <si>
    <t>PONTOS A RECUPERAR</t>
  </si>
  <si>
    <t>50</t>
  </si>
  <si>
    <t>3.9.13.3. ​S120302​ Reboco de argamassa de cimento, cal hidratada CH1 e areia média ou grossa lavada no traço 1:0.5:6, espessura 5mm​ (m2)</t>
  </si>
  <si>
    <t>3.9.13.4. ​S190117​ Pintura sobre paredes e forros, aplicação manual, com duas demãos de tinta látex acrílico premium, acabamento fosco, referência Suvinil, Coral e Metalatex, inclusive uma demão de liquido selador acrílico, referência Suvinil, Coral ou Metalatex​ (m2)</t>
  </si>
  <si>
    <t>FACHADAS PRINCIPAIS</t>
  </si>
  <si>
    <t>FACHADA LESTE</t>
  </si>
  <si>
    <t>105,60</t>
  </si>
  <si>
    <t>FACHADA OESTE</t>
  </si>
  <si>
    <t>98,15</t>
  </si>
  <si>
    <t>FACHADA NORTE</t>
  </si>
  <si>
    <t>159,6</t>
  </si>
  <si>
    <t>FACHADA SUL</t>
  </si>
  <si>
    <t>198,8</t>
  </si>
  <si>
    <t>TORRES - FACES</t>
  </si>
  <si>
    <t>TORRES LESTE</t>
  </si>
  <si>
    <t>35*2</t>
  </si>
  <si>
    <t>TORRES OESTE</t>
  </si>
  <si>
    <t>TORRES NORTE</t>
  </si>
  <si>
    <t>TORRES SUL</t>
  </si>
  <si>
    <t>ADORNOS</t>
  </si>
  <si>
    <t>29,50*4</t>
  </si>
  <si>
    <t>FRONTÃO</t>
  </si>
  <si>
    <t>(20,90*2)+(3,30*2)</t>
  </si>
  <si>
    <t>3.9.13.5. ​ESQ-002​ TELA TIPO MOSQUITEIRO, COM MOLDURA EM PERFIL DE ALUMINIO ANODIZADO, PINTURA NA COR BRANCA.FORNECIMENTO E COLOCACAO​ (M2)</t>
  </si>
  <si>
    <t>ÁREA TELA DAS TORRES SUPERIOR</t>
  </si>
  <si>
    <t>2,35*8</t>
  </si>
  <si>
    <t>ÁREA TELA DAS TORRES INFERIOR</t>
  </si>
  <si>
    <t>1,0*16</t>
  </si>
  <si>
    <t>3.9.13.6. ​RES-019​ Restauro - Erradicação de liquens e fungos em paredes e ornatos.​ (m2)</t>
  </si>
  <si>
    <t>ESTIMATIVA 15% DA FACHADA A SER PINTADA</t>
  </si>
  <si>
    <t>1008,55*0,15</t>
  </si>
  <si>
    <t>3.9.13.7. ​REV-004​ Pintura com tinta mineral ecossílica Kroten ou similar, em paredes externas a 2 demãos.​ (m2)</t>
  </si>
  <si>
    <t>3.9.14. ​ELEMENTOS DECORATIVOS</t>
  </si>
  <si>
    <t>3.9.14.1. ​RES-007​ Restauro - Desmontagem/retirada de esquadria/estrutura de madeira​ (m2)</t>
  </si>
  <si>
    <t>ESTIMATIVA - 20 UND COM 1M2</t>
  </si>
  <si>
    <t>20*1</t>
  </si>
  <si>
    <t>3.9.14.2. ​RES-006​ Restauro - Execução de ornato com confecção de molde e fôrma - 04 usos​ (m2)</t>
  </si>
  <si>
    <t>ESTIMATIVA DE 40 FRISOS DE ADORNOS A SEREM RESTAURADOS</t>
  </si>
  <si>
    <t>40*0,7</t>
  </si>
  <si>
    <t>3.9.14.3. ​S11763​ Restauro - Recuperação de ornatos e cercaduras. Rev 01_10/2025​ (m2)</t>
  </si>
  <si>
    <t>3.9.14.4. ​RES-005​ Restauro - Fixação e tratamento de elementos decorativos​ (m2)</t>
  </si>
  <si>
    <t>ESTIMATIVA DE 40 ORNATOS</t>
  </si>
  <si>
    <t>40*0,1</t>
  </si>
  <si>
    <t>3.9.14.5. ​RES-016​ Restauro - Enxerto em esquadrias/balaustres de madeira com aplicação de pasta de pó de serra e cola, e pintura.​ (m2)</t>
  </si>
  <si>
    <t>BALAUSTRES FACHADA</t>
  </si>
  <si>
    <t>3*1,08</t>
  </si>
  <si>
    <t>BALAUSTRES CORO</t>
  </si>
  <si>
    <t>7,55*1</t>
  </si>
  <si>
    <t>3.9.14.6. ​RES-017​ Restauro - Enrijecimento de suporte - Argamassa, gesso em ornatos e escuturas​ (m3)</t>
  </si>
  <si>
    <t>BEIRA - PERÍMETRO DE TODA A IGREJA EXCETO FACHADA</t>
  </si>
  <si>
    <t>87,65</t>
  </si>
  <si>
    <t>3.9.14.7. ​RES-013​ Restauração de cimalha de massa​ (m2)</t>
  </si>
  <si>
    <t>EXTERNA</t>
  </si>
  <si>
    <t>FACHADA - CIMALHA</t>
  </si>
  <si>
    <t>CIMALHA</t>
  </si>
  <si>
    <t>3.9.14.8. ​S13371​ Restauração de pináculos de massa​ (m2)</t>
  </si>
  <si>
    <t>PINÁCULOS</t>
  </si>
  <si>
    <t>=4*QNT*A</t>
  </si>
  <si>
    <t>=QNT*A</t>
  </si>
  <si>
    <t>3.9.14.9. ​S100202​ Impermeabilização com argamassa de igol 2 - marca de referência Sika​ (m2)</t>
  </si>
  <si>
    <t>4. ​INSTALAÇÕES ELÉTRICAS</t>
  </si>
  <si>
    <t>4.1. ​IGREJA/INTERNO</t>
  </si>
  <si>
    <t>4.1.1. ​INSTALAÇÕES GERAIS</t>
  </si>
  <si>
    <t>4.1.1.1. ​S151401​ Cabo de cobre termoplástico (PVC) flexível isolado 450/750V, antichama BWF livre de chumbo, 70ºC - 1,5mm2​ (m)</t>
  </si>
  <si>
    <t>Circuitos iluminação (circ. 19, 20, 22)</t>
  </si>
  <si>
    <t>120</t>
  </si>
  <si>
    <t>4.1.1.2. ​S151403​ Cabo de cobre termoplástico (PVC) flexível isolado 450/750V, antichama BWF livre de chumbo, 70ºC ? 4,0mm2​ (m)</t>
  </si>
  <si>
    <t>Circuitos TUG 10, 11, 12 e TUE 26</t>
  </si>
  <si>
    <t>200</t>
  </si>
  <si>
    <t>4.1.1.3. ​S151402​ Cabo de cobre termoplástico (PVC) flexível isolado 450/750V, antichama BWF livre de chumbo, 70ºC - 2,5mm2​ (m)</t>
  </si>
  <si>
    <t>Circuitos TUG e iluminação geral</t>
  </si>
  <si>
    <t>900</t>
  </si>
  <si>
    <t>4.1.1.4. ​S151404​ Cabo de cobre termoplástico (PVC) flexível isolado 450/750V, antichama BWF livre de chumbo, 70ºC ? 6,0mm2​ (m)</t>
  </si>
  <si>
    <t>TUG 6, TUE 23, TUE 24</t>
  </si>
  <si>
    <t>4.1.1.5. ​S151420​ Cabo de cobre termoplástico (PVC) flexível isolado 0,60/1kV, antichama, HEPR 90ºC ? 10,0mm2​ (m)</t>
  </si>
  <si>
    <t>Sub-alimentador QD A.C1</t>
  </si>
  <si>
    <t>30</t>
  </si>
  <si>
    <t>4.1.1.6. ​S151425​ Cabo de cobre termoplástico (PVC) flexível isolado 0,60/1kV, antichama, HEPR 90ºC ? 50,0mm2​ (m)</t>
  </si>
  <si>
    <t>Alimentador QDGBT → QDG1</t>
  </si>
  <si>
    <t>4.1.1.7. ​S151422​ Cabo de cobre termoplástico (PVC) flexível isolado 0,60/1kV, antichama, HEPR 90ºC ? 25,0mm2​ (m)</t>
  </si>
  <si>
    <t>4.1.1.8. ​ELE-010​ Eletrocalha LISA OU PERFURADA, TIPO U, EM CHAPA DE ACO GALVANIZADO A FOGO, ESPESSURA # 22, DE 200 X 50 MM.​ (m)</t>
  </si>
  <si>
    <t>Distribuição principal horizontal</t>
  </si>
  <si>
    <t>40</t>
  </si>
  <si>
    <t>Embutido — circuitos tomadas/ilum. geral</t>
  </si>
  <si>
    <t>600</t>
  </si>
  <si>
    <t>Embutido — circuitos TUE e subquadros</t>
  </si>
  <si>
    <t>80</t>
  </si>
  <si>
    <t>Pontos de derivação</t>
  </si>
  <si>
    <t>60</t>
  </si>
  <si>
    <t>Pontos de iluminação</t>
  </si>
  <si>
    <t>135</t>
  </si>
  <si>
    <t>4.1.2. ​INSTALAÇÕES PARA CLIMATIZAÇÃO</t>
  </si>
  <si>
    <t>4.1.2.1. ​QUADROS</t>
  </si>
  <si>
    <t>4.1.2.1.1. ​101878​ QUADRO DE DISTRIBUIÇÃO DE ENERGIA EM CHAPA DE AÇO GALVANIZADO, DE SOBREPOR, COM BARRAMENTO TRIFÁSICO, PARA 18 DISJUNTORES DIN 100A - FORNECIMENTO E INSTALAÇÃO. AF_07/2025​ (UN)</t>
  </si>
  <si>
    <t>4.1.2.1.2. ​106020​ DISJUNTOR TRIPOLAR DIN 63A - FORNECIMENTO E INSTALAÇÃO. AF_07/2025​ (UN)</t>
  </si>
  <si>
    <t>4.1.2.1.3. ​93661​ DISJUNTOR BIPOLAR TIPO DIN, CORRENTE NOMINAL DE 16A - FORNECIMENTO E INSTALAÇÃO. AF_07/2025​ (UN)</t>
  </si>
  <si>
    <t>4.1.2.1.4. ​93663​ DISJUNTOR BIPOLAR TIPO DIN, CORRENTE NOMINAL DE 25A - FORNECIMENTO E INSTALAÇÃO. AF_07/2025​ (UN)</t>
  </si>
  <si>
    <t>TUE-UC 01 02 E 03</t>
  </si>
  <si>
    <t>4.1.2.1.5. ​106027​ DISPOSITIVO DPS 20KA-175V OU 275V - FORNECIMENTO E INSTALAÇÃO. AF_07/2025​ (UN)</t>
  </si>
  <si>
    <t>4.1.2.2. ​CABOS E ELETRODUTOS</t>
  </si>
  <si>
    <t>4.1.2.2.1. ​91935​ CABO DE COBRE FLEXÍVEL ISOLADO, 16 MM², ANTI-CHAMA 0,6/1,0 KV, PARA CIRCUITOS TERMINAIS - FORNECIMENTO E INSTALAÇÃO. AF_03/2023​ (M)</t>
  </si>
  <si>
    <t>28</t>
  </si>
  <si>
    <t>4.1.2.2.2. ​91929​ CABO DE COBRE FLEXÍVEL ISOLADO, 4 MM², ANTI-CHAMA 0,6/1,0 KV, PARA CIRCUITOS TERMINAIS - FORNECIMENTO E INSTALAÇÃO. AF_03/2023​ (M)</t>
  </si>
  <si>
    <t>TUE-UC-01 FASES R S E TERRA (11 CADA)</t>
  </si>
  <si>
    <t>33</t>
  </si>
  <si>
    <t>4.1.2.2.3. ​91931​ CABO DE COBRE FLEXÍVEL ISOLADO, 6 MM², ANTI-CHAMA 0,6/1,0 KV, PARA CIRCUITOS TERMINAIS - FORNECIMENTO E INSTALAÇÃO. AF_03/2023​ (M)</t>
  </si>
  <si>
    <t>TUE-UC-02 FASES S, T E TERRA (11 CADA)</t>
  </si>
  <si>
    <t>TUE-UC-03 FASES R, T E TERRA (10 CADA)</t>
  </si>
  <si>
    <t>TUE-UC-04 FASES R, S E TERRA (10 CADA)</t>
  </si>
  <si>
    <t>ATERRAMENTO</t>
  </si>
  <si>
    <t>4.1.2.2.4. ​ELE-018​ ELETRODUTO RÍGIDO SOLDÁVEL, PVC, DN 40 MM (1 1/2"), APARENTE - FORNECIMENTO E INSTALAÇÃO.​ (M)</t>
  </si>
  <si>
    <t>Tronco QDAC → CX1</t>
  </si>
  <si>
    <t>Ramais individuais CX1</t>
  </si>
  <si>
    <t>4.1.2.3. ​CAIXAS</t>
  </si>
  <si>
    <t>4.1.2.3.1. ​S150633​ Caixa de passagem 200x200x100mm, chapa 18, com tampa parafusada​ (und)</t>
  </si>
  <si>
    <t>Distribuição dos circuitos TUE-UC na saída do QDAC</t>
  </si>
  <si>
    <t>4.2. ​PRAÇAS</t>
  </si>
  <si>
    <t>4.2.1. ​LUMINÁRIAS</t>
  </si>
  <si>
    <t>4.2.1.1. ​100620​ POSTE DE AÇO CÔNICO CONTÍNUO CURVO SIMPLES, FLANGEADO, H=9M - FORNECIMENTO E INSTALAÇÃO. AF_04/2025​ (UN)</t>
  </si>
  <si>
    <t>VER PROJETO ELÉTRICO</t>
  </si>
  <si>
    <t>4.2.1.2. ​101659​ LUMINÁRIA DE LED PARA ILUMINAÇÃO PÚBLICA, DE 181 W ATÉ 239 W - FORNECIMENTO E INSTALAÇÃO. AF_02/2025_PS​ (UN)</t>
  </si>
  <si>
    <t>4.2.1.3. ​ELE-014​ Luminária tipo spot de embutir com lâmpada led 15w.​ (un)</t>
  </si>
  <si>
    <t>20</t>
  </si>
  <si>
    <t>4.2.2. ​ENTRADA DE ENERGIA E ATERRAMENTO</t>
  </si>
  <si>
    <t>4.2.2.1. ​101526​ ENTRADA DE ENERGIA ELÉTRICA, SUBTERRÂNEA, BIFÁSICA, COM CAIXA DE EMBUTIR, CABO DE 16 MM2 E DISJUNTOR DIN 50A (NÃO INCLUSA MURETA DE ALVENARIA). AF_12/2025​ (UN)</t>
  </si>
  <si>
    <t>4.2.2.2. ​96986​ HASTE DE ATERRAMENTO, DIÂMETRO 3/4", COM 3 METROS - FORNECIMENTO E INSTALAÇÃO. AF_08/2023​ (UN)</t>
  </si>
  <si>
    <t>Aterramento coberto, 3/4"</t>
  </si>
  <si>
    <t>4.2.3. ​QUADRO DE DISTRIBUIÇÃO DA PRAÇA</t>
  </si>
  <si>
    <t>4.2.3.1. ​101878​ QUADRO DE DISTRIBUIÇÃO DE ENERGIA EM CHAPA DE AÇO GALVANIZADO, DE SOBREPOR, COM BARRAMENTO TRIFÁSICO, PARA 18 DISJUNTORES DIN 100A - FORNECIMENTO E INSTALAÇÃO. AF_07/2025​ (UN)</t>
  </si>
  <si>
    <t>4.2.3.2. ​ELE-015​ DISJUNTOR BIPOLAR TIPO DIN, CORRENTE NOMINAL DE 63A - FORNECIMENTO E INSTALAÇÃO.​ (UN)</t>
  </si>
  <si>
    <t>4.2.3.3. ​S151337​ Dispositivo de proteção contra surto (DPS) bipolar, 40kA, 275Vca, referência Siemens, Steck, Clamper ou equivalente​ (und)</t>
  </si>
  <si>
    <t>4.2.3.4. ​93661​ DISJUNTOR BIPOLAR TIPO DIN, CORRENTE NOMINAL DE 16A - FORNECIMENTO E INSTALAÇÃO. AF_07/2025​ (UN)</t>
  </si>
  <si>
    <t>Disjuntor bipolar 2×16A – CKT-1 (Ilum. Praça – 01)</t>
  </si>
  <si>
    <t>Disjuntor bipolar 2×16A – CKT-2 (Ilum. Praça – 02)</t>
  </si>
  <si>
    <t>Disjuntor bipolar 2×16A – CKT-2 (Ilum. Praça – 03)</t>
  </si>
  <si>
    <t>Disjuntor bipolar 2×16A – CKT-2 (Ilum. Praça – 04)</t>
  </si>
  <si>
    <t>Disjuntor bipolar 2×16A – CKT-5 (Comando iluminação)</t>
  </si>
  <si>
    <t>Disjuntor bipolar 2×16A – CKT-6+ (2 reservas técnicas)</t>
  </si>
  <si>
    <t>4.2.3.5. ​101901​ CONTATOR TRIPOLAR I NOMINAL 12A - FORNECIMENTO E INSTALAÇÃO. AF_07/2025​ (UN)</t>
  </si>
  <si>
    <t>4.2.4. ​CONDUTORES ELÉTRICOS</t>
  </si>
  <si>
    <t>4.2.4.1. ​91935​ CABO DE COBRE FLEXÍVEL ISOLADO, 16 MM², ANTI-CHAMA 0,6/1,0 KV, PARA CIRCUITOS TERMINAIS - FORNECIMENTO E INSTALAÇÃO. AF_03/2023​ (M)</t>
  </si>
  <si>
    <t>FASE</t>
  </si>
  <si>
    <t>44</t>
  </si>
  <si>
    <t>NEUTRO</t>
  </si>
  <si>
    <t>TERRA</t>
  </si>
  <si>
    <t>4.2.4.2. ​91927​ CABO DE COBRE FLEXÍVEL ISOLADO, 2,5 MM², ANTI-CHAMA 0,6/1,0 KV, PARA CIRCUITOS TERMINAIS - FORNECIMENTO E INSTALAÇÃO. AF_03/2023​ (M)</t>
  </si>
  <si>
    <t>(Ilum. Praça–01) Eixo completo + ramais Jones/Spots/Jardim10</t>
  </si>
  <si>
    <t>1123</t>
  </si>
  <si>
    <t>CKT-2 (Ilum. Praça–02) Eixo QE → CX2</t>
  </si>
  <si>
    <t>314</t>
  </si>
  <si>
    <t>CKT-3 (Ilum. Praça–03) Eixo QE → CX3</t>
  </si>
  <si>
    <t>222</t>
  </si>
  <si>
    <t>CKT-4 (Ilum. Praça–04) Eixo QE + ramais Jardim10/Av.Militares</t>
  </si>
  <si>
    <t>521</t>
  </si>
  <si>
    <t>CKT-5 (Comando iluminação)</t>
  </si>
  <si>
    <t>198</t>
  </si>
  <si>
    <t>4.2.4.3. ​91929​ CABO DE COBRE FLEXÍVEL ISOLADO, 4 MM², ANTI-CHAMA 0,6/1,0 KV, PARA CIRCUITOS TERMINAIS - FORNECIMENTO E INSTALAÇÃO. AF_03/2023​ (M)</t>
  </si>
  <si>
    <t>aterramento geral / malha de terra</t>
  </si>
  <si>
    <t>110</t>
  </si>
  <si>
    <t>4.2.5. ​ELETRODUTOS</t>
  </si>
  <si>
    <t>4.2.5.1. ​S151127​ Eletroduto de PVC rígido roscável, diâmetro 1", inclusive conexões​ (m)</t>
  </si>
  <si>
    <t>Trecho QE</t>
  </si>
  <si>
    <t>66</t>
  </si>
  <si>
    <t>Trecho CX4</t>
  </si>
  <si>
    <t>175</t>
  </si>
  <si>
    <t>Trecho CX3</t>
  </si>
  <si>
    <t>62</t>
  </si>
  <si>
    <t>Trechos terminais: CX2→CX1</t>
  </si>
  <si>
    <t>344</t>
  </si>
  <si>
    <t>4.2.6. ​CAIXAS DE PASSAGEM</t>
  </si>
  <si>
    <t>4.2.6.1. ​ELE-012​ Caixa de passagem com tampão ferro fundido, 300×300×300mm​ (und)</t>
  </si>
  <si>
    <t xml:space="preserve">Eletrodo/aterramento PISO ou solo </t>
  </si>
  <si>
    <t>4.2.7. ​INFRAESTRUTURA CIVIL</t>
  </si>
  <si>
    <t>4.2.7.1. ​102279​ ESCAVAÇÃO MECANIZADA DE VALA COM PROF. ATÉ 1,5 M (MÉDIA MONTANTE E JUSANTE/UMA COMPOSIÇÃO POR TRECHO), ESCAVADEIRA (0,8 M3),LARG. MENOR QUE 1,5 M, EM SOLO DE 1A CATEGORIA, LOCAIS COM BAIXO NÍVEL DE INTERFERÊNCIA. AF_09/2024​ (M3)</t>
  </si>
  <si>
    <t>+10%</t>
  </si>
  <si>
    <t>L*H*C*1,10</t>
  </si>
  <si>
    <t>4.2.7.2. ​S030201​ Reaterro apiloado de cavas de fundação, em camadas de 20 cm​ (m3)</t>
  </si>
  <si>
    <t>REATERRO DE 85% DA ESCAVAÇÃO VALA TUBOS</t>
  </si>
  <si>
    <t>L*H*C*1,10*0,85</t>
  </si>
  <si>
    <t>4.2.7.3. ​SER-004​ EXEC. DE ENVOLTORIA OU BERCO DE AREIA EM VALAS, INCL. LANCAM., ESPALHAM. E COMPACTACAO MECANIZADA COM COMPACTADOR TIPO PLACA VIBRATORIA OU A PERCUSSÃO.​ (M3)</t>
  </si>
  <si>
    <t>5. ​CLIMATIZAÇÃO</t>
  </si>
  <si>
    <t>5.1. ​103276​ AR CONDICIONADO SPLIT ON/OFF, CASSETE (TETO), 60000 BTU/H, CICLO QUENTE/FRIO - FORNECIMENTO E INSTALAÇÃO. AF_11/2021_PE​ (UN)</t>
  </si>
  <si>
    <t>5.2. ​103263​ AR CONDICIONADO SPLIT INVERTER, PISO TETO, 48000 BTU/H, CICLO FRIO - FORNECIMENTO E INSTALAÇÃO. AF_11/2021_PE​ (UN)</t>
  </si>
  <si>
    <t>5.3. ​103253​ AR CONDICIONADO SPLIT INVERTER, HI-WALL (PAREDE), 24000 BTU/H, CICLO FRIO - FORNECIMENTO E INSTALAÇÃO. AF_11/2021_PE​ (UN)</t>
  </si>
  <si>
    <t>5.4. ​CLI-003​ CORTINA DE AR COM DUAS VELOCIDADES, PARA VAO DE 1, 50M.FORNECIMENTO E COLOCACÃO.​ (UN)</t>
  </si>
  <si>
    <t>5.5. ​S161016​ Instalação de Linha frigorígena para interligação do sistema de climatização incl. acessórios de fixação, fita PVC auto-aderente e cabo PP, exclusive tubos de cobre da linha liquida e sucção, espuma elastomérica flexivel, exclusive gás refrigerante​ (m)</t>
  </si>
  <si>
    <t>22,57</t>
  </si>
  <si>
    <t>6. ​CABEAMENTO ESTRUTURADO</t>
  </si>
  <si>
    <t>6.1. ​CAB-001​ Antena WI-FI dual band access point, bandas simultâneas - 1750Mbps​ (UN)</t>
  </si>
  <si>
    <t xml:space="preserve">Ponto AT01-PT01 a AT01-PT06 </t>
  </si>
  <si>
    <t>6.2. ​CAB-002​ Ponto seco para instalação de som, tv, alarme e lógica, incluindo caixa com espelho​ (UND)</t>
  </si>
  <si>
    <t xml:space="preserve">PC — Ponto de câmera </t>
  </si>
  <si>
    <t>6.3. ​I051033​ ESPELHO 4" X 4" C/ 2 CONECTORES RJ-45 FEMEA CAT. 6​ (UN)</t>
  </si>
  <si>
    <t>Pontos de saída nas paredes — associada a cada AP</t>
  </si>
  <si>
    <t>6.4. ​CAB-003​ Fornecimento e lançamento de cabo utp 4 pares cat 6​ (m)</t>
  </si>
  <si>
    <t>25m médios por tiragem em planta 1:100</t>
  </si>
  <si>
    <t>320</t>
  </si>
  <si>
    <t>6.5. ​S150806​ Eletroduto aparente de PVC rígido roscável diâmetro 1", inclusive abraçadeira de fixação​ (m)</t>
  </si>
  <si>
    <t>Aparente</t>
  </si>
  <si>
    <t>150</t>
  </si>
  <si>
    <t>6.6. ​CAB-004​ CURVA 90 GRAUS PARA ELETRODUTO, PVC, ROSCÁVEL, DN 32 MM (1"), PARA CIRCUITOS TERMINAIS - FORNECIMENTO E INSTALAÇÃO.​ (UN)</t>
  </si>
  <si>
    <t>Desvios e subidas</t>
  </si>
  <si>
    <t>6.7. ​95782​ CONDULETE DE ALUMÍNIO, TIPO E, ELETRODUTO DE AÇO GALVANIZADO DN 25 MM (1''), APARENTE - FORNECIMENTO E INSTALAÇÃO. AF_01/2026​ (UN)</t>
  </si>
  <si>
    <t>Saída de rede estruturada — 1 ponto (Det. 07)</t>
  </si>
  <si>
    <t>7. ​SPDA</t>
  </si>
  <si>
    <t>7.1. ​SPDA-001​ Pára-raio tipo Franklin montado em mastro de Ø 2" x 4000 mm​ (cj)</t>
  </si>
  <si>
    <t>UNIDADE</t>
  </si>
  <si>
    <t>7.2. ​SPDA-002​ Terminal aéreo em aço galvanizado 3/8" x 50cm, com fixação horizontal​ (un)</t>
  </si>
  <si>
    <t>Terminal aéreo h=50cm</t>
  </si>
  <si>
    <t>7.3. ​S160318​ Cabo de cobre nú 35mm2, ref. TEL 5735, marca de referência Termotécnica ou equivalente​ (m)</t>
  </si>
  <si>
    <t>Cabo de cobre nu 35mm²</t>
  </si>
  <si>
    <t>7.4. ​S160317​ Cabo de cobre nú 50mm2, ref. TEL 5750, marca de referência Termotécnica ou equivalente​ (m)</t>
  </si>
  <si>
    <t>Cabo de cobre nu 50mm²</t>
  </si>
  <si>
    <t>7.5. ​S160311​ Haste de terra tipo COPPERWELD - 5/8" x 2.40m​ (und)</t>
  </si>
  <si>
    <t>Haste de aterramento copperweld</t>
  </si>
  <si>
    <t>8. ​PPCI</t>
  </si>
  <si>
    <t>8.1. ​S160607​ Extintor de incêndio portátil de pó químico ABC com capacidade 2A-20B:C (4 kg), inclusive suporte de parede universal, parafuso e bucha S8, exclusive placa sinalizadora em PVC fotoluminescente e pintura de sinalização​ (und)</t>
  </si>
  <si>
    <t>8.2. ​101907​ EXTINTOR DE INCÊNDIO PORTÁTIL COM CARGA DE CO2 DE 6 KG, CLASSE BC - FORNECIMENTO E INSTALAÇÃO. AF_01/2026_PE​ (UN)</t>
  </si>
  <si>
    <t>8.3. ​PPCI-001​ BLOCO AUTÔNOMO DE ILUMINAÇÃO DE EMERGÊNCIA COM DOIS REFLETORES​ (UN)</t>
  </si>
  <si>
    <t>39</t>
  </si>
  <si>
    <t>8.4. ​S160612​ Placa de sinalização de segurança do tipo ?SAÍDA DE EMERGÊNCIA? com seta vertical, conforme Código 14 - 315/158 da ABNT NBR 13434 e Código S3 da NT 14/2010 do Corpo de Bombeiros do Espírito Santo (CBMES)​ (und)</t>
  </si>
  <si>
    <t>9. ​URBANISMO</t>
  </si>
  <si>
    <t>9.1. ​PAVIMENTAÇÃO</t>
  </si>
  <si>
    <t>9.1.1. ​4011209​ Regularização do subleito - 100% Proctor intermediário​ (m²)</t>
  </si>
  <si>
    <t>GRANILITE ROSA</t>
  </si>
  <si>
    <t>71,33</t>
  </si>
  <si>
    <t>GRANILITE AZUL</t>
  </si>
  <si>
    <t>83,80</t>
  </si>
  <si>
    <t>GRANILITE AMARELO</t>
  </si>
  <si>
    <t>94,08</t>
  </si>
  <si>
    <t>GRANILITE GRAFITE</t>
  </si>
  <si>
    <t>47,26</t>
  </si>
  <si>
    <t>GRANILITE VERMELHO</t>
  </si>
  <si>
    <t>56,92</t>
  </si>
  <si>
    <t>GRANILITE VERDE</t>
  </si>
  <si>
    <t>22,58</t>
  </si>
  <si>
    <t>GRANILITE CINZA</t>
  </si>
  <si>
    <t>758,97</t>
  </si>
  <si>
    <t>86,55</t>
  </si>
  <si>
    <t>73,43</t>
  </si>
  <si>
    <t>80,91</t>
  </si>
  <si>
    <t>7,46</t>
  </si>
  <si>
    <t>527,89</t>
  </si>
  <si>
    <t>9.1.2. ​4011276​ Base ou sub-base de brita graduada com brita comercial - 100% Proctor modificado​ (m³)</t>
  </si>
  <si>
    <t xml:space="preserve">A = AREA; H = ALTURA; </t>
  </si>
  <si>
    <t>9.1.3. ​S200202​ Assentamento de meio-fio pré-moldado de concreto com dimensões de 15 x 12 x 30 x 100 cm, rejuntado com argamassa de cimento e areia no traço 1:3​ (m)</t>
  </si>
  <si>
    <t>h aparente = 15cm - PERÍMETRO</t>
  </si>
  <si>
    <t>197,01</t>
  </si>
  <si>
    <t>JARDIM 1</t>
  </si>
  <si>
    <t>53,67</t>
  </si>
  <si>
    <t>JARDIM 2</t>
  </si>
  <si>
    <t>27,21</t>
  </si>
  <si>
    <t>JARDIM 3</t>
  </si>
  <si>
    <t>40,55</t>
  </si>
  <si>
    <t>JARDIM 4</t>
  </si>
  <si>
    <t>46,92</t>
  </si>
  <si>
    <t>JARDIM 5</t>
  </si>
  <si>
    <t>28,68</t>
  </si>
  <si>
    <t>JARDIM 6</t>
  </si>
  <si>
    <t>33,07</t>
  </si>
  <si>
    <t>JARDIM 7</t>
  </si>
  <si>
    <t>32,37</t>
  </si>
  <si>
    <t>JARDIM 8</t>
  </si>
  <si>
    <t>39,92</t>
  </si>
  <si>
    <t>JARDIM 9</t>
  </si>
  <si>
    <t>39,5</t>
  </si>
  <si>
    <t>201,21</t>
  </si>
  <si>
    <t>JARDIM 10</t>
  </si>
  <si>
    <t>56,24</t>
  </si>
  <si>
    <t>JARDIM 11</t>
  </si>
  <si>
    <t>35,05</t>
  </si>
  <si>
    <t>9.1.4. ​S190205​ Pintura a cal de meio-fio (tipo a caiação), aplicação manual, a três demãos​ (m2)</t>
  </si>
  <si>
    <t>C*(T+H)</t>
  </si>
  <si>
    <t>9.1.5. ​94993​ EXECUÇÃO DE PASSEIO (CALÇADA) OU PISO DE CONCRETO COM CONCRETO MOLDADO IN LOCO, USINADO, ACABAMENTO CONVENCIONAL, ESPESSURA 6 CM, ARMADO. AF_08/2022​ (M2)</t>
  </si>
  <si>
    <t>9.1.6. ​PIS-002​ Piso argamassa alta resistência tipo granilite ou equiv de qualidade comprovada, esp de 10mm, com juntas plástica em quadros de 1m, colorido com pó xadrez, com acabamento anti-derrapante mecanizado, inclusive regularização e=3.0cm​ (m2)</t>
  </si>
  <si>
    <t>9.1.7. ​S130230​ Piso argamassa alta resistência tipo granilite ou equiv de qualidade comprovada, esp de 10mm, com juntas plástica em quadros de 1m, na cor natural, com acabamento anti-derrapante mecanizado, inclusive regularização e=3.0cm​ (m2)</t>
  </si>
  <si>
    <t>9.1.8. ​104658​ PISO PODOTÁTIL DE ALERTA OU DIRECIONAL, DE CONCRETO, ASSENTADO SOBRE ARGAMASSA. AF_03/2024​ (M2)</t>
  </si>
  <si>
    <t>DIRECIONAL</t>
  </si>
  <si>
    <t>und/6</t>
  </si>
  <si>
    <t>ALERTA</t>
  </si>
  <si>
    <t>9.1.9. ​105004​ RAMPA DE ACESSIBILIDADE EM CONCRETO MOLDADO IN LOCO, EM CALÇADA NOVA COM LARGURA MENOR À 3,00 M, FCK 25MPA, COM PISO PODOTÁTIL. AF_03/2024​ (M2)</t>
  </si>
  <si>
    <t>QNT*A</t>
  </si>
  <si>
    <t>9.1.10. ​S200237​ Blocos pré-moldados de concreto intertravados tipo pavi-s ou equivalente, espessura de 6 cm e resistência a compressão mínima de 35MPa, assentados sobre colchão de pó de pedra na espessura de 10 cm e rejuntamento com areia, utilizando compactador de placa vibratória e cortadora de piso​ (m2)</t>
  </si>
  <si>
    <t>229</t>
  </si>
  <si>
    <t>9.1.11. ​100994​ CARGA, MANOBRA E DESCARGA DE SOLOS E MATERIAIS GRANULARES EM CAMINHÃO BASCULANTE 10 M³ - CARGA COM ESCAVADEIRA HIDRÁULICA (CAÇAMBA DE 1,20 M³ / 155 HP) E DESCARGA LIVRE (UNIDADE: T). AF_02/2026​ (T)</t>
  </si>
  <si>
    <t>BGS</t>
  </si>
  <si>
    <t>9.1.12. ​95878​ TRANSPORTE COM CAMINHÃO BASCULANTE DE 10 M³, EM VIA URBANA PAVIMENTADA, DMT ATÉ 30 KM (UNIDADE: TXKM). AF_02/2026​ (TXKM)</t>
  </si>
  <si>
    <t>PEDREIRA &gt; OBRA</t>
  </si>
  <si>
    <t>10. ​PAISAGISMO</t>
  </si>
  <si>
    <t>10.1. ​S200326​ Fornecimento e plantio de grama em placas tipo esmeralda, inclusive fornecimento de terra vegetal​ (m2)</t>
  </si>
  <si>
    <t>JARDIM</t>
  </si>
  <si>
    <t>547,25</t>
  </si>
  <si>
    <t>204,90</t>
  </si>
  <si>
    <t>IGREJA - ÁREA EXTERNA</t>
  </si>
  <si>
    <t>1,56</t>
  </si>
  <si>
    <t>10.2. ​98516​ PLANTIO DE PALMEIRA COM ALTURA DE MUDA MENOR OU IGUAL A 2,00 M . AF_07/2024​ (UN)</t>
  </si>
  <si>
    <t>CICA</t>
  </si>
  <si>
    <t>29</t>
  </si>
  <si>
    <t>10.3. ​98509​ PLANTIO DE ARBUSTO OU CERCA VIVA. AF_07/2024​ (UN)</t>
  </si>
  <si>
    <t>IXORA</t>
  </si>
  <si>
    <t>48</t>
  </si>
  <si>
    <t>BUXINHO</t>
  </si>
  <si>
    <t>38</t>
  </si>
  <si>
    <t>10.4. ​98511​ PLANTIO DE ÁRVORE ORNAMENTAL COM ALTURA DE MUDA MAIOR QUE 2,00 M E MENOR OU IGUAL A 4,00 M . AF_07/2024​ (UN)</t>
  </si>
  <si>
    <t>IPÊ-AMARELO</t>
  </si>
  <si>
    <t>ÁRVORE-SAMAMBAIA</t>
  </si>
  <si>
    <t>10.5. ​PAI-003​ PLANTIO DE ONZE HORAS​ (UND)</t>
  </si>
  <si>
    <t>ONZE-HORAS</t>
  </si>
  <si>
    <t>56</t>
  </si>
  <si>
    <t>ONZE-HORAS - igreja</t>
  </si>
  <si>
    <t>11. ​SERVIÇOS FINAIS</t>
  </si>
  <si>
    <t>11.1. ​S200402​ Limpeza geral de obras (quadras, praças e jardins)​ (m2)</t>
  </si>
  <si>
    <t>1715,23</t>
  </si>
  <si>
    <t>1356,56</t>
  </si>
  <si>
    <t>11.2. ​S200401​ Limpeza geral da obra (edificação)​ (m2)</t>
  </si>
  <si>
    <t>IGREJA</t>
  </si>
  <si>
    <t>480,02</t>
  </si>
  <si>
    <t>TOTAL</t>
  </si>
  <si>
    <t>DRENAGEM</t>
  </si>
  <si>
    <t xml:space="preserve">
</t>
  </si>
  <si>
    <t>PREÇO
UNITÁRIO R$</t>
  </si>
  <si>
    <t>PREÇO
TOTAL R$</t>
  </si>
  <si>
    <t>DEM-004</t>
  </si>
  <si>
    <t>DEMOLICÃO MANUAL DE PISO INTERTRAVADO COM EMPILHAMENTO</t>
  </si>
  <si>
    <t>DEM-003</t>
  </si>
  <si>
    <t>DEMOLIÇÃO DE CALÇADA PORTUGUESA.</t>
  </si>
  <si>
    <t>​RES-018​ Restauro - Cobertura provisória p/ proteção de fachadas, executadas sobre andaimes existentes ao longo do passeio, com telha fibrocimento 4mm, apoiada em peças mistas 7,5 x 7,5cm, utilização = 2 vezes (Não incluido o custo c/ o andaime)​ (m)</t>
  </si>
  <si>
    <t>Material</t>
  </si>
  <si>
    <t>COEFICIENTE</t>
  </si>
  <si>
    <t>PREÇO UNITÁRIO</t>
  </si>
  <si>
    <t>I027003</t>
  </si>
  <si>
    <t>ARAME GALVANIZADO N.12 BWG</t>
  </si>
  <si>
    <t>KG</t>
  </si>
  <si>
    <t>I01607S</t>
  </si>
  <si>
    <t>Conjunto arruelas de vedacao 5/16" para telha fibrocimento (uma arruela metalica e uma arruela pvc - conicas)</t>
  </si>
  <si>
    <t>I01569</t>
  </si>
  <si>
    <t>Madeira mista serrada (barrote) 6 x 6cm - 0,0036 m3/m (angelim, louro)</t>
  </si>
  <si>
    <t>I04299S</t>
  </si>
  <si>
    <t>Parafuso zincado rosca soberba, cabeca sextavada, 5/16" x 110 mm, para fixacao de telha em madeira</t>
  </si>
  <si>
    <t>I02193</t>
  </si>
  <si>
    <t>Telha fibrocimento ondulada, dim: 2,44 x 0,50m, esp=4 mm, s/ acessorios</t>
  </si>
  <si>
    <t>TOTAL Material:</t>
  </si>
  <si>
    <t>Mão de Obra</t>
  </si>
  <si>
    <t>I010111</t>
  </si>
  <si>
    <t>CARPINTEIRO (OFICIAL - SINDUSCON)</t>
  </si>
  <si>
    <t>I010146</t>
  </si>
  <si>
    <t>SERVENTE (AUXILIAR DE OBRAS - SINDUSCON)</t>
  </si>
  <si>
    <t>TOTAL Mão de Obra:</t>
  </si>
  <si>
    <t>Observações:  COPIA ORSE - SE - 2026/03 (REF: 05/2026) 51291 - S08626</t>
  </si>
  <si>
    <t>VALOR:</t>
  </si>
  <si>
    <t>​DEM-005​ Retirada manual de caixa d'água, sem considerar o reaproveitamento do reservatório, inclusive remoção dos flanges, boia e vedação dos pontos de alimentação de água fria​ (und)</t>
  </si>
  <si>
    <t>MÃO DE OBRA</t>
  </si>
  <si>
    <t>CONSUMO</t>
  </si>
  <si>
    <t>SALÁRIO HORA</t>
  </si>
  <si>
    <t>CUSTO HORÁRIO</t>
  </si>
  <si>
    <t>I010101</t>
  </si>
  <si>
    <t>AJUDANTE (AJUDANTE PRATICO - SINDUSCON)</t>
  </si>
  <si>
    <t>I010118</t>
  </si>
  <si>
    <t>ENCANADOR (OFICIAL - SINDUSCON)</t>
  </si>
  <si>
    <t>TOTAL MÃO DE OBRA:</t>
  </si>
  <si>
    <t>Custo Horário da Execução:</t>
  </si>
  <si>
    <t>Produção da Equipe:</t>
  </si>
  <si>
    <t>Custo Unitário da Execução:</t>
  </si>
  <si>
    <t>Custo Direto Total:</t>
  </si>
  <si>
    <t>Observações:  COPIA IOPES - ES - 2026/01 (REF: 03/2026) 50803 S010227</t>
  </si>
  <si>
    <t>​DEM-003​ DEMOLIÇÃO DE CALÇADA PORTUGUESA.​ (M2)</t>
  </si>
  <si>
    <t>I010139</t>
  </si>
  <si>
    <t>PEDREIRO (OFICIAL - SINDUSCON)</t>
  </si>
  <si>
    <t>Observações:  COPIA SUDECAP - MG - 2026/01 SEM DESONERAÇÃO (REF: 03/2026) 50806 02.11.03</t>
  </si>
  <si>
    <t>​DEM-004​ DEMOLICÃO MANUAL DE PISO INTERTRAVADO COM EMPILHAMENTO​ (m2)</t>
  </si>
  <si>
    <t>Observações:  COPIA GOINFRA CIVIL - GO - T327 2025/12 SEM DESONERAÇÃO (REF: 03/2026) 50633 020126</t>
  </si>
  <si>
    <t>​REV-002​ 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 (M2)</t>
  </si>
  <si>
    <t>14633</t>
  </si>
  <si>
    <t>CHAPA DE GESSO ACARTONADO, RESISTENTE A UMIDADE(RU), ESP=15,0MM, 1200X2400MM (LXC)</t>
  </si>
  <si>
    <t>EMOP</t>
  </si>
  <si>
    <t>14637</t>
  </si>
  <si>
    <t>FITA DE PAPEL MICROPERFURADO 50X150MM, PARA TRATAMENTO DE JUNTAS DE CHAPA DE GESSO PARA DRYWALL</t>
  </si>
  <si>
    <t>14638</t>
  </si>
  <si>
    <t>FITA PARA TRATAMENTO ACUSTICO (BANDA ACUSTICA) 3000X48MM</t>
  </si>
  <si>
    <t>14642</t>
  </si>
  <si>
    <t>MASSA P/REJUNTE (EM PO),P/DRYWALL,A BASE DE GESSO,SECAGEM RAPIDA,P/TRAT. DE JUNTAS DE CHAPA DE GESSO(C/ADICAO DE AGUA)</t>
  </si>
  <si>
    <t>14657</t>
  </si>
  <si>
    <t>PARAFUSO PARA DRYWALL, EM ACO FOSFATIZADO, CABECA TROMBETA EPONTA AGULHA (TA), COMPRIMENTO 25MM</t>
  </si>
  <si>
    <t>14646</t>
  </si>
  <si>
    <t>PERFIL GUIA, FORMATO U, EM ACO ZINCADO, PARA ESTRUTURA PAREDE DRYWALL, ESP=0,5MM, 48X3000MM (LXC)</t>
  </si>
  <si>
    <t>14650</t>
  </si>
  <si>
    <t>PERFIL MONTANTE, FORMATO"C", EM ACO ZINCADO, PARA ESTRUTURAPAREDE DRYWALL, ESP=0,5MM, 48X3000MM (LXC)</t>
  </si>
  <si>
    <t>14660</t>
  </si>
  <si>
    <t>PINO DE ACO COM ARRUELA CONICA, DIAMETRO ARRUELA=23MM E COMPRIMENTO DE HASTE=27MM (ACAO INDIRETA)</t>
  </si>
  <si>
    <t>I010278</t>
  </si>
  <si>
    <t>MONTADOR DE ESTRUTURA - SINTRACONST</t>
  </si>
  <si>
    <t>Observações:  COPIA EMOP - RJ - 2026/02 (REF: 03/2026) 50799 - 12.016.0024-0</t>
  </si>
  <si>
    <t>​REV-003​ Porcelanato esmaltado, acabamento acetinado, dim. 90x90cm MARCA DE REF.: BIANCOGRÊS OU EQUIVALENTE, REJUNTE ACRÍLICO, NA COR CINZA PLATINA ESP. 1,5mm, ref. de cor CIMENTO CINZA BOLD Portobello/equiv, colagem de argamassa colante para porcelanato tipo ACIII.​ (m2)</t>
  </si>
  <si>
    <t>I010128</t>
  </si>
  <si>
    <t>LADRILHISTA (OFICIAL - SINDUSCON)</t>
  </si>
  <si>
    <t>MATERIAIS</t>
  </si>
  <si>
    <t>VALOR UNITÁRIO</t>
  </si>
  <si>
    <t>CUSTO UNITÁRIO</t>
  </si>
  <si>
    <t>I020732</t>
  </si>
  <si>
    <t>ARGAM COLANTE FLEXIVEL AC III P/ ASSENT. PORCELANATO E PEDRAS (GRANITO E MÁRMORE)</t>
  </si>
  <si>
    <t>00045191</t>
  </si>
  <si>
    <t>PISO EM PORCELANATO,RETIFICADO, LISO, MONOCOLOR, ACETINADO OU POLIDO, FORMATO MAIOR QUE 6400 CM2</t>
  </si>
  <si>
    <t>I020468</t>
  </si>
  <si>
    <t>REJUNTE PORCELANATO QUARTZOLIT</t>
  </si>
  <si>
    <t>TOTAL MATERIAIS:</t>
  </si>
  <si>
    <t>Observações:  COPIA IOPES - ES - 2026/01 (REF: 03/2026) 50803 - S130233</t>
  </si>
  <si>
    <t>​PAV-005​ PISO DE BORRACHA 1X1M, ESPESSURA 15MM, ASSENTADO COM ARGAMASSA. COLORIDO.​ (M2)</t>
  </si>
  <si>
    <t>00037595</t>
  </si>
  <si>
    <t>ARGAMASSA COLANTE TIPO AC III</t>
  </si>
  <si>
    <t>INS-84363879</t>
  </si>
  <si>
    <t>PISO DE BORRACHA EM PLACA DE 100X100CM E=15MM, AMARELO</t>
  </si>
  <si>
    <t>COTAÇÃO</t>
  </si>
  <si>
    <t>Observações:  COPIA SINAPI - ES - 2026/04 SEM DESONERAÇÃO (REF: 05/2026) 51344 - 101735</t>
  </si>
  <si>
    <t>​ACE-001​ Espelho de cristal prata, instalado.​ (m2)</t>
  </si>
  <si>
    <t>I037057</t>
  </si>
  <si>
    <t>ESPELHO PRATA ESPESSURA 4 MM</t>
  </si>
  <si>
    <t>Observações:  COPIA ORSE - SE - 2026/02 (REF: 03/2026) 50787 - S09718</t>
  </si>
  <si>
    <t>​URB-020​ BANCO DE MADEIRA DE MACARANDUBA EM RIPAS DE (1,5X4)CM, FIXADAS EM ESTRUTURA DE (7, 50X3, 75)CM, COM VERNIZ. TUDO INCLUÍDO.​ (UND)</t>
  </si>
  <si>
    <t>00225</t>
  </si>
  <si>
    <t>ADESIVO DE CONTATO A BASE DE SOLVENTES, RESINAS E BORRACHASSINTETICAS E ADITIVOS, EMBALAGEM DE 3,2L/2,8KG</t>
  </si>
  <si>
    <t>GL</t>
  </si>
  <si>
    <t>05434</t>
  </si>
  <si>
    <t>MACARANDUBA EM PECAS, DE 3,75X7,50CM (1.1/2"X3")</t>
  </si>
  <si>
    <t>02605</t>
  </si>
  <si>
    <t>MACARANDUBA EM RIPAS, DE (1,5x4)CM</t>
  </si>
  <si>
    <t>00665</t>
  </si>
  <si>
    <t>PARAFUSO DE LATAO, ROSCA SOBERBA, CABECA CHATA, DE 5,5MMX2.1/2"</t>
  </si>
  <si>
    <t>Serviço</t>
  </si>
  <si>
    <t>S190306</t>
  </si>
  <si>
    <t>Pintura de esquadrias e elementos de madeira, aplicação manual, com três demãos de verniz fosco incolor, linha Tripla Proteção Premium, referência Suvinil, Coral, Metalatex ou equivalente</t>
  </si>
  <si>
    <t>TOTAL Serviço:</t>
  </si>
  <si>
    <t>Observações: 3% - DESGASTE DE FERRAMENTAS E EPI COPIA EMOP - RJ - 2026/04 (REF: 05/2026) 51289 - 09.013.0010-0</t>
  </si>
  <si>
    <t>​ESQ-003​ PORTA DE CORRER DE ALUMÍNIO ANODIZADO (VENEZIANA) C/ GUARNIÇÃO. TUDO INCLUÍDO.​ (M2)</t>
  </si>
  <si>
    <t>00007568</t>
  </si>
  <si>
    <t>BUCHA DE NYLON SEM ABA S10, COM PARAFUSO DE 6,10 X 65 MM EM ACO ZINCADO COM ROSCA SOBERBA, CABECA CHATA E FENDA PHILLIPS</t>
  </si>
  <si>
    <t>00036888</t>
  </si>
  <si>
    <t>GUARNICAO / MOLDURA / ARREMATE DE ACABAMENTO PARA ESQUADRIA, EM ALUMINIO PERFIL 25, ACABAMENTO ANODIZADO BRANCO OU BRILHANTE, PARA 1 FACE</t>
  </si>
  <si>
    <t>00000142</t>
  </si>
  <si>
    <t>SELANTE ELASTICO MONOCOMPONENTE A BASE DE POLIURETANO (PU) PARA JUNTAS DIVERSAS</t>
  </si>
  <si>
    <t>310ML</t>
  </si>
  <si>
    <t>02.01.08.100.215</t>
  </si>
  <si>
    <t>Bandeira veneziana de alumínio anodizado para porta</t>
  </si>
  <si>
    <t>CPTM</t>
  </si>
  <si>
    <t>Observações:  COPIA SINAPI - ES - 2026/04 COM DESONERAÇÃO (REF: 05/2026) 51343 - 100702</t>
  </si>
  <si>
    <t>​RES-007​ Restauro - Desmontagem/retirada de esquadria/estrutura de madeira​ (m2)</t>
  </si>
  <si>
    <t>Observações:  COPIA ORSE - SE - 2026/01 (REF: 03/2026) S04062</t>
  </si>
  <si>
    <t>​RES-021​ Restauro - Recuperação de esquadria de madeira de obras históricas c/ aproveitamento de 75%.​ (m2)</t>
  </si>
  <si>
    <t>Encargos Complementares</t>
  </si>
  <si>
    <t>S10588</t>
  </si>
  <si>
    <t>Encargos Complementares - Auxiliar de Restauração</t>
  </si>
  <si>
    <t>h</t>
  </si>
  <si>
    <t>S10590</t>
  </si>
  <si>
    <t>Encargos Complementares - Restaurador</t>
  </si>
  <si>
    <t>TOTAL Encargos Complementares:</t>
  </si>
  <si>
    <t>I02931</t>
  </si>
  <si>
    <t>Cola à base de resina poliéster com catalisador</t>
  </si>
  <si>
    <t>I04503</t>
  </si>
  <si>
    <t>Dobradiça artesanal de ferro batido - Padrão Monumenta</t>
  </si>
  <si>
    <t>I03767S</t>
  </si>
  <si>
    <t>Lixa em folha para parede ou madeira, numero 120, cor vermelha</t>
  </si>
  <si>
    <t>I03186</t>
  </si>
  <si>
    <t>Madeira Cedro - Prancha com 30cm x 3,5cm</t>
  </si>
  <si>
    <t>I01690</t>
  </si>
  <si>
    <t>Parafuso de metal 2 " x 12 (sextavado)</t>
  </si>
  <si>
    <t>I14302</t>
  </si>
  <si>
    <t>Selador para madeira</t>
  </si>
  <si>
    <t>l</t>
  </si>
  <si>
    <t>I03073</t>
  </si>
  <si>
    <t>Auxiliar de Restaurador</t>
  </si>
  <si>
    <t>I03072</t>
  </si>
  <si>
    <t>Restaurador Nível Superior</t>
  </si>
  <si>
    <t>Observações:  COPIA ORSE - SE - 2026/03 (REF: 05/2026) 51291 - S13559</t>
  </si>
  <si>
    <t>​ESQ-004​ PORTA DE ABRIR COM MOLA HIDRÁULICA, EM VIDRO TEMPERADO, 2 FOLHAS DE 75X205.5CM, ESPESSURA DE 8 MM, INCLUSIVE ACESSÓRIOS.​ (UN)</t>
  </si>
  <si>
    <t>00003104</t>
  </si>
  <si>
    <t>CONJ. DE FERRAGENS PARA PORTA DE VIDRO TEMPERADO, EM ZAMAC CROMADO, CONTEMPLANDO DOBRADICA INF., DOBRADICA SUP., PIVO PARA DOBRADICA INF., PIVO PARA DOBRADICA SUP., FECHADURA CENTRAL EM ZAMC. CROMADO, CONTRA FECHADURA DE PRESSAO</t>
  </si>
  <si>
    <t>CJ</t>
  </si>
  <si>
    <t>13.017.000011.MAT</t>
  </si>
  <si>
    <t>Fechadura central com 2 cilindros para vidro temperado - 2026/04</t>
  </si>
  <si>
    <t>TCPO-PINI</t>
  </si>
  <si>
    <t>00011499</t>
  </si>
  <si>
    <t>MOLA HIDRAULICA DE PISO, PARA PORTAS DE ATE 1100 MM E PESO DE ATE 120 KG, COM CORPO EM ACO INOX</t>
  </si>
  <si>
    <t>00010506</t>
  </si>
  <si>
    <t>VIDRO TEMPERADO INCOLOR E = 8 MM, SEM COLOCACAO</t>
  </si>
  <si>
    <t>I010290</t>
  </si>
  <si>
    <t>VIDRACEIRO (OFICIAL - SINDUSCON)</t>
  </si>
  <si>
    <t>Observações:  COPIA SINAPI - ES - 2026/04 SEM DESONERAÇÃO (REF: 05/2026) 51344 - 102185</t>
  </si>
  <si>
    <t>​ESQ-005​ PORTA DE ABRIR COM MOLA HIDRÁULICA, EM VIDRO TEMPERADO, 2 FOLHAS DE 60X210CM, ESPESSURA DE 8 MM, INCLUSIVE ACESSÓRIOS.​ (UN)</t>
  </si>
  <si>
    <t>​SER-002​ Aplicação de neutralizador de ferrugem, com duas demãos, e Remoção de ferrugem em esquadrias ou estruturas metálicas com escova de aço.​ (m2)</t>
  </si>
  <si>
    <t>I14642</t>
  </si>
  <si>
    <t>Neutralizador de ferrugem, Vedacit ou similar</t>
  </si>
  <si>
    <t>I04724</t>
  </si>
  <si>
    <t>Pincel 16</t>
  </si>
  <si>
    <t>SER-001</t>
  </si>
  <si>
    <t>Remoção de ferrugem em esquadrias ou estruturas metálicas com escova de aço</t>
  </si>
  <si>
    <t>Observações:  COPIA ORSE - SE - 2026/03 (REF: 05/2026) 51291 - S13846</t>
  </si>
  <si>
    <t>​SER-003​ Remoção de pintura com removedor de tinta tipo striptizi ou similar, emassamento de esquarias de madeira, em uma demão de massa à base de óleo e pintura com tinta esmalte sintético Suvinil - marca de referência, inclusive fundo branco nivelador, em esquadrias de madeira, a duas demãos. Tudo incluído.​ (M2)</t>
  </si>
  <si>
    <t>I14912</t>
  </si>
  <si>
    <t>Removedor a gel de Tintas, Vernizes,Texturas e stains, ref. Striptizi Montana ou similar</t>
  </si>
  <si>
    <t>I010140</t>
  </si>
  <si>
    <t>PINTOR (OFICIAL - SINDUSCON)</t>
  </si>
  <si>
    <t>S190301</t>
  </si>
  <si>
    <t>Emassamento de esquadrias e elementos de madeira, com duas demãos de massa à base água, referência Suvinil, Coral, Sherwin Williams ou equivalente, inclusive uma demão de fundo nivelador alquídico branco, referência Suvinil, Coral ou Metalatex ou equivalente</t>
  </si>
  <si>
    <t>S190302</t>
  </si>
  <si>
    <t>Pintura de esquadrias e elementos de madeira, aplicação manual, com duas demãos de tinta esmalte sintético referência Suvinil, Coral ou Metalatex, inclusive fundo branco nivelador, referência Suvinil, Coral e Metalatex ou equivalente</t>
  </si>
  <si>
    <t>Observações:  COPIA ORSE - SE - 2026/03 (REF: 05/2026) 51291 - S03967</t>
  </si>
  <si>
    <t>​RES-022​ Retirada e instalação de novo vidro em esquadria de madeira, fixado com silicone acetico. (sem aproveitamento de vidro existente). Tudo incluído.​ (M2)</t>
  </si>
  <si>
    <t>00039026</t>
  </si>
  <si>
    <t>PREGO DE ACO POLIDO SEM CABECA 15 X 15 (1 1/4 X 13)</t>
  </si>
  <si>
    <t>I038057</t>
  </si>
  <si>
    <t>SILICONE ACETICO INCOLOR BISNAGA 280G (300ML)</t>
  </si>
  <si>
    <t>00010505</t>
  </si>
  <si>
    <t>VIDRO TEMPERADO INCOLOR E = 6 MM, SEM COLOCACAO</t>
  </si>
  <si>
    <t>Observações: REJUNTES DE VIDROS DANIFICADOS</t>
  </si>
  <si>
    <t>​ESQ-007​ JANELA DE MADEIRA PARA VIDRO, INCLUSO VIDRO TEMPERADO 6MM E PINTURA.​ (M2)</t>
  </si>
  <si>
    <t>00038124</t>
  </si>
  <si>
    <t>ESPUMA EXPANSIVA DE POLIURETANO, APLICACAO MANUAL - 500 ML</t>
  </si>
  <si>
    <t>13.008.000016.MAT</t>
  </si>
  <si>
    <t>Janela de madeira com batente e caixilhos para vidro, sem os vidros - 2026/04</t>
  </si>
  <si>
    <t>00039961</t>
  </si>
  <si>
    <t>SILICONE ACETICO USO GERAL INCOLOR 280 G</t>
  </si>
  <si>
    <t>ESQ-006</t>
  </si>
  <si>
    <t>INSTALAÇÃO DE VIDRO TEMPERADO E = 6 MM, EM ESQUADRIA DE MADEIRA, FIXADO COM BAGUETE.</t>
  </si>
  <si>
    <t>Observações:  COPIA SINAPI - ES - 2026/04 SEM DESONERAÇÃO (REF: 05/2026) 51344 - 100669; 102156</t>
  </si>
  <si>
    <t>​ACE-002​ Bancada de granito tipo Branco Siena, com espessura de 2 cm, com acabamento polido, inclusive chumbamento na alvenaria, exclusive cantoneira de apoio.​ (m2)</t>
  </si>
  <si>
    <t>SERVIÇOS</t>
  </si>
  <si>
    <t>S010692</t>
  </si>
  <si>
    <t>argamassa traco 1:3 de cimento e areia media, preparo mecanico com betoneira 400 l</t>
  </si>
  <si>
    <t>S12492</t>
  </si>
  <si>
    <t>Tampo/bancada em granito branco siena, e=2cm</t>
  </si>
  <si>
    <t>TOTAL SERVIÇOS:</t>
  </si>
  <si>
    <t>Observações:  COPIA IOPES - ES - 2026/03 (REF: 05/2026) 51366 - S170220</t>
  </si>
  <si>
    <t>​ACE-003​ RODABANCA/SAIA EM GRANITO BRANCO SIENA, E= 2CM, H= 10CM​ (M)</t>
  </si>
  <si>
    <t>I07119</t>
  </si>
  <si>
    <t>Granito branco Siena e= 2cm</t>
  </si>
  <si>
    <t>Observações:  COPIA SUDECAP - MG - 2026/01 SEM DESONERAÇÃO (REF: 03/2026) 50806 - 18.08.97</t>
  </si>
  <si>
    <t>​ACE-004​ GRANITO BRANCO SIENA, ESP = 3CM, ASSENTADO COM ARGAMASSA COLANTE AC III-E.​ (M2)</t>
  </si>
  <si>
    <t>Equipamento Custo Horário</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</si>
  <si>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</si>
  <si>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</si>
  <si>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</si>
  <si>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</si>
  <si>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</si>
  <si>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</si>
  <si>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TOTAL Equipamento Custo Horário:</t>
  </si>
  <si>
    <t>00000131</t>
  </si>
  <si>
    <t>ADESIVO ESTRUTURAL A BASE DE RESINA EPOXI, BICOMPONENTE, PASTOSO (TIXOTROPICO)</t>
  </si>
  <si>
    <t>00037596</t>
  </si>
  <si>
    <t>ARGAMASSA COLANTE TIPO AC III E</t>
  </si>
  <si>
    <t>00044476</t>
  </si>
  <si>
    <t>DIVISORIA EM GRANITO, COM DUAS FACES POLIDAS, TIPO ANDORINHA/ QUARTZ/ CASTELO/ CORUMBA OU OUTROS EQUIVALENTES DA REGIAO, E= *3,0* CM</t>
  </si>
  <si>
    <t>I010124</t>
  </si>
  <si>
    <t>GRANITEIRO/MARMORISTA (OFICIAL - SINDUSCON)</t>
  </si>
  <si>
    <t xml:space="preserve">Observações:  COPIA SINAPI - ES - 2026/04 COM DESONERAÇÃO (REF: 05/2026) 51343 - 102253
</t>
  </si>
  <si>
    <t>​RES-015​ Piso em ladrilho hidráulico colorido/Mosaico colorido, 20 x 20 cm,aplicado com argamassa industrializada ac-i, rejuntado, exclusive regularização de base ou emboço​ (m2)</t>
  </si>
  <si>
    <t>I12556</t>
  </si>
  <si>
    <t>Ladrilho hidráulico Mosaico colorido 20 x 20cm</t>
  </si>
  <si>
    <t>S03406</t>
  </si>
  <si>
    <t>Argamassa industrializada AC-I, Votomassa ou similar</t>
  </si>
  <si>
    <t>Observações:  COPIA ORSE - SE - 2026/03 (REF: 05/2026) 51291 - S11684</t>
  </si>
  <si>
    <t>​RES-014​ Piso em ladrilho hidráulico liso, uma cor, 20 x 20 cm,aplicado com argamassa industrializada ac-i, rejuntado, exclusive regularização de base ou emboço​ (m2)</t>
  </si>
  <si>
    <t>I03731S</t>
  </si>
  <si>
    <t>Ladrilho hidraulico, *20 x 20* cm, e= 2 cm, padrao dados, cor natural</t>
  </si>
  <si>
    <t>Observações:  COPIA ORSE - SE - 2026/03 (REF: 05/2026) 51291 - S02198</t>
  </si>
  <si>
    <t>​RES-009​ Restauro - Restauração de forro ou piso em assoalho de madeira compreendendo substituição de peças de apoio até 20%, raspagem, calafetagem, enceramento e parquetagem​ (m2)</t>
  </si>
  <si>
    <t>I00131S</t>
  </si>
  <si>
    <t>Adesivo estrutural a base de resina epoxi, bicomponente, pastoso (tixotropico)</t>
  </si>
  <si>
    <t>I03183</t>
  </si>
  <si>
    <t>Cera de carnauba clarificada</t>
  </si>
  <si>
    <t>I01561</t>
  </si>
  <si>
    <t>Madeira massaranduba serrada</t>
  </si>
  <si>
    <t>I03526</t>
  </si>
  <si>
    <t>Pó de serra</t>
  </si>
  <si>
    <t>Observações:  COPIA ORSE - SE - 2026/01 (REF: 03/2026) S04907</t>
  </si>
  <si>
    <t>​PIS-003​ PISO/REVESTIMENTO EM MADEIRA MADEIRA DE LEI, LARGURA DE 10CM, INCLUSIVE ASSENTAMENTO COM COLA, INCLUSIVE PINTURA A BASE DE ESMALTE SINTÉTICO FOSCO.​ (m2)</t>
  </si>
  <si>
    <t>MATED-8122</t>
  </si>
  <si>
    <t>ADESIVO POLIURETANO BICOMPONENTE (APLICAÇÃO: PISOS DE MADEIRA)</t>
  </si>
  <si>
    <t>Kg</t>
  </si>
  <si>
    <t>MATED-8056</t>
  </si>
  <si>
    <t>ASSOALHO (MADEIRA DE LEI: IPÊ|QUALIDADE: EXTRA|LARGURA DA RÉGUA: 10CM|ESPESSURA DA RÉGUA: 2CM)</t>
  </si>
  <si>
    <t>ED-50385</t>
  </si>
  <si>
    <t>TAQUEIRO COM ENCARGOS COMPLEMENTARES</t>
  </si>
  <si>
    <t>hora</t>
  </si>
  <si>
    <t>102218</t>
  </si>
  <si>
    <t>PINTURA TINTA DE ACABAMENTO (PIGMENTADA) ESMALTE SINTÉTICO FOSCO EM MADEIRA, 2 DEMÃOS. AF_01/2021</t>
  </si>
  <si>
    <t>Observações: COPIA SETOP - MG (Central) - 2026/01 - Central SEM DESONERAÇÃO (REF: 03/2026) 51042 - D-8058</t>
  </si>
  <si>
    <t>​FOR-001​ FORRO DE MADEIRA EM ANGELIM OU MADEIRA EQUIVALENTE, INCLUSIVE ESTRUTURA DE FIXAÇÃO, EXCLUSIVE CIMALHA DE ACABAMENTO.​ (m2)</t>
  </si>
  <si>
    <t>MATED-34311</t>
  </si>
  <si>
    <t>BUCHA DE NYLON (DIÂMETRO NOMINAL: 10MM|COMPRIMENTO DA BUCHA: 50MM|DIÂMETRO DO PARAFUSO: 6-8MM)</t>
  </si>
  <si>
    <t>MATED-34306</t>
  </si>
  <si>
    <t>FORRO EM RÉGUA (MATERIAL: ANGELIM OU EQUIVALENTE|LARGURA: 10CM|ESPESSURA*: 10MM|SISTEMA: MACHO E FÊMEA|ACABAMENTO: FRISADO|COR: NATURAL)*VALORES REFERENCIAIS APROXIMADOS</t>
  </si>
  <si>
    <t>MATED-14455</t>
  </si>
  <si>
    <t>PARAFUSO (ROSCA: AUTOATARRAXANTE|APLICAÇÃO: MADEIRA|CABEÇA: FENDA|MATERIAL: AÇO|ACABAMENTO: ZINCADO|COMPRIMENTO: 75MM|DIÂMETRO: 6,1MM)</t>
  </si>
  <si>
    <t>I026563</t>
  </si>
  <si>
    <t>PREGO 12X12</t>
  </si>
  <si>
    <t>MATED-11348</t>
  </si>
  <si>
    <t>SARRAFO (ACABAMENTO: BRUTO|SEÇÃO TRANSVERSAL: 1"X2"[POL.]|ALTURA: 50MM[2"]|ESPESSURA: 25MM[1"]|TIPO DE MADEIRA: PINUS, MISTA OU EQUIVALENTE DA REGIÃO)</t>
  </si>
  <si>
    <t>Observações:  COPIA SETOP - MG (Central) - 2026/01 - Central SEM DESONERAÇÃO (REF: 03/2026) ED-49689</t>
  </si>
  <si>
    <t>​RES-010​ Restauro - Execução e colocação de cimalha em madeira​ (m)</t>
  </si>
  <si>
    <t>S10589</t>
  </si>
  <si>
    <t>Encargos Complementares - Entalhador de Restauro</t>
  </si>
  <si>
    <t>S12390</t>
  </si>
  <si>
    <t>Encargos Complementares - Restaurador Nível Médio</t>
  </si>
  <si>
    <t>I02847</t>
  </si>
  <si>
    <t>Madeira angelin vermelho, aparelhada</t>
  </si>
  <si>
    <t>I03076</t>
  </si>
  <si>
    <t>Entalhador de Restauro</t>
  </si>
  <si>
    <t>I12529</t>
  </si>
  <si>
    <t>Restaurador - Nível Médio</t>
  </si>
  <si>
    <t>Observações:  COPIA ORSE - SE - 2026/01 (REF: 03/2026) S13474 e S13479</t>
  </si>
  <si>
    <t>​ESQ-002​ TELA TIPO MOSQUITEIRO, COM MOLDURA EM PERFIL DE ALUMINIO ANODIZADO, PINTURA NA COR BRANCA.FORNECIMENTO E COLOCACAO​ (M2)</t>
  </si>
  <si>
    <t>I026648</t>
  </si>
  <si>
    <t>BUCHA DE NYLON N.º8 REF.: TEL-5308</t>
  </si>
  <si>
    <t>05909</t>
  </si>
  <si>
    <t>PARAFUSO FERRO, ROSCA SOBERBA, CABECA CHATA, DE (5,5X50)MM</t>
  </si>
  <si>
    <t>11073</t>
  </si>
  <si>
    <t>PERFIL ALUMINIO ANODIZADO, SERIE 42 - Percentual=9,0000%</t>
  </si>
  <si>
    <t>I027678</t>
  </si>
  <si>
    <t>TELA MOSQUITEIRO ARAME GALV. MALHA # 18 FIO 32 QUADRADA</t>
  </si>
  <si>
    <t>I010144</t>
  </si>
  <si>
    <t>SERRALHEIRO (OFICIAL - SINDUSCON)</t>
  </si>
  <si>
    <t>17.014.0015-0</t>
  </si>
  <si>
    <t>PINTURA ELETROSTATICA SOBRE ESQUADRIA DE ALUMINIO</t>
  </si>
  <si>
    <t>Observações: 3% - DESGASTE DE FERRAMENTAS E EPI 9% - BORRACHA DE FIXACAO COPIA EMOP - RJ - 2026/02 (REF: 03/2026) 50799 - 14.003.0400-0</t>
  </si>
  <si>
    <t>​RES-019​ Restauro - Erradicação de liquens e fungos em paredes e ornatos.​ (m2)</t>
  </si>
  <si>
    <t>I00001S</t>
  </si>
  <si>
    <t>Acetileno - recarga de gas para cilindro (nao inclui troca/manutencao do cilindro)</t>
  </si>
  <si>
    <t>I00146</t>
  </si>
  <si>
    <t>Água sanitária</t>
  </si>
  <si>
    <t>I08968</t>
  </si>
  <si>
    <t>Fungicida/Óleo de cravo ( fungos)</t>
  </si>
  <si>
    <t>ml</t>
  </si>
  <si>
    <t>I00002S</t>
  </si>
  <si>
    <t>Oxigenio - recarga de gas para cilindro (nao inclui troca/manutencao do cilindro)</t>
  </si>
  <si>
    <t>Observações:  COPIA ORSE - SE - 2026/03 (REF: 05/2026) 51291 - S08715</t>
  </si>
  <si>
    <t>​REV-004​ Pintura com tinta mineral ecossílica Kroten ou similar, em paredes externas a 2 demãos.​ (m2)</t>
  </si>
  <si>
    <t>I038013</t>
  </si>
  <si>
    <t>LIXA PARA MADEIRA/MASSA Nº 150</t>
  </si>
  <si>
    <t>INS-09748664</t>
  </si>
  <si>
    <t>Tinta Mineral Ecossílica</t>
  </si>
  <si>
    <t>Observações:  COPIA IOPES - ES - 2026/03 (REF: 05/2026) 51366 - S160708</t>
  </si>
  <si>
    <t>​RES-006​ Restauro - Execução de ornato com confecção de molde e fôrma - 04 usos​ (m2)</t>
  </si>
  <si>
    <t>00000367</t>
  </si>
  <si>
    <t>AREIA GROSSA - POSTO JAZIDA/FORNECEDOR (RETIRADO NA JAZIDA, SEM TRANSPORTE)</t>
  </si>
  <si>
    <t>I03331</t>
  </si>
  <si>
    <t>Cabo de cobre nú 16 mm2 - 4AWG</t>
  </si>
  <si>
    <t>00001355</t>
  </si>
  <si>
    <t>CHAPA/PAINEL DE MADEIRA COMPENSADA RESINADA (MADEIRITE RESINADO ROSA) PARA FORMA DE CONCRETO, DE 2200 X 1100 MM, E = 14 MM</t>
  </si>
  <si>
    <t>00003315</t>
  </si>
  <si>
    <t>GESSO EM PO PARA REVESTIMENTOS/MOLDURAS/SANCAS E USO GERAL</t>
  </si>
  <si>
    <t>00000134</t>
  </si>
  <si>
    <t>GRAUTE CIMENTICIO PARA USO GERAL</t>
  </si>
  <si>
    <t>00004720</t>
  </si>
  <si>
    <t>PEDRA BRITADA N. 0, OU PEDRISCO (4,8 A 9,5 MM) POSTO PEDREIRA/FORNECEDOR, SEM FRETE</t>
  </si>
  <si>
    <t>I08999</t>
  </si>
  <si>
    <t>Silicone para confecção de moldes - embalagem de 900g + 100g de catalizador</t>
  </si>
  <si>
    <t>Observações:  COPIA ORSE - SE - 2026/01 (REF: 03/2026) S08746</t>
  </si>
  <si>
    <t>​RES-005​ Restauro - Fixação e tratamento de elementos decorativos​ (m2)</t>
  </si>
  <si>
    <t>I04730</t>
  </si>
  <si>
    <t>Adesivo acrílico Masterfix Acrílico ou similar</t>
  </si>
  <si>
    <t>I06663</t>
  </si>
  <si>
    <t>Grampo tipo crosby p/cordoalha 1/4" PK-0163 (pára-raio)</t>
  </si>
  <si>
    <t>S12032</t>
  </si>
  <si>
    <t>Argamassa cal e areia traço 1:4 - Confecção mecânica e transporte</t>
  </si>
  <si>
    <t>Observações:  COPIA ORSE - SE - 2026/01 (REF: 03/2026) S08723</t>
  </si>
  <si>
    <t>​RES-016​ Restauro - Enxerto em esquadrias/balaustres de madeira com aplicação de pasta de pó de serra e cola, e pintura.​ (m2)</t>
  </si>
  <si>
    <t>S10598</t>
  </si>
  <si>
    <t>Encargos Complementares - Marceneiro de Restauro</t>
  </si>
  <si>
    <t>I00623</t>
  </si>
  <si>
    <t>Cola rhodopas 201-d - p/ taco - ou similar</t>
  </si>
  <si>
    <t>I08693</t>
  </si>
  <si>
    <t>Madeira angelim serrada, não aparelhada</t>
  </si>
  <si>
    <t>I03122</t>
  </si>
  <si>
    <t>Marceneiro de Restauro</t>
  </si>
  <si>
    <t>Observações: COPIA ORSE - SE - 2026/03 (REF: 05/2026) 51291 - S04363
IOPES S190302</t>
  </si>
  <si>
    <t>​RES-017​ Restauro - Enrijecimento de suporte - Argamassa, gesso em ornatos e escuturas​ (m3)</t>
  </si>
  <si>
    <t>I028005</t>
  </si>
  <si>
    <t>COLA BRANCA "PVA" CASCOLA, FORMICA, MUNDIAL OU EQUIVALENTE</t>
  </si>
  <si>
    <t>I03111</t>
  </si>
  <si>
    <t>Seringa descartável com agulha</t>
  </si>
  <si>
    <t>I45231S</t>
  </si>
  <si>
    <t>Trincha de 1" com cerdas sinteticas</t>
  </si>
  <si>
    <t xml:space="preserve">Observações:  COPIA ORSE - SE - 2026/03 (REF: 05/2026) 51291 - S14142
</t>
  </si>
  <si>
    <t>​RES-013​ Restauração de cimalha de massa​ (m2)</t>
  </si>
  <si>
    <t>I07334S</t>
  </si>
  <si>
    <t>Aditivo adesivo liquido para argamassas de revestimentos cimenticios</t>
  </si>
  <si>
    <t>I020503</t>
  </si>
  <si>
    <t>AREIA LAVADA MEDIA</t>
  </si>
  <si>
    <t>I00203</t>
  </si>
  <si>
    <t>Arenoso adquirido em depósito, frete incluso (Arenoso Comercial)</t>
  </si>
  <si>
    <t>I01379S</t>
  </si>
  <si>
    <t>Cimento portland composto cp ii-32</t>
  </si>
  <si>
    <t>Observações:  COPIA ORSE - SE - 2026/03 (REF: 05/2026) 51291 - S13368</t>
  </si>
  <si>
    <t>​ELE-010​ Eletrocalha LISA OU PERFURADA, TIPO U, EM CHAPA DE ACO GALVANIZADO A FOGO, ESPESSURA # 22, DE 200 X 50 MM.​ (m)</t>
  </si>
  <si>
    <t>I010115</t>
  </si>
  <si>
    <t>ELETRICISTA (OFICIAL - SINDUSCON)</t>
  </si>
  <si>
    <t>00043958</t>
  </si>
  <si>
    <t>ELETROCALHA LISA OU PERFURADA, TIPO U, EM CHAPA DE ACO GALVANIZADO A FOGO, ESPESSURA # 22, DE 200 X 50 MM (L X A), SEM VIROLA, SEM TAMPA</t>
  </si>
  <si>
    <t>Observações:  COPIA IOPES - ES - 2026/01 (REF: 03/2026) 50803 S150836</t>
  </si>
  <si>
    <t>​ELE-011​ Caixa de embutir marca de referência Tigreflex, 4x4" OCTOGONAL​ (und)</t>
  </si>
  <si>
    <t>I042906</t>
  </si>
  <si>
    <t>CAIXA PVC OCTOGONAL 4X4" COM FUNDO MÓVEL - TIGRE OU EQUIVALENTE</t>
  </si>
  <si>
    <t>Observações:  COPIA IOPES - ES - 2026/01 (REF: 03/2026) 50803 S150629</t>
  </si>
  <si>
    <t>​ELE-018​ ELETRODUTO RÍGIDO SOLDÁVEL, PVC, DN 40 MM (1 1/2"), APARENTE - FORNECIMENTO E INSTALAÇÃO.​ (M)</t>
  </si>
  <si>
    <t>00012070</t>
  </si>
  <si>
    <t>ELETRODUTO DE PVC RIGIDO SOLDAVEL, CLASSE B, DE 40 MM</t>
  </si>
  <si>
    <t>Mão de Obra com Encargos Complementares</t>
  </si>
  <si>
    <t>88247</t>
  </si>
  <si>
    <t>AUXILIAR DE ELETRICISTA COM ENCARGOS COMPLEMENTARES</t>
  </si>
  <si>
    <t>88264</t>
  </si>
  <si>
    <t>ELETRICISTA COM ENCARGOS COMPLEMENTARES</t>
  </si>
  <si>
    <t>TOTAL Mão de Obra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</si>
  <si>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</si>
  <si>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</si>
  <si>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Observações:  COPIA SINAPI - ES - 2026/04 SEM DESONERAÇÃO (REF: 05/2026) 51344 - 95728</t>
  </si>
  <si>
    <t>​ELE-014​ Luminária tipo spot de embutir com lâmpada led 15w.​ (un)</t>
  </si>
  <si>
    <t>I11130</t>
  </si>
  <si>
    <t>Luminária tipo spot de embutir com lâmpada led 15w</t>
  </si>
  <si>
    <t>Observações:  COPIA ORSE - SE - 2026/03 (REF: 05/2026) 51291 - S10352</t>
  </si>
  <si>
    <t>​ELE-015​ DISJUNTOR BIPOLAR TIPO DIN, CORRENTE NOMINAL DE 63A - FORNECIMENTO E INSTALAÇÃO.​ (UN)</t>
  </si>
  <si>
    <t>MATED-17030</t>
  </si>
  <si>
    <t>DISJUNTOR (TIPO: BIPOLAR|CURVA:C|CORRENTE: 63A|I MÁX: 4,5KA/6KA)</t>
  </si>
  <si>
    <t>SETOP</t>
  </si>
  <si>
    <t>8900103001SI1575</t>
  </si>
  <si>
    <t>TERMINAL A COMPRESSAO EM COBRE ESTANHADO PARA CABO 16 MM2, 1 FURO E 1 COMPRESSAO, PARA PARAFUSO DE FIXACAO M6</t>
  </si>
  <si>
    <t>CAESB</t>
  </si>
  <si>
    <t>00000247</t>
  </si>
  <si>
    <t>AJUDANTE DE ELETRICISTA (HORISTA)</t>
  </si>
  <si>
    <t>Observações:  COPIA CAESB - DF - 2026/01 SEM DESONERAÇÃO (REF: 03/2026) 50398 8007008398SI93666</t>
  </si>
  <si>
    <t>​ELE-012​ Caixa de passagem com tampão ferro fundido, 300×300×300mm​ (und)</t>
  </si>
  <si>
    <t>2C 14 16 02 39 23</t>
  </si>
  <si>
    <t>2C 14 16 02 39 23 TCPO-PINI Caixa de Inspeção em ferro-fundido para hastes de aterramento 2026/03</t>
  </si>
  <si>
    <t>Observações:  COPIA IOPES - ES - 2026/01 (REF: 03/2026) 50803  - S150634</t>
  </si>
  <si>
    <t>​SER-004​ EXEC. DE ENVOLTORIA OU BERCO DE AREIA EM VALAS, INCL. LANCAM., ESPALHAM. E COMPACTACAO MECANIZADA COM COMPACTADOR TIPO PLACA VIBRATORIA OU A PERCUSSÃO.​ (M3)</t>
  </si>
  <si>
    <t>91533</t>
  </si>
  <si>
    <t>COMPACTADOR DE SOLOS DE PERCUSSÃO (SOQUETE) COM MOTOR A GASOLINA 4 TEMPOS, POTÊNCIA 4 CV - CHP DIURNO. AF_08/2015</t>
  </si>
  <si>
    <t>00000370</t>
  </si>
  <si>
    <t>AREIA MEDIA - POSTO JAZIDA/FORNECEDOR (RETIRADO NA JAZIDA, SEM TRANSPORTE)</t>
  </si>
  <si>
    <t>Observações:  COPIA EMBASA - BA - 2026 SEM DESONERAÇÃO (REF: 01/2026) 50292 - 05.05.01</t>
  </si>
  <si>
    <t>​CLI-003​ CORTINA DE AR COM DUAS VELOCIDADES, PARA VAO DE 1, 50M.FORNECIMENTO E COLOCACÃO.​ (UN)</t>
  </si>
  <si>
    <t>40054</t>
  </si>
  <si>
    <t>CORTINA DE AR COM DUAS VELOCIDADES, PARA VAO DE 1,50M</t>
  </si>
  <si>
    <t>Observações: 3% - DESGASTE DE FERRAMENTAS E EPI COPIA EMOP - RJ - 2026/04 (REF: 05/2026) 51289 - 18.030.0100-0</t>
  </si>
  <si>
    <t>​CAB-001​ Antena WI-FI dual band access point, bandas simultâneas - 1750Mbps​ (UN)</t>
  </si>
  <si>
    <t>P.17.000.042542</t>
  </si>
  <si>
    <t>Antema WI-FI dual band access point, banda 450Mbps em 2.4GHz e 1300Mbps em 5GHz, compatível em PoE (802,3at); ref. AC1750 - EAP245 TP-Link ou equivalente</t>
  </si>
  <si>
    <t>SP Obras</t>
  </si>
  <si>
    <t>Observações:  COPIA SP Obras - SP - 201 SEM DESONERAÇÃO (REF: 04/2026) 50901
69.10.152</t>
  </si>
  <si>
    <t>​CAB-002​ Ponto seco para instalação de som, tv, alarme e lógica, incluindo caixa com espelho​ (UND)</t>
  </si>
  <si>
    <t>I041588</t>
  </si>
  <si>
    <t>CAIXA PVC 4" X 4" - IP40 - TIGRE OU EQUIVALENTE</t>
  </si>
  <si>
    <t>00038096</t>
  </si>
  <si>
    <t>ESPELHO / PLACA DE 2 POSTOS 4" X 4", PARA INSTALACAO DE TOMADAS E INTERRUPTORES</t>
  </si>
  <si>
    <t xml:space="preserve">Observações: COMPOSIÇÃO DE REFERÊNCIA: TCPO/PINI 3R 27 21 00 00 00 00 05 02
</t>
  </si>
  <si>
    <t>​CAB-003​ Fornecimento e lançamento de cabo utp 4 pares cat 6​ (m)</t>
  </si>
  <si>
    <t>I043287</t>
  </si>
  <si>
    <t>CABO UTP 4P CAT.6</t>
  </si>
  <si>
    <t>Observações:  COPIA ORSE - SE - 2026/02 (REF: 03/2026) 50787 - S07138</t>
  </si>
  <si>
    <t>​CAB-004​ CURVA 90 GRAUS PARA ELETRODUTO, PVC, ROSCÁVEL, DN 32 MM (1"), PARA CIRCUITOS TERMINAIS - FORNECIMENTO E INSTALAÇÃO.​ (UN)</t>
  </si>
  <si>
    <t>00001884</t>
  </si>
  <si>
    <t>CURVA 90 GRAUS, LONGA, DE PVC RIGIDO ROSCAVEL, DE 1", PARA ELETRODUTO</t>
  </si>
  <si>
    <t>Observações:  COPIA SINAPI - ES - 2026/03 SEM DESONERAÇÃO (REF: 04/2026) 91893</t>
  </si>
  <si>
    <t>​SPDA-001​ Pára-raio tipo Franklin montado em mastro de Ø 2" x 4000 mm​ (cj)</t>
  </si>
  <si>
    <t>1002</t>
  </si>
  <si>
    <t>Captor Franklin de latão - 4 pontas com 1 descida (tipo de acabamento: cromado / diâmetro da seção: 350,00 mm)</t>
  </si>
  <si>
    <t>2722</t>
  </si>
  <si>
    <t>Mastro de ferro galvanizado para pára-raios simples (comprimento: 4,00 m / diâmetro da seção: 2 ")</t>
  </si>
  <si>
    <t>Observações:  COPIA CPTM - SP - 2026/01 (REF: 04/2026) 02.03.13.100.02</t>
  </si>
  <si>
    <t>​SPDA-002​ Terminal aéreo em aço galvanizado 3/8" x 50cm, com fixação horizontal​ (un)</t>
  </si>
  <si>
    <t>I09086</t>
  </si>
  <si>
    <t>Terminal aéreo 3/8" x 50cm ref.TEL 045 ou similar</t>
  </si>
  <si>
    <t>Observações:  COPIA ORSE - SE - 2026/02 (REF: 03/2026) S08795</t>
  </si>
  <si>
    <t>​PPCI-001​ BLOCO AUTÔNOMO DE ILUMINAÇÃO DE EMERGÊNCIA COM DOIS REFLETORES​ (UN)</t>
  </si>
  <si>
    <t>I07607</t>
  </si>
  <si>
    <t>Luminaria autônoma de emergencia com lâmapda halógena H3/12v, ref. Lux 110, da Luxtron ou similar</t>
  </si>
  <si>
    <t>Observações:  COPIA SINAPI - ES - 2026/04 SEM DESONERAÇÃO (REF: 05/2026) 51344 - 105555</t>
  </si>
  <si>
    <t>​S130230​ Piso argamassa alta resistência tipo granilite ou equiv de qualidade comprovada, esp de 10mm, com juntas plástica em quadros de 1m, colorido com pó xadrez, com acabamento anti-derrapante mecanizado, inclusive regularização e=3.0cm​ (m2)</t>
  </si>
  <si>
    <t>I035504</t>
  </si>
  <si>
    <t>AGREGADO DE ALTA RESISTENCIA PARA PISOS</t>
  </si>
  <si>
    <t>I020508</t>
  </si>
  <si>
    <t>CIMENTO PORTLAND CP III - 40</t>
  </si>
  <si>
    <t>I035114</t>
  </si>
  <si>
    <t>JUNTA DE DILATACAO PLASTICA</t>
  </si>
  <si>
    <t>I950101</t>
  </si>
  <si>
    <t>MAQUINA ELETRICA P/ POLIMENTO PISO - REF TAB SINAPI</t>
  </si>
  <si>
    <t>I078735</t>
  </si>
  <si>
    <t>TIJOLO ESMERIL 76,2X76,2X50,8 MM</t>
  </si>
  <si>
    <t>I034544</t>
  </si>
  <si>
    <t>XADREZ (PO CORANTE TIPO XADREZ MARCA DE REF.)</t>
  </si>
  <si>
    <t>S130106</t>
  </si>
  <si>
    <t>regularizacao de base para revestimento de pisos c/ argamassa de alta resistencia, empregando argamassa de cimento e areia no traco 1:3 e espessura de 3 cm</t>
  </si>
  <si>
    <t>Observações:  COPIA IOPES - ES - 2026/01 (REF: 03/2026) S130230 E S130210</t>
  </si>
  <si>
    <t>​PAI-003​ PLANTIO DE ONZE HORAS​ (UND)</t>
  </si>
  <si>
    <t>00000360</t>
  </si>
  <si>
    <t>MUDA DE RASTEIRA/FORRACAO, AMENDOIM RASTEIRO/ONZE HORAS/AZULZINHA/IMPATIENS OU EQUIVALENTE DA REGIAO</t>
  </si>
  <si>
    <t>I010126</t>
  </si>
  <si>
    <t>JARDINEIRO (OFICIAL - SINDUSCON)</t>
  </si>
  <si>
    <t>Observações:  COPIA SINAPI - ES - 2026/04 SEM DESONERAÇÃO (REF: 05/2026) 51344 - 98505</t>
  </si>
  <si>
    <t>Tabela Referencial de Preços - COTAÇÃO</t>
  </si>
  <si>
    <t>Data Base: Março/2026</t>
  </si>
  <si>
    <t>Serviço:115 Elemento escultórico de placas de aço corten perfuradas – fornecimento e instalação</t>
  </si>
  <si>
    <t>Unidade: ud</t>
  </si>
  <si>
    <t>(A) Equipamento</t>
  </si>
  <si>
    <t>Código</t>
  </si>
  <si>
    <t>CT</t>
  </si>
  <si>
    <t>Ut. Pr.</t>
  </si>
  <si>
    <t>Ut. Imp</t>
  </si>
  <si>
    <t>Vl. Hr. Prod</t>
  </si>
  <si>
    <t>Vl. Hr. Imp.</t>
  </si>
  <si>
    <t>Consumo</t>
  </si>
  <si>
    <t>Custo Horário</t>
  </si>
  <si>
    <t>(A) Total:</t>
  </si>
  <si>
    <t>(B) Mão-de-Obra</t>
  </si>
  <si>
    <t>Unid.</t>
  </si>
  <si>
    <t>Sal/unid.</t>
  </si>
  <si>
    <t>(B) Total:</t>
  </si>
  <si>
    <t>(C) Itens de Incidência</t>
  </si>
  <si>
    <t>%</t>
  </si>
  <si>
    <t>M. O.</t>
  </si>
  <si>
    <t>Equip.</t>
  </si>
  <si>
    <t>Mat.</t>
  </si>
  <si>
    <t>Custo</t>
  </si>
  <si>
    <t>(C) Total:</t>
  </si>
  <si>
    <t>Custo Horário da Execução (A) + (B) + (C)</t>
  </si>
  <si>
    <t>(D) Produção da Equipe</t>
  </si>
  <si>
    <t>(E) Custo Unit da Execução [(A) + (B) + (C)] / (D)</t>
  </si>
  <si>
    <t>(F) Materiais</t>
  </si>
  <si>
    <t>Custo Unit</t>
  </si>
  <si>
    <t>Custo Unitário</t>
  </si>
  <si>
    <t>(F) Total:</t>
  </si>
  <si>
    <t>(G) Serviços</t>
  </si>
  <si>
    <t xml:space="preserve">Base </t>
  </si>
  <si>
    <t>Fornecimento e instalação de elemento escultórico de placas de aço corten perfuradas</t>
  </si>
  <si>
    <t>-</t>
  </si>
  <si>
    <t>Mercado</t>
  </si>
  <si>
    <t>ud</t>
  </si>
  <si>
    <t>(G) Total:</t>
  </si>
  <si>
    <t>(H) Itens de Transporte</t>
  </si>
  <si>
    <t>Fórmula</t>
  </si>
  <si>
    <t>X1</t>
  </si>
  <si>
    <t>X2</t>
  </si>
  <si>
    <t>Custo Unit.</t>
  </si>
  <si>
    <t>(H) Total:</t>
  </si>
  <si>
    <t>COTAÇÃO DE MERCADO</t>
  </si>
  <si>
    <t>VALOR</t>
  </si>
  <si>
    <t>CASA DO CORTEN</t>
  </si>
  <si>
    <t>Custo Direto Total (E) + (F) + (G) + (H)</t>
  </si>
  <si>
    <t>COPPERMAX</t>
  </si>
  <si>
    <t>BDI: 33,25%</t>
  </si>
  <si>
    <t>PREÇO MÉDIO</t>
  </si>
  <si>
    <t>Preço Unitário Total</t>
  </si>
  <si>
    <t>​88238​ AJUDANTE DE ARMADOR COM ENCARGOS COMPLEMENTARES​ (H)</t>
  </si>
  <si>
    <t>00037370</t>
  </si>
  <si>
    <t>ALIMENTACAO - HORISTA (COLETADO CAIXA - ENCARGOS COMPLEMENTARES)</t>
  </si>
  <si>
    <t>00043489</t>
  </si>
  <si>
    <t>EPI - FAMILIA PEDREIRO - HORISTA (ENCARGOS COMPLEMENTARES - COLETADO CAIXA)</t>
  </si>
  <si>
    <t>00037372</t>
  </si>
  <si>
    <t>EXAMES - HORISTA (COLETADO CAIXA - ENCARGOS COMPLEMENTARES)</t>
  </si>
  <si>
    <t>00043465</t>
  </si>
  <si>
    <t>FERRAMENTAS - FAMILIA PEDREIRO - HORISTA (ENCARGOS COMPLEMENTARES - COLETADO CAIXA)</t>
  </si>
  <si>
    <t>00037373</t>
  </si>
  <si>
    <t>SEGURO - HORISTA (COLETADO CAIXA - ENCARGOS COMPLEMENTARES)</t>
  </si>
  <si>
    <t>00037371</t>
  </si>
  <si>
    <t>TRANSPORTE - HORISTA (COLETADO CAIXA - ENCARGOS COMPLEMENTARES)</t>
  </si>
  <si>
    <t>00006114</t>
  </si>
  <si>
    <t>AJUDANTE DE ARMADOR (HORISTA)</t>
  </si>
  <si>
    <t>95308</t>
  </si>
  <si>
    <t>CURSO DE CAPACITAÇÃO PARA AJUDANTE DE ARMADOR (ENCARGOS COMPLEMENTARES) - HORISTA</t>
  </si>
  <si>
    <t>​88239​ AJUDANTE DE CARPINTEIRO COM ENCARGOS COMPLEMENTARES​ (H)</t>
  </si>
  <si>
    <t>00043483</t>
  </si>
  <si>
    <t>EPI - FAMILIA CARPINTEIRO DE FORMAS - HORISTA (ENCARGOS COMPLEMENTARES - COLETADO CAIXA)</t>
  </si>
  <si>
    <t>00043459</t>
  </si>
  <si>
    <t>FERRAMENTAS - FAMILIA CARPINTEIRO DE FORMAS - HORISTA (ENCARGOS COMPLEMENTARES - COLETADO CAIXA)</t>
  </si>
  <si>
    <t>00006117</t>
  </si>
  <si>
    <t>CARPINTEIRO AUXILIAR (HORISTA)</t>
  </si>
  <si>
    <t>95309</t>
  </si>
  <si>
    <t>CURSO DE CAPACITAÇÃO PARA AJUDANTE DE CARPINTEIRO (ENCARGOS COMPLEMENTARES) - HORISTA</t>
  </si>
  <si>
    <t>​88243​ AJUDANTE ESPECIALIZADO COM ENCARGOS COMPLEMENTARES​ (H)</t>
  </si>
  <si>
    <t>00043491</t>
  </si>
  <si>
    <t>EPI - FAMILIA SERVENTE - HORISTA (ENCARGOS COMPLEMENTARES - COLETADO CAIXA)</t>
  </si>
  <si>
    <t>00043467</t>
  </si>
  <si>
    <t>FERRAMENTAS - FAMILIA SERVENTE - HORISTA (ENCARGOS COMPLEMENTARES - COLETADO CAIXA)</t>
  </si>
  <si>
    <t>00000242</t>
  </si>
  <si>
    <t>AJUDANTE ESPECIALIZADO (HORISTA)</t>
  </si>
  <si>
    <t>95313</t>
  </si>
  <si>
    <t>CURSO DE CAPACITAÇÃO PARA AJUDANTE ESPECIALIZADO (ENCARGOS COMPLEMENTARES) - HORISTA</t>
  </si>
  <si>
    <t>​87367​ ARGAMASSA TRAÇO 1:1:6 (EM VOLUME DE CIMENTO, CAL E AREIA MÉDIA ÚMIDA) PARA EMBOÇO/MASSA ÚNICA/ASSENTAMENTO DE ALVENARIA DE VEDAÇÃO, PREPARO MANUAL. AF_08/2019​ (M3)</t>
  </si>
  <si>
    <t>00001106</t>
  </si>
  <si>
    <t>CAL HIDRATADA CH-I PARA ARGAMASSAS</t>
  </si>
  <si>
    <t>00001379</t>
  </si>
  <si>
    <t>CIMENTO PORTLAND COMPOSTO CP II-32</t>
  </si>
  <si>
    <t>88316</t>
  </si>
  <si>
    <t>SERVENTE COM ENCARGOS COMPLEMENTARES</t>
  </si>
  <si>
    <t>​88245​ ARMADOR COM ENCARGOS COMPLEMENTARES​ (H)</t>
  </si>
  <si>
    <t>00000378</t>
  </si>
  <si>
    <t>ARMADOR (HORISTA)</t>
  </si>
  <si>
    <t>95314</t>
  </si>
  <si>
    <t>CURSO DE CAPACITAÇÃO PARA ARMADOR (ENCARGOS COMPLEMENTARES) - HORISTA</t>
  </si>
  <si>
    <t>​95946​ ARMAÇÃO DE ESCADA, DE UMA ESTRUTURA CONVENCIONAL DE CONCRETO ARMADO UTILIZANDO AÇO CA-50 DE 10,0 MM - MONTAGEM. AF_11/2020​ (KG)</t>
  </si>
  <si>
    <t>00043132</t>
  </si>
  <si>
    <t>ARAME RECOZIDO 16 BWG, D = 1,65 MM (0,016 KG/M) OU 18 BWG, D = 1,25 MM (0,01 KG/M)</t>
  </si>
  <si>
    <t>00039017</t>
  </si>
  <si>
    <t>ESPACADOR / DISTANCIADOR CIRCULAR COM ENTRADA LATERAL, EM PLASTICO, PARA VERGALHAO *4,2 A 12,5* MM, COBRIMENTO 20 MM</t>
  </si>
  <si>
    <t>88238</t>
  </si>
  <si>
    <t>AJUDANTE DE ARMADOR COM ENCARGOS COMPLEMENTARES</t>
  </si>
  <si>
    <t>88245</t>
  </si>
  <si>
    <t>ARMADOR COM ENCARGOS COMPLEMENTARES</t>
  </si>
  <si>
    <t>92803</t>
  </si>
  <si>
    <t>CORTE E DOBRA DE AÇO CA-50, DIÂMETRO DE 10,0 MM. AF_06/2022</t>
  </si>
  <si>
    <t>​95947​ ARMAÇÃO DE ESCADA, DE UMA ESTRUTURA CONVENCIONAL DE CONCRETO ARMADO UTILIZANDO AÇO CA-50 DE 12,5 MM - MONTAGEM. AF_11/2020​ (KG)</t>
  </si>
  <si>
    <t>92804</t>
  </si>
  <si>
    <t>CORTE E DOBRA DE AÇO CA-50, DIÂMETRO DE 12,5 MM. AF_06/2022</t>
  </si>
  <si>
    <t>​95943​ ARMAÇÃO DE ESCADA, DE UMA ESTRUTURA CONVENCIONAL DE CONCRETO ARMADO UTILIZANDO AÇO CA-60 DE 5,0 MM - MONTAGEM. AF_11/2020​ (KG)</t>
  </si>
  <si>
    <t>92800</t>
  </si>
  <si>
    <t>CORTE E DOBRA DE AÇO CA-60, DIÂMETRO DE 5,0 MM. AF_06/2022</t>
  </si>
  <si>
    <t>​88247​ AUXILIAR DE ELETRICISTA COM ENCARGOS COMPLEMENTARES​ (H)</t>
  </si>
  <si>
    <t>00043484</t>
  </si>
  <si>
    <t>EPI - FAMILIA ELETRICISTA - HORISTA (ENCARGOS COMPLEMENTARES - COLETADO CAIXA)</t>
  </si>
  <si>
    <t>00043460</t>
  </si>
  <si>
    <t>FERRAMENTAS - FAMILIA ELETRICISTA - HORISTA (ENCARGOS COMPLEMENTARES - COLETADO CAIXA)</t>
  </si>
  <si>
    <t>95316</t>
  </si>
  <si>
    <t>CURSO DE CAPACITAÇÃO PARA AUXILIAR DE ELETRICISTA (ENCARGOS COMPLEMENTARES) - HORISTA</t>
  </si>
  <si>
    <t>​88248​ AUXILIAR DE ENCANADOR OU BOMBEIRO HIDRÁULICO COM ENCARGOS COMPLEMENTARES​ (H)</t>
  </si>
  <si>
    <t>00043485</t>
  </si>
  <si>
    <t>EPI - FAMILIA ENCANADOR - HORISTA (ENCARGOS COMPLEMENTARES - COLETADO CAIXA)</t>
  </si>
  <si>
    <t>00043461</t>
  </si>
  <si>
    <t>FERRAMENTAS - FAMILIA ENCANADOR - HORISTA (ENCARGOS COMPLEMENTARES - COLETADO CAIXA)</t>
  </si>
  <si>
    <t>00000246</t>
  </si>
  <si>
    <t>AUXILIAR DE ENCANADOR OU BOMBEIRO HIDRAULICO (HORISTA)</t>
  </si>
  <si>
    <t>95317</t>
  </si>
  <si>
    <t>CURSO DE CAPACITAÇÃO PARA AUXILIAR DE ENCANADOR OU BOMBEIRO HIDRÁULICO (ENCARGOS COMPLEMENTARES) - HORISTA</t>
  </si>
  <si>
    <t>​88256​ AZULEJISTA OU LADRILHEIRO COM ENCARGOS COMPLEMENTARES​ (H)</t>
  </si>
  <si>
    <t>00004760</t>
  </si>
  <si>
    <t>AZULEJISTA OU LADRILHEIRO (HORISTA)</t>
  </si>
  <si>
    <t>95324</t>
  </si>
  <si>
    <t>CURSO DE CAPACITAÇÃO PARA AZULEJISTA OU LADRILHEIRO (ENCARGOS COMPLEMENTARES) - HORISTA</t>
  </si>
  <si>
    <t>​S12032​ Argamassa cal e areia traço 1:4 - Confecção mecânica e transporte​ (m3)</t>
  </si>
  <si>
    <t>S10549</t>
  </si>
  <si>
    <t>Encargos Complementares - Servente</t>
  </si>
  <si>
    <t>I00366S</t>
  </si>
  <si>
    <t>Areia fina - posto jazida/fornecedor (retirado na jazida, sem transporte)</t>
  </si>
  <si>
    <t>I01106S</t>
  </si>
  <si>
    <t>Cal hidratada ch-i para argamassas</t>
  </si>
  <si>
    <t>I06111S</t>
  </si>
  <si>
    <t>Servente de obras (horista)</t>
  </si>
  <si>
    <t>​S03406​ Argamassa industrializada AC-I, Votomassa ou similar​ (kg)</t>
  </si>
  <si>
    <t>I00371S</t>
  </si>
  <si>
    <t>Argamassa industrializada multiuso, para revestimento interno e externo e assentamento de blocos diversos</t>
  </si>
  <si>
    <t>​88831​ BETONEIRA CAPACIDADE NOMINAL DE 400 L, CAPACIDADE DE MISTURA 280 L, MOTOR ELÉTRICO TRIFÁSICO POTÊNCIA DE 2 CV, SEM CARREGADOR - CHI DIURNO. AF_05/2023​ (CHI)</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</si>
  <si>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</si>
  <si>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</si>
  <si>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</si>
  <si>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</si>
  <si>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​88830​ BETONEIRA CAPACIDADE NOMINAL DE 400 L, CAPACIDADE DE MISTURA 280 L, MOTOR ELÉTRICO TRIFÁSICO POTÊNCIA DE 2 CV, SEM CARREGADOR - CHP DIURNO. AF_05/2023​ (CHP)</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</si>
  <si>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</si>
  <si>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</si>
  <si>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</si>
  <si>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</si>
  <si>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​88826​ BETONEIRA CAPACIDADE NOMINAL DE 400 L, CAPACIDADE DE MISTURA 280 L, MOTOR ELÉTRICO TRIFÁSICO POTÊNCIA DE 2 CV, SEM CARREGADOR - DEPRECIAÇÃO. AF_05/2023​ (H)</t>
  </si>
  <si>
    <t>Equipamento</t>
  </si>
  <si>
    <t>00010535</t>
  </si>
  <si>
    <t>BETONEIRA, CAPACIDADE NOMINAL 400 L, CAPACIDADE DE MISTURA 280 L, MOTOR ELETRICO TRIFASICO 220/380 V, POTENCIA 2 CV, SEM CARREGADOR</t>
  </si>
  <si>
    <t>TOTAL Equipamento:</t>
  </si>
  <si>
    <t>​88827​ BETONEIRA CAPACIDADE NOMINAL DE 400 L, CAPACIDADE DE MISTURA 280 L, MOTOR ELÉTRICO TRIFÁSICO POTÊNCIA DE 2 CV, SEM CARREGADOR - JUROS. AF_05/2023​ (H)</t>
  </si>
  <si>
    <t>​88828​ BETONEIRA CAPACIDADE NOMINAL DE 400 L, CAPACIDADE DE MISTURA 280 L, MOTOR ELÉTRICO TRIFÁSICO POTÊNCIA DE 2 CV, SEM CARREGADOR - MANUTENÇÃO. AF_05/2023​ (H)</t>
  </si>
  <si>
    <t>​88829​ BETONEIRA CAPACIDADE NOMINAL DE 400 L, CAPACIDADE DE MISTURA 280 L, MOTOR ELÉTRICO TRIFÁSICO POTÊNCIA DE 2 CV, SEM CARREGADOR - MATERIAIS NA OPERAÇÃO. AF_05/2023​ (H)</t>
  </si>
  <si>
    <t>Especiais</t>
  </si>
  <si>
    <t>00002705</t>
  </si>
  <si>
    <t>ENERGIA ELETRICA ATE 2000 KWH INDUSTRIAL, SEM DEMANDA</t>
  </si>
  <si>
    <t>KWH</t>
  </si>
  <si>
    <t>TOTAL Especiais:</t>
  </si>
  <si>
    <t>​02.01.08.100.215​ Bandeira veneziana de alumínio anodizado para porta​ (m²)</t>
  </si>
  <si>
    <t>2943</t>
  </si>
  <si>
    <t>Bucha de nylon sem aba S10, com parafuso de 6,10 x 65 mm em aço zincado com rosca soberba, cabeça chata e fenda Phillips</t>
  </si>
  <si>
    <t>6999</t>
  </si>
  <si>
    <t>Paleta em alumínio anodizado para veneziana</t>
  </si>
  <si>
    <t>7000</t>
  </si>
  <si>
    <t>Perfil U / Canaleta de alumínio, de abas iguais, 1/2" (1,27 x 1,27 cm), para porta ou janela de correr</t>
  </si>
  <si>
    <t>7001</t>
  </si>
  <si>
    <t>Tubo de alumínio anodizado 30 mm x 20 mm x 2 mm</t>
  </si>
  <si>
    <t>7002</t>
  </si>
  <si>
    <t>Tubo de alumínio anodizado 4" x 2" x 2 mm</t>
  </si>
  <si>
    <t>101</t>
  </si>
  <si>
    <t>Ajudante de serralheiro (com encargos)</t>
  </si>
  <si>
    <t>3660</t>
  </si>
  <si>
    <t>Serralheiro (com encargos)</t>
  </si>
  <si>
    <t>​91935​ CABO DE COBRE FLEXÍVEL ISOLADO, 16 MM², ANTI-CHAMA 0,6/1,0 KV, PARA CIRCUITOS TERMINAIS - FORNECIMENTO E INSTALAÇÃO. AF_03/2023​ (M)</t>
  </si>
  <si>
    <t>00000995</t>
  </si>
  <si>
    <t>CABO DE COBRE, FLEXIVEL, CLASSE 4 OU 5, ISOLACAO EM PVC/A, ANTICHAMA BWF-B, COBERTURA PVC-ST1, ANTICHAMA BWF-B, 1 CONDUTOR, 0,6/1 KV, SECAO NOMINAL 16 MM2</t>
  </si>
  <si>
    <t>00021127</t>
  </si>
  <si>
    <t>FITA ISOLANTE ADESIVA ANTICHAMA, USO ATE 750 V, EM ROLO DE 19 MM X 5 M</t>
  </si>
  <si>
    <t>​91387​ CAMINHÃO BASCULANTE 10 M3, TRUCADO CABINE SIMPLES, PESO BRUTO TOTAL 23.000 KG, CARGA ÚTIL MÁXIMA 15.935 KG, DISTÂNCIA ENTRE EIXOS 4,80 M, POTÊNCIA 230 CV INCLUSIVE CAÇAMBA METÁLICA - CHI DIURNO. AF_06/2014​ (CHI)</t>
  </si>
  <si>
    <t>88281</t>
  </si>
  <si>
    <t>MOTORISTA DE BASCULANTE COM ENCARGOS COMPLEMENTARES</t>
  </si>
  <si>
    <t>91380</t>
  </si>
  <si>
    <t>CAMINHÃO BASCULANTE 10 M3, TRUCADO CABINE SIMPLES, PESO BRUTO TOTAL 23.000 KG, CARGA ÚTIL MÁXIMA 15.935 KG, DISTÂNCIA ENTRE EIXOS 4,80 M, POTÊNCIA 230 CV INCLUSIVE CAÇAMBA METÁLICA - DEPRECIAÇÃO. AF_06/2014</t>
  </si>
  <si>
    <t>91382</t>
  </si>
  <si>
    <t>CAMINHÃO BASCULANTE 10 M3, TRUCADO CABINE SIMPLES, PESO BRUTO TOTAL 23.000 KG, CARGA ÚTIL MÁXIMA 15.935 KG, DISTÂNCIA ENTRE EIXOS 4,80 M, POTÊNCIA 230 CV INCLUSIVE CAÇAMBA METÁLICA - IMPOSTOS E SEGUROS. AF_06/2014</t>
  </si>
  <si>
    <t>91381</t>
  </si>
  <si>
    <t>CAMINHÃO BASCULANTE 10 M3, TRUCADO CABINE SIMPLES, PESO BRUTO TOTAL 23.000 KG, CARGA ÚTIL MÁXIMA 15.935 KG, DISTÂNCIA ENTRE EIXOS 4,80 M, POTÊNCIA 230 CV INCLUSIVE CAÇAMBA METÁLICA - JUROS. AF_06/2014</t>
  </si>
  <si>
    <t>​91386​ CAMINHÃO BASCULANTE 10 M3, TRUCADO CABINE SIMPLES, PESO BRUTO TOTAL 23.000 KG, CARGA ÚTIL MÁXIMA 15.935 KG, DISTÂNCIA ENTRE EIXOS 4,80 M, POTÊNCIA 230 CV INCLUSIVE CAÇAMBA METÁLICA - CHP DIURNO. AF_06/2014​ (CHP)</t>
  </si>
  <si>
    <t>91383</t>
  </si>
  <si>
    <t>CAMINHÃO BASCULANTE 10 M3, TRUCADO CABINE SIMPLES, PESO BRUTO TOTAL 23.000 KG, CARGA ÚTIL MÁXIMA 15.935 KG, DISTÂNCIA ENTRE EIXOS 4,80 M, POTÊNCIA 230 CV INCLUSIVE CAÇAMBA METÁLICA - MANUTENÇÃO. AF_06/2014</t>
  </si>
  <si>
    <t>91384</t>
  </si>
  <si>
    <t>CAMINHÃO BASCULANTE 10 M3, TRUCADO CABINE SIMPLES, PESO BRUTO TOTAL 23.000 KG, CARGA ÚTIL MÁXIMA 15.935 KG, DISTÂNCIA ENTRE EIXOS 4,80 M, POTÊNCIA 230 CV INCLUSIVE CAÇAMBA METÁLICA - MATERIAIS NA OPERAÇÃO. AF_06/2014</t>
  </si>
  <si>
    <t>​91380​ CAMINHÃO BASCULANTE 10 M3, TRUCADO CABINE SIMPLES, PESO BRUTO TOTAL 23.000 KG, CARGA ÚTIL MÁXIMA 15.935 KG, DISTÂNCIA ENTRE EIXOS 4,80 M, POTÊNCIA 230 CV INCLUSIVE CAÇAMBA METÁLICA - DEPRECIAÇÃO. AF_06/2014​ (H)</t>
  </si>
  <si>
    <t>00037734</t>
  </si>
  <si>
    <t>CACAMBA METALICA BASCULANTE COM CAPACIDADE DE 10 M3 (INCLUI MONTAGEM, NAO INCLUI CAMINHAO)</t>
  </si>
  <si>
    <t>00037758</t>
  </si>
  <si>
    <t>CAMINHAO TRUCADO, PESO BRUTO TOTAL 23000 KG, CARGA UTIL MAXIMA 15285 KG, DISTANCIA ENTRE EIXOS 4,80 M, POTENCIA 326 CV (INCLUI CABINE E CHASSI, NAO INCLUI CARROCERIA)</t>
  </si>
  <si>
    <t>​91382​ CAMINHÃO BASCULANTE 10 M3, TRUCADO CABINE SIMPLES, PESO BRUTO TOTAL 23.000 KG, CARGA ÚTIL MÁXIMA 15.935 KG, DISTÂNCIA ENTRE EIXOS 4,80 M, POTÊNCIA 230 CV INCLUSIVE CAÇAMBA METÁLICA - IMPOSTOS E SEGUROS. AF_06/2014​ (H)</t>
  </si>
  <si>
    <t>​91381​ CAMINHÃO BASCULANTE 10 M3, TRUCADO CABINE SIMPLES, PESO BRUTO TOTAL 23.000 KG, CARGA ÚTIL MÁXIMA 15.935 KG, DISTÂNCIA ENTRE EIXOS 4,80 M, POTÊNCIA 230 CV INCLUSIVE CAÇAMBA METÁLICA - JUROS. AF_06/2014​ (H)</t>
  </si>
  <si>
    <t>​91383​ CAMINHÃO BASCULANTE 10 M3, TRUCADO CABINE SIMPLES, PESO BRUTO TOTAL 23.000 KG, CARGA ÚTIL MÁXIMA 15.935 KG, DISTÂNCIA ENTRE EIXOS 4,80 M, POTÊNCIA 230 CV INCLUSIVE CAÇAMBA METÁLICA - MANUTENÇÃO. AF_06/2014​ (H)</t>
  </si>
  <si>
    <t>​91384​ CAMINHÃO BASCULANTE 10 M3, TRUCADO CABINE SIMPLES, PESO BRUTO TOTAL 23.000 KG, CARGA ÚTIL MÁXIMA 15.935 KG, DISTÂNCIA ENTRE EIXOS 4,80 M, POTÊNCIA 230 CV INCLUSIVE CAÇAMBA METÁLICA - MATERIAIS NA OPERAÇÃO. AF_06/2014​ (H)</t>
  </si>
  <si>
    <t>00004221</t>
  </si>
  <si>
    <t>OLEO DIESEL COMBUSTIVEL COMUM METROPOLITANO S-10 OU S-500</t>
  </si>
  <si>
    <t>​88262​ CARPINTEIRO DE FORMAS COM ENCARGOS COMPLEMENTARES​ (H)</t>
  </si>
  <si>
    <t>00001213</t>
  </si>
  <si>
    <t>CARPINTEIRO DE FORMAS PARA CONCRETO (HORISTA)</t>
  </si>
  <si>
    <t>95330</t>
  </si>
  <si>
    <t>CURSO DE CAPACITAÇÃO PARA CARPINTEIRO DE FÔRMAS (ENCARGOS COMPLEMENTARES) - HORISTA</t>
  </si>
  <si>
    <t>​91533​ COMPACTADOR DE SOLOS DE PERCUSSÃO (SOQUETE) COM MOTOR A GASOLINA 4 TEMPOS, POTÊNCIA 4 CV - CHP DIURNO. AF_08/2015​ (CHP)</t>
  </si>
  <si>
    <t>88297</t>
  </si>
  <si>
    <t>OPERADOR DE MÁQUINAS E EQUIPAMENTOS COM ENCARGOS COMPLEMENTARES</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</si>
  <si>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</si>
  <si>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</si>
  <si>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</si>
  <si>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</si>
  <si>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</si>
  <si>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</si>
  <si>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</si>
  <si>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</si>
  <si>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​91529​ COMPACTADOR DE SOLOS DE PERCUSSÃO (SOQUETE) COM MOTOR A GASOLINA 4 TEMPOS, POTÊNCIA 4 CV - DEPRECIAÇÃO. AF_08/2015​ (H)</t>
  </si>
  <si>
    <t>00013458</t>
  </si>
  <si>
    <t>COMPACTADOR DE SOLOS DE PERCURSAO (SOQUETE) COM MOTOR A GASOLINA 4 TEMPOS DE 4 HP (4 CV)</t>
  </si>
  <si>
    <t>​91530​ COMPACTADOR DE SOLOS DE PERCUSSÃO (SOQUETE) COM MOTOR A GASOLINA 4 TEMPOS, POTÊNCIA 4 CV - JUROS. AF_08/2015​ (H)</t>
  </si>
  <si>
    <t>​91531​ COMPACTADOR DE SOLOS DE PERCUSSÃO (SOQUETE) COM MOTOR A GASOLINA 4 TEMPOS, POTÊNCIA 4 CV - MANUTENÇÃO. AF_08/2015​ (H)</t>
  </si>
  <si>
    <t>​91532​ COMPACTADOR DE SOLOS DE PERCUSSÃO (SOQUETE) COM MOTOR A GASOLINA 4 TEMPOS, POTÊNCIA 4 CV - MATERIAIS NA OPERAÇÃO. AF_08/2015​ (H)</t>
  </si>
  <si>
    <t>00004222</t>
  </si>
  <si>
    <t>GASOLINA COMUM</t>
  </si>
  <si>
    <t>​90965​ COMPRESSOR DE AR REBOCÁVEL, VAZÃO 89 PCM, PRESSÃO EFETIVA DE TRABALHO 102 PSI, MOTOR DIESEL, POTÊNCIA 20 CV - CHI DIURNO. AF_06/2015​ (CHI)</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</si>
  <si>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</si>
  <si>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</si>
  <si>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</si>
  <si>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</si>
  <si>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​90964​ COMPRESSOR DE AR REBOCÁVEL, VAZÃO 89 PCM, PRESSÃO EFETIVA DE TRABALHO 102 PSI, MOTOR DIESEL, POTÊNCIA 20 CV - CHP DIURNO. AF_06/2015​ (CHP)</t>
  </si>
  <si>
    <t>90962</t>
  </si>
  <si>
    <t>COMPRESSOR DE AR REBOCÁVEL, VAZÃO 89 PCM, PRESSÃO EFETIVA DE TRABALHO 102 PSI, MOTOR DIESEL, POTÊNCIA 20 CV - MANUTENÇÃO. AF_06/2015</t>
  </si>
  <si>
    <t>90963</t>
  </si>
  <si>
    <t>COMPRESSOR DE AR REBOCÁVEL, VAZÃO 89 PCM, PRESSÃO EFETIVA DE TRABALHO 102 PSI, MOTOR DIESEL, POTÊNCIA 20 CV - MATERIAIS NA OPERAÇÃO. AF_06/2015</t>
  </si>
  <si>
    <t>​90960​ COMPRESSOR DE AR REBOCÁVEL, VAZÃO 89 PCM, PRESSÃO EFETIVA DE TRABALHO 102 PSI, MOTOR DIESEL, POTÊNCIA 20 CV - DEPRECIAÇÃO. AF_06/2015​ (H)</t>
  </si>
  <si>
    <t>00013803</t>
  </si>
  <si>
    <t>COMPRESSOR DE AR REBOCAVEL, VAZAO 89 PCM, PRESSAO EFETIVA DE TRABALHO *102* PSI, MOTOR DIESEL, POTENCIA *20* CV</t>
  </si>
  <si>
    <t>​90961​ COMPRESSOR DE AR REBOCÁVEL, VAZÃO 89 PCM, PRESSÃO EFETIVA DE TRABALHO 102 PSI, MOTOR DIESEL, POTÊNCIA 20 CV - JUROS. AF_06/2015​ (H)</t>
  </si>
  <si>
    <t>​90962​ COMPRESSOR DE AR REBOCÁVEL, VAZÃO 89 PCM, PRESSÃO EFETIVA DE TRABALHO 102 PSI, MOTOR DIESEL, POTÊNCIA 20 CV - MANUTENÇÃO. AF_06/2015​ (H)</t>
  </si>
  <si>
    <t>​90963​ COMPRESSOR DE AR REBOCÁVEL, VAZÃO 89 PCM, PRESSÃO EFETIVA DE TRABALHO 102 PSI, MOTOR DIESEL, POTÊNCIA 20 CV - MATERIAIS NA OPERAÇÃO. AF_06/2015​ (H)</t>
  </si>
  <si>
    <t>​103675​ CONCRETAGEM DE VIGAS E LAJES, FCK=25 MPA, PARA LAJES MACIÇAS OU NERVURADAS COM USO DE BOMBA - LANÇAMENTO, ADENSAMENTO E ACABAMENTO. AF_02/2022_PS​ (M3)</t>
  </si>
  <si>
    <t>90587</t>
  </si>
  <si>
    <t>VIBRADOR DE IMERSÃO, DIÂMETRO DE PONTEIRA 45MM, MOTOR ELÉTRICO TRIFÁSICO POTÊNCIA DE 2 CV - CHI DIURNO. AF_06/2015</t>
  </si>
  <si>
    <t>90586</t>
  </si>
  <si>
    <t>VIBRADOR DE IMERSÃO, DIÂMETRO DE PONTEIRA 45MM, MOTOR ELÉTRICO TRIFÁSICO POTÊNCIA DE 2 CV - CHP DIURNO. AF_06/2015</t>
  </si>
  <si>
    <t>00001527</t>
  </si>
  <si>
    <t>CONCRETO USINADO BOMBEAVEL, CLASSE DE RESISTENCIA C25, BRITA 0 E 1, SLUMP = 100 +/- 20 MM, COM BOMBEAMENTO (DISPONIBILIZACAO DE BOMBA), SEM O LANCAMENTO (NBR 8953)</t>
  </si>
  <si>
    <t>88262</t>
  </si>
  <si>
    <t>CARPINTEIRO DE FORMAS COM ENCARGOS COMPLEMENTARES</t>
  </si>
  <si>
    <t>88309</t>
  </si>
  <si>
    <t>PEDREIRO COM ENCARGOS COMPLEMENTARES</t>
  </si>
  <si>
    <t>​94965​ CONCRETO FCK = 25MPA, TRAÇO 1:2,3:2,7 (EM MASSA SECA DE CIMENTO/ AREIA MÉDIA/ BRITA 1) - PREPARO MECÂNICO COM BETONEIRA 400 L. AF_05/2021​ (M3)</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</si>
  <si>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</si>
  <si>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</si>
  <si>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</si>
  <si>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</si>
  <si>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00004721</t>
  </si>
  <si>
    <t>PEDRA BRITADA N. 1 (9,5 A 19 MM) POSTO PEDREIRA/FORNECEDOR, SEM FRETE</t>
  </si>
  <si>
    <t>88377</t>
  </si>
  <si>
    <t>OPERADOR DE BETONEIRA ESTACIONÁRIA/MISTURADOR COM ENCARGOS COMPLEMENTARES</t>
  </si>
  <si>
    <t>​104749​ CONECTOR GRAMPO METÁLICO TIPO OLHAL, PARA SPDA, PARA HASTE DE ATERRAMENTO DE 3/4'' E CABOS DE 10 A 50 MM2 - FORNECIMENTO E INSTALAÇÃO. AF_08/2023​ (UN)</t>
  </si>
  <si>
    <t>00000416</t>
  </si>
  <si>
    <t>GRAMPO METALICO TIPO OLHAL PARA HASTE DE ATERRAMENTO DE 3/4", CONDUTOR DE *10* A 50 MM2</t>
  </si>
  <si>
    <t>​96977​ CORDOALHA DE COBRE NU 50 MM², ENTERRADA - FORNECIMENTO E INSTALAÇÃO. AF_08/2023​ (M)</t>
  </si>
  <si>
    <t>00000867</t>
  </si>
  <si>
    <t>CABO DE COBRE NU 50 MM2 MEIO-DURO</t>
  </si>
  <si>
    <t>​92803​ CORTE E DOBRA DE AÇO CA-50, DIÂMETRO DE 10,0 MM. AF_06/2022​ (KG)</t>
  </si>
  <si>
    <t>00000034</t>
  </si>
  <si>
    <t>ACO CA-50, 10,0 MM, VERGALHAO</t>
  </si>
  <si>
    <t>​92804​ CORTE E DOBRA DE AÇO CA-50, DIÂMETRO DE 12,5 MM. AF_06/2022​ (KG)</t>
  </si>
  <si>
    <t>00043055</t>
  </si>
  <si>
    <t>ACO CA-50, 12,5 MM OU 16,0 MM, VERGALHAO</t>
  </si>
  <si>
    <t>​92800​ CORTE E DOBRA DE AÇO CA-60, DIÂMETRO DE 5,0 MM. AF_06/2022​ (KG)</t>
  </si>
  <si>
    <t>00043059</t>
  </si>
  <si>
    <t>ACO CA-60, 4,2 MM, OU 5,0 MM, OU 6,0 MM, OU 7,0 MM, VERGALHAO</t>
  </si>
  <si>
    <t>​95308​ CURSO DE CAPACITAÇÃO PARA AJUDANTE DE ARMADOR (ENCARGOS COMPLEMENTARES) - HORISTA​ (H)</t>
  </si>
  <si>
    <t>​95309​ CURSO DE CAPACITAÇÃO PARA AJUDANTE DE CARPINTEIRO (ENCARGOS COMPLEMENTARES) - HORISTA​ (H)</t>
  </si>
  <si>
    <t>​95313​ CURSO DE CAPACITAÇÃO PARA AJUDANTE ESPECIALIZADO (ENCARGOS COMPLEMENTARES) - HORISTA​ (H)</t>
  </si>
  <si>
    <t>​95314​ CURSO DE CAPACITAÇÃO PARA ARMADOR (ENCARGOS COMPLEMENTARES) - HORISTA​ (H)</t>
  </si>
  <si>
    <t>​95316​ CURSO DE CAPACITAÇÃO PARA AUXILIAR DE ELETRICISTA (ENCARGOS COMPLEMENTARES) - HORISTA​ (H)</t>
  </si>
  <si>
    <t>​95317​ CURSO DE CAPACITAÇÃO PARA AUXILIAR DE ENCANADOR OU BOMBEIRO HIDRÁULICO (ENCARGOS COMPLEMENTARES) - HORISTA​ (H)</t>
  </si>
  <si>
    <t>​95324​ CURSO DE CAPACITAÇÃO PARA AZULEJISTA OU LADRILHEIRO (ENCARGOS COMPLEMENTARES) - HORISTA​ (H)</t>
  </si>
  <si>
    <t>​95330​ CURSO DE CAPACITAÇÃO PARA CARPINTEIRO DE FÔRMAS (ENCARGOS COMPLEMENTARES) - HORISTA​ (H)</t>
  </si>
  <si>
    <t>​95332​ CURSO DE CAPACITAÇÃO PARA ELETRICISTA (ENCARGOS COMPLEMENTARES) - HORISTA​ (H)</t>
  </si>
  <si>
    <t>00002436</t>
  </si>
  <si>
    <t>ELETRICISTA (HORISTA)</t>
  </si>
  <si>
    <t>​95335​ CURSO DE CAPACITAÇÃO PARA ENCANADOR OU BOMBEIRO HIDRÁULICO (ENCARGOS COMPLEMENTARES) - HORISTA​ (H)</t>
  </si>
  <si>
    <t>00002696</t>
  </si>
  <si>
    <t>ENCANADOR OU BOMBEIRO HIDRAULICO (HORISTA)</t>
  </si>
  <si>
    <t>​95390​ CURSO DE CAPACITAÇÃO PARA JARDINEIRO (ENCARGOS COMPLEMENTARES) - HORISTA​ (H)</t>
  </si>
  <si>
    <t>00044503</t>
  </si>
  <si>
    <t>JARDINEIRO (HORISTA)</t>
  </si>
  <si>
    <t>​95341​ CURSO DE CAPACITAÇÃO PARA MARMORISTA/GRANITEIRO (ENCARGOS COMPLEMENTARES) - HORISTA​ (H)</t>
  </si>
  <si>
    <t>00004755</t>
  </si>
  <si>
    <t>MARMORISTA / GRANITEIRO (HORISTA)</t>
  </si>
  <si>
    <t>​100298​ CURSO DE CAPACITAÇÃO PARA MECÂNICO DE REFRIGERAÇÃO (ENCARGOS COMPLEMENTARES) - HORISTA​ (H)</t>
  </si>
  <si>
    <t>00034794</t>
  </si>
  <si>
    <t>MECANICO DE REFRIGERACAO (HORISTA)</t>
  </si>
  <si>
    <t>​95344​ CURSO DE CAPACITAÇÃO PARA MONTADOR DE ESTRUTURA METÁLICA (ENCARGOS COMPLEMENTARES) - HORISTA​ (H)</t>
  </si>
  <si>
    <t>00044497</t>
  </si>
  <si>
    <t>MONTADOR DE ESTRUTURAS METALICAS HORISTA</t>
  </si>
  <si>
    <t>​95346​ CURSO DE CAPACITAÇÃO PARA MOTORISTA DE BASCULANTE (ENCARGOS COMPLEMENTARES) - HORISTA​ (H)</t>
  </si>
  <si>
    <t>00020020</t>
  </si>
  <si>
    <t>MOTORISTA DE CAMINHAO-BASCULANTE (HORISTA)</t>
  </si>
  <si>
    <t>​95351​ CURSO DE CAPACITAÇÃO PARA MOTORISTA OPERADOR DE MUNCK (ENCARGOS COMPLEMENTARES) - HORISTA​ (H)</t>
  </si>
  <si>
    <t>00004096</t>
  </si>
  <si>
    <t>MOTORISTA OPERADOR DE CAMINHAO COM MUNCK (HORISTA)</t>
  </si>
  <si>
    <t>​95389​ CURSO DE CAPACITAÇÃO PARA OPERADOR DE BETONEIRA ESTACIONÁRIA/MISTURADOR (ENCARGOS COMPLEMENTARES) - HORISTA​ (H)</t>
  </si>
  <si>
    <t>00037666</t>
  </si>
  <si>
    <t>OPERADOR DE BETONEIRA ESTACIONARIA / MISTURADOR (HORISTA)</t>
  </si>
  <si>
    <t>​95357​ CURSO DE CAPACITAÇÃO PARA OPERADOR DE ESCAVADEIRA (ENCARGOS COMPLEMENTARES) - HORISTA​ (H)</t>
  </si>
  <si>
    <t>00004234</t>
  </si>
  <si>
    <t>OPERADOR DE ESCAVADEIRA (HORISTA)</t>
  </si>
  <si>
    <t>​95359​ CURSO DE CAPACITAÇÃO PARA OPERADOR DE GUINDASTE (ENCARGOS COMPLEMENTARES) - HORISTA​ (H)</t>
  </si>
  <si>
    <t>00004254</t>
  </si>
  <si>
    <t>OPERADOR DE GUINDASTE (HORISTA)</t>
  </si>
  <si>
    <t>​95361​ CURSO DE CAPACITAÇÃO PARA OPERADOR DE MARTELETE OU MARTELETEIRO (ENCARGOS COMPLEMENTARES) - HORISTA​ (H)</t>
  </si>
  <si>
    <t>00004257</t>
  </si>
  <si>
    <t>OPERADOR DE MARTELETE OU MARTELETEIRO (HORISTA)</t>
  </si>
  <si>
    <t>​95360​ CURSO DE CAPACITAÇÃO PARA OPERADOR DE MÁQUINAS E EQUIPAMENTOS (ENCARGOS COMPLEMENTARES) - HORISTA​ (H)</t>
  </si>
  <si>
    <t>00004230</t>
  </si>
  <si>
    <t>OPERADOR DE MAQUINAS E TRATORES DIVERSOS - TERRAPLANAGEM (HORISTA)</t>
  </si>
  <si>
    <t>​95364​ CURSO DE CAPACITAÇÃO PARA OPERADOR DE PÁ CARREGADEIRA (ENCARGOS COMPLEMENTARES) - HORISTA​ (H)</t>
  </si>
  <si>
    <t>00004248</t>
  </si>
  <si>
    <t>OPERADOR DE PA CARREGADEIRA (HORISTA)</t>
  </si>
  <si>
    <t>​95371​ CURSO DE CAPACITAÇÃO PARA PEDREIRO (ENCARGOS COMPLEMENTARES) - HORISTA​ (H)</t>
  </si>
  <si>
    <t>00004750</t>
  </si>
  <si>
    <t>PEDREIRO (HORISTA)</t>
  </si>
  <si>
    <t>​95372​ CURSO DE CAPACITAÇÃO PARA PINTOR (ENCARGOS COMPLEMENTARES) - HORISTA​ (H)</t>
  </si>
  <si>
    <t>00004783</t>
  </si>
  <si>
    <t>PINTOR (HORISTA)</t>
  </si>
  <si>
    <t>​95378​ CURSO DE CAPACITAÇÃO PARA SERVENTE (ENCARGOS COMPLEMENTARES) - HORISTA​ (H)</t>
  </si>
  <si>
    <t>00006111</t>
  </si>
  <si>
    <t>SERVENTE DE OBRAS (HORISTA)</t>
  </si>
  <si>
    <t>​ED-5244​ CURSO DE CAPACITAÇÃO PARA TAQUEADOR OU TAQUEIRO (ENCARGOS COMPLEMENTARES) - HORISTA​ (hora)</t>
  </si>
  <si>
    <t>MOED-20155</t>
  </si>
  <si>
    <t>TAQUEIRO (MODALIDADE: HORISTA|ENCARGOS SOCIAIS: INCLUSO)</t>
  </si>
  <si>
    <t>​95387​ CURSO DE CAPACITAÇÃO PARA VIDRACEIRO (ENCARGOS COMPLEMENTARES) - HORISTA​ (H)</t>
  </si>
  <si>
    <t>00010489</t>
  </si>
  <si>
    <t>VIDRACEIRO (HORISTA)</t>
  </si>
  <si>
    <t>​5914647​ Carga, manobra e descarga de agregados ou solos em caminhão basculante de 10 m³ - carga com carregadeira de 3,40 m³ (exclusa) e descarga livre​ (t)</t>
  </si>
  <si>
    <t>EQUIPAMENTOS</t>
  </si>
  <si>
    <t>QUANT</t>
  </si>
  <si>
    <t>UTILIZAÇÃO</t>
  </si>
  <si>
    <t>CUSTO OPERACIONAL</t>
  </si>
  <si>
    <t>PROD</t>
  </si>
  <si>
    <t>IMPR</t>
  </si>
  <si>
    <t>E9579</t>
  </si>
  <si>
    <t>Caminhão basculante com capacidade de 10 m³ - 210 kW</t>
  </si>
  <si>
    <t>TOTAL EQUIPAMENTOS:</t>
  </si>
  <si>
    <t>Custo do FIC (0,03125):</t>
  </si>
  <si>
    <t>​5914652​ Carga, manobra e descarga de agregados ou solos em caminhão basculante de 10 m³ - carga em usina de solos de 300 t/h e descarga em distribuidor autopropelido​ (t)</t>
  </si>
  <si>
    <t>​93666​ DISJUNTOR BIPOLAR TIPO DIN, CORRENTE NOMINAL DE 50A - FORNECIMENTO E INSTALAÇÃO. AF_07/2025​ (UN)</t>
  </si>
  <si>
    <t>00034623</t>
  </si>
  <si>
    <t>DISJUNTOR TERMOMAGNETICO PARA TRILHO DIN (IEC), BIPOLAR, 40 - 50 A</t>
  </si>
  <si>
    <t>00001575</t>
  </si>
  <si>
    <t>​S010210​ Demolição manual de concreto simples, sem reaproveitamento​ (m3)</t>
  </si>
  <si>
    <t>​88264​ ELETRICISTA COM ENCARGOS COMPLEMENTARES​ (H)</t>
  </si>
  <si>
    <t>95332</t>
  </si>
  <si>
    <t>CURSO DE CAPACITAÇÃO PARA ELETRICISTA (ENCARGOS COMPLEMENTARES) - HORISTA</t>
  </si>
  <si>
    <t>​97668​ ELETRODUTO FLEXÍVEL CORRUGADO, PEAD, DN 63 (2"), PARA REDE ENTERRADA DE DISTRIBUIÇÃO DE ENERGIA ELÉTRICA - FORNECIMENTO E INSTALAÇÃO. AF_12/2021​ (M)</t>
  </si>
  <si>
    <t>00002446</t>
  </si>
  <si>
    <t>ELETRODUTO/DUTO PEAD FLEXIVEL PAREDE SIMPLES, CORRUGACAO HELICOIDAL, COR PRETA, SEM ROSCA, DE 2", CRC 680 N, PARA CABEAMENTO SUBTERRANEO (NBR 15715)</t>
  </si>
  <si>
    <t>​91872​ ELETRODUTO RÍGIDO ROSCÁVEL, PVC, DN 32 MM (1"), PARA CIRCUITOS TERMINAIS, INSTALADO EM PAREDE - FORNECIMENTO E INSTALAÇÃO. AF_03/2023​ (M)</t>
  </si>
  <si>
    <t>00002685</t>
  </si>
  <si>
    <t>ELETRODUTO DE PVC RIGIDO ROSCAVEL DE 1", SEM LUVA</t>
  </si>
  <si>
    <t>​88267​ ENCANADOR OU BOMBEIRO HIDRÁULICO COM ENCARGOS COMPLEMENTARES​ (H)</t>
  </si>
  <si>
    <t>95335</t>
  </si>
  <si>
    <t>CURSO DE CAPACITAÇÃO PARA ENCANADOR OU BOMBEIRO HIDRÁULICO (ENCARGOS COMPLEMENTARES) - HORISTA</t>
  </si>
  <si>
    <t>​ED-14659​ EPI PARA TAQUEIRO - HORISTA (ENCARGOS COMPLEMENTARES)​ (hora)</t>
  </si>
  <si>
    <t>MATED-14631</t>
  </si>
  <si>
    <t>EPI PARA FAMÍLIA CARPINTEIRO DE FORMAS - HORISTA (ENCARGOS COMPLEMENTARES)</t>
  </si>
  <si>
    <t>​5632​ ESCAVADEIRA HIDRÁULICA SOBRE ESTEIRAS, CAÇAMBA 0,80 M3, PESO OPERACIONAL 17 T, POTENCIA BRUTA 111 HP - CHI DIURNO. AF_06/2014​ (CHI)</t>
  </si>
  <si>
    <t>88294</t>
  </si>
  <si>
    <t>OPERADOR DE ESCAVADEIRA COM ENCARGOS COMPLEMENTARES</t>
  </si>
  <si>
    <t>5627</t>
  </si>
  <si>
    <t>ESCAVADEIRA HIDRÁULICA SOBRE ESTEIRAS, CAÇAMBA 0,80 M3, PESO OPERACIONAL 17 T, POTENCIA BRUTA 111 HP - DEPRECIAÇÃO. AF_06/2014</t>
  </si>
  <si>
    <t>5628</t>
  </si>
  <si>
    <t>ESCAVADEIRA HIDRÁULICA SOBRE ESTEIRAS, CAÇAMBA 0,80 M3, PESO OPERACIONAL 17 T, POTENCIA BRUTA 111 HP - JUROS. AF_06/2014</t>
  </si>
  <si>
    <t>​5631​ ESCAVADEIRA HIDRÁULICA SOBRE ESTEIRAS, CAÇAMBA 0,80 M3, PESO OPERACIONAL 17 T, POTENCIA BRUTA 111 HP - CHP DIURNO. AF_06/2014​ (CHP)</t>
  </si>
  <si>
    <t>5629</t>
  </si>
  <si>
    <t>ESCAVADEIRA HIDRÁULICA SOBRE ESTEIRAS, CAÇAMBA 0,80 M3, PESO OPERACIONAL 17 T, POTENCIA BRUTA 111 HP - MANUTENÇÃO. AF_06/2014</t>
  </si>
  <si>
    <t>5630</t>
  </si>
  <si>
    <t>ESCAVADEIRA HIDRÁULICA SOBRE ESTEIRAS, CAÇAMBA 0,80 M3, PESO OPERACIONAL 17 T, POTENCIA BRUTA 111 HP - MATERIAIS NA OPERAÇÃO. AF_06/2014</t>
  </si>
  <si>
    <t>​5627​ ESCAVADEIRA HIDRÁULICA SOBRE ESTEIRAS, CAÇAMBA 0,80 M3, PESO OPERACIONAL 17 T, POTENCIA BRUTA 111 HP - DEPRECIAÇÃO. AF_06/2014​ (H)</t>
  </si>
  <si>
    <t>00010685</t>
  </si>
  <si>
    <t>ESCAVADEIRA HIDRAULICA SOBRE ESTEIRAS, CACAMBA 0,80M3, PESO OPERACIONAL 17T, POTENCIA BRUTA 111HP</t>
  </si>
  <si>
    <t>​5628​ ESCAVADEIRA HIDRÁULICA SOBRE ESTEIRAS, CAÇAMBA 0,80 M3, PESO OPERACIONAL 17 T, POTENCIA BRUTA 111 HP - JUROS. AF_06/2014​ (H)</t>
  </si>
  <si>
    <t>​5629​ ESCAVADEIRA HIDRÁULICA SOBRE ESTEIRAS, CAÇAMBA 0,80 M3, PESO OPERACIONAL 17 T, POTENCIA BRUTA 111 HP - MANUTENÇÃO. AF_06/2014​ (H)</t>
  </si>
  <si>
    <t>​5630​ ESCAVADEIRA HIDRÁULICA SOBRE ESTEIRAS, CAÇAMBA 0,80 M3, PESO OPERACIONAL 17 T, POTENCIA BRUTA 111 HP - MATERIAIS NA OPERAÇÃO. AF_06/2014​ (H)</t>
  </si>
  <si>
    <t>​88908​ ESCAVADEIRA HIDRÁULICA SOBRE ESTEIRAS, CAÇAMBA 1,20 M3, PESO OPERACIONAL 21 T, POTÊNCIA BRUTA 155 HP - CHI DIURNO. AF_06/2014​ (CHI)</t>
  </si>
  <si>
    <t>88900</t>
  </si>
  <si>
    <t>ESCAVADEIRA HIDRÁULICA SOBRE ESTEIRAS, CAÇAMBA 1,20 M3, PESO OPERACIONAL 21 T, POTÊNCIA BRUTA 155 HP - DEPRECIAÇÃO. AF_06/2014</t>
  </si>
  <si>
    <t>88902</t>
  </si>
  <si>
    <t>ESCAVADEIRA HIDRÁULICA SOBRE ESTEIRAS, CAÇAMBA 1,20 M3, PESO OPERACIONAL 21 T, POTÊNCIA BRUTA 155 HP - JUROS. AF_06/2014</t>
  </si>
  <si>
    <t>​88907​ ESCAVADEIRA HIDRÁULICA SOBRE ESTEIRAS, CAÇAMBA 1,20 M3, PESO OPERACIONAL 21 T, POTÊNCIA BRUTA 155 HP - CHP DIURNO. AF_06/2014​ (CHP)</t>
  </si>
  <si>
    <t>88903</t>
  </si>
  <si>
    <t>ESCAVADEIRA HIDRÁULICA SOBRE ESTEIRAS, CAÇAMBA 1,20 M3, PESO OPERACIONAL 21 T, POTÊNCIA BRUTA 155 HP - MANUTENÇÃO. AF_06/2014</t>
  </si>
  <si>
    <t>88904</t>
  </si>
  <si>
    <t>ESCAVADEIRA HIDRÁULICA SOBRE ESTEIRAS, CAÇAMBA 1,20 M3, PESO OPERACIONAL 21 T, POTÊNCIA BRUTA 155 HP - MATERIAIS NA OPERAÇÃO. AF_06/2014</t>
  </si>
  <si>
    <t>​88900​ ESCAVADEIRA HIDRÁULICA SOBRE ESTEIRAS, CAÇAMBA 1,20 M3, PESO OPERACIONAL 21 T, POTÊNCIA BRUTA 155 HP - DEPRECIAÇÃO. AF_06/2014​ (H)</t>
  </si>
  <si>
    <t>00014525</t>
  </si>
  <si>
    <t>ESCAVADEIRA HIDRAULICA SOBRE ESTEIRAS COM CACAMBA DE 1,20 M3, PESO OPERACIONAL 21 T, POTENCIA BRUTA 155 HP</t>
  </si>
  <si>
    <t>​88902​ ESCAVADEIRA HIDRÁULICA SOBRE ESTEIRAS, CAÇAMBA 1,20 M3, PESO OPERACIONAL 21 T, POTÊNCIA BRUTA 155 HP - JUROS. AF_06/2014​ (H)</t>
  </si>
  <si>
    <t>​88903​ ESCAVADEIRA HIDRÁULICA SOBRE ESTEIRAS, CAÇAMBA 1,20 M3, PESO OPERACIONAL 21 T, POTÊNCIA BRUTA 155 HP - MANUTENÇÃO. AF_06/2014​ (H)</t>
  </si>
  <si>
    <t>​88904​ ESCAVADEIRA HIDRÁULICA SOBRE ESTEIRAS, CAÇAMBA 1,20 M3, PESO OPERACIONAL 21 T, POTÊNCIA BRUTA 155 HP - MATERIAIS NA OPERAÇÃO. AF_06/2014​ (H)</t>
  </si>
  <si>
    <t>​S190301​ Emassamento de esquadrias e elementos de madeira, com duas demãos de massa à base água, referência Suvinil, Coral, Sherwin Williams ou equivalente, inclusive uma demão de fundo nivelador alquídico branco, referência Suvinil, Coral ou Metalatex ou equivalente​ (m2)</t>
  </si>
  <si>
    <t>I036991</t>
  </si>
  <si>
    <t>LIXA DE MADEIRA GRAO 220 - NORTON OU EQUIVALENTE</t>
  </si>
  <si>
    <t>I038016</t>
  </si>
  <si>
    <t>MASSA PARA MADEIRA A BASE D'AGUA SUVINIL/CORAL/EQUIVALENTE</t>
  </si>
  <si>
    <t>S190307</t>
  </si>
  <si>
    <t>Pintura fundo nivelador alquídico branco, aplicada a rolo, pincel ou trincha, em madeira, a uma demão, referência Suvinil, Coral ou equivalente</t>
  </si>
  <si>
    <t>​S10588​ Encargos Complementares - Auxiliar de Restauração​ (h)</t>
  </si>
  <si>
    <t>I00158</t>
  </si>
  <si>
    <t>Almoço (Participação do empregador)</t>
  </si>
  <si>
    <t>I12893S</t>
  </si>
  <si>
    <t>Bota de seguranca com biqueira de aco e colarinho acolchoado</t>
  </si>
  <si>
    <t>par</t>
  </si>
  <si>
    <t>I12894S</t>
  </si>
  <si>
    <t>Capa para chuva em pvc com forro de poliester, com capuz (amarela ou azul)</t>
  </si>
  <si>
    <t>I12895S</t>
  </si>
  <si>
    <t>Capacete de seguranca aba frontal com suspensao de polietileno, sem jugular (classe b)</t>
  </si>
  <si>
    <t>I10492</t>
  </si>
  <si>
    <t>Cesta Básica</t>
  </si>
  <si>
    <t>I10579</t>
  </si>
  <si>
    <t>Chave de fenda chata 30 cm</t>
  </si>
  <si>
    <t>I10517</t>
  </si>
  <si>
    <t>Exames admissionais/demissionais (checkup)</t>
  </si>
  <si>
    <t>I00941</t>
  </si>
  <si>
    <t>Fardamento com mangas curta</t>
  </si>
  <si>
    <t>I10578</t>
  </si>
  <si>
    <t>Formão grande</t>
  </si>
  <si>
    <t>I11248</t>
  </si>
  <si>
    <t>Furadeira e Parafusadeira eletrica Bosch ou Similar profissional</t>
  </si>
  <si>
    <t>I12892S</t>
  </si>
  <si>
    <t>Luva raspa de couro, cano curto (punho *7* cm)</t>
  </si>
  <si>
    <t>I11244</t>
  </si>
  <si>
    <t>Martelo com unha</t>
  </si>
  <si>
    <t>I01651</t>
  </si>
  <si>
    <t>Óculos branco proteção</t>
  </si>
  <si>
    <t>pr</t>
  </si>
  <si>
    <t>I10596</t>
  </si>
  <si>
    <t>Protetor auricular</t>
  </si>
  <si>
    <t>I10599</t>
  </si>
  <si>
    <t>Protetor solar fps 30 com 120ml</t>
  </si>
  <si>
    <t>I10761</t>
  </si>
  <si>
    <t>Refeição - café da manhã ( café com leite e dois pães com manteiga)</t>
  </si>
  <si>
    <t>I10362</t>
  </si>
  <si>
    <t>Seguro de vida e acidente em grupo</t>
  </si>
  <si>
    <t>I11249</t>
  </si>
  <si>
    <t>Serra circular eletrica portatil</t>
  </si>
  <si>
    <t>I10577</t>
  </si>
  <si>
    <t>Serrote 40cm</t>
  </si>
  <si>
    <t>I02378</t>
  </si>
  <si>
    <t>Vale transporte</t>
  </si>
  <si>
    <t>​S10589​ Encargos Complementares - Entalhador de Restauro​ (h)</t>
  </si>
  <si>
    <t>​S10598​ Encargos Complementares - Marceneiro de Restauro​ (h)</t>
  </si>
  <si>
    <t>​S10550​ Encargos Complementares - Pedreiro​ (h)</t>
  </si>
  <si>
    <t>I04722</t>
  </si>
  <si>
    <t>Colher de pedreiro</t>
  </si>
  <si>
    <t>I04174</t>
  </si>
  <si>
    <t>Desempenadeira de aço lisa, cabo madeira, ref:143, Atlas ou similar</t>
  </si>
  <si>
    <t>I11245</t>
  </si>
  <si>
    <t>Desempoladeira de madeira 12x22</t>
  </si>
  <si>
    <t>I11246</t>
  </si>
  <si>
    <t>Escala métrica de bambú</t>
  </si>
  <si>
    <t>Un</t>
  </si>
  <si>
    <t>I11264</t>
  </si>
  <si>
    <t>Marreta de 1/2 kg com cabo</t>
  </si>
  <si>
    <t>I11265</t>
  </si>
  <si>
    <t>Martelo de borracha com cabo</t>
  </si>
  <si>
    <t>I11243</t>
  </si>
  <si>
    <t>Martelo sem unha</t>
  </si>
  <si>
    <t>I10789</t>
  </si>
  <si>
    <t>Nível de bolha de madeira</t>
  </si>
  <si>
    <t>I10790</t>
  </si>
  <si>
    <t>Prumo de face</t>
  </si>
  <si>
    <t>I10282</t>
  </si>
  <si>
    <t>Regua de alumínio c/ 2,00m (para pedreiro)</t>
  </si>
  <si>
    <t>I11247</t>
  </si>
  <si>
    <t>Serra mármore</t>
  </si>
  <si>
    <t>​S10590​ Encargos Complementares - Restaurador​ (h)</t>
  </si>
  <si>
    <t>​S12390​ Encargos Complementares - Restaurador Nível Médio​ (h)</t>
  </si>
  <si>
    <t>​S10549​ Encargos Complementares - Servente​ (h)</t>
  </si>
  <si>
    <t>I02711S</t>
  </si>
  <si>
    <t>Carrinho de mao, em aco, com capacidade de *45 a 65* l / *100* kg, pneu com camara</t>
  </si>
  <si>
    <t>I04729</t>
  </si>
  <si>
    <t>Marreta 1 kg com cabo</t>
  </si>
  <si>
    <t>I10788</t>
  </si>
  <si>
    <t>Pá quadrada</t>
  </si>
  <si>
    <t>I04728</t>
  </si>
  <si>
    <t>Talhadeira chata 10"</t>
  </si>
  <si>
    <t>​S030101​ Escavação manual em material de 1a. categoria, até 1.50 m de profundidade​ (m3)</t>
  </si>
  <si>
    <t>​101995​ FABRICAÇÃO DE FÔRMA PARA ESCADAS, COM 1 LANCE E LAJE PLANA, EM CHAPA DE MADEIRA COMPENSADA RESINADA, E= 17 MM. AF_11/2020​ (M2)</t>
  </si>
  <si>
    <t>00001358</t>
  </si>
  <si>
    <t>CHAPA/PAINEL DE MADEIRA COMPENSADA RESINADA (MADEIRITE RESINADO ROSA) PARA FORMA DE CONCRETO, DE 2200 X 1100 MM, E = 17 MM</t>
  </si>
  <si>
    <t>00004491</t>
  </si>
  <si>
    <t>PONTALETE *7,5 X 7,5* CM EM PINUS, MISTA OU EQUIVALENTE DA REGIAO - BRUTA</t>
  </si>
  <si>
    <t>00020247</t>
  </si>
  <si>
    <t>PREGO DE ACO POLIDO COM CABECA 15 X 15 (1 1/4 X 13)</t>
  </si>
  <si>
    <t>00005073</t>
  </si>
  <si>
    <t>PREGO DE ACO POLIDO COM CABECA 17 X 24 (2 1/4 X 11)</t>
  </si>
  <si>
    <t>00004517</t>
  </si>
  <si>
    <t>SARRAFO *2,5 X 7,5* CM EM PINUS, MISTA OU EQUIVALENTE DA REGIAO - BRUTA</t>
  </si>
  <si>
    <t>88239</t>
  </si>
  <si>
    <t>AJUDANTE DE CARPINTEIRO COM ENCARGOS COMPLEMENTARES</t>
  </si>
  <si>
    <t>​ED-14695​ FERRAMENTAS PARA TAQUEIRO - HORISTA (ENCARGOS COMPLEMENTARES)​ (hora)</t>
  </si>
  <si>
    <t>MATED-14619</t>
  </si>
  <si>
    <t>FERRAMENTAS PARA FAMÍLIA CARPINTEIRO DE FORMAS - HORISTA (ENCARGOS COMPLEMENTARES)</t>
  </si>
  <si>
    <t>​91170​ FIXAÇÃO DE TUBOS HORIZONTAIS DE PVC ÁGUA, PVC ESGOTO, PVC ÁGUA PLUVIAL, CPVC, PPR, COBRE OU AÇO, DIÂMETROS MENORES OU IGUAIS A 40 MM, COM ABRAÇADEIRA METÁLICA RÍGIDA TIPO U PERFIL 1 1/4", FIXADA EM PERFILADO EM LAJE. AF_09/2023_PS​ (M)</t>
  </si>
  <si>
    <t>00039140</t>
  </si>
  <si>
    <t>ABRACADEIRA EM ACO PARA AMARRACAO DE ELETRODUTOS, TIPO U SIMPLES, COM 1 1/4"</t>
  </si>
  <si>
    <t>88248</t>
  </si>
  <si>
    <t>AUXILIAR DE ENCANADOR OU BOMBEIRO HIDRÁULICO COM ENCARGOS COMPLEMENTARES</t>
  </si>
  <si>
    <t>88267</t>
  </si>
  <si>
    <t>ENCANADOR OU BOMBEIRO HIDRÁULICO COM ENCARGOS COMPLEMENTARES</t>
  </si>
  <si>
    <t>​93288​ GUINDASTE HIDRÁULICO AUTOPROPELIDO, COM LANÇA TELESCÓPICA 40 M, CAPACIDADE MÁXIMA 60 T, POTÊNCIA 260 KW - CHI DIURNO. AF_03/2016​ (CHI)</t>
  </si>
  <si>
    <t>88296</t>
  </si>
  <si>
    <t>OPERADOR DE GUINDASTE COM ENCARGOS COMPLEMENTARES</t>
  </si>
  <si>
    <t>93283</t>
  </si>
  <si>
    <t>GUINDASTE HIDRÁULICO AUTOPROPELIDO, COM LANÇA TELESCÓPICA 40 M, CAPACIDADE MÁXIMA 60 T, POTÊNCIA 260 KW - DEPRECIAÇÃO. AF_03/2016</t>
  </si>
  <si>
    <t>93296</t>
  </si>
  <si>
    <t>GUINDASTE HIDRÁULICO AUTOPROPELIDO, COM LANÇA TELESCÓPICA 40 M, CAPACIDADE MÁXIMA 60 T, POTÊNCIA 260 KW - IMPOSTOS E SEGUROS. AF_03/2016</t>
  </si>
  <si>
    <t>93284</t>
  </si>
  <si>
    <t>GUINDASTE HIDRÁULICO AUTOPROPELIDO, COM LANÇA TELESCÓPICA 40 M, CAPACIDADE MÁXIMA 60 T, POTÊNCIA 260 KW - JUROS. AF_03/2016</t>
  </si>
  <si>
    <t>​93287​ GUINDASTE HIDRÁULICO AUTOPROPELIDO, COM LANÇA TELESCÓPICA 40 M, CAPACIDADE MÁXIMA 60 T, POTÊNCIA 260 KW - CHP DIURNO. AF_03/2016​ (CHP)</t>
  </si>
  <si>
    <t>93285</t>
  </si>
  <si>
    <t>GUINDASTE HIDRÁULICO AUTOPROPELIDO, COM LANÇA TELESCÓPICA 40 M, CAPACIDADE MÁXIMA 60 T, POTÊNCIA 260 KW - MANUTENÇÃO. AF_03/2016</t>
  </si>
  <si>
    <t>93286</t>
  </si>
  <si>
    <t>GUINDASTE HIDRÁULICO AUTOPROPELIDO, COM LANÇA TELESCÓPICA 40 M, CAPACIDADE MÁXIMA 60 T, POTÊNCIA 260 KW - MATERIAIS NA OPERAÇÃO. AF_03/2016</t>
  </si>
  <si>
    <t>​93283​ GUINDASTE HIDRÁULICO AUTOPROPELIDO, COM LANÇA TELESCÓPICA 40 M, CAPACIDADE MÁXIMA 60 T, POTÊNCIA 260 KW - DEPRECIAÇÃO. AF_03/2016​ (H)</t>
  </si>
  <si>
    <t>00044474</t>
  </si>
  <si>
    <t>GUINDASTE HIDRAULICO AUTOPROPELIDO, COM LANCA TELESCOPICA 40 M, CAPACIDADE MAXIMA 60 T, POTENCIA 260 KW, TRACAO 6 X 6</t>
  </si>
  <si>
    <t>​93296​ GUINDASTE HIDRÁULICO AUTOPROPELIDO, COM LANÇA TELESCÓPICA 40 M, CAPACIDADE MÁXIMA 60 T, POTÊNCIA 260 KW - IMPOSTOS E SEGUROS. AF_03/2016​ (H)</t>
  </si>
  <si>
    <t>​93284​ GUINDASTE HIDRÁULICO AUTOPROPELIDO, COM LANÇA TELESCÓPICA 40 M, CAPACIDADE MÁXIMA 60 T, POTÊNCIA 260 KW - JUROS. AF_03/2016​ (H)</t>
  </si>
  <si>
    <t>​93285​ GUINDASTE HIDRÁULICO AUTOPROPELIDO, COM LANÇA TELESCÓPICA 40 M, CAPACIDADE MÁXIMA 60 T, POTÊNCIA 260 KW - MANUTENÇÃO. AF_03/2016​ (H)</t>
  </si>
  <si>
    <t>​93286​ GUINDASTE HIDRÁULICO AUTOPROPELIDO, COM LANÇA TELESCÓPICA 40 M, CAPACIDADE MÁXIMA 60 T, POTÊNCIA 260 KW - MATERIAIS NA OPERAÇÃO. AF_03/2016​ (H)</t>
  </si>
  <si>
    <t>​5930​ GUINDAUTO HIDRÁULICO, CAPACIDADE MÁXIMA DE CARGA 6200 KG, MOMENTO MÁXIMO DE CARGA 11,7 TM, ALCANCE MÁXIMO HORIZONTAL 9,70 M, INCLUSIVE CAMINHÃO TOCO PBT 16.000 KG, POTÊNCIA DE 189 CV - CHI DIURNO. AF_06/2014​ (CHI)</t>
  </si>
  <si>
    <t>88286</t>
  </si>
  <si>
    <t>MOTORISTA OPERADOR DE MUNCK COM ENCARGOS COMPLEMENTARES</t>
  </si>
  <si>
    <t>89259</t>
  </si>
  <si>
    <t>GUINDAUTO HIDRÁULICO, CAPACIDADE MÁXIMA DE CARGA 6200 KG, MOMENTO MÁXIMO DE CARGA 11,7 TM, ALCANCE MÁXIMO HORIZONTAL 9,70 M, INCLUSIVE CAMINHÃO TOCO PBT 16.000 KG, POTÊNCIA DE 189 CV - DEPRECIAÇÃO. AF_06/2014</t>
  </si>
  <si>
    <t>91466</t>
  </si>
  <si>
    <t>GUINDAUTO HIDRÁULICO, CAPACIDADE MÁXIMA DE CARGA 6200 KG, MOMENTO MÁXIMO DE CARGA 11,7 TM, ALCANCE MÁXIMO HORIZONTAL 9,70 M, INCLUSIVE CAMINHÃO TOCO PBT 16.000 KG, POTÊNCIA DE 189 CV - IMPOSTOS E SEGUROS. AF_08/2015</t>
  </si>
  <si>
    <t>89260</t>
  </si>
  <si>
    <t>GUINDAUTO HIDRÁULICO, CAPACIDADE MÁXIMA DE CARGA 6200 KG, MOMENTO MÁXIMO DE CARGA 11,7 TM, ALCANCE MÁXIMO HORIZONTAL 9,70 M, INCLUSIVE CAMINHÃO TOCO PBT 16.000 KG, POTÊNCIA DE 189 CV - JUROS. AF_06/2014</t>
  </si>
  <si>
    <t>​5928​ GUINDAUTO HIDRÁULICO, CAPACIDADE MÁXIMA DE CARGA 6200 KG, MOMENTO MÁXIMO DE CARGA 11,7 TM, ALCANCE MÁXIMO HORIZONTAL 9,70 M, INCLUSIVE CAMINHÃO TOCO PBT 16.000 KG, POTÊNCIA DE 189 CV - CHP DIURNO. AF_06/2014​ (CHP)</t>
  </si>
  <si>
    <t>89262</t>
  </si>
  <si>
    <t>GUINDAUTO HIDRÁULICO, CAPACIDADE MÁXIMA DE CARGA 6200 KG, MOMENTO MÁXIMO DE CARGA 11,7 TM, ALCANCE MÁXIMO HORIZONTAL 9,70 M, INCLUSIVE CAMINHÃO TOCO PBT 16.000 KG, POTÊNCIA DE 189 CV - MANUTENÇÃO. AF_06/2014</t>
  </si>
  <si>
    <t>91467</t>
  </si>
  <si>
    <t>GUINDAUTO HIDRÁULICO, CAPACIDADE MÁXIMA DE CARGA 6200 KG, MOMENTO MÁXIMO DE CARGA 11,7 TM, ALCANCE MÁXIMO HORIZONTAL 9,70 M, INCLUSIVE CAMINHÃO TOCO PBT 16.000 KG, POTÊNCIA DE 189 CV - MATERIAIS NA OPERAÇÃO. AF_08/2015</t>
  </si>
  <si>
    <t>​89259​ GUINDAUTO HIDRÁULICO, CAPACIDADE MÁXIMA DE CARGA 6200 KG, MOMENTO MÁXIMO DE CARGA 11,7 TM, ALCANCE MÁXIMO HORIZONTAL 9,70 M, INCLUSIVE CAMINHÃO TOCO PBT 16.000 KG, POTÊNCIA DE 189 CV - DEPRECIAÇÃO. AF_06/2014​ (H)</t>
  </si>
  <si>
    <t>00037752</t>
  </si>
  <si>
    <t>CAMINHAO TOCO, PESO BRUTO TOTAL 16000 KG, CARGA UTIL MAXIMA 11030 KG, DISTANCIA ENTRE EIXOS 5,41 M, POTENCIA 185 CV (INCLUI CABINE E CHASSI, NAO INCLUI CARROCERIA)</t>
  </si>
  <si>
    <t>00003363</t>
  </si>
  <si>
    <t>GUINDAUTO HIDRAULICO, CAPACIDADE MAXIMA DE CARGA 6200 KG, MOMENTO MAXIMO DE CARGA 11,7 TM, ALCANCE MAXIMO HORIZONTAL 9,70 M, PARA MONTAGEM SOBRE CHASSI DE CAMINHAO PBT MINIMO 13000 KG (INCLUI MONTAGEM, NAO INCLUI CAMINHAO)</t>
  </si>
  <si>
    <t>​91466​ GUINDAUTO HIDRÁULICO, CAPACIDADE MÁXIMA DE CARGA 6200 KG, MOMENTO MÁXIMO DE CARGA 11,7 TM, ALCANCE MÁXIMO HORIZONTAL 9,70 M, INCLUSIVE CAMINHÃO TOCO PBT 16.000 KG, POTÊNCIA DE 189 CV - IMPOSTOS E SEGUROS. AF_08/2015​ (H)</t>
  </si>
  <si>
    <t>​89260​ GUINDAUTO HIDRÁULICO, CAPACIDADE MÁXIMA DE CARGA 6200 KG, MOMENTO MÁXIMO DE CARGA 11,7 TM, ALCANCE MÁXIMO HORIZONTAL 9,70 M, INCLUSIVE CAMINHÃO TOCO PBT 16.000 KG, POTÊNCIA DE 189 CV - JUROS. AF_06/2014​ (H)</t>
  </si>
  <si>
    <t>​89262​ GUINDAUTO HIDRÁULICO, CAPACIDADE MÁXIMA DE CARGA 6200 KG, MOMENTO MÁXIMO DE CARGA 11,7 TM, ALCANCE MÁXIMO HORIZONTAL 9,70 M, INCLUSIVE CAMINHÃO TOCO PBT 16.000 KG, POTÊNCIA DE 189 CV - MANUTENÇÃO. AF_06/2014​ (H)</t>
  </si>
  <si>
    <t>​91467​ GUINDAUTO HIDRÁULICO, CAPACIDADE MÁXIMA DE CARGA 6200 KG, MOMENTO MÁXIMO DE CARGA 11,7 TM, ALCANCE MÁXIMO HORIZONTAL 9,70 M, INCLUSIVE CAMINHÃO TOCO PBT 16.000 KG, POTÊNCIA DE 189 CV - MATERIAIS NA OPERAÇÃO. AF_08/2015​ (H)</t>
  </si>
  <si>
    <t>​91635​ GUINDAUTO HIDRÁULICO, CAPACIDADE MÁXIMA DE CARGA 6500 KG, MOMENTO MÁXIMO DE CARGA 5,8 TM, ALCANCE MÁXIMO HORIZONTAL 7,60 M, INCLUSIVE CAMINHÃO TOCO PBT 9.700 KG, POTÊNCIA DE 160 CV - CHI DIURNO. AF_08/2015​ (CHI)</t>
  </si>
  <si>
    <t>91629</t>
  </si>
  <si>
    <t>GUINDAUTO HIDRÁULICO, CAPACIDADE MÁXIMA DE CARGA 6500 KG, MOMENTO MÁXIMO DE CARGA 5,8 TM, ALCANCE MÁXIMO HORIZONTAL 7,60 M, INCLUSIVE CAMINHÃO TOCO PBT 9.700 KG, POTÊNCIA DE 160 CV - DEPRECIAÇÃO. AF_08/2015</t>
  </si>
  <si>
    <t>91631</t>
  </si>
  <si>
    <t>GUINDAUTO HIDRÁULICO, CAPACIDADE MÁXIMA DE CARGA 6500 KG, MOMENTO MÁXIMO DE CARGA 5,8 TM, ALCANCE MÁXIMO HORIZONTAL 7,60 M, INCLUSIVE CAMINHÃO TOCO PBT 9.700 KG, POTÊNCIA DE 160 CV - IMPOSTOS E SEGUROS. AF_08/2015</t>
  </si>
  <si>
    <t>91630</t>
  </si>
  <si>
    <t>GUINDAUTO HIDRÁULICO, CAPACIDADE MÁXIMA DE CARGA 6500 KG, MOMENTO MÁXIMO DE CARGA 5,8 TM, ALCANCE MÁXIMO HORIZONTAL 7,60 M, INCLUSIVE CAMINHÃO TOCO PBT 9.700 KG, POTÊNCIA DE 160 CV - JUROS. AF_08/2015</t>
  </si>
  <si>
    <t>​91634​ GUINDAUTO HIDRÁULICO, CAPACIDADE MÁXIMA DE CARGA 6500 KG, MOMENTO MÁXIMO DE CARGA 5,8 TM, ALCANCE MÁXIMO HORIZONTAL 7,60 M, INCLUSIVE CAMINHÃO TOCO PBT 9.700 KG, POTÊNCIA DE 160 CV - CHP DIURNO. AF_08/2015​ (CHP)</t>
  </si>
  <si>
    <t>91632</t>
  </si>
  <si>
    <t>GUINDAUTO HIDRÁULICO, CAPACIDADE MÁXIMA DE CARGA 6500 KG, MOMENTO MÁXIMO DE CARGA 5,8 TM, ALCANCE MÁXIMO HORIZONTAL 7,60 M, INCLUSIVE CAMINHÃO TOCO PBT 9.700 KG, POTÊNCIA DE 160 CV - MANUTENÇÃO. AF_08/2015</t>
  </si>
  <si>
    <t>91633</t>
  </si>
  <si>
    <t>GUINDAUTO HIDRÁULICO, CAPACIDADE MÁXIMA DE CARGA 6500 KG, MOMENTO MÁXIMO DE CARGA 5,8 TM, ALCANCE MÁXIMO HORIZONTAL 7,60 M, INCLUSIVE CAMINHÃO TOCO PBT 9.700 KG, POTÊNCIA DE 160 CV - MATERIAIS NA OPERAÇÃO. AF_08/2015</t>
  </si>
  <si>
    <t>​91629​ GUINDAUTO HIDRÁULICO, CAPACIDADE MÁXIMA DE CARGA 6500 KG, MOMENTO MÁXIMO DE CARGA 5,8 TM, ALCANCE MÁXIMO HORIZONTAL 7,60 M, INCLUSIVE CAMINHÃO TOCO PBT 9.700 KG, POTÊNCIA DE 160 CV - DEPRECIAÇÃO. AF_08/2015​ (H)</t>
  </si>
  <si>
    <t>00044056</t>
  </si>
  <si>
    <t>CAMINHAO TOCO, PESO BRUTO TOTAL 10700 KG, CARGA UTIL MAXIMA 7400 KG, DISTANCIA ENTRE EIXOS 4,00 M, POTENCIA 175 CV (INCLUI CABINE E CHASSI, NAO INCLUI CARROCERIA)</t>
  </si>
  <si>
    <t>00010712</t>
  </si>
  <si>
    <t>GUINDAUTO HIDRAULICO, CAPACIDADE MAXIMA DE CARGA 3300 KG, MOMENTO MAXIMO DE CARGA 5,8 TM, ALCANCE MAXIMO HORIZONTAL 7,60 M, PARA MONTAGEM SOBRE CHASSI DE CAMINHAO PBT MINIMO 8000 KG (INCLUI MONTAGEM, NAO INCLUI CAMINHAO)</t>
  </si>
  <si>
    <t>​91631​ GUINDAUTO HIDRÁULICO, CAPACIDADE MÁXIMA DE CARGA 6500 KG, MOMENTO MÁXIMO DE CARGA 5,8 TM, ALCANCE MÁXIMO HORIZONTAL 7,60 M, INCLUSIVE CAMINHÃO TOCO PBT 9.700 KG, POTÊNCIA DE 160 CV - IMPOSTOS E SEGUROS. AF_08/2015​ (H)</t>
  </si>
  <si>
    <t>​91630​ GUINDAUTO HIDRÁULICO, CAPACIDADE MÁXIMA DE CARGA 6500 KG, MOMENTO MÁXIMO DE CARGA 5,8 TM, ALCANCE MÁXIMO HORIZONTAL 7,60 M, INCLUSIVE CAMINHÃO TOCO PBT 9.700 KG, POTÊNCIA DE 160 CV - JUROS. AF_08/2015​ (H)</t>
  </si>
  <si>
    <t>​91632​ GUINDAUTO HIDRÁULICO, CAPACIDADE MÁXIMA DE CARGA 6500 KG, MOMENTO MÁXIMO DE CARGA 5,8 TM, ALCANCE MÁXIMO HORIZONTAL 7,60 M, INCLUSIVE CAMINHÃO TOCO PBT 9.700 KG, POTÊNCIA DE 160 CV - MANUTENÇÃO. AF_08/2015​ (H)</t>
  </si>
  <si>
    <t>​91633​ GUINDAUTO HIDRÁULICO, CAPACIDADE MÁXIMA DE CARGA 6500 KG, MOMENTO MÁXIMO DE CARGA 5,8 TM, ALCANCE MÁXIMO HORIZONTAL 7,60 M, INCLUSIVE CAMINHÃO TOCO PBT 9.700 KG, POTÊNCIA DE 160 CV - MATERIAIS NA OPERAÇÃO. AF_08/2015​ (H)</t>
  </si>
  <si>
    <t>​96986​ HASTE DE ATERRAMENTO, DIÂMETRO 3/4", COM 3 METROS - FORNECIMENTO E INSTALAÇÃO. AF_08/2023​ (UN)</t>
  </si>
  <si>
    <t>00003378</t>
  </si>
  <si>
    <t>HASTE DE ATERRAMENTO EM ACO COM 3,00 M DE COMPRIMENTO E DN = 3/4", REVESTIDA COM BAIXA CAMADA DE COBRE, SEM CONECTOR</t>
  </si>
  <si>
    <t>​ESQ-006​ INSTALAÇÃO DE VIDRO TEMPERADO E = 6 MM, EM ESQUADRIA DE MADEIRA, FIXADO COM BAGUETE.​ (M2)</t>
  </si>
  <si>
    <t>88325</t>
  </si>
  <si>
    <t>VIDRACEIRO COM ENCARGOS COMPLEMENTARES</t>
  </si>
  <si>
    <t>Observações:  COPIA SINAPI - ES - 2026/04 SEM DESONERAÇÃO (REF: 05/2026) 51344 - 102156</t>
  </si>
  <si>
    <t>​88441​ JARDINEIRO COM ENCARGOS COMPLEMENTARES​ (H)</t>
  </si>
  <si>
    <t>95390</t>
  </si>
  <si>
    <t>CURSO DE CAPACITAÇÃO PARA JARDINEIRO (ENCARGOS COMPLEMENTARES) - HORISTA</t>
  </si>
  <si>
    <t>​88274​ MARMORISTA/GRANITEIRO COM ENCARGOS COMPLEMENTARES​ (H)</t>
  </si>
  <si>
    <t>95341</t>
  </si>
  <si>
    <t>CURSO DE CAPACITAÇÃO PARA MARMORISTA/GRANITEIRO (ENCARGOS COMPLEMENTARES) - HORISTA</t>
  </si>
  <si>
    <t>​5952​ MARTELETE OU ROMPEDOR PNEUMÁTICO MANUAL, 28 KG, COM SILENCIADOR - CHI DIURNO. AF_07/2016​ (CHI)</t>
  </si>
  <si>
    <t>88298</t>
  </si>
  <si>
    <t>OPERADOR DE MARTELETE OU MARTELETEIRO COM ENCARGOS COMPLEMENTARES</t>
  </si>
  <si>
    <t>95114</t>
  </si>
  <si>
    <t>MARTELETE OU ROMPEDOR PNEUMÁTICO MANUAL, 28 KG, COM SILENCIADOR - DEPRECIAÇÃO. AF_07/2016</t>
  </si>
  <si>
    <t>95115</t>
  </si>
  <si>
    <t>MARTELETE OU ROMPEDOR PNEUMÁTICO MANUAL, 28 KG, COM SILENCIADOR - JUROS. AF_07/2016</t>
  </si>
  <si>
    <t>​5795​ MARTELETE OU ROMPEDOR PNEUMÁTICO MANUAL, 28 KG, COM SILENCIADOR - CHP DIURNO. AF_07/2016​ (CHP)</t>
  </si>
  <si>
    <t>53863</t>
  </si>
  <si>
    <t>MARTELETE OU ROMPEDOR PNEUMÁTICO MANUAL, 28 KG, COM SILENCIADOR - MANUTENÇÃO. AF_07/2016</t>
  </si>
  <si>
    <t>​95114​ MARTELETE OU ROMPEDOR PNEUMÁTICO MANUAL, 28 KG, COM SILENCIADOR - DEPRECIAÇÃO. AF_07/2016​ (H)</t>
  </si>
  <si>
    <t>00041898</t>
  </si>
  <si>
    <t>MARTELO DEMOLIDOR PNEUMATICO MANUAL, PESO DE 28 KG, COM SILENCIADOR</t>
  </si>
  <si>
    <t>​95115​ MARTELETE OU ROMPEDOR PNEUMÁTICO MANUAL, 28 KG, COM SILENCIADOR - JUROS. AF_07/2016​ (H)</t>
  </si>
  <si>
    <t>​53863​ MARTELETE OU ROMPEDOR PNEUMÁTICO MANUAL, 28 KG, COM SILENCIADOR - MANUTENÇÃO. AF_07/2016​ (H)</t>
  </si>
  <si>
    <t>​102274​ MARTELO DEMOLIDOR ELÉTRICO, COM POTÊNCIA DE 2.000 W, 1.000 IMPACTOS POR MINUTO, PESO DE 30 KG - CHI DIURNO. AF_01/2021​ (CHI)</t>
  </si>
  <si>
    <t>102270</t>
  </si>
  <si>
    <t>MARTELO DEMOLIDOR ELÉTRICO, COM POTÊNCIA DE 2.000 W, 1.000 IMPACTOS POR MINUTO, PESO DE 30 KG - DEPRECIAÇÃO. AF_01/2021</t>
  </si>
  <si>
    <t>102271</t>
  </si>
  <si>
    <t>MARTELO DEMOLIDOR ELÉTRICO, COM POTÊNCIA DE 2.000 W, 1.000 IMPACTOS POR MINUTO, PESO DE 30 KG - JUROS. AF_01/2021</t>
  </si>
  <si>
    <t>​102275​ MARTELO DEMOLIDOR ELÉTRICO, COM POTÊNCIA DE 2.000 W, 1.000 IMPACTOS POR MINUTO, PESO DE 30 KG - CHP DIURNO. AF_01/2021​ (CHP)</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</si>
  <si>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</si>
  <si>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</si>
  <si>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</si>
  <si>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</si>
  <si>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​102270​ MARTELO DEMOLIDOR ELÉTRICO, COM POTÊNCIA DE 2.000 W, 1.000 IMPACTOS POR MINUTO, PESO DE 30 KG - DEPRECIAÇÃO. AF_01/2021​ (H)</t>
  </si>
  <si>
    <t>00040703</t>
  </si>
  <si>
    <t>MARTELO DEMOLIDOR ELETRICO, COM POTENCIA DE 2.000 W, FREQUENCIA DE 1.000 IMPACTOS POR MINUTO, FORCA DE IMPACTO ENTRE 60 E 65 J, PESO DE 30 KG</t>
  </si>
  <si>
    <t>​102271​ MARTELO DEMOLIDOR ELÉTRICO, COM POTÊNCIA DE 2.000 W, 1.000 IMPACTOS POR MINUTO, PESO DE 30 KG - JUROS. AF_01/2021​ (H)</t>
  </si>
  <si>
    <t>​102272​ MARTELO DEMOLIDOR ELÉTRICO, COM POTÊNCIA DE 2.000 W, 1.000 IMPACTOS POR MINUTO, PESO DE 30 KG - MANUTENÇÃO. AF_01/2021​ (H)</t>
  </si>
  <si>
    <t>​102273​ MARTELO DEMOLIDOR ELÉTRICO, COM POTÊNCIA DE 2.000 W, 1.000 IMPACTOS POR MINUTO, PESO DE 30 KG - MATERIAIS NA OPERAÇÃO. AF_01/2021​ (H)</t>
  </si>
  <si>
    <t>​100308​ MECÂNICO DE REFRIGERAÇÃO COM ENCARGOS COMPLEMENTARES​ (H)</t>
  </si>
  <si>
    <t>100298</t>
  </si>
  <si>
    <t>CURSO DE CAPACITAÇÃO PARA MECÂNICO DE REFRIGERAÇÃO (ENCARGOS COMPLEMENTARES) - HORISTA</t>
  </si>
  <si>
    <t>​88278​ MONTADOR DE ESTRUTURAS METÁLICAS COM ENCARGOS COMPLEMENTARES​ (H)</t>
  </si>
  <si>
    <t>00043488</t>
  </si>
  <si>
    <t>EPI - FAMILIA OPERADOR ESCAVADEIRA - HORISTA (ENCARGOS COMPLEMENTARES - COLETADO CAIXA)</t>
  </si>
  <si>
    <t>00043464</t>
  </si>
  <si>
    <t>FERRAMENTAS - FAMILIA OPERADOR ESCAVADEIRA - HORISTA (ENCARGOS COMPLEMENTARES - COLETADO CAIXA)</t>
  </si>
  <si>
    <t>95344</t>
  </si>
  <si>
    <t>CURSO DE CAPACITAÇÃO PARA MONTADOR DE ESTRUTURA METÁLICA (ENCARGOS COMPLEMENTARES) - HORISTA</t>
  </si>
  <si>
    <t>​102042​ MONTAGEM E DESMONTAGEM DE FÔRMA PARA ESCADAS, COM 1 LANCE E LAJE PLANA, EM CHAPA DE MADEIRA COMPENSADA RESINADA, 4 UTILIZAÇÕES. AF_11/2020​ (M2)</t>
  </si>
  <si>
    <t>00010749</t>
  </si>
  <si>
    <t>LOCACAO DE ESCORA METALICA TELESCOPICA, COM ALTURA REGULAVEL DE *1,80* A *3,20* M, COM CAPACIDADE DE CARGA DE NO MINIMO 1000 KGF (10 KN), INCLUSO TRIPE E FORCADO</t>
  </si>
  <si>
    <t>UNXMES</t>
  </si>
  <si>
    <t>00002692</t>
  </si>
  <si>
    <t>DESMOLDANTE PROTETOR PARA FORMAS DE MADEIRA, DE BASE OLEOSA EMULSIONADA EM AGUA</t>
  </si>
  <si>
    <t>00040304</t>
  </si>
  <si>
    <t>PREGO DE ACO POLIDO COM CABECA DUPLA 17 X 27 (2 1/2 X 11)</t>
  </si>
  <si>
    <t>101995</t>
  </si>
  <si>
    <t>FABRICAÇÃO DE FÔRMA PARA ESCADAS, COM 1 LANCE E LAJE PLANA, EM CHAPA DE MADEIRA COMPENSADA RESINADA, E= 17 MM. AF_11/2020</t>
  </si>
  <si>
    <t>​88281​ MOTORISTA DE BASCULANTE COM ENCARGOS COMPLEMENTARES​ (H)</t>
  </si>
  <si>
    <t>95346</t>
  </si>
  <si>
    <t>CURSO DE CAPACITAÇÃO PARA MOTORISTA DE BASCULANTE (ENCARGOS COMPLEMENTARES) - HORISTA</t>
  </si>
  <si>
    <t>​88286​ MOTORISTA OPERADOR DE MUNCK COM ENCARGOS COMPLEMENTARES​ (H)</t>
  </si>
  <si>
    <t>95351</t>
  </si>
  <si>
    <t>CURSO DE CAPACITAÇÃO PARA MOTORISTA OPERADOR DE MUNCK (ENCARGOS COMPLEMENTARES) - HORISTA</t>
  </si>
  <si>
    <t>​88377​ OPERADOR DE BETONEIRA ESTACIONÁRIA/MISTURADOR COM ENCARGOS COMPLEMENTARES​ (H)</t>
  </si>
  <si>
    <t>95389</t>
  </si>
  <si>
    <t>CURSO DE CAPACITAÇÃO PARA OPERADOR DE BETONEIRA ESTACIONÁRIA/MISTURADOR (ENCARGOS COMPLEMENTARES) - HORISTA</t>
  </si>
  <si>
    <t>​88294​ OPERADOR DE ESCAVADEIRA COM ENCARGOS COMPLEMENTARES​ (H)</t>
  </si>
  <si>
    <t>95357</t>
  </si>
  <si>
    <t>CURSO DE CAPACITAÇÃO PARA OPERADOR DE ESCAVADEIRA (ENCARGOS COMPLEMENTARES) - HORISTA</t>
  </si>
  <si>
    <t>​88296​ OPERADOR DE GUINDASTE COM ENCARGOS COMPLEMENTARES​ (H)</t>
  </si>
  <si>
    <t>95359</t>
  </si>
  <si>
    <t>CURSO DE CAPACITAÇÃO PARA OPERADOR DE GUINDASTE (ENCARGOS COMPLEMENTARES) - HORISTA</t>
  </si>
  <si>
    <t>​88298​ OPERADOR DE MARTELETE OU MARTELETEIRO COM ENCARGOS COMPLEMENTARES​ (H)</t>
  </si>
  <si>
    <t>95361</t>
  </si>
  <si>
    <t>CURSO DE CAPACITAÇÃO PARA OPERADOR DE MARTELETE OU MARTELETEIRO (ENCARGOS COMPLEMENTARES) - HORISTA</t>
  </si>
  <si>
    <t>​88297​ OPERADOR DE MÁQUINAS E EQUIPAMENTOS COM ENCARGOS COMPLEMENTARES​ (H)</t>
  </si>
  <si>
    <t>95360</t>
  </si>
  <si>
    <t>CURSO DE CAPACITAÇÃO PARA OPERADOR DE MÁQUINAS E EQUIPAMENTOS (ENCARGOS COMPLEMENTARES) - HORISTA</t>
  </si>
  <si>
    <t>​88301​ OPERADOR DE PÁ CARREGADEIRA COM ENCARGOS COMPLEMENTARES​ (H)</t>
  </si>
  <si>
    <t>95364</t>
  </si>
  <si>
    <t>CURSO DE CAPACITAÇÃO PARA OPERADOR DE PÁ CARREGADEIRA (ENCARGOS COMPLEMENTARES) - HORISTA</t>
  </si>
  <si>
    <t>​88309​ PEDREIRO COM ENCARGOS COMPLEMENTARES​ (H)</t>
  </si>
  <si>
    <t>95371</t>
  </si>
  <si>
    <t>CURSO DE CAPACITAÇÃO PARA PEDREIRO (ENCARGOS COMPLEMENTARES) - HORISTA</t>
  </si>
  <si>
    <t>​88310​ PINTOR COM ENCARGOS COMPLEMENTARES​ (H)</t>
  </si>
  <si>
    <t>00043490</t>
  </si>
  <si>
    <t>EPI - FAMILIA PINTOR - HORISTA (ENCARGOS COMPLEMENTARES - COLETADO CAIXA)</t>
  </si>
  <si>
    <t>00043466</t>
  </si>
  <si>
    <t>FERRAMENTAS - FAMILIA PINTOR - HORISTA (ENCARGOS COMPLEMENTARES - COLETADO CAIXA)</t>
  </si>
  <si>
    <t>95372</t>
  </si>
  <si>
    <t>CURSO DE CAPACITAÇÃO PARA PINTOR (ENCARGOS COMPLEMENTARES) - HORISTA</t>
  </si>
  <si>
    <t>​17.014.0015-0​ PINTURA ELETROSTATICA SOBRE ESQUADRIA DE ALUMINIO​ (KG)</t>
  </si>
  <si>
    <t>11059</t>
  </si>
  <si>
    <t>​102218​ PINTURA TINTA DE ACABAMENTO (PIGMENTADA) ESMALTE SINTÉTICO FOSCO EM MADEIRA, 2 DEMÃOS. AF_01/2021​ (M2)</t>
  </si>
  <si>
    <t>00005318</t>
  </si>
  <si>
    <t>DILUENTE AGUARRAS</t>
  </si>
  <si>
    <t>00007288</t>
  </si>
  <si>
    <t>TINTA ESMALTE SINTETICO PREMIUM FOSCO</t>
  </si>
  <si>
    <t>88310</t>
  </si>
  <si>
    <t>PINTOR COM ENCARGOS COMPLEMENTARES</t>
  </si>
  <si>
    <t>​104658​ PISO PODOTÁTIL DE ALERTA OU DIRECIONAL, DE CONCRETO, ASSENTADO SOBRE ARGAMASSA. AF_03/2024​ (M2)</t>
  </si>
  <si>
    <t>00034353</t>
  </si>
  <si>
    <t>ARGAMASSA COLANTE AC II</t>
  </si>
  <si>
    <t>00036178</t>
  </si>
  <si>
    <t>PISO TATIL / PODOTATIL, LADRILHO HIDRAULICO/CONCRETO, *40 X 40* CM, E= 2,5* CM, PADRAO TATIL ALERTA OU DIRECIONAL, COR NATURAL</t>
  </si>
  <si>
    <t>00034357</t>
  </si>
  <si>
    <t>REJUNTE CIMENTICIO, QUALQUER COR</t>
  </si>
  <si>
    <t>​S190302​ Pintura de esquadrias e elementos de madeira, aplicação manual, com duas demãos de tinta esmalte sintético referência Suvinil, Coral ou Metalatex, inclusive fundo branco nivelador, referência Suvinil, Coral e Metalatex ou equivalente​ (m2)</t>
  </si>
  <si>
    <t>I038001</t>
  </si>
  <si>
    <t>AGUARRAS MINERAL - SUVINIL, CORAL OU EQUIVALENTE</t>
  </si>
  <si>
    <t>I037502</t>
  </si>
  <si>
    <t>ESMALTE SINTETICO BRANCO FOSCO - LINHA PREMIUM</t>
  </si>
  <si>
    <t>​S190306​ Pintura de esquadrias e elementos de madeira, aplicação manual, com três demãos de verniz fosco incolor, linha Tripla Proteção Premium, referência Suvinil, Coral, Metalatex ou equivalente​ (m2)</t>
  </si>
  <si>
    <t>I038051</t>
  </si>
  <si>
    <t>VERNIZ TRIPLA PROTECAO INCOLOR FOSCO PREMIUM, SUVINIL OU EQUIVALENTE</t>
  </si>
  <si>
    <t>​S190307​ Pintura fundo nivelador alquídico branco, aplicada a rolo, pincel ou trincha, em madeira, a uma demão, referência Suvinil, Coral ou equivalente​ (m2)</t>
  </si>
  <si>
    <t>I038006</t>
  </si>
  <si>
    <t>FUNDO BRANCO FOSCO NIVELADOR P/ MADEIRAS</t>
  </si>
  <si>
    <t>​S190114​ Preparo em paredes e forros, aplicação manual, com uma demão de líquido selador acrílico, referência Suvinil, Coral ou Metalatex ou equivalente​ (m2)</t>
  </si>
  <si>
    <t>I037519</t>
  </si>
  <si>
    <t>SELADOR ACRILICO - SUVINIL, CORAL OU EQUIVALENTE</t>
  </si>
  <si>
    <t>​5942​ PÁ CARREGADEIRA SOBRE RODAS, POTÊNCIA LÍQUIDA 128 HP, CAPACIDADE DA CAÇAMBA 1,7 A 2,8 M3, PESO OPERACIONAL 11632 KG - CHI DIURNO. AF_06/2014​ (CHI)</t>
  </si>
  <si>
    <t>88301</t>
  </si>
  <si>
    <t>OPERADOR DE PÁ CARREGADEIRA COM ENCARGOS COMPLEMENTARES</t>
  </si>
  <si>
    <t>89128</t>
  </si>
  <si>
    <t>PÁ CARREGADEIRA SOBRE RODAS, POTÊNCIA LÍQUIDA 128 HP, CAPACIDADE DA CAÇAMBA 1,7 A 2,8 M3, PESO OPERACIONAL 11632 KG - DEPRECIAÇÃO. AF_06/2014</t>
  </si>
  <si>
    <t>89129</t>
  </si>
  <si>
    <t>PÁ CARREGADEIRA SOBRE RODAS, POTÊNCIA LÍQUIDA 128 HP, CAPACIDADE DA CAÇAMBA 1,7 A 2,8 M3, PESO OPERACIONAL 11632 KG - JUROS. AF_06/2014</t>
  </si>
  <si>
    <t>​5940​ PÁ CARREGADEIRA SOBRE RODAS, POTÊNCIA LÍQUIDA 128 HP, CAPACIDADE DA CAÇAMBA 1,7 A 2,8 M3, PESO OPERACIONAL 11632 KG - CHP DIURNO. AF_06/2014​ (CHP)</t>
  </si>
  <si>
    <t>53857</t>
  </si>
  <si>
    <t>PÁ CARREGADEIRA SOBRE RODAS, POTÊNCIA LÍQUIDA 128 HP, CAPACIDADE DA CAÇAMBA 1,7 A 2,8 M3, PESO OPERACIONAL 11632 KG - MANUTENÇÃO. AF_06/2014</t>
  </si>
  <si>
    <t>53858</t>
  </si>
  <si>
    <t>PÁ CARREGADEIRA SOBRE RODAS, POTÊNCIA LÍQUIDA 128 HP, CAPACIDADE DA CAÇAMBA 1,7 A 2,8 M3, PESO OPERACIONAL 11632 KG - MATERIAIS NA OPERAÇÃO. AF_06/2014</t>
  </si>
  <si>
    <t>​89128​ PÁ CARREGADEIRA SOBRE RODAS, POTÊNCIA LÍQUIDA 128 HP, CAPACIDADE DA CAÇAMBA 1,7 A 2,8 M3, PESO OPERACIONAL 11632 KG - DEPRECIAÇÃO. AF_06/2014​ (H)</t>
  </si>
  <si>
    <t>00004262</t>
  </si>
  <si>
    <t>PA CARREGADEIRA SOBRE RODAS, POTENCIA LIQUIDA 128 HP, CAPACIDADE DA CACAMBA DE 1,7 A 2,8 M3, PESO OPERACIONAL MAXIMO DE 11632 KG</t>
  </si>
  <si>
    <t>​89129​ PÁ CARREGADEIRA SOBRE RODAS, POTÊNCIA LÍQUIDA 128 HP, CAPACIDADE DA CAÇAMBA 1,7 A 2,8 M3, PESO OPERACIONAL 11632 KG - JUROS. AF_06/2014​ (H)</t>
  </si>
  <si>
    <t>​53857​ PÁ CARREGADEIRA SOBRE RODAS, POTÊNCIA LÍQUIDA 128 HP, CAPACIDADE DA CAÇAMBA 1,7 A 2,8 M3, PESO OPERACIONAL 11632 KG - MANUTENÇÃO. AF_06/2014​ (H)</t>
  </si>
  <si>
    <t>​53858​ PÁ CARREGADEIRA SOBRE RODAS, POTÊNCIA LÍQUIDA 128 HP, CAPACIDADE DA CAÇAMBA 1,7 A 2,8 M3, PESO OPERACIONAL 11632 KG - MATERIAIS NA OPERAÇÃO. AF_06/2014​ (H)</t>
  </si>
  <si>
    <t>​S030201​ Reaterro apiloado de cavas de fundação, em camadas de 20 cm​ (m3)</t>
  </si>
  <si>
    <t>​S04783​ Reboco externo, de parede, com argamassa traço 1:4 (cal / areia), espessura 2,5 cm​ (m2)</t>
  </si>
  <si>
    <t>S10550</t>
  </si>
  <si>
    <t>Encargos Complementares - Pedreiro</t>
  </si>
  <si>
    <t>I04750S</t>
  </si>
  <si>
    <t>Pedreiro (horista)</t>
  </si>
  <si>
    <t>​SER-001​ Remoção de ferrugem em esquadrias ou estruturas metálicas com escova de aço​ (m2)</t>
  </si>
  <si>
    <t>Observações:  COPIA ORSE - SE - 2026/03 (REF: 05/2026) 51291 - S04521</t>
  </si>
  <si>
    <t>​91693​ SERRA CIRCULAR DE BANCADA COM MOTOR ELÉTRICO POTÊNCIA DE 5HP, COM COIFA PARA DISCO 10" - CHI DIURNO. AF_08/2015​ (CHI)</t>
  </si>
  <si>
    <t>91688</t>
  </si>
  <si>
    <t>SERRA CIRCULAR DE BANCADA COM MOTOR ELÉTRICO POTÊNCIA DE 5HP, COM COIFA PARA DISCO 10" - DEPRECIAÇÃO. AF_08/2015</t>
  </si>
  <si>
    <t>91689</t>
  </si>
  <si>
    <t>SERRA CIRCULAR DE BANCADA COM MOTOR ELÉTRICO POTÊNCIA DE 5HP, COM COIFA PARA DISCO 10" - JUROS. AF_08/2015</t>
  </si>
  <si>
    <t>​91692​ SERRA CIRCULAR DE BANCADA COM MOTOR ELÉTRICO POTÊNCIA DE 5HP, COM COIFA PARA DISCO 10" - CHP DIURNO. AF_08/2015​ (CHP)</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</si>
  <si>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</si>
  <si>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</si>
  <si>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</si>
  <si>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</si>
  <si>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​91688​ SERRA CIRCULAR DE BANCADA COM MOTOR ELÉTRICO POTÊNCIA DE 5HP, COM COIFA PARA DISCO 10" - DEPRECIAÇÃO. AF_08/2015​ (H)</t>
  </si>
  <si>
    <t>00014618</t>
  </si>
  <si>
    <t>SERRA CIRCULAR DE BANCADA COM MOTOR ELETRICO, POTENCIA DE *1600* W, PARA DISCO DE DIAMETRO DE 10" (250 MM)</t>
  </si>
  <si>
    <t>​91689​ SERRA CIRCULAR DE BANCADA COM MOTOR ELÉTRICO POTÊNCIA DE 5HP, COM COIFA PARA DISCO 10" - JUROS. AF_08/2015​ (H)</t>
  </si>
  <si>
    <t>​91690​ SERRA CIRCULAR DE BANCADA COM MOTOR ELÉTRICO POTÊNCIA DE 5HP, COM COIFA PARA DISCO 10" - MANUTENÇÃO. AF_08/2015​ (H)</t>
  </si>
  <si>
    <t>​91691​ SERRA CIRCULAR DE BANCADA COM MOTOR ELÉTRICO POTÊNCIA DE 5HP, COM COIFA PARA DISCO 10" - MATERIAIS NA OPERAÇÃO. AF_08/2015​ (H)</t>
  </si>
  <si>
    <t>​88316​ SERVENTE COM ENCARGOS COMPLEMENTARES​ (H)</t>
  </si>
  <si>
    <t>95378</t>
  </si>
  <si>
    <t>CURSO DE CAPACITAÇÃO PARA SERVENTE (ENCARGOS COMPLEMENTARES) - HORISTA</t>
  </si>
  <si>
    <t>​ED-50385​ TAQUEIRO COM ENCARGOS COMPLEMENTARES​ (hora)</t>
  </si>
  <si>
    <t>MATED-13096</t>
  </si>
  <si>
    <t>CESTA BÁSICA/ALIMENTAÇÃO - HORISTA (ENCARGOS COMPLEMENTARES)</t>
  </si>
  <si>
    <t>MATED-13099</t>
  </si>
  <si>
    <t>EXAMES - HORISTA (ENCARGOS COMPLEMENTARES)</t>
  </si>
  <si>
    <t>MATED-13098</t>
  </si>
  <si>
    <t>SEGURO - HORISTA (ENCARGOS COMPLEMENTARES)</t>
  </si>
  <si>
    <t>MATED-13097</t>
  </si>
  <si>
    <t>TRANSPORTE - HORISTA (ENCARGOS COMPLEMENTARES)</t>
  </si>
  <si>
    <t>ED-5244</t>
  </si>
  <si>
    <t>CURSO DE CAPACITAÇÃO PARA TAQUEADOR OU TAQUEIRO (ENCARGOS COMPLEMENTARES) - HORISTA</t>
  </si>
  <si>
    <t>ED-14659</t>
  </si>
  <si>
    <t>EPI PARA TAQUEIRO - HORISTA (ENCARGOS COMPLEMENTARES)</t>
  </si>
  <si>
    <t>ED-14695</t>
  </si>
  <si>
    <t>FERRAMENTAS PARA TAQUEIRO - HORISTA (ENCARGOS COMPLEMENTARES)</t>
  </si>
  <si>
    <t>​S12492​ Tampo/bancada em granito branco siena, e=2cm​ (m2)</t>
  </si>
  <si>
    <t>I09964</t>
  </si>
  <si>
    <t>Perfil Alumínio, Tubo Retangular 50,80mm x 25,40mm x 1,20mm (0,484kg/m)</t>
  </si>
  <si>
    <t>​5914359​ Transporte com caminhão basculante de 10 m³ - rodovia em leito natural​ (tkm)</t>
  </si>
  <si>
    <t>Custo do FIC (0,02885):</t>
  </si>
  <si>
    <t>​5914374​ Transporte com caminhão basculante de 10 m³ - rodovia em revestimento primário​ (tkm)</t>
  </si>
  <si>
    <t>​5914389​ Transporte com caminhão basculante de 10 m³ - rodovia pavimentada​ (tkm)</t>
  </si>
  <si>
    <t>​6416040​ Usinagem de brita graduada com brita comercial em usina de 300 t/h​ (m³)</t>
  </si>
  <si>
    <t>E9511</t>
  </si>
  <si>
    <t>Carregadeira de pneus com capacidade de 3,40 m³ - 195 kW</t>
  </si>
  <si>
    <t>E9779</t>
  </si>
  <si>
    <t>Grupo gerador - 113 kVA</t>
  </si>
  <si>
    <t>E9615</t>
  </si>
  <si>
    <t>Usina misturadora de solos com capacidade de 300 t/h - 44 kW</t>
  </si>
  <si>
    <t>P9824</t>
  </si>
  <si>
    <t>Servente</t>
  </si>
  <si>
    <t>Custo do FIC (0,11114):</t>
  </si>
  <si>
    <t>M0005</t>
  </si>
  <si>
    <t>Brita 0</t>
  </si>
  <si>
    <t>M0191</t>
  </si>
  <si>
    <t>Brita 1</t>
  </si>
  <si>
    <t>M0192</t>
  </si>
  <si>
    <t>Brita 2</t>
  </si>
  <si>
    <t>M1135</t>
  </si>
  <si>
    <t>Pó de pedra</t>
  </si>
  <si>
    <t>TRANSPORTE - TEMPO FIXO</t>
  </si>
  <si>
    <t>CODIGO</t>
  </si>
  <si>
    <t>Brita 0 (Caminhão basculante com capacidade de 10 m³ - 210 kW)</t>
  </si>
  <si>
    <t>t</t>
  </si>
  <si>
    <t>5914647</t>
  </si>
  <si>
    <t>Brita 1 (Caminhão basculante com capacidade de 10 m³ - 210 kW)</t>
  </si>
  <si>
    <t>Brita 2 (Caminhão basculante com capacidade de 10 m³ - 210 kW)</t>
  </si>
  <si>
    <t>Pó de pedra (Caminhão basculante com capacidade de 10 m³ - 210 kW)</t>
  </si>
  <si>
    <t>TRANSPORTE - TEMPO FIXO:</t>
  </si>
  <si>
    <t>MOMENTO DE TRANSPORTE</t>
  </si>
  <si>
    <t>LN</t>
  </si>
  <si>
    <t>RP</t>
  </si>
  <si>
    <t>DMT</t>
  </si>
  <si>
    <t>R$</t>
  </si>
  <si>
    <t>tkm</t>
  </si>
  <si>
    <t>MOMENTO DE TRANSPORTE:</t>
  </si>
  <si>
    <t>​90587​ VIBRADOR DE IMERSÃO, DIÂMETRO DE PONTEIRA 45MM, MOTOR ELÉTRICO TRIFÁSICO POTÊNCIA DE 2 CV - CHI DIURNO. AF_06/2015​ (CHI)</t>
  </si>
  <si>
    <t>90582</t>
  </si>
  <si>
    <t>VIBRADOR DE IMERSÃO, DIÂMETRO DE PONTEIRA 45MM, MOTOR ELÉTRICO TRIFÁSICO POTÊNCIA DE 2 CV - DEPRECIAÇÃO. AF_06/2015</t>
  </si>
  <si>
    <t>90583</t>
  </si>
  <si>
    <t>VIBRADOR DE IMERSÃO, DIÂMETRO DE PONTEIRA 45MM, MOTOR ELÉTRICO TRIFÁSICO POTÊNCIA DE 2 CV - JUROS. AF_06/2015</t>
  </si>
  <si>
    <t>​90586​ VIBRADOR DE IMERSÃO, DIÂMETRO DE PONTEIRA 45MM, MOTOR ELÉTRICO TRIFÁSICO POTÊNCIA DE 2 CV - CHP DIURNO. AF_06/2015​ (CHP)</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</si>
  <si>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</si>
  <si>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</si>
  <si>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</si>
  <si>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</si>
  <si>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​90582​ VIBRADOR DE IMERSÃO, DIÂMETRO DE PONTEIRA 45MM, MOTOR ELÉTRICO TRIFÁSICO POTÊNCIA DE 2 CV - DEPRECIAÇÃO. AF_06/2015​ (H)</t>
  </si>
  <si>
    <t>00013896</t>
  </si>
  <si>
    <t>VIBRADOR DE IMERSAO, DIAMETRO DA PONTEIRA DE *45* MM, COM MOTOR ELETRICO TRIFASICO DE 2 HP (2 CV)</t>
  </si>
  <si>
    <t>​90583​ VIBRADOR DE IMERSÃO, DIÂMETRO DE PONTEIRA 45MM, MOTOR ELÉTRICO TRIFÁSICO POTÊNCIA DE 2 CV - JUROS. AF_06/2015​ (H)</t>
  </si>
  <si>
    <t>​90584​ VIBRADOR DE IMERSÃO, DIÂMETRO DE PONTEIRA 45MM, MOTOR ELÉTRICO TRIFÁSICO POTÊNCIA DE 2 CV - MANUTENÇÃO. AF_06/2015​ (H)</t>
  </si>
  <si>
    <t>​90585​ VIBRADOR DE IMERSÃO, DIÂMETRO DE PONTEIRA 45MM, MOTOR ELÉTRICO TRIFÁSICO POTÊNCIA DE 2 CV - MATERIAIS NA OPERAÇÃO. AF_06/2015​ (H)</t>
  </si>
  <si>
    <t>​88325​ VIDRACEIRO COM ENCARGOS COMPLEMENTARES​ (H)</t>
  </si>
  <si>
    <t>95387</t>
  </si>
  <si>
    <t>CURSO DE CAPACITAÇÃO PARA VIDRACEIRO (ENCARGOS COMPLEMENTARES) - HORISTA</t>
  </si>
  <si>
    <t>​S010694​ argamassa mista de cimento, cal hidratada e areia sem peneirar traco 1:0,5:8, preparo mecanico com betoneira 400 l</t>
  </si>
  <si>
    <t>I020505</t>
  </si>
  <si>
    <t>CAL HIDRATADO P/ ARGAMASSA CH III</t>
  </si>
  <si>
    <t>S330103</t>
  </si>
  <si>
    <t>betoneira capacidade nominal de 400 l, capacidade de mistura 280 l, motor eletrico trifasico potencia de 2 cv, sem carregador - chp diurno</t>
  </si>
  <si>
    <t>​S010692​ argamassa traco 1:3 de cimento e areia media, preparo mecanico com betoneira 400 l</t>
  </si>
  <si>
    <t>S330203</t>
  </si>
  <si>
    <t>betoneira capacidade nominal de 400 l, capacidade de mistura 280 l, motor eletrico trifasico potencia de 2 cv, sem carregador - chi diurno</t>
  </si>
  <si>
    <t>​S330203​ betoneira capacidade nominal de 400 l, capacidade de mistura 280 l, motor eletrico trifasico potencia de 2 cv, sem carregador - chi diurno</t>
  </si>
  <si>
    <t>S330303</t>
  </si>
  <si>
    <t>betoneira capacidade nominal de 400 l, capacidade de mistura 280 l, motor eletrico trifasico potencia de 2 cv, sem carregador - depreciacao</t>
  </si>
  <si>
    <t>S330403</t>
  </si>
  <si>
    <t>betoneira capacidade nominal de 400 l, capacidade de mistura 280 l, motor eletrico trifasico potencia de 2 cv, sem carregador - juros</t>
  </si>
  <si>
    <t>​S330103​ betoneira capacidade nominal de 400 l, capacidade de mistura 280 l, motor eletrico trifasico potencia de 2 cv, sem carregador - chp diurno</t>
  </si>
  <si>
    <t>S330503</t>
  </si>
  <si>
    <t>betoneira capacidade nominal de 400 l, capacidade de mistura 280 l, motor eletrico trifasico potencia de 2 cv, sem carregador - manutencao</t>
  </si>
  <si>
    <t>S330603</t>
  </si>
  <si>
    <t>betoneira capacidade nominal de 400 l, capacidade de mistura 280 l, motor eletrico trifasico potencia de 2 cv, sem carregador - materiais na operacao</t>
  </si>
  <si>
    <t>​S330303​ betoneira capacidade nominal de 400 l, capacidade de mistura 280 l, motor eletrico trifasico potencia de 2 cv, sem carregador - depreciacao</t>
  </si>
  <si>
    <t>I081115</t>
  </si>
  <si>
    <t>BETONEIRA CAPACIDADE NOMINAL 400L, CAPACIDADE DE MISTURA 280L, MOTOR ELETRICO TRIFASICO 220/380V POTENCIA 2CV, SEM CARREGADOR</t>
  </si>
  <si>
    <t>​S330403​ betoneira capacidade nominal de 400 l, capacidade de mistura 280 l, motor eletrico trifasico potencia de 2 cv, sem carregador - juros</t>
  </si>
  <si>
    <t>​S330503​ betoneira capacidade nominal de 400 l, capacidade de mistura 280 l, motor eletrico trifasico potencia de 2 cv, sem carregador - manutencao</t>
  </si>
  <si>
    <t>​S330603​ betoneira capacidade nominal de 400 l, capacidade de mistura 280 l, motor eletrico trifasico potencia de 2 cv, sem carregador - materiais na operacao</t>
  </si>
  <si>
    <t>I049967</t>
  </si>
  <si>
    <t>CONSUMO DE ENERGIA ELETRICA COMERCIAL, BAIXA TENSAO CONSUMO ATE 100KWH, INCLUIDO ICMS, PIS/PASEP E CONFINS</t>
  </si>
  <si>
    <t>​S330216​ compactador de solos de percusao (soquete) com motor a gasolina, potencia 3 cv - chi diurno</t>
  </si>
  <si>
    <t>I010157</t>
  </si>
  <si>
    <t xml:space="preserve">OPERADOR DE MAQUINAS AUXILIARES (OPERADOR DE MAQUINAS PESADAS I - </t>
  </si>
  <si>
    <t>S330316</t>
  </si>
  <si>
    <t>compactador de solos de percussao (soquete) com motor a gasolina 4 tempos, potencia 4 cv - depreciacao</t>
  </si>
  <si>
    <t>S330416</t>
  </si>
  <si>
    <t>compactador de solos de percussao (soquete) com motor a gasolina 4 tempos, potencia 4 cv - juros</t>
  </si>
  <si>
    <t>​S330116​ compactador de solos de percusao (soquete) com motor a gasolina, potencia 3 cv - chp diurno</t>
  </si>
  <si>
    <t>S330516</t>
  </si>
  <si>
    <t>compactador de solos de percusao (soquete) com motor a gasolina, potencia 3 cv - manutencao</t>
  </si>
  <si>
    <t>S330615</t>
  </si>
  <si>
    <t>compactador de solos de percusao (soquete) com motor a gasolina, potencia 3 cv - materiais na operacao</t>
  </si>
  <si>
    <t>​S330516​ compactador de solos de percusao (soquete) com motor a gasolina, potencia 3 cv - manutencao</t>
  </si>
  <si>
    <t>I081129</t>
  </si>
  <si>
    <t>​S330615​ compactador de solos de percusao (soquete) com motor a gasolina, potencia 3 cv - materiais na operacao</t>
  </si>
  <si>
    <t>I800102</t>
  </si>
  <si>
    <t>​S330316​ compactador de solos de percussao (soquete) com motor a gasolina 4 tempos, potencia 4 cv - depreciacao</t>
  </si>
  <si>
    <t>​S330416​ compactador de solos de percussao (soquete) com motor a gasolina 4 tempos, potencia 4 cv - juros</t>
  </si>
  <si>
    <t>​S330215​ cortadora de piso com motor 4 tempos a gasolina, potencia de 13 hp, com disco de corte diamantado segmentado para concreto, diametro de 350 mm, furo de 1" (14 x 1") - chi diurno</t>
  </si>
  <si>
    <t>S330315</t>
  </si>
  <si>
    <t>cortadora de piso com motor 4 tempos a gasolina, potencia de 13 hp, com disco de corte diamantado segmentado para concreto, diametro de 350 mm, furo de 1" (14 x 1") - depreciacao</t>
  </si>
  <si>
    <t>S330415</t>
  </si>
  <si>
    <t>cortadora de piso com motor 4 tempos a gasolina, potencia de 13 hp, com disco de corte diamantado segmentado para concreto, diametro de 350 mm, furo de 1" (14 x 1") - juros</t>
  </si>
  <si>
    <t>​S330115​ cortadora de piso com motor 4 tempos a gasolina, potencia de 13 hp, com disco de corte diamantado segmentado para concreto, diametro de 350 mm, furo de 1" (14 x 1") - chp diurno</t>
  </si>
  <si>
    <t>S330515</t>
  </si>
  <si>
    <t>cortadora de piso com motor 4 tempos a gasolina, potencia de 13 hp, com disco de corte diamantado segmentado para concreto, diametro de 350 mm, furo de 1" (14 x 1") - manutencao</t>
  </si>
  <si>
    <t>S330614</t>
  </si>
  <si>
    <t>cortadora de piso com motor 4 tempos a gasolina, potencia de 13 hp, com disco de corte diamantado segmentado para concreto, diametro de 350 mm, furo de 1" (14 x 1") - materiais na operacao</t>
  </si>
  <si>
    <t>​S330315​ cortadora de piso com motor 4 tempos a gasolina, potencia de 13 hp, com disco de corte diamantado segmentado para concreto, diametro de 350 mm, furo de 1" (14 x 1") - depreciacao</t>
  </si>
  <si>
    <t>I081128</t>
  </si>
  <si>
    <t>CORTADEIRA DE PISO DE CONCRETO E ASFALTO, PARA DISCO PADRAO DE DIAMETRO 350 MM (14") OU 450 MM (18") , MOTOR A GASOLINA, POTENCIA 13 HP, SEM DISCO</t>
  </si>
  <si>
    <t>I028183</t>
  </si>
  <si>
    <t>DISCO DE CORTE DIAMANTADO SEGMENTADO PARA CONCRETO, DIAMETRO DE 350 MM, FURO DE 1 " (14 X 1 ")</t>
  </si>
  <si>
    <t>​S330415​ cortadora de piso com motor 4 tempos a gasolina, potencia de 13 hp, com disco de corte diamantado segmentado para concreto, diametro de 350 mm, furo de 1" (14 x 1") - juros</t>
  </si>
  <si>
    <t>​S330515​ cortadora de piso com motor 4 tempos a gasolina, potencia de 13 hp, com disco de corte diamantado segmentado para concreto, diametro de 350 mm, furo de 1" (14 x 1") - manutencao</t>
  </si>
  <si>
    <t>​S330614​ cortadora de piso com motor 4 tempos a gasolina, potencia de 13 hp, com disco de corte diamantado segmentado para concreto, diametro de 350 mm, furo de 1" (14 x 1") - materiais na operacao</t>
  </si>
  <si>
    <t>​S190426​ fundo anticorrosivo zarcao, uma demao</t>
  </si>
  <si>
    <t>I038028</t>
  </si>
  <si>
    <t>ZARCAO - SUVINIL, CORAL OU EQUIVALENTE</t>
  </si>
  <si>
    <t>​S330135​ lavadora de alta pressao (lava-jato) para agua fria, pressao de operacao entre 1400 e 1900 lib/pol2, vazao maxima entre 400 e 700 l/h - chp diurno</t>
  </si>
  <si>
    <t>S330336</t>
  </si>
  <si>
    <t>lavadora de alta pressao (lava-jato) para agua fria, pressao de operacao entre 1400 e 1900 lib/pol2, vazao maxima entre 400 e 700 l/h - depreciacao</t>
  </si>
  <si>
    <t>S330436</t>
  </si>
  <si>
    <t>lavadora de alta pressao (lava-jato) para agua fria, pressao de operacao entre 1400 e 1900 lib/pol2, vazao maxima entre 400 e 700 l/h - juros</t>
  </si>
  <si>
    <t>S330535</t>
  </si>
  <si>
    <t>lavadora de alta pressao (lava-jato) para agua fria, pressao de operacao entre 1400 e 1900 lib/pol2, vazao maxima entre 400 e 700 l/h - manutencao</t>
  </si>
  <si>
    <t>S330632</t>
  </si>
  <si>
    <t>lavadora de alta pressao (lava-jato) para agua fria, pressao de operacao entre 1400 e 1900 lib/pol2, vazao maxima entre 400 e 700 l/h - materiais na operacao</t>
  </si>
  <si>
    <t>​S330336​ lavadora de alta pressao (lava-jato) para agua fria, pressao de operacao entre 1400 e 1900 lib/pol2, vazao maxima entre 400 e 700 l/h - depreciacao</t>
  </si>
  <si>
    <t>I081150</t>
  </si>
  <si>
    <t>LAVADORA DE ALTA PRESSAO (LAVA - JATO) PARA AGUA FRIA, PRESSAO DE OPERACAO ENTRE 1400 E 1900 LIB/POL2, VAZAO MAXIMA ENTRE 400 E 700 L/H, POTENCIA DE OPERACAO ENTRE 2,50 E 3,00 CV</t>
  </si>
  <si>
    <t>​S330436​ lavadora de alta pressao (lava-jato) para agua fria, pressao de operacao entre 1400 e 1900 lib/pol2, vazao maxima entre 400 e 700 l/h - juros</t>
  </si>
  <si>
    <t>​S330535​ lavadora de alta pressao (lava-jato) para agua fria, pressao de operacao entre 1400 e 1900 lib/pol2, vazao maxima entre 400 e 700 l/h - manutencao</t>
  </si>
  <si>
    <t>​S330632​ lavadora de alta pressao (lava-jato) para agua fria, pressao de operacao entre 1400 e 1900 lib/pol2, vazao maxima entre 400 e 700 l/h - materiais na operacao</t>
  </si>
  <si>
    <t>I131108</t>
  </si>
  <si>
    <t>CONSUMO DE ENERGIA ELETRICA INDUSTRIAL ATE 2000 KWH, SEM DEMANDA</t>
  </si>
  <si>
    <t>​S200409​ limpeza de piso ceramico ou porcelanato com vassoura a seco</t>
  </si>
  <si>
    <t>​S200410​ limpeza de piso e revestimento ceramico, utilizando detergente neutro e escovacao manual</t>
  </si>
  <si>
    <t>I029391</t>
  </si>
  <si>
    <t>DETERGENTE NEUTRO USO GERAL CONCENTRADO</t>
  </si>
  <si>
    <t>​S200412​ limpeza de revestimento ceramico em parede utilizando detergente neutro e escovacao manual</t>
  </si>
  <si>
    <t>​S200413​ limpeza de superficie com jato de alta pressao</t>
  </si>
  <si>
    <t>S330135</t>
  </si>
  <si>
    <t>lavadora de alta pressao (lava-jato) para agua fria, pressao de operacao entre 1400 e 1900 lib/pol2, vazao maxima entre 400 e 700 l/h - chp diurno</t>
  </si>
  <si>
    <t>​S330233​ martelo demolidor eletrico, com potencia de 2.000 w, 1.000 impactos por minuto, peso de 30 kg - chi diurno</t>
  </si>
  <si>
    <t>S330335</t>
  </si>
  <si>
    <t>martelo demolidor eletrico, com potencia de 2.000 w, 1.000 impactos por minuto, peso de 30 kg - depreciacao</t>
  </si>
  <si>
    <t>S330435</t>
  </si>
  <si>
    <t>martelo demolidor eletrico, com potencia de 2.000 w, 1.000 impactos por minuto, peso de 30 kg - juros</t>
  </si>
  <si>
    <t>​S330134​ martelo demolidor eletrico, com potencia de 2.000 w, 1.000 impactos por minuto, peso de 30 kg - chp diurno</t>
  </si>
  <si>
    <t>S330534</t>
  </si>
  <si>
    <t>martelo demolidor eletrico, com potencia de 2.000 w, 1.000 impactos por minuto, peso de 30 kg - manutencao</t>
  </si>
  <si>
    <t>S330631</t>
  </si>
  <si>
    <t>martelo demolidor eletrico, com potencia de 2.000 w, 1.000 impactos por minuto, peso de 30 kg - materiais na operacao</t>
  </si>
  <si>
    <t>​S330335​ martelo demolidor eletrico, com potencia de 2.000 w, 1.000 impactos por minuto, peso de 30 kg - depreciacao</t>
  </si>
  <si>
    <t>I081149</t>
  </si>
  <si>
    <t>​S330435​ martelo demolidor eletrico, com potencia de 2.000 w, 1.000 impactos por minuto, peso de 30 kg - juros</t>
  </si>
  <si>
    <t>​S330534​ martelo demolidor eletrico, com potencia de 2.000 w, 1.000 impactos por minuto, peso de 30 kg - manutencao</t>
  </si>
  <si>
    <t>​S330631​ martelo demolidor eletrico, com potencia de 2.000 w, 1.000 impactos por minuto, peso de 30 kg - materiais na operacao</t>
  </si>
  <si>
    <t>​S190427​ pintura sobre metal, aplicacao manual, com duas demaos de tinta esmalte sintetico, referencia suvinil, coral ou metalatex</t>
  </si>
  <si>
    <t>​S130106​ regularizacao de base para revestimento de pisos c/ argamassa de alta resistencia, empregando argamassa de cimento e areia no traco 1:3 e espessura de 3 cm</t>
  </si>
  <si>
    <t>​S330119​ retroescavadeira sobre rodas com carregadeira, tracao 4x2, potencia liq. 79 hp, cacamba carreg. cap. min. 1 m3, cacamba retro cap. 0,20 m3, peso operacional min. 6.570 kg, profundidade escavacao max. 4,37 m - chp diurno</t>
  </si>
  <si>
    <t>S330319</t>
  </si>
  <si>
    <t>retroescavadeira sobre rodas com carregadeira, tracao 4x2, potencia liq. 79 hp, cacamba carreg. cap. min. 1 m3, cacamba retro cap. 0,20 m3, peso operacional min. 6.570 kg, profundidade escavacao max. 4,37 m - depreciacao</t>
  </si>
  <si>
    <t>S330419</t>
  </si>
  <si>
    <t>retroescavadeira sobre rodas com carregadeira, tracao 4x2, potencia liq. 79 hp, cacamba carreg. cap. min. 1 m3, cacamba retro cap. 0,20 m3, peso operacional min. 6.570 kg, profundidade escavacao max. 4,37 m - juros</t>
  </si>
  <si>
    <t>S330519</t>
  </si>
  <si>
    <t>retroescavadeira sobre rodas com carregadeira, tracao 4x2, potencia liq. 79 hp, cacamba carreg. cap. min. 1 m3, cacamba retro cap. 0,20 m3, peso operacional min. 6.570 kg, profundidade escavacao max. 4,37 m - manutencao</t>
  </si>
  <si>
    <t>S330618</t>
  </si>
  <si>
    <t>retroescavadeira sobre rodas com carregadeira, tracao 4x2, potencia liq. 79 hp, cacamba carreg. cap. min. 1 m3, cacamba retro cap. 0,20 m3, peso operacional min. 6.570 kg, profundidade escavacao max. 4,37 m - materiais na operacao</t>
  </si>
  <si>
    <t>​S330319​ retroescavadeira sobre rodas com carregadeira, tracao 4x2, potencia liq. 79 hp, cacamba carreg. cap. min. 1 m3, cacamba retro cap. 0,20 m3, peso operacional min. 6.570 kg, profundidade escavacao max. 4,37 m - depreciacao</t>
  </si>
  <si>
    <t>I081133</t>
  </si>
  <si>
    <t>RETROESCAVADEIRA SOBRE RODAS COM CARREGADEIRA, TRACAO 4 X 2, POTENCIA LIQUIDA 79 HP, PESO OPERACIONAL MINIMO DE 6570 KG, CAPACIDADE DA CARREGADEIRA DE 1,00 M3 E DA RETROESCAVADEIRA MINIMA DE 0,20 M3, PROFUNDIDADE DE ESCAVACAO MAXIMA DE 4,37 M</t>
  </si>
  <si>
    <t>​S330419​ retroescavadeira sobre rodas com carregadeira, tracao 4x2, potencia liq. 79 hp, cacamba carreg. cap. min. 1 m3, cacamba retro cap. 0,20 m3, peso operacional min. 6.570 kg, profundidade escavacao max. 4,37 m - juros</t>
  </si>
  <si>
    <t>​S330519​ retroescavadeira sobre rodas com carregadeira, tracao 4x2, potencia liq. 79 hp, cacamba carreg. cap. min. 1 m3, cacamba retro cap. 0,20 m3, peso operacional min. 6.570 kg, profundidade escavacao max. 4,37 m - manutencao</t>
  </si>
  <si>
    <t>​S330618​ retroescavadeira sobre rodas com carregadeira, tracao 4x2, potencia liq. 79 hp, cacamba carreg. cap. min. 1 m3, cacamba retro cap. 0,20 m3, peso operacional min. 6.570 kg, profundidade escavacao max. 4,37 m - materiais na operacao</t>
  </si>
  <si>
    <t>I800103</t>
  </si>
  <si>
    <t>OLEO DIESEL</t>
  </si>
  <si>
    <t>​S020305​ Placa de obra nas dimensões de 2.0 x 4.0 m, padrão DER​ (m2)</t>
  </si>
  <si>
    <t>I039002</t>
  </si>
  <si>
    <t>PLACA DE OBRA CHAPA DE AÇO Nº 22, REQUADRO EM METALON - IMPRESSÃO DIGITAL</t>
  </si>
  <si>
    <t>I021009</t>
  </si>
  <si>
    <t>PONTALETE DE MADEIRA BRUTA DE 3ª 8.0 X 8.0 CM</t>
  </si>
  <si>
    <t>I026569</t>
  </si>
  <si>
    <t>PREGO 18X27</t>
  </si>
  <si>
    <t>I020985</t>
  </si>
  <si>
    <t>SARRAFO DE MADEIRA PINUS 10 X 2.5CM</t>
  </si>
  <si>
    <t>​S020702​ Barracão para almoxarifado área de 10.90m2, de chapa de compensado de 12mm e pontalete 8x8cm, piso cimentado e cobertura de telhas de fibrocimento de 6mm, incl. ponto de luz, conf. projeto (1 utilização)​ (m2)</t>
  </si>
  <si>
    <t>I010150</t>
  </si>
  <si>
    <t>TELHADISTA (OFICIAL - SINDUSCON)</t>
  </si>
  <si>
    <t>I048534</t>
  </si>
  <si>
    <t>ABRACADEIRA EM ACO GALV. P/ AMARRACAO DE ELETRODUTOS, TIPO "U" SIMPLES - 3/4"</t>
  </si>
  <si>
    <t>I048516</t>
  </si>
  <si>
    <t>ARRUELA DE ALUMINIO FUNDIDO 3/4" - WETZEL OU EQUIVALENTE</t>
  </si>
  <si>
    <t>I049505</t>
  </si>
  <si>
    <t>BOCAL PORCELANA C/ ROSCA P/ LAMPADA INCANDESCENTE</t>
  </si>
  <si>
    <t>I020519</t>
  </si>
  <si>
    <t>BRITA 3</t>
  </si>
  <si>
    <t>I048502</t>
  </si>
  <si>
    <t>BUCHA DE ALUMINIO FUNDIDO 3/4" C/ ROSCA BSP- WETZEL OU EQUIVALENTE</t>
  </si>
  <si>
    <t>I026548</t>
  </si>
  <si>
    <t>BUCHA PLASTICA COM PARAFUSO - 8MM</t>
  </si>
  <si>
    <t>I043005</t>
  </si>
  <si>
    <t>CABO FLEX ISOL. TERMOPLAST. 750V - 2,50 MM2 - 70º</t>
  </si>
  <si>
    <t>I031519</t>
  </si>
  <si>
    <t>CADEADO 40MM</t>
  </si>
  <si>
    <t>I045104</t>
  </si>
  <si>
    <t>CAIXA PVC 4 X 2" - IP40 - TIGRE OU EQUIVALENTE</t>
  </si>
  <si>
    <t>I021032</t>
  </si>
  <si>
    <t>CHAPA COMPENSADA RESINADA ESP. 12MM</t>
  </si>
  <si>
    <t>I026503</t>
  </si>
  <si>
    <t>CONJUNTO VEDACAO ELASTICA</t>
  </si>
  <si>
    <t>I042511</t>
  </si>
  <si>
    <t>CURVA DE PVC RIGIDO PARA ELETRODUTO DE 3/4"</t>
  </si>
  <si>
    <t>I031584</t>
  </si>
  <si>
    <t>DOBRADICA DE FERRO ZINCADO DE 3" X 2 1/2"</t>
  </si>
  <si>
    <t>I042502</t>
  </si>
  <si>
    <t>ELETRODUTO DE PVC RIGIDO 3/4" - ROSCAVEL SEM LUVA</t>
  </si>
  <si>
    <t>I045525</t>
  </si>
  <si>
    <t>ESPELHO 4X2", LINHA BRANCA COM SUPORTE PARA ENCAIXE</t>
  </si>
  <si>
    <t>I045501</t>
  </si>
  <si>
    <t>INTERRUPTOR (MODULO) 1 TECLA SIMPLES 10A/250V S/ ESPELHO</t>
  </si>
  <si>
    <t>I046504</t>
  </si>
  <si>
    <t>LAMPADA LED BIVOLT BULBO E27 9W - LUZ BRANCA - FORMATO TRADICIONAL</t>
  </si>
  <si>
    <t>I042521</t>
  </si>
  <si>
    <t>LUVA DE PVC RIGIDO PARA ELETRODUTO 3/4"</t>
  </si>
  <si>
    <t>I026517</t>
  </si>
  <si>
    <t>PARAFUSO GALVANIZADO P/ TELHA (FIXAÇÃO EM MADEIRA), 5/16? X 110MM</t>
  </si>
  <si>
    <t>I031571</t>
  </si>
  <si>
    <t>PORTA CADEADO PARA CADEADO DE 40MM</t>
  </si>
  <si>
    <t>I026560</t>
  </si>
  <si>
    <t>PREGO - PRECO MEDIO DAS BITOLAS</t>
  </si>
  <si>
    <t>I031516</t>
  </si>
  <si>
    <t>TARGETA FIO REDONDO 2"</t>
  </si>
  <si>
    <t>I025513</t>
  </si>
  <si>
    <t>TELHA FIBROCIMENTO ONDULADA DE 6MM</t>
  </si>
  <si>
    <t>I045520</t>
  </si>
  <si>
    <t>TOMADA (MODULO) PAD BRAS 2 P+T 10A/250V NBR 14136 S/ ESPELH</t>
  </si>
  <si>
    <t>I045519</t>
  </si>
  <si>
    <t>TOMADA (MODULO) PAD BRAS 2 P+T 20A/250V NBR 14136 S/ ESPELH</t>
  </si>
  <si>
    <t>​S020701​ Barracão para escritório com sanitário área de 14.50 m2, de chapa de compens. 12mm e pontalete 8x8cm, piso cimentado e cobertura de telha de fibroc. 6mm, incl. ponto de luz e cx. de inspeção, conf. projeto (1 utilização)​ (m2)</t>
  </si>
  <si>
    <t>I010121</t>
  </si>
  <si>
    <t>ARMADOR (OFICIAL - SINDUSCON)</t>
  </si>
  <si>
    <t>I021517</t>
  </si>
  <si>
    <t>ACO CA-50 DE 8.0MM</t>
  </si>
  <si>
    <t>I062111</t>
  </si>
  <si>
    <t>ADAPTADOR PVC SOLDAVEL PARA REGISTRO 25MM X 3/4"</t>
  </si>
  <si>
    <t>I069513</t>
  </si>
  <si>
    <t>ADESIVO PARA TUBO DE PVC RIGIDO</t>
  </si>
  <si>
    <t>I024015</t>
  </si>
  <si>
    <t>ADITIVO IMPERMEABILIZANTE PEGA NORMAL P/ ARGAMASSA E CONCRETO - SIKA 1, VEDACIT PRO OU EQUIVALENTE</t>
  </si>
  <si>
    <t>I064709</t>
  </si>
  <si>
    <t>ANEL DE VEDAÇÃO AZUL PARA BACIA SANITARIA</t>
  </si>
  <si>
    <t>I027010</t>
  </si>
  <si>
    <t>ARAME RECOZIDO N.18 BWG</t>
  </si>
  <si>
    <t>I069509</t>
  </si>
  <si>
    <t>ASSENTO DE PLASTICO PARA VASO SANITARIO</t>
  </si>
  <si>
    <t>I065502</t>
  </si>
  <si>
    <t>BACIA SIFONADA DE LOUCA BRANCA</t>
  </si>
  <si>
    <t>I022586</t>
  </si>
  <si>
    <t>BLOCO CERÂMICO 08 FUROS 09X19X19CM - DA FABRICA</t>
  </si>
  <si>
    <t>I022502</t>
  </si>
  <si>
    <t>BLOCO DE CONCRETO 9 X 19 X 39CM - VEDACAO</t>
  </si>
  <si>
    <t>I020517</t>
  </si>
  <si>
    <t>BRITA 1</t>
  </si>
  <si>
    <t>I020518</t>
  </si>
  <si>
    <t>BRITA 2</t>
  </si>
  <si>
    <t>I026549</t>
  </si>
  <si>
    <t>BUCHA PLASTICA 8MM</t>
  </si>
  <si>
    <t>I043006</t>
  </si>
  <si>
    <t>CABO FLEX ISOL. TERMOPLAST. 750V - 4,00 MM2 - 70º</t>
  </si>
  <si>
    <t>I065002</t>
  </si>
  <si>
    <t>CAIXA DESCARGA PLASTICA SOBREPOR BRANCA 6/9 LITROS</t>
  </si>
  <si>
    <t>I047561</t>
  </si>
  <si>
    <t>CHUVEIRO ELETRICO 3 TEMPERATURAS 127/5500W - MAXI DUCHA ULTRA - LORENZETTI OU EQUIVALENTE</t>
  </si>
  <si>
    <t>I026550</t>
  </si>
  <si>
    <t>CONJUNTO PARAFUSO ACO INOX 304 ROSCA SOBERBA 7,2MM PARA FIXACAO DE BACIA/MICTORIOS</t>
  </si>
  <si>
    <t>I028008</t>
  </si>
  <si>
    <t>DESMOLDANTE PARA FORMAS</t>
  </si>
  <si>
    <t>I031601</t>
  </si>
  <si>
    <t>DOBRADICA EM LATAO CROMADO 3 X 2.1/2" C/ PARAFUSO</t>
  </si>
  <si>
    <t>I069505</t>
  </si>
  <si>
    <t>ENGATE FLEXIVEL EM PVC 1/2" X 30CM</t>
  </si>
  <si>
    <t>I031518</t>
  </si>
  <si>
    <t>FECHADURA DE SEGURANCA ALIANCA MARCA REFERENCIA</t>
  </si>
  <si>
    <t>I069512</t>
  </si>
  <si>
    <t>FITA DE VEDACAO 18MM X 50M</t>
  </si>
  <si>
    <t>I062543</t>
  </si>
  <si>
    <t>JOELHO 90 DE PVC P/ ESGOTO DE 100MM</t>
  </si>
  <si>
    <t>I062540</t>
  </si>
  <si>
    <t>JOELHO 90 DE PVC P/ ESGOTO DE 40MM</t>
  </si>
  <si>
    <t>I062511</t>
  </si>
  <si>
    <t>JOELHO 90 DE PVC SOLDAVEL DE 25MM</t>
  </si>
  <si>
    <t>I065509</t>
  </si>
  <si>
    <t>LAVATORIO DE LOUCA BRANCA SEM COLUNA</t>
  </si>
  <si>
    <t>I030202</t>
  </si>
  <si>
    <t>PORTA EM COMPENSADO LISA LEVE COLMEIA ESP.35MM,0.7X2.1M P/PINT.</t>
  </si>
  <si>
    <t>I067578</t>
  </si>
  <si>
    <t>RALO SIFONADO 100X40MM C/GRELHA PVC,AKROS MAR.REF.</t>
  </si>
  <si>
    <t>I063502</t>
  </si>
  <si>
    <t>REGISTRO DE GAVETA BRUTO ABNT 20MM - 3/4"</t>
  </si>
  <si>
    <t>I063521</t>
  </si>
  <si>
    <t>REGISTRO DE PRESSAO CROMADO COM ACABAMENTO 3/4"</t>
  </si>
  <si>
    <t>I069514</t>
  </si>
  <si>
    <t>SOLUCAO LIMPADORA PARA PVC RIGIDO</t>
  </si>
  <si>
    <t>I020987</t>
  </si>
  <si>
    <t>TABUA DE MADEIRA PINUS 30 X 2.5 CM (TAIPA DE 1ª)</t>
  </si>
  <si>
    <t>I062520</t>
  </si>
  <si>
    <t>TE DE PVC SOLDAVEL DE 25MM</t>
  </si>
  <si>
    <t>I066049</t>
  </si>
  <si>
    <t>TORNEIRA EM PVC PARA LAVATORIO</t>
  </si>
  <si>
    <t>I062533</t>
  </si>
  <si>
    <t>TUBO DE ESGOTO PRIMARIO DE PVC BRANCO SERIE NORMAL (4") - 100MM - TIGRE, AMANCO OU EQUIVALENTE</t>
  </si>
  <si>
    <t>I062530</t>
  </si>
  <si>
    <t>TUBO DE ESGOTO PRIMARIO DE PVC BRANCO SERIE NORMAL(1.1/2") - 40MM - TIGRE, AMANCO OU EQUIVALENTE</t>
  </si>
  <si>
    <t>I062549</t>
  </si>
  <si>
    <t>TUBO DE PVC DE 1 1/2" P/ DESCARGA</t>
  </si>
  <si>
    <t>I062502</t>
  </si>
  <si>
    <t>TUBO DE PVC SOLDAVEL MARROM 25MM (AGUA FRIA) - TIGRE, AMANCO OU EQUIVALENTE</t>
  </si>
  <si>
    <t>I064006</t>
  </si>
  <si>
    <t>VALVULA DE PVC 1" PARA LAVATORIO C/ UNHO</t>
  </si>
  <si>
    <t>​S020355​ Aluguel mensal container sanitário, incl porta, básc, 2 ptos luz, 1 pto aterram., 3vasos, 3lavatórios, calha mictório, 6 chuveiros (1 eletrico), torn.,registros, piso comp. Naval pintado, cert NR18 e laudo descontaminação​ (ms)</t>
  </si>
  <si>
    <t>I072282</t>
  </si>
  <si>
    <t>ALUGUEL CONTAINER SANITARIO COLET 6X2.40X2.40M</t>
  </si>
  <si>
    <t>MS</t>
  </si>
  <si>
    <t>​S020344​ Mobilização e desmobilização de conteiner locado para barracão de obra​ (und)</t>
  </si>
  <si>
    <t>I071820</t>
  </si>
  <si>
    <t>MOBILIZAÇÃO E DESMOB. CONTEINER P/BARRACÃO DE OBRA</t>
  </si>
  <si>
    <t>​S020350​ Tapume Telha Metálica Ondulada em aço galvalume 0,50mm Branca h=2,20m, incl. montagem estr. mad. 8"x8", c/adesivo "DER-ES" 60x60cm a cada 10m, incl. faixas pint. esmalte sint. cores azul c/ h=30cm e rosa c/ h=10cm (Reaproveitamento 2x)​ (m)</t>
  </si>
  <si>
    <t>I071963</t>
  </si>
  <si>
    <t>ADESIVO 60X60CM COM IMPRESSAO LOGO DIGITAL CONFORME PROJETO</t>
  </si>
  <si>
    <t>I026610</t>
  </si>
  <si>
    <t>CONJUNTO FIXACAO P/ TELHA DE ALUMINIO TRAPEZOIDAL</t>
  </si>
  <si>
    <t>I026573</t>
  </si>
  <si>
    <t>PREGO 18X27 GALVANIZADO</t>
  </si>
  <si>
    <t>I025841</t>
  </si>
  <si>
    <t>TELHA METALICA ONDULADA ACO GALVALUME ESP 0.5MM PRE PINTADA 1 FACE COR RAL 9003 (BRANCA)</t>
  </si>
  <si>
    <t>S030101</t>
  </si>
  <si>
    <t>Escavação manual em material de 1a. categoria, até 1.50 m de profundidade</t>
  </si>
  <si>
    <t>S190427</t>
  </si>
  <si>
    <t>pintura sobre metal, aplicacao manual, com duas demaos de tinta esmalte sintetico, referencia suvinil, coral ou metalatex</t>
  </si>
  <si>
    <t>​S020346​ Locação de andaime metálico para fachada - tipo torre (aluguel mensal)​ (m)</t>
  </si>
  <si>
    <t>I021205</t>
  </si>
  <si>
    <t>ANDAIME MET TUBULAR FACHADA - LOCACAO (M/MÊS)</t>
  </si>
  <si>
    <t>​97622​ DEMOLIÇÃO DE ALVENARIA DE BLOCO FURADO, DE FORMA MANUAL, SEM REAPROVEITAMENTO. AF_09/2023​ (M3)</t>
  </si>
  <si>
    <t>​S010344​ Demolição de lajes, em concreto armado, de forma mecanizada com martelete demolidor elétrico, sem reaproveitamento​ (m3)</t>
  </si>
  <si>
    <t>S330233</t>
  </si>
  <si>
    <t>martelo demolidor eletrico, com potencia de 2.000 w, 1.000 impactos por minuto, peso de 30 kg - chi diurno</t>
  </si>
  <si>
    <t>S330134</t>
  </si>
  <si>
    <t>martelo demolidor eletrico, com potencia de 2.000 w, 1.000 impactos por minuto, peso de 30 kg - chp diurno</t>
  </si>
  <si>
    <t>​97627​ DEMOLIÇÃO DE PILARES E VIGAS EM CONCRETO ARMADO, DE FORMA MECANIZADA COM MARTELETE, SEM REAPROVEITAMENTO. AF_09/2023​ (M3)</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</si>
  <si>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</si>
  <si>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</si>
  <si>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</si>
  <si>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</si>
  <si>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​S010325​ Demolição manual de estrutura de madeira para telhado, sem reaproveitamento​ (m2)</t>
  </si>
  <si>
    <t>​S010255​ Remoção manual de telhas cerâmicas, tipo colonial, inclusive cumeeira, sem reaproveitamento​ (m2)</t>
  </si>
  <si>
    <t>​S010224​ Retirada manual de grades, gradis, alambrados, cercas e portões metálicos, inclusive remoção de argamassa de chumbamento, acessórios de fixação e corte de soldas​ (m2)</t>
  </si>
  <si>
    <t>​S010214​ Retirada manual de portas e janelas de madeira, inclusive batentes (marcos), sem reaproveitamento​ (m2)</t>
  </si>
  <si>
    <t>​S010226​ Retirada de tanque em mármore sintético, cantoneiras de fixação, inclusive vedação dos pontos de esgoto e água fria, sem reaproveitamento​ (und)</t>
  </si>
  <si>
    <t>​S010223​ Retirada manual de louças sanitárias, inclusive vedação dos pontos de esgoto e água fria, sem reaproveitamento​ (und)</t>
  </si>
  <si>
    <t>​104790​ DEMOLIÇÃO DE PISO DE CONCRETO SIMPLES, DE FORMA MECANIZADA COM MARTELETE, SEM REAPROVEITAMENTO. AF_09/2023​ (M3)</t>
  </si>
  <si>
    <t>90965</t>
  </si>
  <si>
    <t>COMPRESSOR DE AR REBOCÁVEL, VAZÃO 89 PCM, PRESSÃO EFETIVA DE TRABALHO 102 PSI, MOTOR DIESEL, POTÊNCIA 20 CV - CHI DIURNO. AF_06/2015</t>
  </si>
  <si>
    <t>90964</t>
  </si>
  <si>
    <t>COMPRESSOR DE AR REBOCÁVEL, VAZÃO 89 PCM, PRESSÃO EFETIVA DE TRABALHO 102 PSI, MOTOR DIESEL, POTÊNCIA 20 CV - CHP DIURNO. AF_06/2015</t>
  </si>
  <si>
    <t>5952</t>
  </si>
  <si>
    <t>MARTELETE OU ROMPEDOR PNEUMÁTICO MANUAL, 28 KG, COM SILENCIADOR - CHI DIURNO. AF_07/2016</t>
  </si>
  <si>
    <t>5795</t>
  </si>
  <si>
    <t>MARTELETE OU ROMPEDOR PNEUMÁTICO MANUAL, 28 KG, COM SILENCIADOR - CHP DIURNO. AF_07/2016</t>
  </si>
  <si>
    <t>​S030304​ Índice de preço para remoção de entulho decorrente da execução de obras (Classe A CONAMA - NBR 10.004 - Classe II-B), incluindo aluguel da caçamba, carga, transporte e descarga em área licenciada​ (m3)</t>
  </si>
  <si>
    <t>I070114</t>
  </si>
  <si>
    <t>REMOCAO RESIDUOS CLASSE A CONAMA (CACAMBA) CLASSE II B (NBR10004) INCLUSIVE DESTINACAO FINAL</t>
  </si>
  <si>
    <t>​97625​ DEMOLIÇÃO DE ALVENARIA PARA QUALQUER TIPO DE BLOCO, DE FORMA MECANIZADA, SEM REAPROVEITAMENTO. AF_09/2023​ (M3)</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</si>
  <si>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</si>
  <si>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</si>
  <si>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</si>
  <si>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</si>
  <si>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​S010216​ Retirada manual de meio-fio de concreto, sem reaproveitamento​ (m)</t>
  </si>
  <si>
    <t>​S010403​ Corte e destocamento manual de árvores com diâmetro de até 15 cm​ (und)</t>
  </si>
  <si>
    <t>​S010219​ Demolição manual de concreto armado, sem reaproveitamento​ (m3)</t>
  </si>
  <si>
    <t>​S030103​ Escavação mecânica em material de 1a. categoria​ (m3)</t>
  </si>
  <si>
    <t>S330119</t>
  </si>
  <si>
    <t>retroescavadeira sobre rodas com carregadeira, tracao 4x2, potencia liq. 79 hp, cacamba carreg. cap. min. 1 m3, cacamba retro cap. 0,20 m3, peso operacional min. 6.570 kg, profundidade escavacao max. 4,37 m - chp diurno</t>
  </si>
  <si>
    <t>​100994​ CARGA, MANOBRA E DESCARGA DE SOLOS E MATERIAIS GRANULARES EM CAMINHÃO BASCULANTE 10 M³ - CARGA COM ESCAVADEIRA HIDRÁULICA (CAÇAMBA DE 1,20 M³ / 155 HP) E DESCARGA LIVRE (UNIDADE: T). AF_02/2026​ (T)</t>
  </si>
  <si>
    <t>91387</t>
  </si>
  <si>
    <t>CAMINHÃO BASCULANTE 10 M3, TRUCADO CABINE SIMPLES, PESO BRUTO TOTAL 23.000 KG, CARGA ÚTIL MÁXIMA 15.935 KG, DISTÂNCIA ENTRE EIXOS 4,80 M, POTÊNCIA 230 CV INCLUSIVE CAÇAMBA METÁLICA - CHI DIURNO. AF_06/2014</t>
  </si>
  <si>
    <t>91386</t>
  </si>
  <si>
    <t>CAMINHÃO BASCULANTE 10 M3, TRUCADO CABINE SIMPLES, PESO BRUTO TOTAL 23.000 KG, CARGA ÚTIL MÁXIMA 15.935 KG, DISTÂNCIA ENTRE EIXOS 4,80 M, POTÊNCIA 230 CV INCLUSIVE CAÇAMBA METÁLICA - CHP DIURNO. AF_06/2014</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</si>
  <si>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</si>
  <si>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</si>
  <si>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</si>
  <si>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</si>
  <si>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​95878​ TRANSPORTE COM CAMINHÃO BASCULANTE DE 10 M³, EM VIA URBANA PAVIMENTADA, DMT ATÉ 30 KM (UNIDADE: TXKM). AF_02/2026​ (TXKM)</t>
  </si>
  <si>
    <t>​S120303​ Reboco tipo paulista de argamassa de cimento, cal hidratada CH1 e areia média ou grossa lavada no traço 1:0.5:6, espessura 25 mm​ (m2)</t>
  </si>
  <si>
    <t>​S050605​ Alvenaria de vedação com blocos cerâmicos furados 9x19x19cm, assentados c/ argamassa de cimento, cal hidratada CH1 e areia no traço 1:0,5:8, preparo com betoneira, juntas 10mm e esp. das paredes s/revestimento, 9cm (bloco comprado na praça de Vitória, posto obra)​ (m2)</t>
  </si>
  <si>
    <t>I022585</t>
  </si>
  <si>
    <t>BLOCO CERÂMICO 08 FUROS 09X19X19CM - PRAÇA VITÓRIA</t>
  </si>
  <si>
    <t>S010694</t>
  </si>
  <si>
    <t>argamassa mista de cimento, cal hidratada e areia sem peneirar traco 1:0,5:8, preparo mecanico com betoneira 400 l</t>
  </si>
  <si>
    <t>​S160707​ Pintura com tinta látex PVA Suvinil, Coral ou Metalatex, inclusive selador em paredes internas e forros a três demãos​ (m2)</t>
  </si>
  <si>
    <t>I038009</t>
  </si>
  <si>
    <t>LIQUIDO SELADOR PARA PINTURA LATEX PVA</t>
  </si>
  <si>
    <t>I037513</t>
  </si>
  <si>
    <t>TINTA LATEX PVA - LINHA PREMIUM - SUVINIL, CORAL OU EQUIVALENTE</t>
  </si>
  <si>
    <t>​S120241​ Cerâmica retificada, acabamento brilhante, dim. 32x60cm, ref. TRADIZIONALLE BIANCO Biancogres/equiv. assentado com argamassa de cimento colante, inclusive rejuntamento com argamassapre-fabricada para rejunte​ (m2)</t>
  </si>
  <si>
    <t>I010106</t>
  </si>
  <si>
    <t>AZULEJISTA (OFICIAL - SINDUSCON)</t>
  </si>
  <si>
    <t>I150275</t>
  </si>
  <si>
    <t>CERAMICA RETIFICADA 32X60CM BRANCO BRILHANTE TRADIZIONALLE BIANCOGRES / WHITE ABSOLUTE LINHA A EMBRAMACO OU ARTICO INCESA</t>
  </si>
  <si>
    <t>I020510</t>
  </si>
  <si>
    <t>CIMENTO COLANTE INDUSTRIALIZADO AC I</t>
  </si>
  <si>
    <t>I020588</t>
  </si>
  <si>
    <t>REJUNTE PRE-FABRICADA</t>
  </si>
  <si>
    <t>​S100202​ Impermeabilização com argamassa de igol 2 - marca de referência Sika​ (m2)</t>
  </si>
  <si>
    <t>I024035</t>
  </si>
  <si>
    <t>IMPERMEABILIZANTE ASFALTICO DISPERSO EM AGUA IGOL 2 - SIKA OU EQUIVALENTE</t>
  </si>
  <si>
    <t>​S160708​ Pintura com tinta acrílica Suvinil, Coral ou Metalatex, inclusive selador acrílico, em paredes externas a três demãos​ (m2)</t>
  </si>
  <si>
    <t>I037514</t>
  </si>
  <si>
    <t>TINTA LATEX ACRILICA FOSCA - LINHA PREMIUM</t>
  </si>
  <si>
    <t>​S130103​ Regularização de base para revestimento cerâmico, com argamassa de cimento e areia no traço 1:5, espessura: 3 cm​ (m2)</t>
  </si>
  <si>
    <t>​98685​ RODAPÉ EM GRANITO, ALTURA 10 CM. AF_02/2026​ (M)</t>
  </si>
  <si>
    <t>00020231</t>
  </si>
  <si>
    <t>RODAPE OU RODABANCADA EM GRANITO, POLIDO, TIPO ANDORINHA/ QUARTZ/ CASTELO/ CORUMBA OU OUTROS EQUIVALENTES DA REGIAO, H= 10 CM, E= *2,0* CM</t>
  </si>
  <si>
    <t>88274</t>
  </si>
  <si>
    <t>MARMORISTA/GRANITEIRO COM ENCARGOS COMPLEMENTARES</t>
  </si>
  <si>
    <t>​S130308​ Soleira de granito esp. 2 cm e largura de 15 cm​ (m)</t>
  </si>
  <si>
    <t>I036034</t>
  </si>
  <si>
    <t>SOLEIRA GRANITO CINZA ANDORINHA ESP=2CM,L=15CM</t>
  </si>
  <si>
    <t>​4011209​ Regularização do subleito - 100% Proctor intermediário​ (m²)</t>
  </si>
  <si>
    <t>E9571</t>
  </si>
  <si>
    <t>Caminhão tanque com capacidade de 10.000 l - 188 kW</t>
  </si>
  <si>
    <t>E9518</t>
  </si>
  <si>
    <t>Grade de 24 discos rebocável de D = 60 cm (24")</t>
  </si>
  <si>
    <t>E9524</t>
  </si>
  <si>
    <t>Motoniveladora - 93 kW</t>
  </si>
  <si>
    <t>E9762</t>
  </si>
  <si>
    <t>Rolo compactador de pneus autopropelido de 27 t - 85 kW</t>
  </si>
  <si>
    <t>E9685</t>
  </si>
  <si>
    <t>Rolo compactador pé de carneiro vibratório autopropelido por pneus de 11,6 t - 82 kW</t>
  </si>
  <si>
    <t>E9577</t>
  </si>
  <si>
    <t>Trator agrícola sobre pneus - 77 kW</t>
  </si>
  <si>
    <t>Custo do FIC (0,10259):</t>
  </si>
  <si>
    <t>​S200206​ Execução de pavimentação com blocos intertravados de concreto tipo 'pavi-s', espessura de 8 cm e resistência mínima de 35 MPa, assentados sobre colchão de pó de pedra de 10 cm, com rejuntamento em areia, compactação com placa vibratória e cortes com cortadora de piso​ (m2)</t>
  </si>
  <si>
    <t>I010108</t>
  </si>
  <si>
    <t>CALCETEIRO/PINTOR (OFICIAL - SINDUSCON)</t>
  </si>
  <si>
    <t>I036512</t>
  </si>
  <si>
    <t>BLOCO CONCRETO TIPO PAVI-S ESP.8CM,35MPA(48UND/M2)</t>
  </si>
  <si>
    <t>I020524</t>
  </si>
  <si>
    <t>PO DE PEDRA</t>
  </si>
  <si>
    <t>S330216</t>
  </si>
  <si>
    <t>compactador de solos de percusao (soquete) com motor a gasolina, potencia 3 cv - chi diurno</t>
  </si>
  <si>
    <t>S330116</t>
  </si>
  <si>
    <t>compactador de solos de percusao (soquete) com motor a gasolina, potencia 3 cv - chp diurno</t>
  </si>
  <si>
    <t>S330215</t>
  </si>
  <si>
    <t>cortadora de piso com motor 4 tempos a gasolina, potencia de 13 hp, com disco de corte diamantado segmentado para concreto, diametro de 350 mm, furo de 1" (14 x 1") - chi diurno</t>
  </si>
  <si>
    <t>S330115</t>
  </si>
  <si>
    <t>cortadora de piso com motor 4 tempos a gasolina, potencia de 13 hp, com disco de corte diamantado segmentado para concreto, diametro de 350 mm, furo de 1" (14 x 1") - chp diurno</t>
  </si>
  <si>
    <t>​S110210​ Forro PVC branco L = 20 cm, frisado, estruturado por perfis de aço galvanizado e tirantes rígidos fabricado de acordo com a NBR-14285, colocado​ (m2)</t>
  </si>
  <si>
    <t>I034129</t>
  </si>
  <si>
    <t>FORRO PVC L=20CM COR BRANCO 7 A 8 MM COLOCADO COLOCADO -ESTRUTURADO POR PERFIS DE AÇO GALVANIZADO E TIRANTES RIGIDOS</t>
  </si>
  <si>
    <t>​S090302​ Rufo de chapa metálica nº 26 com largura de 30 cm​ (m)</t>
  </si>
  <si>
    <t>I068001</t>
  </si>
  <si>
    <t>CHAPA GALVANIZADA Nº 26 DESENV 30 CM</t>
  </si>
  <si>
    <t>I026566</t>
  </si>
  <si>
    <t>PREGO 15X15</t>
  </si>
  <si>
    <t>​S170608​ Bacia sifonada de louça branca sem abertura frontal p/ banheiro PNE, consumo 6 litros por fluxo, Vogue Plus Conforto - P.510.17, Ref. Deca ou equiv., incl. tubo de ligação inox c/ canopla, anel de vedação, paraf. e rejunte epoxi p/ vedação​ (und)</t>
  </si>
  <si>
    <t>I065204</t>
  </si>
  <si>
    <t>BACIA LOUÇA BRANCA DECA VOGUE PLUS REF. P 510</t>
  </si>
  <si>
    <t>I020437</t>
  </si>
  <si>
    <t>REJUNTE EPOXI COR BRANCA</t>
  </si>
  <si>
    <t>I066013</t>
  </si>
  <si>
    <t>TUBO DE LIGACAO CROMADO COM CANOPLA</t>
  </si>
  <si>
    <t>​S170304​ Torneira bica baixa de mesa para lavatório PressMatic Alfa - Docol, Decamatic Smart - Deca ou equivalente​ (und)</t>
  </si>
  <si>
    <t>I066012</t>
  </si>
  <si>
    <t>TORNEIRA BICA BAIXA DE PRESSAO CROMADA P/ LAVATORIO 1/2" - PRESSMATIC ALFA, DOCOL, DECAMATIC SMART - DECA OU EQUIVALENTE</t>
  </si>
  <si>
    <t>​S170128​ Lavatório de louça branca com coluna suspensa, Vogue Plus Confort - L51+CS1V para portadores de necessidades especiais - DECA, inclusive válvula de saída cromada 1?, sifão em metal cromado 1? x 1/2", engate flexível trançado inox 1/2? x 30cm e parafusos para fixação, exclusive torneira​ (und)</t>
  </si>
  <si>
    <t>I069506</t>
  </si>
  <si>
    <t>ENGATE FLEXIVEL TRANÇADO INOX 1/2? X 30CM</t>
  </si>
  <si>
    <t>I066207</t>
  </si>
  <si>
    <t>LAVATÓRIO COM COLUNA BRANCA CONFORT L51+CS1V</t>
  </si>
  <si>
    <t>I064506</t>
  </si>
  <si>
    <t>SIFAO TIPO GARRAFA METAL CROMADO P/ LAVATORIO 1" X 1 1/2"</t>
  </si>
  <si>
    <t>I064002</t>
  </si>
  <si>
    <t>VALVULA DE SAIDA PARA LAVATORIO CROMADA 1"</t>
  </si>
  <si>
    <t>​106766​ DISPENSER DE PLÁSTICO PARA PAPEL HIGIÊNICO, INCLUSO FIXAÇÃO. AF_02/2026​ (UN)</t>
  </si>
  <si>
    <t>00037400</t>
  </si>
  <si>
    <t>PAPELEIRA PLASTICA TIPO DISPENSER PARA PAPEL HIGIENICO ROLAO</t>
  </si>
  <si>
    <t>​95547​ SABONETEIRA PLÁSTICA TIPO DISPENSER PARA SABONETE LÍQUIDO COM RESERVATÓRIO 800 A 1500 ML, INCLUSO FIXAÇÃO. AF_02/2026​ (UN)</t>
  </si>
  <si>
    <t>00011758</t>
  </si>
  <si>
    <t>SABONETEIRA PLASTICA TIPO DISPENSER PARA SABONETE LIQUIDO COM RESERVATORIO 800 A 1500 ML</t>
  </si>
  <si>
    <t>​S170519​ Ducha manual Acqua jet , linha Aquarius, com registro ref.C 2195, marcas de referência Fabrimar, Deca ou Docol​ (und)</t>
  </si>
  <si>
    <t>I066027</t>
  </si>
  <si>
    <t>DUCHA MANUAL ACQUA JET C/ REG.PRESSÃO REF. C 2195</t>
  </si>
  <si>
    <t>​S170601​ Barra de apoio reta, em aço inox polido AISI 304, comprimento 40 cm, conforme requisitos de acessibilidade da NBR 9050 - fornecimento e instalação​ (und)</t>
  </si>
  <si>
    <t>I028267</t>
  </si>
  <si>
    <t>BARRA APOIO RETA INOX 40CM ACCESS - JACKWAL OU EQUIVALENTE</t>
  </si>
  <si>
    <t>​S170615​ Barra de apoio reta, em aço inox polido AISI 304, comprimento 70 cm, conforme requisitos de acessibilidade da NBR 9050 - fornecimento e instalação​ (und)</t>
  </si>
  <si>
    <t>I029156</t>
  </si>
  <si>
    <t>BARRA APOIO RETA INOX 70CM ACCESS - JACKWAL OU EQUIVALENTE</t>
  </si>
  <si>
    <t>​S170603​ Barra de apoio reta, em aço inox polido AISI 304, comprimento 80 cm, conforme requisitos de acessibilidade da NBR 9050 - fornecimento e instalação​ (und)</t>
  </si>
  <si>
    <t>I029220</t>
  </si>
  <si>
    <t>BARRA APOIO RETA INOX 80CM ACCESS - JACKWAL OU EQUIVALENTE</t>
  </si>
  <si>
    <t>​S170115​ Cuba de louça branca de embutir redonda, 36cm - L-41 ? Deca ou equivalente, inclusive válvula de saída cromada 1?, sifão em metálico tipo copo cromado 1? x 1/2" e engate flexível trançado inox 1/2? x 30cm, exclusive torneira​ (und)</t>
  </si>
  <si>
    <t>I065544</t>
  </si>
  <si>
    <t>CUBA LOUCA BRANCA DE EMBUTIR DIAM.36CM DECA L-41</t>
  </si>
  <si>
    <t>I064503</t>
  </si>
  <si>
    <t>SIFAO METALICO TIPO COPO 1X1 1/2"</t>
  </si>
  <si>
    <t>​S071704​ Porta de abrir tipo veneziana em alumínio anodizado, linha 25, completa, incl. puxador com tranca, caixilho, alizar e contramarco​ (m2)</t>
  </si>
  <si>
    <t>I030868</t>
  </si>
  <si>
    <t>PORTA ABRIR VENEZIANA ALUM ANOD NATURAL LINHA 25/SUPREMA</t>
  </si>
  <si>
    <t>​RES-022​ Retirada e reinstalação de vidro em esquadria de madeira, fixado com silicone acetico. (com aproveitamento de vidro existente). Tudo incluído.​ (M2)</t>
  </si>
  <si>
    <t>​ACE-002​ Bancada de granito tipo Branco Siena, com espessura de 2 cm, com acabamento polido, inclusive chumbamento na alvenaria, exclusive cantoneira de apoio. Saia h=10cm e rodabanca h=10cm. Tudo incluído.​ (m2)</t>
  </si>
  <si>
    <t>​S071106​ Portão de ferro de correr em barra chata, inclusive chumbamento​ (m2)</t>
  </si>
  <si>
    <t>ITENS DE INCIDÊNCIA</t>
  </si>
  <si>
    <t>MATERIAL</t>
  </si>
  <si>
    <t>EQUIPAMENTO</t>
  </si>
  <si>
    <t>CUSTO</t>
  </si>
  <si>
    <t>IF00005</t>
  </si>
  <si>
    <t>indice de fabricacao</t>
  </si>
  <si>
    <t>TOTAL ITENS DE INCIDÊNCIA:</t>
  </si>
  <si>
    <t>I100190</t>
  </si>
  <si>
    <t>BARRA CHATA DE FERRO ASTM A-36 1/4" X 1.1/2"</t>
  </si>
  <si>
    <t>I039123</t>
  </si>
  <si>
    <t>CANTONEIRA ABAS IGUAIS DE FERRO ASTM A-36 - 1/8" X 1" X 1"</t>
  </si>
  <si>
    <t>I079375</t>
  </si>
  <si>
    <t>GALVANIZAÇÃO ELETROLITICA</t>
  </si>
  <si>
    <t>I034383</t>
  </si>
  <si>
    <t>ROLDANA CROMADA C/ PINO DIAM. Ø 3" CANAL TIPO "V" 2"</t>
  </si>
  <si>
    <t>​S071105​ Grade de ferro em barra chata, inclusive chumbamento​ (m2)</t>
  </si>
  <si>
    <t>IF00004</t>
  </si>
  <si>
    <t>I028125</t>
  </si>
  <si>
    <t>BARRA CHATA DE FERRO ASTM A-36 1/4" X 1"</t>
  </si>
  <si>
    <t>I070276</t>
  </si>
  <si>
    <t>BARRA CHATA DE FERRO ASTM A-36 1/4" X 1.1/4"</t>
  </si>
  <si>
    <t>​S190417​ Pintura sobre metal, aplicação manual, com duas demãos de tinta esmalte sintético, referência Suvinil, Coral ou Metalatex, inclusive uma demão de fundo anticorrosivo​ (m2)</t>
  </si>
  <si>
    <t>I150881</t>
  </si>
  <si>
    <t>LIXA EM FOLHA D'ÁGUA GRANA Nº 240 - NORTON OU EQUIVALENTE</t>
  </si>
  <si>
    <t>S190426</t>
  </si>
  <si>
    <t>fundo anticorrosivo zarcao, uma demao</t>
  </si>
  <si>
    <t>​S010230​ Retirada de pintura à base de PVA, utilizando a raspagem manual​ (m2)</t>
  </si>
  <si>
    <t>​S010208​ Retirada manual de revestimento em argamassa cimento e areia (emboço e reboco), sem reaproveitamento​ (m2)</t>
  </si>
  <si>
    <t>​S190116​ Pintura, sobre paredes e forros, aplicação manual, com duas demãos de tinta esmalte sintético, referência Suvinil, Coral e Metalatex, inclusive uma demão de liquido selador PVA, referência Suvinil, Coral ou Metalatex ou equivalente​ (m2)</t>
  </si>
  <si>
    <t>S190114</t>
  </si>
  <si>
    <t>Preparo em paredes e forros, aplicação manual, com uma demão de líquido selador acrílico, referência Suvinil, Coral ou Metalatex ou equivalente</t>
  </si>
  <si>
    <t>​S190117​ Pintura sobre paredes e forros, aplicação manual, com duas demãos de tinta látex acrílico premium, acabamento fosco, referência Suvinil, Coral e Metalatex, inclusive uma demão de liquido selador acrílico, referência Suvinil, Coral ou Metalatex​ (m2)</t>
  </si>
  <si>
    <t>​S12393​ Restauro - Emassamento e nivelamento de camada pictórica em paredes com pintura parietal​ (m2)</t>
  </si>
  <si>
    <t>I03091</t>
  </si>
  <si>
    <t>Carbonato de cálcio</t>
  </si>
  <si>
    <t>I03087</t>
  </si>
  <si>
    <t>Cola de coelho</t>
  </si>
  <si>
    <t>I03315S</t>
  </si>
  <si>
    <t>Gesso em po para revestimentos/molduras/sancas e uso geral</t>
  </si>
  <si>
    <t>​S12391​ Restauro - Refixação de policromia em paredes com pintura parietal​ (m2)</t>
  </si>
  <si>
    <t>I03124</t>
  </si>
  <si>
    <t>Água destilada</t>
  </si>
  <si>
    <t>​S010331​ Demolição manual de piso, soleira, peitoris e escadas em mármore ou granito, exclusive regularização, sem reaproveitamento​ (m2)</t>
  </si>
  <si>
    <t>​S03912​ Restauro - Restauração de cimalhas em forro artístico de madeira​ (m)</t>
  </si>
  <si>
    <t>​S010220​ Demolição manual de piso cimentado espessura de 1,5 cm, exclusive lastro de concreto, sem reaproveitamento​ (m2)</t>
  </si>
  <si>
    <t>​102073​ ESCADA EM CONCRETO ARMADO MOLDADO IN LOCO, FCK 25 MPA, COM 1 LANCE E LAJE PLANA, FÔRMA EM CHAPA DE MADEIRA COMPENSADA RESINADA. AF_11/2020​ (M3)</t>
  </si>
  <si>
    <t>95946</t>
  </si>
  <si>
    <t>ARMAÇÃO DE ESCADA, DE UMA ESTRUTURA CONVENCIONAL DE CONCRETO ARMADO UTILIZANDO AÇO CA-50 DE 10,0 MM - MONTAGEM. AF_11/2020</t>
  </si>
  <si>
    <t>95947</t>
  </si>
  <si>
    <t>ARMAÇÃO DE ESCADA, DE UMA ESTRUTURA CONVENCIONAL DE CONCRETO ARMADO UTILIZANDO AÇO CA-50 DE 12,5 MM - MONTAGEM. AF_11/2020</t>
  </si>
  <si>
    <t>95943</t>
  </si>
  <si>
    <t>ARMAÇÃO DE ESCADA, DE UMA ESTRUTURA CONVENCIONAL DE CONCRETO ARMADO UTILIZANDO AÇO CA-60 DE 5,0 MM - MONTAGEM. AF_11/2020</t>
  </si>
  <si>
    <t>103675</t>
  </si>
  <si>
    <t>CONCRETAGEM DE VIGAS E LAJES, FCK=25 MPA, PARA LAJES MACIÇAS OU NERVURADAS COM USO DE BOMBA - LANÇAMENTO, ADENSAMENTO E ACABAMENTO. AF_02/2022_PS</t>
  </si>
  <si>
    <t>102042</t>
  </si>
  <si>
    <t>MONTAGEM E DESMONTAGEM DE FÔRMA PARA ESCADAS, COM 1 LANCE E LAJE PLANA, EM CHAPA DE MADEIRA COMPENSADA RESINADA, 4 UTILIZAÇÕES. AF_11/2020</t>
  </si>
  <si>
    <t>​S200704​ Pintura com tinta à base de resinas acrílicas, marcas de referencia Suvinil, Coral ou Novacor, sobre piso de concreto a duas demãos​ (m2)</t>
  </si>
  <si>
    <t>I037517</t>
  </si>
  <si>
    <t>TINTA A BASE DE EMULSAO ACRILICA (PARA PISOS) - SUVINIL, CORAL OU EQUIVALENTE</t>
  </si>
  <si>
    <t>​97633​ DEMOLIÇÃO DE REVESTIMENTO CERÂMICO, DE FORMA MANUAL, SEM REAPROVEITAMENTO. AF_09/2023​ (M2)</t>
  </si>
  <si>
    <t>88256</t>
  </si>
  <si>
    <t>AZULEJISTA OU LADRILHEIRO COM ENCARGOS COMPLEMENTARES</t>
  </si>
  <si>
    <t>​S010202​ Demolição manual de revestimento cerâmico/porcelanato (pisos), exclusive lastro, sem reaproveitamento​ (m2)</t>
  </si>
  <si>
    <t>​97640​ REMOÇÃO DE FORROS DE DRYWALL, PVC E FIBROMINERAL, DE FORMA MANUAL, SEM REAPROVEITAMENTO. AF_09/2023​ (M2)</t>
  </si>
  <si>
    <t>88278</t>
  </si>
  <si>
    <t>MONTADOR DE ESTRUTURAS METÁLICAS COM ENCARGOS COMPLEMENTARES</t>
  </si>
  <si>
    <t>​87267​ REVESTIMENTO CERÂMICO PARA PAREDES INTERNAS COM PLACAS TIPO ESMALTADA DE DIMENSÕES 20X20 CM APLICADAS A MEIA ALTURA DAS PAREDES. AF_02/2023_PE​ (M2)</t>
  </si>
  <si>
    <t>00001381</t>
  </si>
  <si>
    <t>ARGAMASSA COLANTE AC I PARA CERAMICAS</t>
  </si>
  <si>
    <t>00000536</t>
  </si>
  <si>
    <t>REVESTIMENTO PARA PAREDE, EM CERAMICA ESMALTADA, FORMATO MENOR OU IGUAL A 2025 CM2</t>
  </si>
  <si>
    <t>​S120302​ Reboco de argamassa de cimento, cal hidratada CH1 e areia média ou grossa lavada no traço 1:0.5:6, espessura 5mm​ (m2)</t>
  </si>
  <si>
    <t>​S11763​ Restauro - Recuperação de ornatos e cercaduras. Rev 01_10/2025​ (m2)</t>
  </si>
  <si>
    <t>S04783</t>
  </si>
  <si>
    <t>Reboco externo, de parede, com argamassa traço 1:4 (cal / areia), espessura 2,5 cm</t>
  </si>
  <si>
    <t>​S13371​ Restauração de pináculos de massa​ (m2)</t>
  </si>
  <si>
    <t>I00370S</t>
  </si>
  <si>
    <t>Areia media - posto jazida/fornecedor (retirado na jazida, sem transporte)</t>
  </si>
  <si>
    <t>​S151401​ Cabo de cobre termoplástico (PVC) flexível isolado 450/750V, antichama BWF livre de chumbo, 70ºC - 1,5mm2​ (m)</t>
  </si>
  <si>
    <t>I043004</t>
  </si>
  <si>
    <t>CABO FLEX ISOL. TERMOPLAST. 750V - 1,5 MM2 - 70º</t>
  </si>
  <si>
    <t>​S151403​ Cabo de cobre termoplástico (PVC) flexível isolado 450/750V, antichama BWF livre de chumbo, 70ºC ? 4,0mm2​ (m)</t>
  </si>
  <si>
    <t>​S151402​ Cabo de cobre termoplástico (PVC) flexível isolado 450/750V, antichama BWF livre de chumbo, 70ºC - 2,5mm2​ (m)</t>
  </si>
  <si>
    <t>​S151404​ Cabo de cobre termoplástico (PVC) flexível isolado 450/750V, antichama BWF livre de chumbo, 70ºC ? 6,0mm2​ (m)</t>
  </si>
  <si>
    <t>I043007</t>
  </si>
  <si>
    <t>CABO FLEX ISOL. TERMOPLAST. 750V - 6,00 MM2 - 70º</t>
  </si>
  <si>
    <t>​S151420​ Cabo de cobre termoplástico (PVC) flexível isolado 0,60/1kV, antichama, HEPR 90ºC ? 10,0mm2​ (m)</t>
  </si>
  <si>
    <t>I043180</t>
  </si>
  <si>
    <t>CABO FLEX ISOL. TERMOPLAST. 0,6/1KV - 10MM2 - 90º HEPR</t>
  </si>
  <si>
    <t>​S151425​ Cabo de cobre termoplástico (PVC) flexível isolado 0,60/1kV, antichama, HEPR 90ºC ? 50,0mm2​ (m)</t>
  </si>
  <si>
    <t>I043190</t>
  </si>
  <si>
    <t>CABO FLEX ISOL. TERMOPLAST. 0,6/1KV - 50MM2 - 90º HEPR</t>
  </si>
  <si>
    <t>​S151422​ Cabo de cobre termoplástico (PVC) flexível isolado 0,60/1kV, antichama, HEPR 90ºC ? 25,0mm2​ (m)</t>
  </si>
  <si>
    <t>I043160</t>
  </si>
  <si>
    <t>CABO FLEX ISOL. TERMOPLAST. 0,6/1KV - 25MM2 - 90º HEPR</t>
  </si>
  <si>
    <t>​S151132​ Eletroduto flexível corrugado diâmetro 3/4", Amarelo ? Tigreflex ou equivalente​ (m)</t>
  </si>
  <si>
    <t>I042565</t>
  </si>
  <si>
    <t>ELETRODUTO FLEXIVEL CORRUGADO 25MM (3/4") PVC AMARELO TIGREFLEX OU EQUIVALENTE</t>
  </si>
  <si>
    <t>​S151133​ Eletroduto flexível corrugado diâmetro 1", Amarelo ? Tigreflex ou equivalente​ (m)</t>
  </si>
  <si>
    <t>I042588</t>
  </si>
  <si>
    <t>ELETRODUTO FLEXIVEL CORRUGADO 32MM (1") PVC AMARELO TIGREFLEX OU EQUIVALENTE</t>
  </si>
  <si>
    <t>​S150628​ Caixa de embutir marca de referência Tigreflex, 4x2"​ (und)</t>
  </si>
  <si>
    <t>​101878​ QUADRO DE DISTRIBUIÇÃO DE ENERGIA EM CHAPA DE AÇO GALVANIZADO, DE SOBREPOR, COM BARRAMENTO TRIFÁSICO, PARA 18 DISJUNTORES DIN 100A - FORNECIMENTO E INSTALAÇÃO. AF_07/2025​ (UN)</t>
  </si>
  <si>
    <t>00012038</t>
  </si>
  <si>
    <t>QUADRO DE DISTRIBUICAO COM BARRAMENTO TRIFASICO, DE SOBREPOR, EM CHAPA DE ACO GALVANIZADO, PARA 18 DISJUNTORES DIN, 100 A</t>
  </si>
  <si>
    <t>​106020​ DISJUNTOR TRIPOLAR DIN 63A - FORNECIMENTO E INSTALAÇÃO. AF_07/2025​ (UN)</t>
  </si>
  <si>
    <t>00034714</t>
  </si>
  <si>
    <t>DISJUNTOR TERMOMAGNETICO PARA TRILHO DIN (IEC), TRIPOLAR, 63 A</t>
  </si>
  <si>
    <t>​93661​ DISJUNTOR BIPOLAR TIPO DIN, CORRENTE NOMINAL DE 16A - FORNECIMENTO E INSTALAÇÃO. AF_07/2025​ (UN)</t>
  </si>
  <si>
    <t>00034616</t>
  </si>
  <si>
    <t>DISJUNTOR TERMOMAGNETICO PARA TRILHO DIN (IEC), BIPOLAR, 6 - 32 A</t>
  </si>
  <si>
    <t>00001570</t>
  </si>
  <si>
    <t>TERMINAL A COMPRESSAO EM COBRE ESTANHADO PARA CABO 2,5 MM2, 1 FURO E 1 COMPRESSAO, PARA PARAFUSO DE FIXACAO M5</t>
  </si>
  <si>
    <t>​93663​ DISJUNTOR BIPOLAR TIPO DIN, CORRENTE NOMINAL DE 25A - FORNECIMENTO E INSTALAÇÃO. AF_07/2025​ (UN)</t>
  </si>
  <si>
    <t>00001571</t>
  </si>
  <si>
    <t>TERMINAL A COMPRESSAO EM COBRE ESTANHADO PARA CABO 4 MM2, 1 FURO E 1 COMPRESSAO, PARA PARAFUSO DE FIXACAO M5</t>
  </si>
  <si>
    <t>​106027​ DISPOSITIVO DPS 20KA-175V OU 275V - FORNECIMENTO E INSTALAÇÃO. AF_07/2025​ (UN)</t>
  </si>
  <si>
    <t>00039465</t>
  </si>
  <si>
    <t>DISPOSITIVO DPS CLASSE II, 1 POLO, TENSAO MAXIMA DE 175 V, CORRENTE MAXIMA DE *20* KA (TIPO AC)</t>
  </si>
  <si>
    <t>00001573</t>
  </si>
  <si>
    <t>TERMINAL A COMPRESSAO EM COBRE ESTANHADO PARA CABO 6 MM2, 1 FURO E 1 COMPRESSAO, PARA PARAFUSO DE FIXACAO M6</t>
  </si>
  <si>
    <t>​91929​ CABO DE COBRE FLEXÍVEL ISOLADO, 4 MM², ANTI-CHAMA 0,6/1,0 KV, PARA CIRCUITOS TERMINAIS - FORNECIMENTO E INSTALAÇÃO. AF_03/2023​ (M)</t>
  </si>
  <si>
    <t>00001021</t>
  </si>
  <si>
    <t>CABO DE COBRE, FLEXIVEL, CLASSE 4 OU 5, ISOLACAO EM PVC/A, ANTICHAMA BWF-B, COBERTURA PVC-ST1, ANTICHAMA BWF-B, 1 CONDUTOR, 0,6/1 KV, SECAO NOMINAL 4 MM2</t>
  </si>
  <si>
    <t>​91931​ CABO DE COBRE FLEXÍVEL ISOLADO, 6 MM², ANTI-CHAMA 0,6/1,0 KV, PARA CIRCUITOS TERMINAIS - FORNECIMENTO E INSTALAÇÃO. AF_03/2023​ (M)</t>
  </si>
  <si>
    <t>00000994</t>
  </si>
  <si>
    <t>CABO DE COBRE, FLEXIVEL, CLASSE 4 OU 5, ISOLACAO EM PVC/A, ANTICHAMA BWF-B, COBERTURA PVC-ST1, ANTICHAMA BWF-B, 1 CONDUTOR, 0,6/1 KV, SECAO NOMINAL 6 MM2</t>
  </si>
  <si>
    <t>​S150633​ Caixa de passagem 200x200x100mm, chapa 18, com tampa parafusada​ (und)</t>
  </si>
  <si>
    <t>I045003</t>
  </si>
  <si>
    <t>CAIXA PASSAG. CH 18 C/TAMPA PARAF. 200X200X100MM</t>
  </si>
  <si>
    <t>​100620​ POSTE DE AÇO CÔNICO CONTÍNUO CURVO SIMPLES, FLANGEADO, H=9M - FORNECIMENTO E INSTALAÇÃO. AF_04/2025​ (UN)</t>
  </si>
  <si>
    <t>5930</t>
  </si>
  <si>
    <t>GUINDAUTO HIDRÁULICO, CAPACIDADE MÁXIMA DE CARGA 6200 KG, MOMENTO MÁXIMO DE CARGA 11,7 TM, ALCANCE MÁXIMO HORIZONTAL 9,70 M, INCLUSIVE CAMINHÃO TOCO PBT 16.000 KG, POTÊNCIA DE 189 CV - CHI DIURNO. AF_06/2014</t>
  </si>
  <si>
    <t>5928</t>
  </si>
  <si>
    <t>GUINDAUTO HIDRÁULICO, CAPACIDADE MÁXIMA DE CARGA 6200 KG, MOMENTO MÁXIMO DE CARGA 11,7 TM, ALCANCE MÁXIMO HORIZONTAL 9,70 M, INCLUSIVE CAMINHÃO TOCO PBT 16.000 KG, POTÊNCIA DE 189 CV - CHP DIURNO. AF_06/2014</t>
  </si>
  <si>
    <t>00000863</t>
  </si>
  <si>
    <t>CABO DE COBRE NU 35 MM2 MEIO-DURO</t>
  </si>
  <si>
    <t>00039746</t>
  </si>
  <si>
    <t>CHUMBADOR DE ACO GALVANIZADO, 1" X 600 MM, PARA POSTES DE ACO COM BASE, INCLUSO PORCA E ARRUELA</t>
  </si>
  <si>
    <t>00014162</t>
  </si>
  <si>
    <t>POSTE CONICO CONTINUO EM ACO GALVANIZADO, CURVO, BRACO SIMPLES, FLANGEADO, H = 9 M, DIAMETRO INFERIOR = *135* MM</t>
  </si>
  <si>
    <t>​101659​ LUMINÁRIA DE LED PARA ILUMINAÇÃO PÚBLICA, DE 181 W ATÉ 239 W - FORNECIMENTO E INSTALAÇÃO. AF_02/2025_PS​ (UN)</t>
  </si>
  <si>
    <t>00042248</t>
  </si>
  <si>
    <t>LUMINARIA DE LED PARA ILUMINACAO PUBLICA, DE 181 W ATE 239 W, INVOLUCRO EM ALUMINIO OU ACO INOX</t>
  </si>
  <si>
    <t>​101526​ ENTRADA DE ENERGIA ELÉTRICA, SUBTERRÂNEA, BIFÁSICA, COM CAIXA DE EMBUTIR, CABO DE 16 MM2 E DISJUNTOR DIN 50A (NÃO INCLUSA MURETA DE ALVENARIA). AF_12/2025​ (UN)</t>
  </si>
  <si>
    <t>00034643</t>
  </si>
  <si>
    <t>CAIXA DE INSPECAO PARA ATERRAMENTO E PARA RAIOS, EM POLIPROPILENO, DIAMETRO = 300 MM X ALTURA = 400 MM (INCLUIDA TAMPA SEM ESCOTILHA)</t>
  </si>
  <si>
    <t>00039809</t>
  </si>
  <si>
    <t>CAIXA PARA MEDIDOR POLIFASICO, EM POLICARBONATO / TERMOPLASTICO, PARA ALOJAR 1 DISJUNTOR (PADRAO DA CONCESSIONARIA LOCAL)</t>
  </si>
  <si>
    <t>87367</t>
  </si>
  <si>
    <t>ARGAMASSA TRAÇO 1:1:6 (EM VOLUME DE CIMENTO, CAL E AREIA MÉDIA ÚMIDA) PARA EMBOÇO/MASSA ÚNICA/ASSENTAMENTO DE ALVENARIA DE VEDAÇÃO, PREPARO MANUAL. AF_08/2019</t>
  </si>
  <si>
    <t>104749</t>
  </si>
  <si>
    <t>CONECTOR GRAMPO METÁLICO TIPO OLHAL, PARA SPDA, PARA HASTE DE ATERRAMENTO DE 3/4'' E CABOS DE 10 A 50 MM2 - FORNECIMENTO E INSTALAÇÃO. AF_08/2023</t>
  </si>
  <si>
    <t>96977</t>
  </si>
  <si>
    <t>93666</t>
  </si>
  <si>
    <t>DISJUNTOR BIPOLAR TIPO DIN, CORRENTE NOMINAL DE 50A - FORNECIMENTO E INSTALAÇÃO. AF_07/2025</t>
  </si>
  <si>
    <t>97668</t>
  </si>
  <si>
    <t>ELETRODUTO FLEXÍVEL CORRUGADO, PEAD, DN 63 (2"), PARA REDE ENTERRADA DE DISTRIBUIÇÃO DE ENERGIA ELÉTRICA - FORNECIMENTO E INSTALAÇÃO. AF_12/2021</t>
  </si>
  <si>
    <t>91872</t>
  </si>
  <si>
    <t>ELETRODUTO RÍGIDO ROSCÁVEL, PVC, DN 32 MM (1"), PARA CIRCUITOS TERMINAIS, INSTALADO EM PAREDE - FORNECIMENTO E INSTALAÇÃO. AF_03/2023</t>
  </si>
  <si>
    <t>​S151337​ Dispositivo de proteção contra surto (DPS) bipolar, 40kA, 275Vca, referência Siemens, Steck, Clamper ou equivalente​ (und)</t>
  </si>
  <si>
    <t>I047855</t>
  </si>
  <si>
    <t>DISP PROT CONTR SURTOS DPS BIPOLAR 275VCA COR 40KA</t>
  </si>
  <si>
    <t>​101901​ CONTATOR TRIPOLAR I NOMINAL 12A - FORNECIMENTO E INSTALAÇÃO. AF_07/2025​ (UN)</t>
  </si>
  <si>
    <t>00001623</t>
  </si>
  <si>
    <t>CONTATOR TRIPOLAR, CORRENTE DE 12 A, TENSAO NOMINAL DE *500* V, CATEGORIA AC-2 E AC-3</t>
  </si>
  <si>
    <t>​91927​ CABO DE COBRE FLEXÍVEL ISOLADO, 2,5 MM², ANTI-CHAMA 0,6/1,0 KV, PARA CIRCUITOS TERMINAIS - FORNECIMENTO E INSTALAÇÃO. AF_03/2023​ (M)</t>
  </si>
  <si>
    <t>00001022</t>
  </si>
  <si>
    <t>CABO DE COBRE, FLEXIVEL, CLASSE 4 OU 5, ISOLACAO EM PVC/A, ANTICHAMA BWF-B, COBERTURA PVC-ST1, ANTICHAMA BWF-B, 1 CONDUTOR, 0,6/1 KV, SECAO NOMINAL 2,5 MM2</t>
  </si>
  <si>
    <t>​S151127​ Eletroduto de PVC rígido roscável, diâmetro 1", inclusive conexões​ (m)</t>
  </si>
  <si>
    <t>I042503</t>
  </si>
  <si>
    <t>ELETRODUTO DE PVC RIGIDO 1" - ROSCAVEL SEM LUVA</t>
  </si>
  <si>
    <t>​102279​ ESCAVAÇÃO MECANIZADA DE VALA COM PROF. ATÉ 1,5 M (MÉDIA MONTANTE E JUSANTE/UMA COMPOSIÇÃO POR TRECHO), ESCAVADEIRA (0,8 M3),LARG. MENOR QUE 1,5 M, EM SOLO DE 1A CATEGORIA, LOCAIS COM BAIXO NÍVEL DE INTERFERÊNCIA. AF_09/2024​ (M3)</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</si>
  <si>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</si>
  <si>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</si>
  <si>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</si>
  <si>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</si>
  <si>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​103276​ AR CONDICIONADO SPLIT ON/OFF, CASSETE (TETO), 60000 BTU/H, CICLO QUENTE/FRIO - FORNECIMENTO E INSTALAÇÃO. AF_11/2021_PE​ (UN)</t>
  </si>
  <si>
    <t>00039561</t>
  </si>
  <si>
    <t>AR-CONDICIONADO SPLIT ON/OFF, CASSETE (TETO), 60000 BTUS/H, CICLO QUENTE/FRIO, 60 HZ, CLASSIFICACAO ENERGETICA A - SELO PROCEL, GAS HFC, CONTROLE S/ FIO</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</si>
  <si>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</si>
  <si>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</si>
  <si>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</si>
  <si>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</si>
  <si>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00013348</t>
  </si>
  <si>
    <t>ARRUELA EM ACO CARBONO, GALVANIZADA A FOGO (IMERSAO A QUENTE), DIAMETRO EXTERNO = 35 MM, ESPESSURA = 3 MM, DIAMETRO DO FURO = 18 MM</t>
  </si>
  <si>
    <t>00011976</t>
  </si>
  <si>
    <t>CHUMBADOR DE ACO ZINCADO, DIAMETRO 1/4" COM PARAFUSO 1/4" X 40 MM</t>
  </si>
  <si>
    <t>00039997</t>
  </si>
  <si>
    <t>PORCA ZINCADA, SEXTAVADA, DIAMETRO 1/4"</t>
  </si>
  <si>
    <t>00039996</t>
  </si>
  <si>
    <t>VERGALHAO ZINCADO ROSCA TOTAL, 1/4" (6,3 MM)</t>
  </si>
  <si>
    <t>88243</t>
  </si>
  <si>
    <t>AJUDANTE ESPECIALIZADO COM ENCARGOS COMPLEMENTARES</t>
  </si>
  <si>
    <t>100308</t>
  </si>
  <si>
    <t>MECÂNICO DE REFRIGERAÇÃO COM ENCARGOS COMPLEMENTARES</t>
  </si>
  <si>
    <t>​103263​ AR CONDICIONADO SPLIT INVERTER, PISO TETO, 48000 BTU/H, CICLO FRIO - FORNECIMENTO E INSTALAÇÃO. AF_11/2021_PE​ (UN)</t>
  </si>
  <si>
    <t>00042420</t>
  </si>
  <si>
    <t>AR-CONDICIONADO SPLIT INVERTER, PISO TETO, 48000 BTU/H, CICLO FRIO, 60HZ, CLASSIFICACAO ENERGETICA A OU B (SELO PROCEL), GAS HFC, CONTROLE S/FIO</t>
  </si>
  <si>
    <t>00004374</t>
  </si>
  <si>
    <t>BUCHA DE NYLON SEM ABA S10</t>
  </si>
  <si>
    <t>00013246</t>
  </si>
  <si>
    <t>PARAFUSO DE ACO ZINCADO, SEXTAVADO, COM ROSCA INTEIRA, DIAMETRO 5/16", COMPRIMENTO 3/4", COM PORCA E ARRUELA LISA LEVE</t>
  </si>
  <si>
    <t>00013294</t>
  </si>
  <si>
    <t>PARAFUSO DE ACO ZINCADO, SEXTAVADO, COM ROSCA SOBERBA, DIAMETRO 3/8", COMPRIMENTO 80 MM</t>
  </si>
  <si>
    <t>​103253​ AR CONDICIONADO SPLIT INVERTER, HI-WALL (PAREDE), 24000 BTU/H, CICLO FRIO - FORNECIMENTO E INSTALAÇÃO. AF_11/2021_PE​ (UN)</t>
  </si>
  <si>
    <t>00043184</t>
  </si>
  <si>
    <t>AR-CONDICIONADO SPLIT INVERTER, HI-WALL (PAREDE), 24000 BTU/H, CICLO FRIO, 60HZ, CLASSIFICACAO A (SELO PROCEL), GAS HFC, CONTROLE S/FIO</t>
  </si>
  <si>
    <t>00037591</t>
  </si>
  <si>
    <t>SUPORTE MAO-FRANCESA EM ACO, ABAS IGUAIS 40 CM, CAPACIDADE MINIMA 70 KG, BRANCO</t>
  </si>
  <si>
    <t>​S161016​ Instalação de Linha frigorígena para interligação do sistema de climatização incl. acessórios de fixação, fita PVC auto-aderente e cabo PP, exclusive tubos de cobre da linha liquida e sucção, espuma elastomérica flexivel, exclusive gás refrigerante​ (m)</t>
  </si>
  <si>
    <t>I010281</t>
  </si>
  <si>
    <t>MECANICO DE REFRIGERACAO - (SINDIFER)</t>
  </si>
  <si>
    <t>I010282</t>
  </si>
  <si>
    <t>TECNICO DE REFRIGERACAO - (SINDIFER)</t>
  </si>
  <si>
    <t>I048556</t>
  </si>
  <si>
    <t>ABRACADEIRA TIPO COPO 1" C/ PARAFUSO/BUCHA</t>
  </si>
  <si>
    <t>I048518</t>
  </si>
  <si>
    <t>ARRUELA DE ALUMINIO FUNDIDO 1 1/4" - WETZEL OU EQUIVALENTE</t>
  </si>
  <si>
    <t>I043406</t>
  </si>
  <si>
    <t>CABO DE COBRE TERMOPLÁSTICO (PVC) FLEXÍVEL ISOLADO 0,60/1KV, ANTI-CHAMA, HEPR 90ºC ? 2X2,5MM2</t>
  </si>
  <si>
    <t>I029204</t>
  </si>
  <si>
    <t>FITA DE PVC BRANCA AUTO-ADERENTE (NÃO ADESIVA) L=100MM X 10M</t>
  </si>
  <si>
    <t>I049679</t>
  </si>
  <si>
    <t>FITA ISOLANTE AUTO FUSAO, C/10M</t>
  </si>
  <si>
    <t>I048665</t>
  </si>
  <si>
    <t>PARAFUSO SEXTAVADA ACO GALV 1020 1/4" X 1/2"</t>
  </si>
  <si>
    <t>​I051033​ ESPELHO 4" X 4" C/ 2 CONECTORES RJ-45 FEMEA CAT. 6​ (UN)</t>
  </si>
  <si>
    <t>​S150806​ Eletroduto aparente de PVC rígido roscável diâmetro 1", inclusive abraçadeira de fixação​ (m)</t>
  </si>
  <si>
    <t>I042546</t>
  </si>
  <si>
    <t>ELETRODUTO CONDULETE PVC 1" APARENTE TIGRE E EQUIV</t>
  </si>
  <si>
    <t>​95782​ CONDULETE DE ALUMÍNIO, TIPO E, ELETRODUTO DE AÇO GALVANIZADO DN 25 MM (1''), APARENTE - FORNECIMENTO E INSTALAÇÃO. AF_01/2026​ (UN)</t>
  </si>
  <si>
    <t>00011950</t>
  </si>
  <si>
    <t>BUCHA DE NYLON SEM ABA S6, COM PARAFUSO DE 4,20 X 40 MM EM ACO ZINCADO COM ROSCA SOBERBA, CABECA CHATA E FENDA PHILLIPS</t>
  </si>
  <si>
    <t>00002590</t>
  </si>
  <si>
    <t>CONDULETE DE ALUMINIO TIPO E, PARA ELETRODUTO ROSCAVEL DE 1", COM TAMPA CEGA</t>
  </si>
  <si>
    <t>​S160318​ Cabo de cobre nú 35mm2, ref. TEL 5735, marca de referência Termotécnica ou equivalente​ (m)</t>
  </si>
  <si>
    <t>I043041</t>
  </si>
  <si>
    <t>CABO COBRE NU TEMPERA MEIO DURA 35MM2 - CLASSE 2A</t>
  </si>
  <si>
    <t>​S160317​ Cabo de cobre nú 50mm2, ref. TEL 5750, marca de referência Termotécnica ou equivalente​ (m)</t>
  </si>
  <si>
    <t>I043044</t>
  </si>
  <si>
    <t>CABO COBRE NU TEMPERA MEIO DURA 50MM2 - CLASSE 2A</t>
  </si>
  <si>
    <t>​S160311​ Haste de terra tipo COPPERWELD - 5/8" x 2.40m​ (und)</t>
  </si>
  <si>
    <t>I048035</t>
  </si>
  <si>
    <t>HASTE TIPO COPPERWELD - 5/8 "X 2.4M - ALTA CAMADA</t>
  </si>
  <si>
    <t>​S160607​ Extintor de incêndio portátil de pó químico ABC com capacidade 2A-20B:C (4 kg), inclusive suporte de parede universal, parafuso e bucha S8, exclusive placa sinalizadora em PVC fotoluminescente e pintura de sinalização​ (und)</t>
  </si>
  <si>
    <t>I067042</t>
  </si>
  <si>
    <t>EXTINTOR DE INCENDIO DE PORTATIL PO QUIMICO SECO ABC 2A-20B:C (4KG)</t>
  </si>
  <si>
    <t>I067035</t>
  </si>
  <si>
    <t>SUPORTE DE PAREDE UNIVERSAL PARA EXTINTOR</t>
  </si>
  <si>
    <t>​101907​ EXTINTOR DE INCÊNDIO PORTÁTIL COM CARGA DE CO2 DE 6 KG, CLASSE BC - FORNECIMENTO E INSTALAÇÃO. AF_01/2026_PE​ (UN)</t>
  </si>
  <si>
    <t>00004350</t>
  </si>
  <si>
    <t>BUCHA DE NYLON, DIAMETRO DO FURO 8 MM, COMPRIMENTO 40 MM, COM PARAFUSO DE ROSCA SOBERBA, CABECA CHATA, FENDA SIMPLES, 4,8 X 50 MM</t>
  </si>
  <si>
    <t>00010889</t>
  </si>
  <si>
    <t>EXTINTOR DE INCENDIO PORTATIL COM CARGA DE GAS CARBONICO CO2 DE 6 KG, CLASSE BC</t>
  </si>
  <si>
    <t>​S160612​ Placa de sinalização de segurança do tipo ?SAÍDA DE EMERGÊNCIA? com seta vertical, conforme Código 14 - 315/158 da ABNT NBR 13434 e Código S3 da NT 14/2010 do Corpo de Bombeiros do Espírito Santo (CBMES)​ (und)</t>
  </si>
  <si>
    <t>I026664</t>
  </si>
  <si>
    <t>BUCHA PLASTICA COM PARAFUSO - 6MM</t>
  </si>
  <si>
    <t>I067090</t>
  </si>
  <si>
    <t>PLACA DE SINALIZAÇÃO DE EMERGÊNCIA DE ORIENTAÇÃO E SALVAMENTO , CONFORME ABNT NBR 13434/2004 E NT14/2010-ES</t>
  </si>
  <si>
    <t>​4011276​ Base ou sub-base de brita graduada com brita comercial - 100% Proctor modificado​ (m³)</t>
  </si>
  <si>
    <t>E9514</t>
  </si>
  <si>
    <t>Distribuidor de agregados sobre pneus autopropelido - 130 kW</t>
  </si>
  <si>
    <t>E9530</t>
  </si>
  <si>
    <t>Rolo compactador liso vibratório autopropelido por pneus de 11 t - 97 kW</t>
  </si>
  <si>
    <t>6416040</t>
  </si>
  <si>
    <t>Usinagem de brita graduada com brita comercial em usina de 300 t/h</t>
  </si>
  <si>
    <t>Usinagem de brita graduada com brita comercial em usina de 300 t/h (Caminhão basculante com capacidade de 10 m³ - 210 kW)</t>
  </si>
  <si>
    <t>5914652</t>
  </si>
  <si>
    <t>​S200202​ Assentamento de meio-fio pré-moldado de concreto com dimensões de 15 x 12 x 30 x 100 cm, rejuntado com argamassa de cimento e areia no traço 1:3​ (m)</t>
  </si>
  <si>
    <t>I036506</t>
  </si>
  <si>
    <t>MEIO FIO CONCRETO PRE-MOLD. 12X15X30CM</t>
  </si>
  <si>
    <t>​S190205​ Pintura a cal de meio-fio (tipo a caiação), aplicação manual, a três demãos​ (m2)</t>
  </si>
  <si>
    <t>I038003</t>
  </si>
  <si>
    <t>CAL EM PO PARA PINTURA</t>
  </si>
  <si>
    <t>I038018</t>
  </si>
  <si>
    <t>OLEO DE LINHACA</t>
  </si>
  <si>
    <t>​94993​ EXECUÇÃO DE PASSEIO (CALÇADA) OU PISO DE CONCRETO COM CONCRETO MOLDADO IN LOCO, USINADO, ACABAMENTO CONVENCIONAL, ESPESSURA 6 CM, ARMADO. AF_08/2022​ (M2)</t>
  </si>
  <si>
    <t>00034492</t>
  </si>
  <si>
    <t>CONCRETO USINADO BOMBEAVEL, CLASSE DE RESISTENCIA C20, COM BRITA 0 E 1, SLUMP = 100 +/- 20 MM, EXCLUI SERVICO DE BOMBEAMENTO (NBR 8953)</t>
  </si>
  <si>
    <t>00005068</t>
  </si>
  <si>
    <t>PREGO DE ACO POLIDO COM CABECA 17 X 21 (2 X 11)</t>
  </si>
  <si>
    <t>00007156</t>
  </si>
  <si>
    <t>TELA DE ACO SOLDADA NERVURADA, CA-60, Q-196, (3,11 KG/M2), DIAMETRO DO FIO = 5,0 MM, LARGURA = 2,45 M, ESPACAMENTO DA MALHA = 10 X 10 CM</t>
  </si>
  <si>
    <t>​S130230​ Piso argamassa alta resistência tipo granilite ou equiv de qualidade comprovada, esp de 10mm, com juntas plástica em quadros de 1m, na cor natural, com acabamento anti-derrapante mecanizado, inclusive regularização e=3.0cm​ (m2)</t>
  </si>
  <si>
    <t>​105004​ RAMPA DE ACESSIBILIDADE EM CONCRETO MOLDADO IN LOCO, EM CALÇADA NOVA COM LARGURA MENOR À 3,00 M, FCK 25MPA, COM PISO PODOTÁTIL. AF_03/2024​ (M2)</t>
  </si>
  <si>
    <t>00004718</t>
  </si>
  <si>
    <t>PEDRA BRITADA N. 2 (19 A 38 MM) POSTO PEDREIRA/FORNECEDOR, SEM FRETE</t>
  </si>
  <si>
    <t>00004509</t>
  </si>
  <si>
    <t>SARRAFO *2,5 X 10* CM EM PINUS, MISTA OU EQUIVALENTE DA REGIAO - BRUTA</t>
  </si>
  <si>
    <t>94965</t>
  </si>
  <si>
    <t>CONCRETO FCK = 25MPA, TRAÇO 1:2,3:2,7 (EM MASSA SECA DE CIMENTO/ AREIA MÉDIA/ BRITA 1) - PREPARO MECÂNICO COM BETONEIRA 400 L. AF_05/2021</t>
  </si>
  <si>
    <t>​S200237​ Blocos pré-moldados de concreto intertravados tipo pavi-s ou equivalente, espessura de 6 cm e resistência a compressão mínima de 35MPa, assentados sobre colchão de pó de pedra na espessura de 10 cm e rejuntamento com areia, utilizando compactador de placa vibratória e cortadora de piso​ (m2)</t>
  </si>
  <si>
    <t>I036517</t>
  </si>
  <si>
    <t>BLOCO CONCRETO PAVI-S ESP. 6CM 35 MPA (48UN/M2)</t>
  </si>
  <si>
    <t>​S200326​ Fornecimento e plantio de grama em placas tipo esmeralda, inclusive fornecimento de terra vegetal​ (m2)</t>
  </si>
  <si>
    <t>I038509</t>
  </si>
  <si>
    <t>GRAMA EM PLACAS TIPO ESMERALDA</t>
  </si>
  <si>
    <t>I038511</t>
  </si>
  <si>
    <t>TERRA VEGETAL</t>
  </si>
  <si>
    <t>​98516​ PLANTIO DE PALMEIRA COM ALTURA DE MUDA MENOR OU IGUAL A 2,00 M . AF_07/2024​ (UN)</t>
  </si>
  <si>
    <t>91635</t>
  </si>
  <si>
    <t>GUINDAUTO HIDRÁULICO, CAPACIDADE MÁXIMA DE CARGA 6500 KG, MOMENTO MÁXIMO DE CARGA 5,8 TM, ALCANCE MÁXIMO HORIZONTAL 7,60 M, INCLUSIVE CAMINHÃO TOCO PBT 9.700 KG, POTÊNCIA DE 160 CV - CHI DIURNO. AF_08/2015</t>
  </si>
  <si>
    <t>91634</t>
  </si>
  <si>
    <t>GUINDAUTO HIDRÁULICO, CAPACIDADE MÁXIMA DE CARGA 6500 KG, MOMENTO MÁXIMO DE CARGA 5,8 TM, ALCANCE MÁXIMO HORIZONTAL 7,60 M, INCLUSIVE CAMINHÃO TOCO PBT 9.700 KG, POTÊNCIA DE 160 CV - CHP DIURNO. AF_08/2015</t>
  </si>
  <si>
    <t>00038641</t>
  </si>
  <si>
    <t>MUDA DE PALMEIRA ARECA, H= *1,50* M</t>
  </si>
  <si>
    <t>88441</t>
  </si>
  <si>
    <t>JARDINEIRO COM ENCARGOS COMPLEMENTARES</t>
  </si>
  <si>
    <t>​98509​ PLANTIO DE ARBUSTO OU CERCA VIVA. AF_07/2024​ (UN)</t>
  </si>
  <si>
    <t>00000365</t>
  </si>
  <si>
    <t>MUDA DE ARBUSTO FOLHAGEM, SANSAO-DO-CAMPO OU EQUIVALENTE DA REGIAO, H= *50 A 70* CM</t>
  </si>
  <si>
    <t>​98511​ PLANTIO DE ÁRVORE ORNAMENTAL COM ALTURA DE MUDA MAIOR QUE 2,00 M E MENOR OU IGUAL A 4,00 M . AF_07/2024​ (UN)</t>
  </si>
  <si>
    <t>00000359</t>
  </si>
  <si>
    <t>MUDA DE ARVORE ORNAMENTAL, OITI/AROEIRA SALSA/ANGICO/IPE/JACARANDA OU EQUIVALENTE DA REGIAO, H= *2* M</t>
  </si>
  <si>
    <t>​S200402​ Limpeza geral de obras (quadras, praças e jardins)​ (m2)</t>
  </si>
  <si>
    <t>​S200401​ Limpeza geral da obra (edificação)​ (m2)</t>
  </si>
  <si>
    <t>S200409</t>
  </si>
  <si>
    <t>limpeza de piso ceramico ou porcelanato com vassoura a seco</t>
  </si>
  <si>
    <t>S200410</t>
  </si>
  <si>
    <t>limpeza de piso e revestimento ceramico, utilizando detergente neutro e escovacao manual</t>
  </si>
  <si>
    <t>S200412</t>
  </si>
  <si>
    <t>limpeza de revestimento ceramico em parede utilizando detergente neutro e escovacao manual</t>
  </si>
  <si>
    <t>S200413</t>
  </si>
  <si>
    <t>limpeza de superficie com jato de alta pressao</t>
  </si>
  <si>
    <t>TIPO</t>
  </si>
  <si>
    <t>PREÇO TOTAL</t>
  </si>
  <si>
    <t>ACUMUL. %</t>
  </si>
  <si>
    <t>CL</t>
  </si>
  <si>
    <t>100620</t>
  </si>
  <si>
    <t>101659</t>
  </si>
  <si>
    <t>LUMINÁRIA DE LED PARA ILUMINAÇÃO PÚBLICA, DE 181 W ATÉ 239 W - FORNECIMENTO E INSTALAÇÃO. AF_02/2025_PS</t>
  </si>
  <si>
    <t>Outros:</t>
  </si>
  <si>
    <t>Valor total do Orçamento:</t>
  </si>
  <si>
    <t>OPERADOR DE MAQUINAS AUXILIARES (OPERADOR DE MAQUINAS PESADAS I - SINDICOPES)</t>
  </si>
  <si>
    <t>PERFIL ALUMINIO ANODIZADO, SERIE 42</t>
  </si>
  <si>
    <t>Caminhão basculante com capacidade de 10 m³ - 210 kW (PRODUTIVO)</t>
  </si>
  <si>
    <t>Rolo compactador de pneus autopropelido de 27 t - 85 kW (PRODUTIVO)</t>
  </si>
  <si>
    <t>Caminhão tanque com capacidade de 10.000 l - 188 kW (PRODUTIVO)</t>
  </si>
  <si>
    <t>Rolo compactador pé de carneiro vibratório autopropelido por pneus de 11,6 t - 82 kW (PRODUTIVO)</t>
  </si>
  <si>
    <t>Carregadeira de pneus com capacidade de 3,40 m³ - 195 kW (PRODUTIVO)</t>
  </si>
  <si>
    <t>Motoniveladora - 93 kW (PRODUTIVO)</t>
  </si>
  <si>
    <t>Usina misturadora de solos com capacidade de 300 t/h - 44 kW (PRODUTIVO)</t>
  </si>
  <si>
    <t>Distribuidor de agregados sobre pneus autopropelido - 130 kW (PRODUTIVO)</t>
  </si>
  <si>
    <t>FIC</t>
  </si>
  <si>
    <t>Fator de Incidencia de Chuva</t>
  </si>
  <si>
    <t>OUTROS</t>
  </si>
  <si>
    <t>Motoniveladora - 93 kW (IMPRODUTIVO)</t>
  </si>
  <si>
    <t>Carregadeira de pneus com capacidade de 3,40 m³ - 195 kW (IMPRODUTIVO)</t>
  </si>
  <si>
    <t>Trator agrícola sobre pneus - 77 kW (PRODUTIVO)</t>
  </si>
  <si>
    <t>Rolo compactador liso vibratório autopropelido por pneus de 11 t - 97 kW (PRODUTIVO)</t>
  </si>
  <si>
    <t>Caminhão tanque com capacidade de 10.000 l - 188 kW (IMPRODUTIVO)</t>
  </si>
  <si>
    <t>Trator agrícola sobre pneus - 77 kW (IMPRODUTIVO)</t>
  </si>
  <si>
    <t>Grupo gerador - 113 kVA (PRODUTIVO)</t>
  </si>
  <si>
    <t>MARTELO DEMOLIDOR ELETRICO, COM POTENCIA DE 2.000 W, FREQUENCIA DE 1.000 IMPACTOS POR MINUTO, FORCA DE IMPACTO ENTRE 60 E 65 J, PESO DE 30 KG (PRODUTIVO)</t>
  </si>
  <si>
    <t>RETROESCAVADEIRA SOBRE RODAS COM CARREGADEIRA, TRACAO 4 X 2, POTENCIA LIQUIDA 79 HP, PESO OPERACIONAL MINIMO DE 6570 KG, CAPACIDADE DA CARREGADEIRA DE 1,00 M3 E DA RETROESCAVADEIRA MINIMA DE 0,20 M3, PROFUNDIDADE DE ESCAVACAO MAXIMA DE 4,37 M (PRODUTIVO)</t>
  </si>
  <si>
    <t>Caminhão basculante com capacidade de 10 m³ - 210 kW (IMPRODUTIVO)</t>
  </si>
  <si>
    <t>COMPACTADOR DE SOLOS DE PERCURSAO (SOQUETE) COM MOTOR A GASOLINA 4 TEMPOS DE 4 HP (4 CV) (PRODUTIVO)</t>
  </si>
  <si>
    <t>Rolo compactador liso vibratório autopropelido por pneus de 11 t - 97 kW (IMPRODUTIVO)</t>
  </si>
  <si>
    <t>Rolo compactador de pneus autopropelido de 27 t - 85 kW (IMPRODUTIVO)</t>
  </si>
  <si>
    <t>CORTADEIRA DE PISO DE CONCRETO E ASFALTO, PARA DISCO PADRAO DE DIAMETRO 350 MM (14") OU 450 MM (18") , MOTOR A GASOLINA, POTENCIA 13 HP, SEM DISCO (PRODUTIVO)</t>
  </si>
  <si>
    <t>Grade de 24 discos rebocável de D = 60 cm (24") (IMPRODUTIVO)</t>
  </si>
  <si>
    <t>Grade de 24 discos rebocável de D = 60 cm (24") (PRODUTIVO)</t>
  </si>
  <si>
    <t>LAVADORA DE ALTA PRESSAO (LAVA - JATO) PARA AGUA FRIA, PRESSAO DE OPERACAO ENTRE 1400 E 1900 LIB/POL2, VAZAO MAXIMA ENTRE 400 E 700 L/H, POTENCIA DE OPERACAO ENTRE 2,50 E 3,00 CV (PRODUTIVO)</t>
  </si>
  <si>
    <t>BETONEIRA CAPACIDADE NOMINAL 400L, CAPACIDADE DE MISTURA 280L, MOTOR ELETRICO TRIFASICO 220/380V POTENCIA 2CV, SEM CARREGADOR (PRODUTIVO)</t>
  </si>
  <si>
    <t>Rolo compactador pé de carneiro vibratório autopropelido por pneus de 11,6 t - 82 kW (IMPRODUTIVO)</t>
  </si>
  <si>
    <t>LAVADORA DE ALTA PRESSAO (LAVA - JATO) PARA AGUA FRIA, PRESSAO DE OPERACAO ENTRE 1400 E 1900 LIB/POL2, VAZAO MAXIMA ENTRE 400 E 700 L/H, POTENCIA DE OPERACAO ENTRE 2,50 E 3,00 CV (IMPRODUTIVO)</t>
  </si>
  <si>
    <t>Usina misturadora de solos com capacidade de 300 t/h - 44 kW (IMPRODUTIVO)</t>
  </si>
  <si>
    <t>Geral</t>
  </si>
  <si>
    <t>0,512</t>
  </si>
  <si>
    <t>Grupo gerador - 113 kVA (IMPRODUTIVO)</t>
  </si>
  <si>
    <t>MARTELO DEMOLIDOR ELETRICO, COM POTENCIA DE 2.000 W, FREQUENCIA DE 1.000 IMPACTOS POR MINUTO, FORCA DE IMPACTO ENTRE 60 E 65 J, PESO DE 30 KG (IMPRODUTIVO)</t>
  </si>
  <si>
    <t>CORTADEIRA DE PISO DE CONCRETO E ASFALTO, PARA DISCO PADRAO DE DIAMETRO 350 MM (14") OU 450 MM (18") , MOTOR A GASOLINA, POTENCIA 13 HP, SEM DISCO (IMPRODUTIVO)</t>
  </si>
  <si>
    <t>RETROESCAVADEIRA SOBRE RODAS COM CARREGADEIRA, TRACAO 4 X 2, POTENCIA LIQUIDA 79 HP, PESO OPERACIONAL MINIMO DE 6570 KG, CAPACIDADE DA CARREGADEIRA DE 1,00 M3 E DA RETROESCAVADEIRA MINIMA DE 0,20 M3, PROFUNDIDADE DE ESCAVACAO MAXIMA DE 4,37 M (IMPRODUTIVO)</t>
  </si>
  <si>
    <t>Distribuidor de agregados sobre pneus autopropelido - 130 kW (IMPRODUTIVO)</t>
  </si>
  <si>
    <t>BETONEIRA CAPACIDADE NOMINAL 400L, CAPACIDADE DE MISTURA 280L, MOTOR ELETRICO TRIFASICO 220/380V POTENCIA 2CV, SEM CARREGADOR (IMPRODUTIVO)</t>
  </si>
  <si>
    <t>COMPACTADOR DE SOLOS DE PERCURSAO (SOQUETE) COM MOTOR A GASOLINA 4 TEMPOS DE 4 HP (4 CV) (IMPRODUTIVO)</t>
  </si>
  <si>
    <t>DADOS DO ORÇAMENTO</t>
  </si>
  <si>
    <t>TABELA REFERENCIAL</t>
  </si>
  <si>
    <t>DATA-BASE</t>
  </si>
  <si>
    <t>PARÂMETRO</t>
  </si>
  <si>
    <t>OBRA:</t>
  </si>
  <si>
    <t>RESTAURO DA IGREJA DE NOSSA SENHORA DA CONCEIÇÃO E REFORMA DA PRAÇA BARBOSA LEÃO</t>
  </si>
  <si>
    <t>2026/04 - SEM DESONERAÇÃO</t>
  </si>
  <si>
    <t>BDI</t>
  </si>
  <si>
    <t>DESCRIÇÃO:</t>
  </si>
  <si>
    <t>DER-ES / IOPES</t>
  </si>
  <si>
    <t>2026/01</t>
  </si>
  <si>
    <t>ENCARGOS SOCIAIS</t>
  </si>
  <si>
    <t>LOCAL:</t>
  </si>
  <si>
    <t>PRAÇA BARBOSA LEÃO, SERRA CENTRO, SERRA - ES | CEP: 29176-050</t>
  </si>
  <si>
    <t>PROPONENTE/TOMADOR:</t>
  </si>
  <si>
    <t>PREFEITURA MUNICIPAL DA SERRA</t>
  </si>
  <si>
    <t>2026/05 - SEM DESONERAÇÃO</t>
  </si>
  <si>
    <t>2026/04</t>
  </si>
  <si>
    <t>COMPOSIÇÕES PRÓPRIAS</t>
  </si>
  <si>
    <t>PLANILHA ORÇAMENTÁRIA ORGANIZADA POR ESCOPO</t>
  </si>
  <si>
    <t>OBJETO:</t>
  </si>
  <si>
    <t>RESTAURO DA IGREJA DE NOSSA SENHORA DA CONCEIÇÃO E REVITALIZAÇÃO DA PRAÇA BARBOSA LEÃO</t>
  </si>
  <si>
    <t>BDI:</t>
  </si>
  <si>
    <t>UNID.</t>
  </si>
  <si>
    <t>PREÇO UNITÁRIO SEM BDI</t>
  </si>
  <si>
    <t>PREÇO UNITÁRIO COM BDI</t>
  </si>
  <si>
    <t>PREÇO TOTAL SEM BDI</t>
  </si>
  <si>
    <t>PREÇO TOTAL COM BDI</t>
  </si>
  <si>
    <t>SERVIÇOS GERAIS / COMUNS</t>
  </si>
  <si>
    <t>SUBTOTAL DO ESCOPO</t>
  </si>
  <si>
    <t>SUBTOTAL DA ETAPA</t>
  </si>
  <si>
    <t>​S020305</t>
  </si>
  <si>
    <t>​S020702</t>
  </si>
  <si>
    <t>​S020701</t>
  </si>
  <si>
    <t>​S020355</t>
  </si>
  <si>
    <t>​S020344</t>
  </si>
  <si>
    <t>​S020350</t>
  </si>
  <si>
    <t>​S020346</t>
  </si>
  <si>
    <t>​RES-018</t>
  </si>
  <si>
    <t>APOIO E INSTALAÇÕES PROVISÓRIAS</t>
  </si>
  <si>
    <t>​020704</t>
  </si>
  <si>
    <t>RESTAURAÇÃO DA IGREJA</t>
  </si>
  <si>
    <t>SERVIÇOS PRELIMINARES – DEMOLIÇÕES DA IGREJA</t>
  </si>
  <si>
    <t>​97622</t>
  </si>
  <si>
    <t>​S010344</t>
  </si>
  <si>
    <t>​97627</t>
  </si>
  <si>
    <t>​S010325</t>
  </si>
  <si>
    <t>​S010255</t>
  </si>
  <si>
    <t>​S010224</t>
  </si>
  <si>
    <t>​S010214</t>
  </si>
  <si>
    <t>​S010226</t>
  </si>
  <si>
    <t>​S010223</t>
  </si>
  <si>
    <t>​DEM-005</t>
  </si>
  <si>
    <t>​104790</t>
  </si>
  <si>
    <t>​S030304</t>
  </si>
  <si>
    <t>ARQUITETURA E RESTAURO DA IGREJA</t>
  </si>
  <si>
    <t>​REV-002</t>
  </si>
  <si>
    <t>​S120303</t>
  </si>
  <si>
    <t>​S050605</t>
  </si>
  <si>
    <t>​S160707</t>
  </si>
  <si>
    <t>​S120241</t>
  </si>
  <si>
    <t>​S100202</t>
  </si>
  <si>
    <t>​S160708</t>
  </si>
  <si>
    <t>​S130103</t>
  </si>
  <si>
    <t>​REV-003</t>
  </si>
  <si>
    <t>​98685</t>
  </si>
  <si>
    <t>​S130308</t>
  </si>
  <si>
    <t>​4011209</t>
  </si>
  <si>
    <t>​S200206</t>
  </si>
  <si>
    <t>​PAV-005</t>
  </si>
  <si>
    <t>​S110210</t>
  </si>
  <si>
    <t>​S090302</t>
  </si>
  <si>
    <t>​S170608</t>
  </si>
  <si>
    <t>​S170304</t>
  </si>
  <si>
    <t>​S170128</t>
  </si>
  <si>
    <t>​106766</t>
  </si>
  <si>
    <t>​95547</t>
  </si>
  <si>
    <t>​S170519</t>
  </si>
  <si>
    <t>​S170601</t>
  </si>
  <si>
    <t>​S170615</t>
  </si>
  <si>
    <t>​S170603</t>
  </si>
  <si>
    <t>​S170115</t>
  </si>
  <si>
    <t>​ACE-001</t>
  </si>
  <si>
    <t>​URB-020</t>
  </si>
  <si>
    <t>​S071704</t>
  </si>
  <si>
    <t>​ESQ-003</t>
  </si>
  <si>
    <t>​RES-007</t>
  </si>
  <si>
    <t>​RES-021</t>
  </si>
  <si>
    <t>​ESQ-004</t>
  </si>
  <si>
    <t>​ESQ-005</t>
  </si>
  <si>
    <t>​SER-002</t>
  </si>
  <si>
    <t>​SER-003</t>
  </si>
  <si>
    <t>​RES-022</t>
  </si>
  <si>
    <t>​ESQ-007</t>
  </si>
  <si>
    <t>​ACE-002</t>
  </si>
  <si>
    <t>​ACE-003</t>
  </si>
  <si>
    <t>​ACE-004</t>
  </si>
  <si>
    <t>​S071106</t>
  </si>
  <si>
    <t>​S071105</t>
  </si>
  <si>
    <t>​S190417</t>
  </si>
  <si>
    <t>​S010230</t>
  </si>
  <si>
    <t>​S010208</t>
  </si>
  <si>
    <t>​RES-015</t>
  </si>
  <si>
    <t>​RES-014</t>
  </si>
  <si>
    <t>​S190116</t>
  </si>
  <si>
    <t>​S190117</t>
  </si>
  <si>
    <t>​S12393</t>
  </si>
  <si>
    <t>​S12391</t>
  </si>
  <si>
    <t>​S010331</t>
  </si>
  <si>
    <t>​RES-009</t>
  </si>
  <si>
    <t>​S03912</t>
  </si>
  <si>
    <t>​PIS-003</t>
  </si>
  <si>
    <t>​S010220</t>
  </si>
  <si>
    <t>​102073</t>
  </si>
  <si>
    <t>​S200704</t>
  </si>
  <si>
    <t>​97633</t>
  </si>
  <si>
    <t>​S010202</t>
  </si>
  <si>
    <t>​97640</t>
  </si>
  <si>
    <t>​FOR-001</t>
  </si>
  <si>
    <t>​RES-010</t>
  </si>
  <si>
    <t>​87267</t>
  </si>
  <si>
    <t>​S120302</t>
  </si>
  <si>
    <t>​ESQ-002</t>
  </si>
  <si>
    <t>​RES-019</t>
  </si>
  <si>
    <t>​REV-004</t>
  </si>
  <si>
    <t>​RES-006</t>
  </si>
  <si>
    <t>​S11763</t>
  </si>
  <si>
    <t>​RES-005</t>
  </si>
  <si>
    <t>​RES-016</t>
  </si>
  <si>
    <t>​RES-017</t>
  </si>
  <si>
    <t>​RES-013</t>
  </si>
  <si>
    <t>​S13371</t>
  </si>
  <si>
    <t>INSTALAÇÕES ELÉTRICAS – IGREJA / INTERNO</t>
  </si>
  <si>
    <t>​S151401</t>
  </si>
  <si>
    <t>​S151403</t>
  </si>
  <si>
    <t>​S151402</t>
  </si>
  <si>
    <t>​S151404</t>
  </si>
  <si>
    <t>​S151420</t>
  </si>
  <si>
    <t>​S151425</t>
  </si>
  <si>
    <t>​S151422</t>
  </si>
  <si>
    <t>​ELE-010</t>
  </si>
  <si>
    <t>​S151132</t>
  </si>
  <si>
    <t>​S151133</t>
  </si>
  <si>
    <t>​S150628</t>
  </si>
  <si>
    <t>​ELE-011</t>
  </si>
  <si>
    <t>​101878</t>
  </si>
  <si>
    <t>​106020</t>
  </si>
  <si>
    <t>​93661</t>
  </si>
  <si>
    <t>​93663</t>
  </si>
  <si>
    <t>​106027</t>
  </si>
  <si>
    <t>​91935</t>
  </si>
  <si>
    <t>​91929</t>
  </si>
  <si>
    <t>​91931</t>
  </si>
  <si>
    <t>​ELE-018</t>
  </si>
  <si>
    <t>​S150633</t>
  </si>
  <si>
    <t>​103276</t>
  </si>
  <si>
    <t>​103263</t>
  </si>
  <si>
    <t>​103253</t>
  </si>
  <si>
    <t>​CLI-003</t>
  </si>
  <si>
    <t>​S161016</t>
  </si>
  <si>
    <t>​CAB-001</t>
  </si>
  <si>
    <t>​CAB-002</t>
  </si>
  <si>
    <t>​I051033</t>
  </si>
  <si>
    <t>​CAB-003</t>
  </si>
  <si>
    <t>​S150806</t>
  </si>
  <si>
    <t>​CAB-004</t>
  </si>
  <si>
    <t>​95782</t>
  </si>
  <si>
    <t>​SPDA-001</t>
  </si>
  <si>
    <t>​SPDA-002</t>
  </si>
  <si>
    <t>​S160318</t>
  </si>
  <si>
    <t>​S160317</t>
  </si>
  <si>
    <t>​S160311</t>
  </si>
  <si>
    <t>​S160607</t>
  </si>
  <si>
    <t>​101907</t>
  </si>
  <si>
    <t>​PPCI-001</t>
  </si>
  <si>
    <t>​S160612</t>
  </si>
  <si>
    <t>SERVIÇOS FINAIS – IGREJA</t>
  </si>
  <si>
    <t>​S200401</t>
  </si>
  <si>
    <t>SERVIÇOS COMPLEMENTARES – IGREJA</t>
  </si>
  <si>
    <t>​090101</t>
  </si>
  <si>
    <t>​090211</t>
  </si>
  <si>
    <t>​6001015</t>
  </si>
  <si>
    <t>​010230</t>
  </si>
  <si>
    <t>​010218</t>
  </si>
  <si>
    <t>​010240</t>
  </si>
  <si>
    <t>​010329</t>
  </si>
  <si>
    <t>​040802</t>
  </si>
  <si>
    <t>​151603</t>
  </si>
  <si>
    <t>​040803</t>
  </si>
  <si>
    <t>​040806</t>
  </si>
  <si>
    <t>​040807</t>
  </si>
  <si>
    <t>​040808</t>
  </si>
  <si>
    <t>​040809</t>
  </si>
  <si>
    <t>​040813</t>
  </si>
  <si>
    <t>​040206</t>
  </si>
  <si>
    <t>​040243</t>
  </si>
  <si>
    <t>​040224</t>
  </si>
  <si>
    <t>SISTEMA DE PROTEÇÃO</t>
  </si>
  <si>
    <t>​2CF3.000305-1</t>
  </si>
  <si>
    <t>​2CF3.000306-1</t>
  </si>
  <si>
    <t>​2CF3.000307-1</t>
  </si>
  <si>
    <t>​2CF3.000287-1</t>
  </si>
  <si>
    <t>​2CF3.000299-1</t>
  </si>
  <si>
    <t>​2CF3.000300-1</t>
  </si>
  <si>
    <t>​2CF3.000208-1</t>
  </si>
  <si>
    <t>​2CF3.000302-1</t>
  </si>
  <si>
    <t>​2CF3.000303-1</t>
  </si>
  <si>
    <t>​2CF3.000304-1</t>
  </si>
  <si>
    <t>​2CF3.000497-1</t>
  </si>
  <si>
    <t>SISTEMA DE ALARME</t>
  </si>
  <si>
    <t>​CVL043</t>
  </si>
  <si>
    <t>​160676</t>
  </si>
  <si>
    <t>​CVL044</t>
  </si>
  <si>
    <t>​CVL045</t>
  </si>
  <si>
    <t>CABEAMENTO ESTRUTURADO – VOZ E DADOS</t>
  </si>
  <si>
    <t>​98307</t>
  </si>
  <si>
    <t>​151133</t>
  </si>
  <si>
    <t>​151137</t>
  </si>
  <si>
    <t>​98295</t>
  </si>
  <si>
    <t>​160812</t>
  </si>
  <si>
    <t>​CVL051</t>
  </si>
  <si>
    <t>​CVL052</t>
  </si>
  <si>
    <t>​CVL053</t>
  </si>
  <si>
    <t>​160840</t>
  </si>
  <si>
    <t>​160845</t>
  </si>
  <si>
    <t>​CVL055</t>
  </si>
  <si>
    <t>​CVL056</t>
  </si>
  <si>
    <t>​CVL057</t>
  </si>
  <si>
    <t>CIRCUITO FECHADO DE TV</t>
  </si>
  <si>
    <t>​CVL058</t>
  </si>
  <si>
    <t>​151132</t>
  </si>
  <si>
    <t>​96977</t>
  </si>
  <si>
    <t>​96973</t>
  </si>
  <si>
    <t>​CVL060</t>
  </si>
  <si>
    <t>​CVL061</t>
  </si>
  <si>
    <t>​101549</t>
  </si>
  <si>
    <t>​96986</t>
  </si>
  <si>
    <t>​CVL063</t>
  </si>
  <si>
    <t>​CVL064</t>
  </si>
  <si>
    <t>​CVL065</t>
  </si>
  <si>
    <t>​CVL066</t>
  </si>
  <si>
    <t>​CVL067</t>
  </si>
  <si>
    <t>INSTALAÇÕES DE CLIMATIZAÇÃO</t>
  </si>
  <si>
    <t>​161001</t>
  </si>
  <si>
    <t>​161002</t>
  </si>
  <si>
    <t>​161003</t>
  </si>
  <si>
    <t>​161015</t>
  </si>
  <si>
    <t>​2CF3.000317-1</t>
  </si>
  <si>
    <t>ENTRADA DE ENERGIA E MEDIÇÃO</t>
  </si>
  <si>
    <t>​CVL035</t>
  </si>
  <si>
    <t>​CVL036</t>
  </si>
  <si>
    <t>​101897</t>
  </si>
  <si>
    <t>​92990</t>
  </si>
  <si>
    <t>​CVL037</t>
  </si>
  <si>
    <t>​92981</t>
  </si>
  <si>
    <t>​CVL038</t>
  </si>
  <si>
    <t>QUADRO DE DISTRIBUIÇÃO – QDC-01</t>
  </si>
  <si>
    <t>​101892</t>
  </si>
  <si>
    <t>​151357</t>
  </si>
  <si>
    <t>​151337</t>
  </si>
  <si>
    <t>​2CF3.000232-1</t>
  </si>
  <si>
    <t>REVITALIZAÇÃO DA PRAÇA</t>
  </si>
  <si>
    <t>SERVIÇOS PRELIMINARES – DEMOLIÇÕES DA PRAÇA</t>
  </si>
  <si>
    <t>​97635</t>
  </si>
  <si>
    <t>​10212</t>
  </si>
  <si>
    <t>​97625</t>
  </si>
  <si>
    <t>​S010216</t>
  </si>
  <si>
    <t>​S010403</t>
  </si>
  <si>
    <t>​S010210</t>
  </si>
  <si>
    <t>​S010219</t>
  </si>
  <si>
    <t>SERVIÇOS PRELIMINARES – MOVIMENTAÇÃO DE TERRA</t>
  </si>
  <si>
    <t>​S030103</t>
  </si>
  <si>
    <t>​100994</t>
  </si>
  <si>
    <t>​95878</t>
  </si>
  <si>
    <t>INSTALAÇÕES ELÉTRICAS – PRAÇA</t>
  </si>
  <si>
    <t>​100621</t>
  </si>
  <si>
    <t>​101660</t>
  </si>
  <si>
    <t>​ELE-014</t>
  </si>
  <si>
    <t>​101526</t>
  </si>
  <si>
    <t>​ELE-015</t>
  </si>
  <si>
    <t>​S151337</t>
  </si>
  <si>
    <t>​101901</t>
  </si>
  <si>
    <t>​91927</t>
  </si>
  <si>
    <t>​S151127</t>
  </si>
  <si>
    <t>​ELE-012</t>
  </si>
  <si>
    <t>​102279</t>
  </si>
  <si>
    <t>​S030201</t>
  </si>
  <si>
    <t>​SER-004</t>
  </si>
  <si>
    <t>​4011276</t>
  </si>
  <si>
    <t>​S200202</t>
  </si>
  <si>
    <t>​S190205</t>
  </si>
  <si>
    <t>​94993</t>
  </si>
  <si>
    <t>​S130230</t>
  </si>
  <si>
    <t>​104658</t>
  </si>
  <si>
    <t>​105004</t>
  </si>
  <si>
    <t>​S200237</t>
  </si>
  <si>
    <t>​S200326</t>
  </si>
  <si>
    <t>​98516</t>
  </si>
  <si>
    <t>​98509</t>
  </si>
  <si>
    <t>​98511</t>
  </si>
  <si>
    <t>​PAI-003</t>
  </si>
  <si>
    <t>SERVIÇOS FINAIS – PRAÇA</t>
  </si>
  <si>
    <t>​S200402</t>
  </si>
  <si>
    <t>SERVIÇOS COMPLEMENTARES – PRAÇA</t>
  </si>
  <si>
    <t>​010201</t>
  </si>
  <si>
    <t>​90706</t>
  </si>
  <si>
    <t>​97934</t>
  </si>
  <si>
    <t>​99290</t>
  </si>
  <si>
    <t>​115</t>
  </si>
  <si>
    <t>RESUMO DE FECHAMENTO</t>
  </si>
  <si>
    <t>AJUSTE DE ARREDONDAMENTO DO ORÇAMENTO</t>
  </si>
  <si>
    <t>VALOR TOTAL</t>
  </si>
  <si>
    <t>RESUMO ORÇAMENTÁRIO POR ESCOPO</t>
  </si>
  <si>
    <t>ESCOPO</t>
  </si>
  <si>
    <t>VALOR SEM BDI (R$)</t>
  </si>
  <si>
    <t>VALOR COM BDI (R$)</t>
  </si>
  <si>
    <t>% DO TOTAL</t>
  </si>
  <si>
    <t>OBSERVAÇÃO</t>
  </si>
  <si>
    <t>AJUSTE DE ARREDONDAMENTO</t>
  </si>
  <si>
    <t>Diferença decorrente dos critérios de arredondamento da planilha-base.</t>
  </si>
  <si>
    <r>
      <rPr>
        <b/>
        <sz val="7"/>
        <rFont val="Calibri"/>
        <family val="2"/>
        <scheme val="minor"/>
      </rPr>
      <t>Observações:</t>
    </r>
    <r>
      <rPr>
        <sz val="7"/>
        <rFont val="Calibri"/>
        <family val="2"/>
        <scheme val="minor"/>
      </rPr>
      <t xml:space="preserve">
VER PRANCHA DE URBANISMO 01/11</t>
    </r>
  </si>
  <si>
    <r>
      <rPr>
        <b/>
        <sz val="7"/>
        <rFont val="Calibri"/>
        <family val="2"/>
        <scheme val="minor"/>
      </rPr>
      <t>Observações:</t>
    </r>
    <r>
      <rPr>
        <sz val="7"/>
        <rFont val="Calibri"/>
        <family val="2"/>
        <scheme val="minor"/>
      </rPr>
      <t xml:space="preserve">
PARA TRABALHOS EM PAREDES/FACHADAS</t>
    </r>
  </si>
  <si>
    <r>
      <rPr>
        <b/>
        <sz val="7"/>
        <rFont val="Calibri"/>
        <family val="2"/>
        <scheme val="minor"/>
      </rPr>
      <t>Observações:</t>
    </r>
    <r>
      <rPr>
        <sz val="7"/>
        <rFont val="Calibri"/>
        <family val="2"/>
        <scheme val="minor"/>
      </rPr>
      <t xml:space="preserve">
VER PLANTA DE LEVANTAMENTO</t>
    </r>
  </si>
  <si>
    <r>
      <rPr>
        <b/>
        <sz val="7"/>
        <rFont val="Calibri"/>
        <family val="2"/>
        <scheme val="minor"/>
      </rPr>
      <t>Observações:</t>
    </r>
    <r>
      <rPr>
        <sz val="7"/>
        <rFont val="Calibri"/>
        <family val="2"/>
        <scheme val="minor"/>
      </rPr>
      <t xml:space="preserve">
VER LEVANTAMENTO ARQUITETÔNICO</t>
    </r>
  </si>
  <si>
    <r>
      <rPr>
        <b/>
        <sz val="7"/>
        <rFont val="Calibri"/>
        <family val="2"/>
        <scheme val="minor"/>
      </rPr>
      <t>Observações:</t>
    </r>
    <r>
      <rPr>
        <sz val="7"/>
        <rFont val="Calibri"/>
        <family val="2"/>
        <scheme val="minor"/>
      </rPr>
      <t xml:space="preserve">
PISO EM CONCRETO EXISTENTE - NOVO PISO EM PAVI-S ESTIMATIVA DA ALTURA DO PISO 8CM</t>
    </r>
  </si>
  <si>
    <r>
      <rPr>
        <b/>
        <sz val="7"/>
        <rFont val="Calibri"/>
        <family val="2"/>
        <scheme val="minor"/>
      </rPr>
      <t>Observações:</t>
    </r>
    <r>
      <rPr>
        <sz val="7"/>
        <rFont val="Calibri"/>
        <family val="2"/>
        <scheme val="minor"/>
      </rPr>
      <t xml:space="preserve">
VER PROJETO URBANISMO - DEMOLIÇÃO</t>
    </r>
  </si>
  <si>
    <r>
      <rPr>
        <b/>
        <sz val="7"/>
        <rFont val="Calibri"/>
        <family val="2"/>
        <scheme val="minor"/>
      </rPr>
      <t>Observações:</t>
    </r>
    <r>
      <rPr>
        <sz val="7"/>
        <rFont val="Calibri"/>
        <family val="2"/>
        <scheme val="minor"/>
      </rPr>
      <t xml:space="preserve">
VER PROJETO DE URBANISMO - DEMOLIÇÃO</t>
    </r>
  </si>
  <si>
    <r>
      <rPr>
        <b/>
        <sz val="7"/>
        <rFont val="Calibri"/>
        <family val="2"/>
        <scheme val="minor"/>
      </rPr>
      <t>Observações:</t>
    </r>
    <r>
      <rPr>
        <sz val="7"/>
        <rFont val="Calibri"/>
        <family val="2"/>
        <scheme val="minor"/>
      </rPr>
      <t xml:space="preserve">
VER PROJETO URBANISMO - DEMOLIÇÕES</t>
    </r>
  </si>
  <si>
    <r>
      <rPr>
        <b/>
        <sz val="7"/>
        <rFont val="Calibri"/>
        <family val="2"/>
        <scheme val="minor"/>
      </rPr>
      <t>Observações:</t>
    </r>
    <r>
      <rPr>
        <sz val="7"/>
        <rFont val="Calibri"/>
        <family val="2"/>
        <scheme val="minor"/>
      </rPr>
      <t xml:space="preserve">
VER PRANCHA DE DEMOLIÇÃO</t>
    </r>
  </si>
  <si>
    <r>
      <rPr>
        <b/>
        <sz val="7"/>
        <rFont val="Calibri"/>
        <family val="2"/>
        <scheme val="minor"/>
      </rPr>
      <t>Observações:</t>
    </r>
    <r>
      <rPr>
        <sz val="7"/>
        <rFont val="Calibri"/>
        <family val="2"/>
        <scheme val="minor"/>
      </rPr>
      <t xml:space="preserve">
CARGA Volume Material (m3) = p/ aquisição/aterro Volume Material (m3) X Empolamento Compactado In Situ = Volume In Situ (m3) Volume In Situ (m3) X Densidade Material In Situ (t/m3) = Massa do material adquirido (t) Ref.: SCO - RIO Empolamento Solto (ES) 1ª Categoria subleito = 1,06 Densidade Solta (DS) 1ª Categoria subleito = 1,70</t>
    </r>
  </si>
  <si>
    <r>
      <rPr>
        <b/>
        <sz val="7"/>
        <rFont val="Calibri"/>
        <family val="2"/>
        <scheme val="minor"/>
      </rPr>
      <t>Observações:</t>
    </r>
    <r>
      <rPr>
        <sz val="7"/>
        <rFont val="Calibri"/>
        <family val="2"/>
        <scheme val="minor"/>
      </rPr>
      <t xml:space="preserve">
Massa do material adquirido p/ transporte (t) X Distância (KM)</t>
    </r>
  </si>
  <si>
    <r>
      <rPr>
        <b/>
        <sz val="7"/>
        <rFont val="Calibri"/>
        <family val="2"/>
        <scheme val="minor"/>
      </rPr>
      <t>Observações:</t>
    </r>
    <r>
      <rPr>
        <sz val="7"/>
        <rFont val="Calibri"/>
        <family val="2"/>
        <scheme val="minor"/>
      </rPr>
      <t xml:space="preserve">
NO GRADIL - AFUNDAR 20CM</t>
    </r>
  </si>
  <si>
    <r>
      <rPr>
        <b/>
        <sz val="7"/>
        <rFont val="Calibri"/>
        <family val="2"/>
        <scheme val="minor"/>
      </rPr>
      <t>Observações:</t>
    </r>
    <r>
      <rPr>
        <sz val="7"/>
        <rFont val="Calibri"/>
        <family val="2"/>
        <scheme val="minor"/>
      </rPr>
      <t xml:space="preserve">
DE ACORDO COM ORÇ BASE REFERÊNCIA E PROJETO RESTAURO</t>
    </r>
  </si>
  <si>
    <r>
      <rPr>
        <b/>
        <sz val="7"/>
        <rFont val="Calibri"/>
        <family val="2"/>
        <scheme val="minor"/>
      </rPr>
      <t>Observações:</t>
    </r>
    <r>
      <rPr>
        <sz val="7"/>
        <rFont val="Calibri"/>
        <family val="2"/>
        <scheme val="minor"/>
      </rPr>
      <t xml:space="preserve">
50% estimativa - vidro 50% estimativa - madeira</t>
    </r>
  </si>
  <si>
    <r>
      <rPr>
        <b/>
        <sz val="7"/>
        <rFont val="Calibri"/>
        <family val="2"/>
        <scheme val="minor"/>
      </rPr>
      <t>Observações:</t>
    </r>
    <r>
      <rPr>
        <sz val="7"/>
        <rFont val="Calibri"/>
        <family val="2"/>
        <scheme val="minor"/>
      </rPr>
      <t xml:space="preserve">
0,5 DEVIDO À QUASE MEIA ALTURA DA SAIA DO PÚLPITO.</t>
    </r>
  </si>
  <si>
    <r>
      <rPr>
        <b/>
        <sz val="7"/>
        <rFont val="Calibri"/>
        <family val="2"/>
        <scheme val="minor"/>
      </rPr>
      <t>Observações:</t>
    </r>
    <r>
      <rPr>
        <sz val="7"/>
        <rFont val="Calibri"/>
        <family val="2"/>
        <scheme val="minor"/>
      </rPr>
      <t xml:space="preserve">
DE ACORDO COM ORÇ BASE REFERÊNCIA E PROJETO RESTAURO TX = PORCENTAGEM PARA PISO DANIFICADO</t>
    </r>
  </si>
  <si>
    <r>
      <rPr>
        <b/>
        <sz val="7"/>
        <rFont val="Calibri"/>
        <family val="2"/>
        <scheme val="minor"/>
      </rPr>
      <t>Observações:</t>
    </r>
    <r>
      <rPr>
        <sz val="7"/>
        <rFont val="Calibri"/>
        <family val="2"/>
        <scheme val="minor"/>
      </rPr>
      <t xml:space="preserve">
DE ACORDO COM ORÇ BASE REFERÊNCIA</t>
    </r>
  </si>
  <si>
    <r>
      <rPr>
        <b/>
        <sz val="7"/>
        <rFont val="Calibri"/>
        <family val="2"/>
        <scheme val="minor"/>
      </rPr>
      <t>Observações:</t>
    </r>
    <r>
      <rPr>
        <sz val="7"/>
        <rFont val="Calibri"/>
        <family val="2"/>
        <scheme val="minor"/>
      </rPr>
      <t xml:space="preserve">
DE ACORDO COM ORÇ BASE REFERÊNCIA PARA PONTOS A RECUPERAR, ESTIPULADA UMA PEQUENA ÁREA, PARA REPAROS PONTUAIS NECESSÁRIOS.</t>
    </r>
  </si>
  <si>
    <r>
      <rPr>
        <b/>
        <sz val="7"/>
        <rFont val="Calibri"/>
        <family val="2"/>
        <scheme val="minor"/>
      </rPr>
      <t>Observações:</t>
    </r>
    <r>
      <rPr>
        <sz val="7"/>
        <rFont val="Calibri"/>
        <family val="2"/>
        <scheme val="minor"/>
      </rPr>
      <t xml:space="preserve">
VER MEMORIAL DESCRITIVO DE DANOS</t>
    </r>
  </si>
  <si>
    <r>
      <rPr>
        <b/>
        <sz val="7"/>
        <rFont val="Calibri"/>
        <family val="2"/>
        <scheme val="minor"/>
      </rPr>
      <t>Observações:</t>
    </r>
    <r>
      <rPr>
        <sz val="7"/>
        <rFont val="Calibri"/>
        <family val="2"/>
        <scheme val="minor"/>
      </rPr>
      <t xml:space="preserve">
ESTIMATIVA DE 40 FRISOS/ADORNOS BASEADO NO FRISO DA FACHADA, ESTIMATIVA DE 0,70M2 POR FRISO. (EXCLUSO CIMALHAS)</t>
    </r>
  </si>
  <si>
    <r>
      <rPr>
        <b/>
        <sz val="7"/>
        <rFont val="Calibri"/>
        <family val="2"/>
        <scheme val="minor"/>
      </rPr>
      <t>Observações:</t>
    </r>
    <r>
      <rPr>
        <sz val="7"/>
        <rFont val="Calibri"/>
        <family val="2"/>
        <scheme val="minor"/>
      </rPr>
      <t xml:space="preserve">
ESTIMATIVA DE 40 ORNATOS BASEADO NO ORNATO DE ELEMENTO INTERNO DA NAVE CENTRAL, ESTIMATIVA DE 0,10M2 POR ORNATO.</t>
    </r>
  </si>
  <si>
    <r>
      <rPr>
        <b/>
        <sz val="7"/>
        <rFont val="Calibri"/>
        <family val="2"/>
        <scheme val="minor"/>
      </rPr>
      <t>Observações:</t>
    </r>
    <r>
      <rPr>
        <sz val="7"/>
        <rFont val="Calibri"/>
        <family val="2"/>
        <scheme val="minor"/>
      </rPr>
      <t xml:space="preserve">
TORRES: 0,62M2 ESTIMATIVA DE CADA FACE DO PINÁCULO; 4 FACES POR UNIDADE; 4 PINÁCULOS POR TORRE; FRONTÃO: 2,80M2 ESTIMATIVA DE ÁREA FACE DO PINÁCULO; 2 PINÁCULOS;</t>
    </r>
  </si>
  <si>
    <r>
      <rPr>
        <b/>
        <sz val="7"/>
        <rFont val="Calibri"/>
        <family val="2"/>
        <scheme val="minor"/>
      </rPr>
      <t>Observações:</t>
    </r>
    <r>
      <rPr>
        <sz val="7"/>
        <rFont val="Calibri"/>
        <family val="2"/>
        <scheme val="minor"/>
      </rPr>
      <t xml:space="preserve">
VER PRANCHA 02/02 PROJETO ELÉTRICO</t>
    </r>
  </si>
  <si>
    <r>
      <rPr>
        <b/>
        <sz val="7"/>
        <rFont val="Calibri"/>
        <family val="2"/>
        <scheme val="minor"/>
      </rPr>
      <t>Observações:</t>
    </r>
    <r>
      <rPr>
        <sz val="7"/>
        <rFont val="Calibri"/>
        <family val="2"/>
        <scheme val="minor"/>
      </rPr>
      <t xml:space="preserve">
VER PRANCHA 01/02 PROJETO ELÉTRICO</t>
    </r>
  </si>
  <si>
    <r>
      <rPr>
        <b/>
        <sz val="7"/>
        <rFont val="Calibri"/>
        <family val="2"/>
        <scheme val="minor"/>
      </rPr>
      <t>Observações:</t>
    </r>
    <r>
      <rPr>
        <sz val="7"/>
        <rFont val="Calibri"/>
        <family val="2"/>
        <scheme val="minor"/>
      </rPr>
      <t xml:space="preserve">
VER PROJETO PPCI</t>
    </r>
  </si>
  <si>
    <r>
      <rPr>
        <b/>
        <sz val="7"/>
        <rFont val="Calibri"/>
        <family val="2"/>
        <scheme val="minor"/>
      </rPr>
      <t>Observações:</t>
    </r>
    <r>
      <rPr>
        <sz val="7"/>
        <rFont val="Calibri"/>
        <family val="2"/>
        <scheme val="minor"/>
      </rPr>
      <t xml:space="preserve">
VER PROJETO DE URBANISMO ÁREAS DE PAVIMENTAÇÃO DAS PRAÇAS</t>
    </r>
  </si>
  <si>
    <r>
      <rPr>
        <b/>
        <sz val="7"/>
        <rFont val="Calibri"/>
        <family val="2"/>
        <scheme val="minor"/>
      </rPr>
      <t>Observações:</t>
    </r>
    <r>
      <rPr>
        <sz val="7"/>
        <rFont val="Calibri"/>
        <family val="2"/>
        <scheme val="minor"/>
      </rPr>
      <t xml:space="preserve">
VER PROJETO DE URBANISMO CONSIDERANDO H=6CM DE BGS</t>
    </r>
  </si>
  <si>
    <r>
      <rPr>
        <b/>
        <sz val="7"/>
        <rFont val="Calibri"/>
        <family val="2"/>
        <scheme val="minor"/>
      </rPr>
      <t>Observações:</t>
    </r>
    <r>
      <rPr>
        <sz val="7"/>
        <rFont val="Calibri"/>
        <family val="2"/>
        <scheme val="minor"/>
      </rPr>
      <t xml:space="preserve">
VER PROJETO DE URBANISMO</t>
    </r>
  </si>
  <si>
    <r>
      <rPr>
        <b/>
        <sz val="7"/>
        <rFont val="Calibri"/>
        <family val="2"/>
        <scheme val="minor"/>
      </rPr>
      <t>Observações:</t>
    </r>
    <r>
      <rPr>
        <sz val="7"/>
        <rFont val="Calibri"/>
        <family val="2"/>
        <scheme val="minor"/>
      </rPr>
      <t xml:space="preserve">
VER PROJETO DE URBANISMO Composição tem insumo de piso de aproximadamente 6,4 unidades por m2. Utilizado valor 6,0 (inteiro mais próximo).</t>
    </r>
  </si>
  <si>
    <r>
      <rPr>
        <b/>
        <sz val="7"/>
        <rFont val="Calibri"/>
        <family val="2"/>
        <scheme val="minor"/>
      </rPr>
      <t>Observações:</t>
    </r>
    <r>
      <rPr>
        <sz val="7"/>
        <rFont val="Calibri"/>
        <family val="2"/>
        <scheme val="minor"/>
      </rPr>
      <t xml:space="preserve">
CARGA Volume Material (m3) = p/ aquisição/aterro Volume Material (m3) X Empolamento In Situ = Volume In Situ (m3) Volume In Situ (m3) X Densidade Material In Situ (t/m3) = Massa do material adquirido (t) Ref.: SCO - RIO AQUISIÇÃO: Empolamento In Situ (ES) BGS = 1,26 Densidade In Situ (DS) BGS = 1,70</t>
    </r>
  </si>
  <si>
    <r>
      <rPr>
        <b/>
        <sz val="7"/>
        <rFont val="Calibri"/>
        <family val="2"/>
        <scheme val="minor"/>
      </rPr>
      <t>Observações:</t>
    </r>
    <r>
      <rPr>
        <sz val="7"/>
        <rFont val="Calibri"/>
        <family val="2"/>
        <scheme val="minor"/>
      </rPr>
      <t xml:space="preserve">
Massa do material p/ transporte (t) X Distância (KM)</t>
    </r>
  </si>
  <si>
    <r>
      <rPr>
        <b/>
        <sz val="7"/>
        <rFont val="Calibri"/>
        <family val="2"/>
        <scheme val="minor"/>
      </rPr>
      <t>Observações:</t>
    </r>
    <r>
      <rPr>
        <sz val="7"/>
        <rFont val="Calibri"/>
        <family val="2"/>
        <scheme val="minor"/>
      </rPr>
      <t xml:space="preserve">
VER PROJETO DE PAISAGISMO</t>
    </r>
  </si>
  <si>
    <r>
      <rPr>
        <b/>
        <sz val="7"/>
        <rFont val="Calibri"/>
        <family val="2"/>
        <scheme val="minor"/>
      </rPr>
      <t>Observações:</t>
    </r>
    <r>
      <rPr>
        <sz val="7"/>
        <rFont val="Calibri"/>
        <family val="2"/>
        <scheme val="minor"/>
      </rPr>
      <t xml:space="preserve">
VER QUADRO DE ÁREAS - URBANISMO</t>
    </r>
  </si>
  <si>
    <r>
      <rPr>
        <b/>
        <sz val="7"/>
        <rFont val="Calibri"/>
        <family val="2"/>
        <scheme val="minor"/>
      </rPr>
      <t>Observações:</t>
    </r>
    <r>
      <rPr>
        <sz val="7"/>
        <rFont val="Calibri"/>
        <family val="2"/>
        <scheme val="minor"/>
      </rPr>
      <t xml:space="preserve">
VER QUADRO DE ÁREAS - ARQUITETURA/URBANISMO</t>
    </r>
  </si>
  <si>
    <t>FABRICAÇÃO E INSTALAÇÃO DE TESOURA INTEIRA EM MADEIRA NÃO APARELHADA, VÃO DE 9 M, PARA TELHA ONDULADA DE FIBROCIMENTO, METÁLICA, PLÁSTICA OU TERMOACÚSTICA, INCLUSO IÇAMENTO. AF_10/2025</t>
  </si>
  <si>
    <t>DER-ES</t>
  </si>
  <si>
    <t>1.9</t>
  </si>
  <si>
    <t>3.4.3</t>
  </si>
  <si>
    <t>3.4.4</t>
  </si>
  <si>
    <t>3.4.5</t>
  </si>
  <si>
    <t>2.1.13</t>
  </si>
  <si>
    <t>2.1.14</t>
  </si>
  <si>
    <t>7.6</t>
  </si>
  <si>
    <t>7.7</t>
  </si>
  <si>
    <t>7.8</t>
  </si>
  <si>
    <t>7.9</t>
  </si>
  <si>
    <t>7.10</t>
  </si>
  <si>
    <t>7.11</t>
  </si>
  <si>
    <t>7.12</t>
  </si>
  <si>
    <t>7.13</t>
  </si>
  <si>
    <t>7.14</t>
  </si>
  <si>
    <t>7.15</t>
  </si>
  <si>
    <t>7.16</t>
  </si>
  <si>
    <t>8.5</t>
  </si>
  <si>
    <t>8.6</t>
  </si>
  <si>
    <t>8.7</t>
  </si>
  <si>
    <t>8.8</t>
  </si>
  <si>
    <t>6.9</t>
  </si>
  <si>
    <t>6.10</t>
  </si>
  <si>
    <t>6.11</t>
  </si>
  <si>
    <t>6.12</t>
  </si>
  <si>
    <t>6.13</t>
  </si>
  <si>
    <t>6.14</t>
  </si>
  <si>
    <t>6.15</t>
  </si>
  <si>
    <t>6.16</t>
  </si>
  <si>
    <t>6.17</t>
  </si>
  <si>
    <t>6.18</t>
  </si>
  <si>
    <t>6.19</t>
  </si>
  <si>
    <t>6.20</t>
  </si>
  <si>
    <t>4.2.8.1</t>
  </si>
  <si>
    <t>4.2.8.2</t>
  </si>
  <si>
    <t>4.2.8.3</t>
  </si>
  <si>
    <t>4.2.8.4</t>
  </si>
  <si>
    <t>4.2.8.5</t>
  </si>
  <si>
    <t>4.2.8.6</t>
  </si>
  <si>
    <t>4.2.8.7</t>
  </si>
  <si>
    <t>4.2.8.8</t>
  </si>
  <si>
    <t>4.2.8.9</t>
  </si>
  <si>
    <t>4.2.8.10</t>
  </si>
  <si>
    <t>4.2.8.11</t>
  </si>
  <si>
    <t>4.2.8.12</t>
  </si>
  <si>
    <t>4.2.8.13</t>
  </si>
  <si>
    <t>4.2.8.14</t>
  </si>
  <si>
    <t>4.2.8.15</t>
  </si>
  <si>
    <t>5.6</t>
  </si>
  <si>
    <t>5.7</t>
  </si>
  <si>
    <t>5.8</t>
  </si>
  <si>
    <t>5.9</t>
  </si>
  <si>
    <t>5.10</t>
  </si>
  <si>
    <t>4.1.1.2.1</t>
  </si>
  <si>
    <t>4.1.1.2.2</t>
  </si>
  <si>
    <t>4.1.1.2.3</t>
  </si>
  <si>
    <t>4.1.1.2.4</t>
  </si>
  <si>
    <t>4.1.1.2.5</t>
  </si>
  <si>
    <t>1.4. ​S020701​ Barracão para escritório com sanitário área de 14.50 m2, de chapa de compens. 12mm e pontalete 8x8cm, piso cimentado e cobertura de telha de fibroc. 6mm, incl. ponto de luz e cx. de inspeção, conf. projeto (1 utilização)​ (m2)</t>
  </si>
  <si>
    <t>1.3. ​S020704​ Refeitório com paredes de chapa de compens. 12mm e pontaletes 8x8cm, piso ciment. e cob. de telhas fibroc. 6mm, incl. ponto de luz e cx. de inspeção (cons. 1.21 m2/func./turno), conf. projeto (1 utilização)</t>
  </si>
  <si>
    <t>1 REFEITORIO</t>
  </si>
  <si>
    <t>1.5. ​S020355​ Aluguel mensal container sanitário, incl porta, básc, 2 ptos luz, 1 pto aterram., 3vasos, 3lavatórios, calha mictório, 6 chuveiros (1 eletrico), torn.,registros, piso comp. Naval pintado, cert NR18 e laudo descontaminação​ (ms)</t>
  </si>
  <si>
    <t>1.6. ​S020344​ Mobilização e desmobilização de conteiner locado para barracão de obra​ (und)</t>
  </si>
  <si>
    <t>1.7. ​S020350​ Tapume Telha Metálica Ondulada em aço galvalume 0,50mm Branca h=2,20m, incl. montagem estr. mad. 8"x8", c/adesivo "DER-ES" 60x60cm a cada 10m, incl. faixas pint. esmalte sint. cores azul c/ h=30cm e rosa c/ h=10cm (Reaproveitamento 2x)​ (m)</t>
  </si>
  <si>
    <t>1.8. ​S020346​ Locação de andaime metálico para fachada - tipo torre (aluguel mensal)​ (m)</t>
  </si>
  <si>
    <t>1.9. ​RES-018​ Restauro - Cobertura provisória p/ proteção de fachadas, executadas sobre andaimes existentes ao longo do passeio, com telha fibrocimento 4mm, apoiada em peças mistas 7,5 x 7,5cm, utilização = 2 vezes (Não incluido o custo c/ o andaime)​ (m)</t>
  </si>
  <si>
    <t>2.1.6 Retirada manual de interruptores e tomadas, sem reaproveitamento</t>
  </si>
  <si>
    <t>2.1.7  Retirada manual de disjuntor monofásico, bifásico ou trifásico, sem reaproveitamento</t>
  </si>
  <si>
    <t>3.4.3 Estrutura de madeira de lei tipo Paraju, peroba mica, angelim pedra ou equivalente para telhado de telha cerâmica tipo capa e canal, com pontaletes, terças, caibros e ripas, inclusive tratamento com cupinicida, exclusive telhas</t>
  </si>
  <si>
    <t>3.4.4 FABRICAÇÃO E INSTALAÇÃO DE TESOURA INTEIRA EM MADEIRA NÃO APARELHADA, VÃO DE 9 M, PARA TELHA ONDULADA DE FIBROCIMENTO, METÁLICA, PLÁSTICA OU TERMOACÚSTICA, INCLUSO IÇAMENTO. AF_10/2025</t>
  </si>
  <si>
    <t>3.4.5Cobertura nova de telhas cerâmicas tipo capa e canal inclusive cumeeira (telhas compradas na praça de Vitória, posto obra)</t>
  </si>
  <si>
    <t>3.9.1.21 ​S12391​ Restauro - Refixação de policromia em paredes com pintura parietal​ (m2)</t>
  </si>
  <si>
    <t>3.9.1.20. ​S12393​ Restauro - Emassamento e nivelamento de camada pictórica em paredes com pintura parietal​ (m2)</t>
  </si>
  <si>
    <t>3.9.1.19. ​S190117​ Pintura sobre paredes e forros, aplicação manual, com duas demãos de tinta látex acrílico premium, acabamento fosco, referência Suvinil, Coral e Metalatex, inclusive uma demão de liquido selador acrílico, referência Suvinil, Coral ou Metalatex​ (m2)</t>
  </si>
  <si>
    <t>3.9.1.18. ​S190116​ Pintura, sobre paredes e forros, aplicação manual, com duas demãos de tinta esmalte sintético, referência Suvinil, Coral e Metalatex, inclusive uma demão de liquido selador PVA, referência Suvinil, Coral ou Metalatex ou equivalente​ (m2)</t>
  </si>
  <si>
    <t>3.9.1.17. ​RES-014​ Piso em ladrilho hidráulico liso, uma cor, 20 x 20 cm,aplicado com argamassa industrializada ac-i, rejuntado, exclusive regularização de base ou emboço​ (m2)</t>
  </si>
  <si>
    <t>3.9.1.16. ​RES-015​ Piso em ladrilho hidráulico colorido/Mosaico colorido, 20 x 20 cm,aplicado com argamassa industrializada ac-i, rejuntado, exclusive regularização de base ou emboço​ (m2)</t>
  </si>
  <si>
    <t>3.9.1.15. ​S160707​ Pintura com tinta látex PVA Suvinil, Coral ou Metalatex, inclusive selador em paredes internas e forros a três demãos​ (m2)</t>
  </si>
  <si>
    <t>3.9.1.14. ​S120303​ Reboco tipo paulista de argamassa de cimento, cal hidratada CH1 e areia média ou grossa lavada no traço 1:0.5:6, espessura 25 mm​ (m2)</t>
  </si>
  <si>
    <t>2.1.8. ​S010224​ Retirada manual de grades, gradis, alambrados, cercas e portões metálicos, inclusive remoção de argamassa de chumbamento, acessórios de fixação e corte de soldas​ (m2)</t>
  </si>
  <si>
    <t>2.1.9. ​S010214​ Retirada manual de portas e janelas de madeira, inclusive batentes (marcos), sem reaproveitamento​ (m2)</t>
  </si>
  <si>
    <t>2.1.10. ​S010226​ Retirada de tanque em mármore sintético, cantoneiras de fixação, inclusive vedação dos pontos de esgoto e água fria, sem reaproveitamento​ (und)</t>
  </si>
  <si>
    <t>2.1.11. ​S010223​ Retirada manual de louças sanitárias, inclusive vedação dos pontos de esgoto e água fria, sem reaproveitamento​ (und)</t>
  </si>
  <si>
    <t>2.1.12. ​DEM-005​ Retirada manual de caixa d'água, sem considerar o reaproveitamento do reservatório, inclusive remoção dos flanges, boia e vedação dos pontos de alimentação de água fria​ (und)</t>
  </si>
  <si>
    <t>2.1.13. ​104790​ DEMOLIÇÃO DE PISO DE CONCRETO SIMPLES, DE FORMA MECANIZADA COM MARTELETE, SEM REAPROVEITAMENTO. AF_09/2023​ (M3)</t>
  </si>
  <si>
    <t>2.1.14. ​S030304​ Índice de preço para remoção de entulho decorrente da execução de obras (Classe A CONAMA - NBR 10.004 - Classe II-B), incluindo aluguel da caçamba, carga, transporte e descarga em área licenciada​ (m3)</t>
  </si>
  <si>
    <t>4.1.1.10. ​S151132​ Eletroduto flexível corrugado diâmetro 3/4", Amarelo ? Tigreflex ou equivalente​ (m)</t>
  </si>
  <si>
    <t>4.1.1.11. ​S151133​ Eletroduto flexível corrugado diâmetro 1", Amarelo ? Tigreflex ou equivalente​ (m)</t>
  </si>
  <si>
    <t>4.1.1.12. ​S150628​ Caixa de embutir marca de referência Tigreflex, 4x2"​ (und)</t>
  </si>
  <si>
    <t>4.1.1.13. ​ELE-011​ Caixa de embutir marca de referência Tigreflex, 4x4" OCTOGONAL​ (und)</t>
  </si>
  <si>
    <t>4.1.1.2. ​I  QUADRO DE DISTRIBUIÇÃO DIAGRAMA UNIFILAR QDC-01</t>
  </si>
  <si>
    <t>4.2.8. ​Circuito fechado de TV</t>
  </si>
  <si>
    <t>6.8.</t>
  </si>
  <si>
    <t>ENTORNO DA IGREJA - PRAÇA</t>
  </si>
  <si>
    <t>DEMOLIÇÕES E RETIRADAS PRAÇAS</t>
  </si>
  <si>
    <t xml:space="preserve"> IGREJA</t>
  </si>
  <si>
    <t>PAREDES  E PAINÉIS</t>
  </si>
  <si>
    <t>REVESTIMENTOS DE PAREDES</t>
  </si>
  <si>
    <t>INSTALAÇÕES PARA CLIMATIZAÇÃO - QUADROS</t>
  </si>
  <si>
    <t>INSTALAÇÕES PARA CLIMATIZAÇÃO - CAIXAS</t>
  </si>
  <si>
    <t>INSTALAÇÕES PARA CLIMATIZAÇÃO - CABOS E ELETRODUTOS</t>
  </si>
  <si>
    <t>3.9.2.4</t>
  </si>
  <si>
    <t>3.9.2.5</t>
  </si>
  <si>
    <t>3.9.3.3</t>
  </si>
  <si>
    <t>3.9.3.4</t>
  </si>
  <si>
    <t>FIOS E CABOS</t>
  </si>
  <si>
    <t>3.9.2.6</t>
  </si>
  <si>
    <t>3.9.2.7</t>
  </si>
  <si>
    <t>3.9.2.8</t>
  </si>
  <si>
    <t>3.9.2.9</t>
  </si>
  <si>
    <t>3.9.2.10</t>
  </si>
  <si>
    <t>3.9.2.11</t>
  </si>
  <si>
    <t>3.9.2.12</t>
  </si>
  <si>
    <t>3.9.2.13</t>
  </si>
  <si>
    <t>3.9.3.5</t>
  </si>
  <si>
    <t>3.10</t>
  </si>
  <si>
    <t>3.10.1</t>
  </si>
  <si>
    <t>3.10.2</t>
  </si>
  <si>
    <t>3.10.3</t>
  </si>
  <si>
    <t>3.10.4</t>
  </si>
  <si>
    <t>3.10.5</t>
  </si>
  <si>
    <t>3.10.6</t>
  </si>
  <si>
    <t>3.10.7</t>
  </si>
  <si>
    <t>3.10.8</t>
  </si>
  <si>
    <t>3.10.9</t>
  </si>
  <si>
    <t>3.10.10</t>
  </si>
  <si>
    <t>3.10.11</t>
  </si>
  <si>
    <t>3.10.12</t>
  </si>
  <si>
    <t>3.10.13</t>
  </si>
  <si>
    <t>3.10.14</t>
  </si>
  <si>
    <t>3.10.15</t>
  </si>
  <si>
    <t>3.11</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</si>
  <si>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</si>
  <si>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</si>
  <si>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</si>
  <si>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</si>
  <si>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</si>
  <si>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</si>
  <si>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</si>
  <si>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</si>
  <si>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</si>
  <si>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</si>
  <si>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</si>
  <si>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</si>
  <si>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</si>
  <si>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</si>
  <si>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</si>
  <si>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</si>
  <si>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</si>
  <si>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</si>
  <si>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</si>
  <si>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</si>
  <si>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3.12</t>
  </si>
  <si>
    <t>3.12.1</t>
  </si>
  <si>
    <t>3.12.2</t>
  </si>
  <si>
    <t>3.12.3</t>
  </si>
  <si>
    <t>3.12.4</t>
  </si>
  <si>
    <t>3.12.5</t>
  </si>
  <si>
    <t>3.12.6</t>
  </si>
  <si>
    <t>3.12.7</t>
  </si>
  <si>
    <t>3.12.8</t>
  </si>
  <si>
    <t>3.12.9</t>
  </si>
  <si>
    <t>3.12.10</t>
  </si>
  <si>
    <t>3.12.11</t>
  </si>
  <si>
    <t>3.12.12</t>
  </si>
  <si>
    <t>3.12.13</t>
  </si>
  <si>
    <t>3.12.14</t>
  </si>
  <si>
    <t>3.12.15</t>
  </si>
  <si>
    <t>3.12.16</t>
  </si>
  <si>
    <t>3.13</t>
  </si>
  <si>
    <t>3.14</t>
  </si>
  <si>
    <t>RESTAUROS INTERNOS</t>
  </si>
  <si>
    <t>3.13.1</t>
  </si>
  <si>
    <t>3.13.2</t>
  </si>
  <si>
    <t>3.13.3</t>
  </si>
  <si>
    <t>3.13.4</t>
  </si>
  <si>
    <t>3.13.5</t>
  </si>
  <si>
    <t>3.13.6</t>
  </si>
  <si>
    <t>3.13.7</t>
  </si>
  <si>
    <t>3.13.8</t>
  </si>
  <si>
    <t>3.15</t>
  </si>
  <si>
    <t>3.14.1</t>
  </si>
  <si>
    <t>3.14.2</t>
  </si>
  <si>
    <t>3.14.3</t>
  </si>
  <si>
    <t>3.14.4</t>
  </si>
  <si>
    <t>3.14.5</t>
  </si>
  <si>
    <t>3.14.6</t>
  </si>
  <si>
    <t>3.14.7</t>
  </si>
  <si>
    <t>3.14.8</t>
  </si>
  <si>
    <t>3.14.9</t>
  </si>
  <si>
    <t>3.14.10</t>
  </si>
  <si>
    <t>3.14.11</t>
  </si>
  <si>
    <t xml:space="preserve">DEMOLIÇÕES E RETIRADAS </t>
  </si>
  <si>
    <t>3.15.1</t>
  </si>
  <si>
    <t>3.15.1.1</t>
  </si>
  <si>
    <t>3.15.1.2</t>
  </si>
  <si>
    <t>3.15.1.3</t>
  </si>
  <si>
    <t>3.15.1.4</t>
  </si>
  <si>
    <t>3.15.1.5</t>
  </si>
  <si>
    <t>3.15.1.6</t>
  </si>
  <si>
    <t>3.15.1.7</t>
  </si>
  <si>
    <t>3.15.1.8</t>
  </si>
  <si>
    <t>3.15.1.9</t>
  </si>
  <si>
    <t>3.15.1.10</t>
  </si>
  <si>
    <t>3.15.1.11</t>
  </si>
  <si>
    <t>3.15.1.12</t>
  </si>
  <si>
    <t>3.15.1.13</t>
  </si>
  <si>
    <t>3.15.1.14</t>
  </si>
  <si>
    <t>3.15.1.15</t>
  </si>
  <si>
    <t>3.15.1.16</t>
  </si>
  <si>
    <t>3.15.1.17</t>
  </si>
  <si>
    <t>3.15.1.18</t>
  </si>
  <si>
    <t>3.15.1.19</t>
  </si>
  <si>
    <t>3.15.1.20</t>
  </si>
  <si>
    <t>3.15.1.21</t>
  </si>
  <si>
    <t>3.15.2</t>
  </si>
  <si>
    <t>3.15.2.1</t>
  </si>
  <si>
    <t>3.15.2.2</t>
  </si>
  <si>
    <t>3.15.2.3</t>
  </si>
  <si>
    <t>3.15.3</t>
  </si>
  <si>
    <t>3.15.3.1</t>
  </si>
  <si>
    <t>3.15.3.2</t>
  </si>
  <si>
    <t>3.15.4</t>
  </si>
  <si>
    <t>3.15.4.1</t>
  </si>
  <si>
    <t>3.15.4.2</t>
  </si>
  <si>
    <t>3.15.4.3</t>
  </si>
  <si>
    <t>3.15.4.4</t>
  </si>
  <si>
    <t>3.15.4.5</t>
  </si>
  <si>
    <t>3.15.4.6</t>
  </si>
  <si>
    <t>3.15.5</t>
  </si>
  <si>
    <t>3.15.5.1</t>
  </si>
  <si>
    <t>3.15.5.2</t>
  </si>
  <si>
    <t>3.15.5.3</t>
  </si>
  <si>
    <t>3.15.5.4</t>
  </si>
  <si>
    <t>3.15.5.5</t>
  </si>
  <si>
    <t>3.15.5.6</t>
  </si>
  <si>
    <t>3.15.5.7</t>
  </si>
  <si>
    <t>3.15.6</t>
  </si>
  <si>
    <t>3.15.6.1</t>
  </si>
  <si>
    <t>3.15.6.2</t>
  </si>
  <si>
    <t>3.15.6.3</t>
  </si>
  <si>
    <t>3.15.6.4</t>
  </si>
  <si>
    <t>3.15.6.5</t>
  </si>
  <si>
    <t>3.15.6.6</t>
  </si>
  <si>
    <t>3.15.6.7</t>
  </si>
  <si>
    <t>3.15.6.8</t>
  </si>
  <si>
    <t>3.15.6.9</t>
  </si>
  <si>
    <t>3.15.7</t>
  </si>
  <si>
    <t>3.15.7.1</t>
  </si>
  <si>
    <t>3.15.7.2</t>
  </si>
  <si>
    <t>3.15.7.3</t>
  </si>
  <si>
    <t>3.15.7.4</t>
  </si>
  <si>
    <t>3.15.7.5</t>
  </si>
  <si>
    <t>3.15.7.6</t>
  </si>
  <si>
    <t>3.15.7.7</t>
  </si>
  <si>
    <t>3.15.8</t>
  </si>
  <si>
    <t>3.15.8.1</t>
  </si>
  <si>
    <t>3.15.8.2</t>
  </si>
  <si>
    <t>3.15.8.3</t>
  </si>
  <si>
    <t>3.15.8.4</t>
  </si>
  <si>
    <t>3.15.8.5</t>
  </si>
  <si>
    <t>3.15.8.6</t>
  </si>
  <si>
    <t>3.15.8.7</t>
  </si>
  <si>
    <t>3.15.8.8</t>
  </si>
  <si>
    <t>3.15.8.9</t>
  </si>
  <si>
    <t>3.15.8.10</t>
  </si>
  <si>
    <t>3.15.8.11</t>
  </si>
  <si>
    <t>3.15.8.12</t>
  </si>
  <si>
    <t>3.15.9.1</t>
  </si>
  <si>
    <t>3.15.9.2</t>
  </si>
  <si>
    <t>3.15.9</t>
  </si>
  <si>
    <t>3.15.10.1</t>
  </si>
  <si>
    <t>3.15.10</t>
  </si>
  <si>
    <t>3.15.10.2</t>
  </si>
  <si>
    <t>3.15.10.3</t>
  </si>
  <si>
    <t>3.15.10.4</t>
  </si>
  <si>
    <t>3.15.10.5</t>
  </si>
  <si>
    <t>3.15.10.6</t>
  </si>
  <si>
    <t>3.15.10.7</t>
  </si>
  <si>
    <t>3.15.10.8</t>
  </si>
  <si>
    <t>3.15.10.9</t>
  </si>
  <si>
    <t>3.15.10.10</t>
  </si>
  <si>
    <t>3.15.10.11</t>
  </si>
  <si>
    <t>3.15.10.12</t>
  </si>
  <si>
    <t>3.15.11.1</t>
  </si>
  <si>
    <t>3.15.11</t>
  </si>
  <si>
    <t>3.15.11.2</t>
  </si>
  <si>
    <t>3.15.11.3</t>
  </si>
  <si>
    <t>3.15.11.4</t>
  </si>
  <si>
    <t>3.15.11.5</t>
  </si>
  <si>
    <t>3.15.11.6</t>
  </si>
  <si>
    <t>3.15.12</t>
  </si>
  <si>
    <t>3.15.12.1</t>
  </si>
  <si>
    <t>3.15.12.2</t>
  </si>
  <si>
    <t>3.15.12.3</t>
  </si>
  <si>
    <t>3.15.12.4</t>
  </si>
  <si>
    <t>3.15.12.5</t>
  </si>
  <si>
    <t>3.15.13</t>
  </si>
  <si>
    <t>3.15.13.1</t>
  </si>
  <si>
    <t>3.15.13.2</t>
  </si>
  <si>
    <t>3.15.13.3</t>
  </si>
  <si>
    <t>3.15.13.4</t>
  </si>
  <si>
    <t>3.15.13.5</t>
  </si>
  <si>
    <t>3.15.13.6</t>
  </si>
  <si>
    <t>3.15.13.7</t>
  </si>
  <si>
    <t>3.15.14</t>
  </si>
  <si>
    <t>3.15.14.1</t>
  </si>
  <si>
    <t>3.15.14.2</t>
  </si>
  <si>
    <t>3.15.14.3</t>
  </si>
  <si>
    <t>3.15.14.4</t>
  </si>
  <si>
    <t>3.15.14.5</t>
  </si>
  <si>
    <t>3.15.14.6</t>
  </si>
  <si>
    <t>3.15.14.7</t>
  </si>
  <si>
    <t>3.15.14.8</t>
  </si>
  <si>
    <t>3.15.14.9</t>
  </si>
  <si>
    <t>3.15.14.10</t>
  </si>
  <si>
    <t>4.1.3</t>
  </si>
  <si>
    <t>4.1.4</t>
  </si>
  <si>
    <t>4.1.5</t>
  </si>
  <si>
    <t>4.1.6</t>
  </si>
  <si>
    <t>4.1.7</t>
  </si>
  <si>
    <t>4.3</t>
  </si>
  <si>
    <t>4.3.1</t>
  </si>
  <si>
    <t>4.3.1.1</t>
  </si>
  <si>
    <t>4.3.1.2</t>
  </si>
  <si>
    <t>4.3.1.3</t>
  </si>
  <si>
    <t>4.3.2</t>
  </si>
  <si>
    <t>4.3.2.1</t>
  </si>
  <si>
    <t>4.3.2.2</t>
  </si>
  <si>
    <t>4.3.2.3</t>
  </si>
  <si>
    <t>4.3.2.4</t>
  </si>
  <si>
    <t>4.3.2.5</t>
  </si>
  <si>
    <t>4.3.2.6</t>
  </si>
  <si>
    <t>4.3.2.7</t>
  </si>
  <si>
    <t>4.3.2.8</t>
  </si>
  <si>
    <t>4.3.2.9</t>
  </si>
  <si>
    <t>4.3.3</t>
  </si>
  <si>
    <t>4.3.3.1</t>
  </si>
  <si>
    <t>4.3.3.2</t>
  </si>
  <si>
    <t>4.3.3.3</t>
  </si>
  <si>
    <t>4.3.3.4</t>
  </si>
  <si>
    <t>4.3.3.5</t>
  </si>
  <si>
    <t>4.3.4</t>
  </si>
  <si>
    <t>4.3.4.1</t>
  </si>
  <si>
    <t>4.3.4.2</t>
  </si>
  <si>
    <t>4.3.4.3</t>
  </si>
  <si>
    <t>4.3.5.1</t>
  </si>
  <si>
    <t>4.3.5</t>
  </si>
  <si>
    <t>4.3.6</t>
  </si>
  <si>
    <t>4.3.6.1</t>
  </si>
  <si>
    <t>4.3.6.2</t>
  </si>
  <si>
    <t>4.3.6.3</t>
  </si>
  <si>
    <t>4.4</t>
  </si>
  <si>
    <t>4.4.1</t>
  </si>
  <si>
    <t>4.4.2</t>
  </si>
  <si>
    <t>4.4.3</t>
  </si>
  <si>
    <t>4.4.4</t>
  </si>
  <si>
    <t>4.4.5</t>
  </si>
  <si>
    <t>4.4.6</t>
  </si>
  <si>
    <t>4.4.7</t>
  </si>
  <si>
    <t>4.4.8</t>
  </si>
  <si>
    <t>4.4.9</t>
  </si>
  <si>
    <t>4.4.10</t>
  </si>
  <si>
    <t>4.4.11</t>
  </si>
  <si>
    <t>4.4.12</t>
  </si>
  <si>
    <t>4.5</t>
  </si>
  <si>
    <t>4.5.1</t>
  </si>
  <si>
    <t>4.6</t>
  </si>
  <si>
    <t>4.6.1</t>
  </si>
  <si>
    <t>4.6.2</t>
  </si>
  <si>
    <t>4.6.3</t>
  </si>
  <si>
    <t>ENTORNO DA IGREJA  - PRAÇA</t>
  </si>
  <si>
    <t xml:space="preserve">RESUMO DO ORÇAMENTO </t>
  </si>
  <si>
    <t>DATA: 30/06/2026</t>
  </si>
  <si>
    <t xml:space="preserve">DATA BASE: MARÇO/2026 </t>
  </si>
  <si>
    <t>OBRA: Restauro da Igreja de Nossa Senhora da Conceição e Reforma da Praça Barbosa Leão, Serra Centro Serra/ES.</t>
  </si>
  <si>
    <t>DESCRIÇÃO: Restauro da Igreja de Nossa Senhora da Conceição e Reforma da Praça Barbosa Leão</t>
  </si>
  <si>
    <t>LOCAL: Praça Barbosa Leão, Serra Centro, Serra - ES | CEP: 29176-050</t>
  </si>
  <si>
    <t>PROPONENTE: PREFEITURA MUNICIPAL DA SERRA</t>
  </si>
  <si>
    <t xml:space="preserve">CRONOGRAMA FÍSICO FINANCEIRO </t>
  </si>
  <si>
    <t xml:space="preserve">CRONOGRAMA </t>
  </si>
  <si>
    <t>PLANILHA ORÇAMENTÁRIA</t>
  </si>
  <si>
    <t xml:space="preserve">SINTETICO PRÓPRIAS </t>
  </si>
  <si>
    <t xml:space="preserve">COMPOSIÇÕES DE CUSTOS </t>
  </si>
  <si>
    <t>COMPOSIÇÕES DE CUSTOS  AUXILIARES</t>
  </si>
  <si>
    <t>COMPOSIÇÕES DE CUSTOS PRÓPRIAS</t>
  </si>
  <si>
    <t>BDI: 33,25% | Encargos Sociais: 157,27%</t>
  </si>
  <si>
    <t>CURVA ABC - SERVIÇOS</t>
  </si>
  <si>
    <t>CURVA ABC - INSUMOS</t>
  </si>
  <si>
    <t>MEMÓRIA DE CÁLCULO</t>
  </si>
  <si>
    <t>SBC</t>
  </si>
  <si>
    <t>1.10</t>
  </si>
  <si>
    <t>Mês</t>
  </si>
  <si>
    <t xml:space="preserve">ADMINISTRACAO LOCAL DA OBRA </t>
  </si>
  <si>
    <t>orçamento para execução dos serviços de restauração dos seguintes bens artísticos e integrados da Igreja de Nossa Senhora da Conceição, Serra, Espírito Santo.</t>
  </si>
  <si>
    <t>JOÃO PAULO ROSSI RESTAURO DE ARTE EIRELI</t>
  </si>
  <si>
    <t>INSTITUTO MODUS VIVENDI</t>
  </si>
  <si>
    <t>LOUISE DUPIN RESTAURO E ARTE</t>
  </si>
  <si>
    <t>3.15.14.11</t>
  </si>
  <si>
    <t>COMP 116 serviços de restauração dos seguintes bens artísticos e integrados da Igreja de Nossa Senhora da Conceição, Serra, Espírito Santo.</t>
  </si>
  <si>
    <t>COMP 116</t>
  </si>
  <si>
    <t>Serviços de restauração dos seguintes bens artísticos e integrados da Igreja de Nossa Senhora da Conceição, Serra, Espírito Santo.</t>
  </si>
  <si>
    <t>CORRIMÃO DUPLO FIXADO NO PISO EM AÇO GALVANIZADO DE 1.1/2", MONTANTES TUBULARES 1.1/2" ESPAÇADOS DE 1,00M, FIXADO COM CHUMBADOR MECÂNICO. AF_10/2025</t>
  </si>
  <si>
    <t>4.4.13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</si>
</sst>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4" formatCode="_-&quot;R$&quot;* #,##0.00_-;\-&quot;R$&quot;* #,##0.00_-;_-&quot;R$&quot;* &quot;-&quot;??_-;_-@_-"/>
    <numFmt numFmtId="43" formatCode="_-* #,##0.00_-;\-* #,##0.00_-;_-* &quot;-&quot;??_-;_-@_-"/>
    <numFmt numFmtId="164" formatCode="_-&quot;R$&quot;\ * #,##0.00_-;\-&quot;R$&quot;\ * #,##0.00_-;_-&quot;R$&quot;\ * &quot;-&quot;??_-;_-@_-"/>
    <numFmt numFmtId="165" formatCode="\R\$\ #,##0.00"/>
    <numFmt numFmtId="166" formatCode="#,##0.00000000"/>
    <numFmt numFmtId="167" formatCode="\R\$\ #,##0.0000"/>
    <numFmt numFmtId="168" formatCode="#,##0.000000"/>
    <numFmt numFmtId="169" formatCode="#,##0.00000"/>
    <numFmt numFmtId="170" formatCode="#,##0.0000000"/>
    <numFmt numFmtId="171" formatCode="#,##0.0000"/>
    <numFmt numFmtId="172" formatCode="#,##0.0000000000000000"/>
    <numFmt numFmtId="173" formatCode="#,##0.00000000000"/>
    <numFmt numFmtId="174" formatCode="#,##0.0000000000000"/>
    <numFmt numFmtId="175" formatCode="#,##0.000000000000000"/>
    <numFmt numFmtId="176" formatCode="#,##0.000000000000"/>
    <numFmt numFmtId="177" formatCode="#,##0.000000000000000000"/>
    <numFmt numFmtId="178" formatCode="#,##0.000000000"/>
    <numFmt numFmtId="179" formatCode="#,##0.00000000000000000000000"/>
    <numFmt numFmtId="180" formatCode="#,##0.00000000000000"/>
    <numFmt numFmtId="181" formatCode="#,##0.000"/>
    <numFmt numFmtId="182" formatCode="#,##0.00%"/>
    <numFmt numFmtId="183" formatCode="_(* #,##0.00_);_(* \(#,##0.00\);_(* \-??_);_(@_)"/>
    <numFmt numFmtId="184" formatCode="#,##0.00\ ;&quot; (&quot;#,##0.00\);&quot; -&quot;#\ ;@\ "/>
    <numFmt numFmtId="185" formatCode="0.0000"/>
    <numFmt numFmtId="186" formatCode="_(* #,##0.00_);_(* \(#,##0.00\);_(* &quot;-&quot;??_);_(@_)"/>
  </numFmts>
  <fonts count="48" x14ac:knownFonts="1">
    <font>
      <sz val="11"/>
      <color theme="1"/>
      <name val="Calibri"/>
    </font>
    <font>
      <b/>
      <sz val="6"/>
      <color rgb="FF000000"/>
      <name val="Arial"/>
      <family val="2"/>
    </font>
    <font>
      <sz val="6"/>
      <color rgb="FF000000"/>
      <name val="Arial"/>
      <family val="2"/>
    </font>
    <font>
      <sz val="8"/>
      <color rgb="FF000000"/>
      <name val="SansSerif"/>
      <charset val="2"/>
    </font>
    <font>
      <b/>
      <sz val="7"/>
      <color rgb="FF000000"/>
      <name val="Arial"/>
      <family val="2"/>
    </font>
    <font>
      <sz val="7"/>
      <color rgb="FF000000"/>
      <name val="Arial"/>
      <family val="2"/>
    </font>
    <font>
      <sz val="11"/>
      <color theme="1"/>
      <name val="Calibri"/>
      <family val="2"/>
    </font>
    <font>
      <sz val="11"/>
      <color rgb="FFFF0000"/>
      <name val="Calibri"/>
      <family val="2"/>
    </font>
    <font>
      <b/>
      <sz val="11"/>
      <color theme="1"/>
      <name val="Calibri"/>
      <family val="2"/>
    </font>
    <font>
      <sz val="6"/>
      <color theme="1"/>
      <name val="Arial"/>
      <family val="2"/>
    </font>
    <font>
      <b/>
      <sz val="6"/>
      <color theme="1"/>
      <name val="Arial"/>
      <family val="2"/>
    </font>
    <font>
      <sz val="11"/>
      <name val="Arial"/>
      <family val="2"/>
    </font>
    <font>
      <sz val="10"/>
      <color theme="1"/>
      <name val="Arial"/>
      <family val="2"/>
    </font>
    <font>
      <sz val="10"/>
      <name val="Arial"/>
      <family val="2"/>
    </font>
    <font>
      <b/>
      <sz val="10"/>
      <color rgb="FF000000"/>
      <name val="Arial"/>
      <family val="2"/>
    </font>
    <font>
      <sz val="11"/>
      <name val="Arial Narrow"/>
      <family val="2"/>
    </font>
    <font>
      <sz val="11"/>
      <color theme="1"/>
      <name val="Arial Narrow"/>
      <family val="2"/>
    </font>
    <font>
      <sz val="11"/>
      <name val="Calibri"/>
      <family val="2"/>
    </font>
    <font>
      <sz val="6"/>
      <name val="Arial"/>
      <family val="2"/>
    </font>
    <font>
      <b/>
      <sz val="11"/>
      <color rgb="FF1F1F1F"/>
      <name val="Calibri"/>
      <family val="2"/>
    </font>
    <font>
      <b/>
      <sz val="14"/>
      <color rgb="FFFFFFFF"/>
      <name val="Calibri"/>
      <family val="2"/>
    </font>
    <font>
      <b/>
      <sz val="11"/>
      <color rgb="FFFFFFFF"/>
      <name val="Calibri"/>
      <family val="2"/>
    </font>
    <font>
      <b/>
      <sz val="8"/>
      <color rgb="FF000000"/>
      <name val="Calibri"/>
      <family val="2"/>
      <scheme val="major"/>
    </font>
    <font>
      <sz val="8"/>
      <color rgb="FF000000"/>
      <name val="Calibri"/>
      <family val="2"/>
      <scheme val="major"/>
    </font>
    <font>
      <sz val="8"/>
      <name val="Calibri"/>
      <family val="2"/>
      <scheme val="major"/>
    </font>
    <font>
      <sz val="8"/>
      <color theme="1"/>
      <name val="Calibri"/>
      <family val="2"/>
      <scheme val="major"/>
    </font>
    <font>
      <b/>
      <sz val="8"/>
      <color theme="0"/>
      <name val="Calibri"/>
      <family val="2"/>
      <scheme val="major"/>
    </font>
    <font>
      <sz val="8"/>
      <color rgb="FF000000"/>
      <name val="Calibri"/>
      <family val="2"/>
    </font>
    <font>
      <sz val="8"/>
      <color theme="1"/>
      <name val="Calibri"/>
      <family val="2"/>
    </font>
    <font>
      <b/>
      <sz val="8"/>
      <color rgb="FF000000"/>
      <name val="Calibri"/>
      <family val="2"/>
    </font>
    <font>
      <b/>
      <sz val="10"/>
      <color rgb="FF000000"/>
      <name val="Calibri"/>
      <family val="2"/>
      <scheme val="minor"/>
    </font>
    <font>
      <b/>
      <sz val="8"/>
      <color rgb="FF000000"/>
      <name val="Calibri"/>
      <family val="2"/>
      <scheme val="minor"/>
    </font>
    <font>
      <sz val="8"/>
      <color theme="1"/>
      <name val="Calibri"/>
      <family val="2"/>
      <scheme val="minor"/>
    </font>
    <font>
      <b/>
      <i/>
      <sz val="9"/>
      <name val="Calibri"/>
      <family val="2"/>
      <scheme val="minor"/>
    </font>
    <font>
      <sz val="11"/>
      <name val="Calibri"/>
      <family val="2"/>
      <scheme val="minor"/>
    </font>
    <font>
      <b/>
      <sz val="6"/>
      <name val="Calibri"/>
      <family val="2"/>
      <scheme val="minor"/>
    </font>
    <font>
      <sz val="6"/>
      <name val="Calibri"/>
      <family val="2"/>
      <scheme val="minor"/>
    </font>
    <font>
      <b/>
      <sz val="7"/>
      <name val="Calibri"/>
      <family val="2"/>
      <scheme val="minor"/>
    </font>
    <font>
      <sz val="7"/>
      <name val="Calibri"/>
      <family val="2"/>
      <scheme val="minor"/>
    </font>
    <font>
      <sz val="8"/>
      <name val="Calibri"/>
      <family val="2"/>
      <scheme val="minor"/>
    </font>
    <font>
      <b/>
      <sz val="8"/>
      <name val="Calibri"/>
      <family val="2"/>
      <scheme val="minor"/>
    </font>
    <font>
      <sz val="8"/>
      <color rgb="FF000000"/>
      <name val="Calibri"/>
      <family val="2"/>
      <scheme val="minor"/>
    </font>
    <font>
      <b/>
      <sz val="8"/>
      <color theme="1"/>
      <name val="Calibri"/>
      <family val="2"/>
      <scheme val="minor"/>
    </font>
    <font>
      <sz val="8"/>
      <name val="Calibri"/>
    </font>
    <font>
      <sz val="8"/>
      <name val="Calibri"/>
      <family val="2"/>
    </font>
    <font>
      <b/>
      <sz val="10"/>
      <color theme="0"/>
      <name val="Calibri"/>
      <family val="2"/>
      <scheme val="minor"/>
    </font>
    <font>
      <b/>
      <sz val="11"/>
      <name val="Calibri"/>
      <family val="2"/>
    </font>
    <font>
      <b/>
      <sz val="11"/>
      <color theme="0"/>
      <name val="Calibri"/>
      <family val="2"/>
    </font>
  </fonts>
  <fills count="147">
    <fill>
      <patternFill patternType="none"/>
    </fill>
    <fill>
      <patternFill patternType="gray125"/>
    </fill>
    <fill>
      <patternFill patternType="solid">
        <fgColor rgb="FFFFFFF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DFDFDF"/>
      </patternFill>
    </fill>
    <fill>
      <patternFill patternType="solid">
        <fgColor rgb="FFFFFFFF"/>
      </patternFill>
    </fill>
    <fill>
      <patternFill patternType="solid">
        <fgColor rgb="FFFFFFFF"/>
      </patternFill>
    </fill>
    <fill>
      <patternFill patternType="none"/>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none"/>
    </fill>
    <fill>
      <patternFill patternType="solid">
        <fgColor rgb="FFFFFFFF"/>
      </patternFill>
    </fill>
    <fill>
      <patternFill patternType="solid">
        <fgColor rgb="FFFFFFFF"/>
      </patternFill>
    </fill>
    <fill>
      <patternFill patternType="none"/>
    </fill>
    <fill>
      <patternFill patternType="solid">
        <fgColor rgb="FFDFDFDF"/>
      </patternFill>
    </fill>
    <fill>
      <patternFill patternType="solid">
        <fgColor rgb="FFDFDFDF"/>
      </patternFill>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0C0C0"/>
      </patternFill>
    </fill>
    <fill>
      <patternFill patternType="solid">
        <fgColor rgb="FFC0C0C0"/>
      </patternFill>
    </fill>
    <fill>
      <patternFill patternType="solid">
        <fgColor rgb="FFDAFEDB"/>
      </patternFill>
    </fill>
    <fill>
      <patternFill patternType="solid">
        <fgColor rgb="FFDAFEDB"/>
      </patternFill>
    </fill>
    <fill>
      <patternFill patternType="solid">
        <fgColor rgb="FFDAFEDB"/>
      </patternFill>
    </fill>
    <fill>
      <patternFill patternType="solid">
        <fgColor rgb="FFDAFEDB"/>
      </patternFill>
    </fill>
    <fill>
      <patternFill patternType="solid">
        <fgColor rgb="FFDAFEDB"/>
      </patternFill>
    </fill>
    <fill>
      <patternFill patternType="solid">
        <fgColor rgb="FFFAFFE9"/>
      </patternFill>
    </fill>
    <fill>
      <patternFill patternType="solid">
        <fgColor rgb="FFFAFFE9"/>
      </patternFill>
    </fill>
    <fill>
      <patternFill patternType="solid">
        <fgColor rgb="FFFAFFE9"/>
      </patternFill>
    </fill>
    <fill>
      <patternFill patternType="solid">
        <fgColor rgb="FFFAFFE9"/>
      </patternFill>
    </fill>
    <fill>
      <patternFill patternType="solid">
        <fgColor rgb="FFFAFFE9"/>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none"/>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FEDEE3"/>
      </patternFill>
    </fill>
    <fill>
      <patternFill patternType="solid">
        <fgColor rgb="FFDFDFDF"/>
      </patternFill>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rgb="FFDFDFDF"/>
      </patternFill>
    </fill>
    <fill>
      <patternFill patternType="solid">
        <fgColor theme="0"/>
      </patternFill>
    </fill>
    <fill>
      <patternFill patternType="solid">
        <fgColor theme="6" tint="0.79995117038483843"/>
        <bgColor indexed="65"/>
      </patternFill>
    </fill>
    <fill>
      <patternFill patternType="solid">
        <fgColor rgb="FFD9E1F2"/>
      </patternFill>
    </fill>
    <fill>
      <patternFill patternType="solid">
        <fgColor rgb="FF1F4E78"/>
      </patternFill>
    </fill>
    <fill>
      <patternFill patternType="solid">
        <fgColor rgb="FFD9EAF7"/>
      </patternFill>
    </fill>
    <fill>
      <patternFill patternType="solid">
        <fgColor rgb="FFBFBFBF"/>
      </patternFill>
    </fill>
    <fill>
      <patternFill patternType="solid">
        <fgColor rgb="FFE7E6E6"/>
      </patternFill>
    </fill>
    <fill>
      <patternFill patternType="solid">
        <fgColor rgb="FFA9D18E"/>
      </patternFill>
    </fill>
    <fill>
      <patternFill patternType="solid">
        <fgColor rgb="FF70AD47"/>
      </patternFill>
    </fill>
    <fill>
      <patternFill patternType="solid">
        <fgColor theme="4" tint="-0.49998474074526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203764"/>
        <bgColor indexed="64"/>
      </patternFill>
    </fill>
  </fills>
  <borders count="6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auto="1"/>
      </right>
      <top/>
      <bottom style="thin">
        <color auto="1"/>
      </bottom>
      <diagonal/>
    </border>
    <border>
      <left/>
      <right/>
      <top style="thin">
        <color indexed="64"/>
      </top>
      <bottom/>
      <diagonal/>
    </border>
    <border>
      <left style="thin">
        <color rgb="FFBFBFBF"/>
      </left>
      <right/>
      <top style="thin">
        <color rgb="FFBFBFBF"/>
      </top>
      <bottom style="thin">
        <color rgb="FF7F7F7F"/>
      </bottom>
      <diagonal/>
    </border>
    <border>
      <left/>
      <right/>
      <top style="thin">
        <color rgb="FFBFBFBF"/>
      </top>
      <bottom style="thin">
        <color rgb="FF7F7F7F"/>
      </bottom>
      <diagonal/>
    </border>
    <border>
      <left/>
      <right style="thin">
        <color rgb="FFBFBFBF"/>
      </right>
      <top style="thin">
        <color rgb="FFBFBFBF"/>
      </top>
      <bottom style="thin">
        <color rgb="FF7F7F7F"/>
      </bottom>
      <diagonal/>
    </border>
    <border>
      <left style="thin">
        <color rgb="FFBFBFBF"/>
      </left>
      <right/>
      <top/>
      <bottom/>
      <diagonal/>
    </border>
    <border>
      <left/>
      <right style="thin">
        <color rgb="FFBFBFBF"/>
      </right>
      <top/>
      <bottom/>
      <diagonal/>
    </border>
    <border>
      <left style="thin">
        <color rgb="FFBFBFBF"/>
      </left>
      <right/>
      <top/>
      <bottom style="thin">
        <color rgb="FFBFBFBF"/>
      </bottom>
      <diagonal/>
    </border>
    <border>
      <left/>
      <right/>
      <top/>
      <bottom style="thin">
        <color rgb="FFBFBFBF"/>
      </bottom>
      <diagonal/>
    </border>
    <border>
      <left/>
      <right style="thin">
        <color rgb="FFBFBFBF"/>
      </right>
      <top/>
      <bottom style="thin">
        <color rgb="FFBFBFBF"/>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style="medium">
        <color indexed="64"/>
      </left>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rgb="FF000000"/>
      </right>
      <top style="thin">
        <color rgb="FF000000"/>
      </top>
      <bottom style="medium">
        <color indexed="64"/>
      </bottom>
      <diagonal/>
    </border>
    <border>
      <left style="medium">
        <color indexed="64"/>
      </left>
      <right/>
      <top style="thin">
        <color rgb="FF000000"/>
      </top>
      <bottom style="thin">
        <color rgb="FF000000"/>
      </bottom>
      <diagonal/>
    </border>
    <border>
      <left style="thin">
        <color auto="1"/>
      </left>
      <right style="medium">
        <color indexed="64"/>
      </right>
      <top style="thin">
        <color auto="1"/>
      </top>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auto="1"/>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indexed="64"/>
      </right>
      <top style="thin">
        <color indexed="64"/>
      </top>
      <bottom/>
      <diagonal/>
    </border>
    <border>
      <left/>
      <right style="medium">
        <color indexed="64"/>
      </right>
      <top style="thin">
        <color indexed="64"/>
      </top>
      <bottom style="thin">
        <color rgb="FF000000"/>
      </bottom>
      <diagonal/>
    </border>
  </borders>
  <cellStyleXfs count="9">
    <xf numFmtId="0" fontId="0" fillId="0" borderId="0"/>
    <xf numFmtId="43" fontId="6" fillId="0" borderId="0" applyFont="0" applyFill="0" applyBorder="0" applyAlignment="0" applyProtection="0"/>
    <xf numFmtId="0" fontId="11" fillId="125" borderId="1"/>
    <xf numFmtId="43" fontId="13" fillId="125" borderId="1" applyFont="0" applyFill="0" applyBorder="0" applyAlignment="0" applyProtection="0"/>
    <xf numFmtId="164" fontId="13" fillId="125" borderId="1" applyFont="0" applyFill="0" applyBorder="0" applyAlignment="0" applyProtection="0"/>
    <xf numFmtId="0" fontId="13" fillId="125" borderId="1"/>
    <xf numFmtId="0" fontId="13" fillId="125" borderId="1"/>
    <xf numFmtId="186" fontId="13" fillId="125" borderId="1" applyFont="0" applyFill="0" applyBorder="0" applyAlignment="0" applyProtection="0"/>
    <xf numFmtId="44" fontId="6" fillId="0" borderId="0" applyFont="0" applyFill="0" applyBorder="0" applyAlignment="0" applyProtection="0"/>
  </cellStyleXfs>
  <cellXfs count="568">
    <xf numFmtId="0" fontId="0" fillId="0" borderId="0" xfId="0"/>
    <xf numFmtId="0" fontId="0" fillId="6" borderId="0" xfId="0" applyFill="1" applyAlignment="1">
      <alignment wrapText="1"/>
    </xf>
    <xf numFmtId="0" fontId="1" fillId="78" borderId="2" xfId="0" applyFont="1" applyFill="1" applyBorder="1" applyAlignment="1">
      <alignment horizontal="center" vertical="center" wrapText="1"/>
    </xf>
    <xf numFmtId="0" fontId="1" fillId="79" borderId="2" xfId="0" applyFont="1" applyFill="1" applyBorder="1" applyAlignment="1">
      <alignment horizontal="left" vertical="center" wrapText="1"/>
    </xf>
    <xf numFmtId="0" fontId="2" fillId="80" borderId="1" xfId="0" applyFont="1" applyFill="1" applyBorder="1" applyAlignment="1">
      <alignment horizontal="center" vertical="top" wrapText="1"/>
    </xf>
    <xf numFmtId="0" fontId="2" fillId="81" borderId="1" xfId="0" applyFont="1" applyFill="1" applyBorder="1" applyAlignment="1">
      <alignment horizontal="left" vertical="top" wrapText="1"/>
    </xf>
    <xf numFmtId="4" fontId="2" fillId="82" borderId="1" xfId="0" applyNumberFormat="1" applyFont="1" applyFill="1" applyBorder="1" applyAlignment="1">
      <alignment horizontal="right" vertical="top" wrapText="1"/>
    </xf>
    <xf numFmtId="165" fontId="2" fillId="83" borderId="1" xfId="0" applyNumberFormat="1" applyFont="1" applyFill="1" applyBorder="1" applyAlignment="1">
      <alignment horizontal="right" vertical="top" wrapText="1"/>
    </xf>
    <xf numFmtId="4" fontId="2" fillId="84" borderId="1" xfId="0" applyNumberFormat="1" applyFont="1" applyFill="1" applyBorder="1" applyAlignment="1">
      <alignment horizontal="center" vertical="top" wrapText="1"/>
    </xf>
    <xf numFmtId="0" fontId="2" fillId="85" borderId="1" xfId="0" applyFont="1" applyFill="1" applyBorder="1" applyAlignment="1">
      <alignment horizontal="center" vertical="top" wrapText="1"/>
    </xf>
    <xf numFmtId="0" fontId="2" fillId="86" borderId="1" xfId="0" applyFont="1" applyFill="1" applyBorder="1" applyAlignment="1">
      <alignment horizontal="left" vertical="top" wrapText="1"/>
    </xf>
    <xf numFmtId="4" fontId="2" fillId="87" borderId="1" xfId="0" applyNumberFormat="1" applyFont="1" applyFill="1" applyBorder="1" applyAlignment="1">
      <alignment horizontal="right" vertical="top" wrapText="1"/>
    </xf>
    <xf numFmtId="165" fontId="2" fillId="88" borderId="1" xfId="0" applyNumberFormat="1" applyFont="1" applyFill="1" applyBorder="1" applyAlignment="1">
      <alignment horizontal="right" vertical="top" wrapText="1"/>
    </xf>
    <xf numFmtId="4" fontId="2" fillId="89" borderId="1" xfId="0" applyNumberFormat="1" applyFont="1" applyFill="1" applyBorder="1" applyAlignment="1">
      <alignment horizontal="center" vertical="top" wrapText="1"/>
    </xf>
    <xf numFmtId="0" fontId="2" fillId="90" borderId="1" xfId="0" applyFont="1" applyFill="1" applyBorder="1" applyAlignment="1">
      <alignment horizontal="center" vertical="top" wrapText="1"/>
    </xf>
    <xf numFmtId="0" fontId="2" fillId="91" borderId="1" xfId="0" applyFont="1" applyFill="1" applyBorder="1" applyAlignment="1">
      <alignment horizontal="left" vertical="top" wrapText="1"/>
    </xf>
    <xf numFmtId="4" fontId="2" fillId="92" borderId="1" xfId="0" applyNumberFormat="1" applyFont="1" applyFill="1" applyBorder="1" applyAlignment="1">
      <alignment horizontal="right" vertical="top" wrapText="1"/>
    </xf>
    <xf numFmtId="165" fontId="2" fillId="93" borderId="1" xfId="0" applyNumberFormat="1" applyFont="1" applyFill="1" applyBorder="1" applyAlignment="1">
      <alignment horizontal="right" vertical="top" wrapText="1"/>
    </xf>
    <xf numFmtId="4" fontId="2" fillId="94" borderId="1" xfId="0" applyNumberFormat="1" applyFont="1" applyFill="1" applyBorder="1" applyAlignment="1">
      <alignment horizontal="center" vertical="top" wrapText="1"/>
    </xf>
    <xf numFmtId="168" fontId="2" fillId="96" borderId="1" xfId="0" applyNumberFormat="1" applyFont="1" applyFill="1" applyBorder="1" applyAlignment="1">
      <alignment horizontal="right" vertical="top" wrapText="1"/>
    </xf>
    <xf numFmtId="172" fontId="2" fillId="97" borderId="1" xfId="0" applyNumberFormat="1" applyFont="1" applyFill="1" applyBorder="1" applyAlignment="1">
      <alignment horizontal="right" vertical="top" wrapText="1"/>
    </xf>
    <xf numFmtId="173" fontId="2" fillId="98" borderId="1" xfId="0" applyNumberFormat="1" applyFont="1" applyFill="1" applyBorder="1" applyAlignment="1">
      <alignment horizontal="right" vertical="top" wrapText="1"/>
    </xf>
    <xf numFmtId="174" fontId="2" fillId="99" borderId="1" xfId="0" applyNumberFormat="1" applyFont="1" applyFill="1" applyBorder="1" applyAlignment="1">
      <alignment horizontal="right" vertical="top" wrapText="1"/>
    </xf>
    <xf numFmtId="175" fontId="2" fillId="100" borderId="1" xfId="0" applyNumberFormat="1" applyFont="1" applyFill="1" applyBorder="1" applyAlignment="1">
      <alignment horizontal="right" vertical="top" wrapText="1"/>
    </xf>
    <xf numFmtId="171" fontId="2" fillId="101" borderId="1" xfId="0" applyNumberFormat="1" applyFont="1" applyFill="1" applyBorder="1" applyAlignment="1">
      <alignment horizontal="right" vertical="top" wrapText="1"/>
    </xf>
    <xf numFmtId="176" fontId="2" fillId="102" borderId="1" xfId="0" applyNumberFormat="1" applyFont="1" applyFill="1" applyBorder="1" applyAlignment="1">
      <alignment horizontal="right" vertical="top" wrapText="1"/>
    </xf>
    <xf numFmtId="177" fontId="2" fillId="103" borderId="1" xfId="0" applyNumberFormat="1" applyFont="1" applyFill="1" applyBorder="1" applyAlignment="1">
      <alignment horizontal="right" vertical="top" wrapText="1"/>
    </xf>
    <xf numFmtId="178" fontId="2" fillId="104" borderId="1" xfId="0" applyNumberFormat="1" applyFont="1" applyFill="1" applyBorder="1" applyAlignment="1">
      <alignment horizontal="right" vertical="top" wrapText="1"/>
    </xf>
    <xf numFmtId="170" fontId="2" fillId="105" borderId="1" xfId="0" applyNumberFormat="1" applyFont="1" applyFill="1" applyBorder="1" applyAlignment="1">
      <alignment horizontal="right" vertical="top" wrapText="1"/>
    </xf>
    <xf numFmtId="179" fontId="2" fillId="106" borderId="1" xfId="0" applyNumberFormat="1" applyFont="1" applyFill="1" applyBorder="1" applyAlignment="1">
      <alignment horizontal="right" vertical="top" wrapText="1"/>
    </xf>
    <xf numFmtId="169" fontId="2" fillId="107" borderId="1" xfId="0" applyNumberFormat="1" applyFont="1" applyFill="1" applyBorder="1" applyAlignment="1">
      <alignment horizontal="right" vertical="top" wrapText="1"/>
    </xf>
    <xf numFmtId="180" fontId="2" fillId="108" borderId="1" xfId="0" applyNumberFormat="1" applyFont="1" applyFill="1" applyBorder="1" applyAlignment="1">
      <alignment horizontal="right" vertical="top" wrapText="1"/>
    </xf>
    <xf numFmtId="181" fontId="2" fillId="109" borderId="1" xfId="0" applyNumberFormat="1" applyFont="1" applyFill="1" applyBorder="1" applyAlignment="1">
      <alignment horizontal="right" vertical="top" wrapText="1"/>
    </xf>
    <xf numFmtId="166" fontId="2" fillId="110" borderId="1" xfId="0" applyNumberFormat="1" applyFont="1" applyFill="1" applyBorder="1" applyAlignment="1">
      <alignment horizontal="right" vertical="top" wrapText="1"/>
    </xf>
    <xf numFmtId="43" fontId="9" fillId="0" borderId="0" xfId="1" applyFont="1"/>
    <xf numFmtId="43" fontId="10" fillId="0" borderId="0" xfId="1" applyFont="1"/>
    <xf numFmtId="0" fontId="0" fillId="0" borderId="0" xfId="0" applyAlignment="1">
      <alignment horizontal="left"/>
    </xf>
    <xf numFmtId="43" fontId="9" fillId="0" borderId="0" xfId="1" applyFont="1" applyAlignment="1">
      <alignment horizontal="left"/>
    </xf>
    <xf numFmtId="0" fontId="15" fillId="134" borderId="0" xfId="0" applyFont="1" applyFill="1"/>
    <xf numFmtId="0" fontId="16" fillId="134" borderId="0" xfId="0" applyFont="1" applyFill="1"/>
    <xf numFmtId="43" fontId="9" fillId="0" borderId="0" xfId="1" applyFont="1" applyFill="1" applyAlignment="1">
      <alignment horizontal="left"/>
    </xf>
    <xf numFmtId="0" fontId="17" fillId="0" borderId="0" xfId="0" applyFont="1" applyAlignment="1">
      <alignment horizontal="left"/>
    </xf>
    <xf numFmtId="43" fontId="18" fillId="0" borderId="0" xfId="1" applyFont="1" applyFill="1" applyAlignment="1">
      <alignment horizontal="left"/>
    </xf>
    <xf numFmtId="0" fontId="7" fillId="0" borderId="0" xfId="0" applyFont="1" applyAlignment="1">
      <alignment horizontal="left"/>
    </xf>
    <xf numFmtId="0" fontId="0" fillId="0" borderId="0" xfId="0" applyAlignment="1">
      <alignment vertical="center"/>
    </xf>
    <xf numFmtId="0" fontId="8" fillId="0" borderId="0" xfId="0" applyFont="1" applyAlignment="1">
      <alignment vertical="center" wrapText="1"/>
    </xf>
    <xf numFmtId="0" fontId="0" fillId="0" borderId="0" xfId="0" applyAlignment="1">
      <alignment vertical="center" wrapText="1"/>
    </xf>
    <xf numFmtId="0" fontId="19" fillId="135" borderId="13" xfId="0" applyFont="1" applyFill="1" applyBorder="1" applyAlignment="1">
      <alignment horizontal="center" vertical="center" wrapText="1"/>
    </xf>
    <xf numFmtId="0" fontId="19" fillId="135" borderId="14" xfId="0" applyFont="1" applyFill="1" applyBorder="1" applyAlignment="1">
      <alignment horizontal="center" vertical="center" wrapText="1"/>
    </xf>
    <xf numFmtId="0" fontId="19" fillId="135" borderId="15" xfId="0" applyFont="1" applyFill="1" applyBorder="1" applyAlignment="1">
      <alignment horizontal="center" vertical="center" wrapText="1"/>
    </xf>
    <xf numFmtId="0" fontId="8" fillId="0" borderId="16" xfId="0" applyFont="1" applyBorder="1" applyAlignment="1">
      <alignment vertical="center" wrapText="1"/>
    </xf>
    <xf numFmtId="10" fontId="0" fillId="0" borderId="17" xfId="0" applyNumberFormat="1" applyBorder="1" applyAlignment="1">
      <alignment vertical="center" wrapText="1"/>
    </xf>
    <xf numFmtId="0" fontId="0" fillId="0" borderId="17" xfId="0" applyBorder="1" applyAlignment="1">
      <alignment vertical="center" wrapText="1"/>
    </xf>
    <xf numFmtId="0" fontId="0" fillId="0" borderId="16"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8" fillId="0" borderId="19" xfId="0" applyFont="1" applyBorder="1" applyAlignment="1">
      <alignment vertical="center" wrapText="1"/>
    </xf>
    <xf numFmtId="0" fontId="0" fillId="0" borderId="20" xfId="0" applyBorder="1" applyAlignment="1">
      <alignment vertical="center" wrapText="1"/>
    </xf>
    <xf numFmtId="0" fontId="8" fillId="137" borderId="0" xfId="0" applyFont="1" applyFill="1" applyAlignment="1">
      <alignment vertical="center"/>
    </xf>
    <xf numFmtId="0" fontId="8" fillId="138" borderId="0" xfId="0" applyFont="1" applyFill="1" applyAlignment="1">
      <alignment horizontal="center" vertical="center" wrapText="1"/>
    </xf>
    <xf numFmtId="0" fontId="21" fillId="136" borderId="0" xfId="0" applyFont="1" applyFill="1" applyAlignment="1">
      <alignment vertical="center"/>
    </xf>
    <xf numFmtId="0" fontId="21" fillId="136" borderId="0" xfId="0" applyFont="1" applyFill="1" applyAlignment="1">
      <alignment vertical="center" wrapText="1"/>
    </xf>
    <xf numFmtId="0" fontId="8" fillId="137" borderId="0" xfId="0" applyFont="1" applyFill="1" applyAlignment="1">
      <alignment vertical="center" wrapText="1"/>
    </xf>
    <xf numFmtId="0" fontId="0" fillId="0" borderId="0" xfId="0" applyAlignment="1">
      <alignment wrapText="1"/>
    </xf>
    <xf numFmtId="0" fontId="8" fillId="139" borderId="0" xfId="0" applyFont="1" applyFill="1" applyAlignment="1">
      <alignment wrapText="1"/>
    </xf>
    <xf numFmtId="0" fontId="8" fillId="140" borderId="0" xfId="0" applyFont="1" applyFill="1" applyAlignment="1">
      <alignment wrapText="1"/>
    </xf>
    <xf numFmtId="0" fontId="8" fillId="139" borderId="0" xfId="0" applyFont="1" applyFill="1" applyAlignment="1">
      <alignment vertical="center"/>
    </xf>
    <xf numFmtId="0" fontId="8" fillId="140" borderId="0" xfId="0" applyFont="1" applyFill="1" applyAlignment="1">
      <alignment vertical="center"/>
    </xf>
    <xf numFmtId="4" fontId="21" fillId="136" borderId="0" xfId="0" applyNumberFormat="1" applyFont="1" applyFill="1" applyAlignment="1">
      <alignment vertical="center"/>
    </xf>
    <xf numFmtId="4" fontId="8" fillId="137" borderId="0" xfId="0" applyNumberFormat="1" applyFont="1" applyFill="1" applyAlignment="1">
      <alignment vertical="center"/>
    </xf>
    <xf numFmtId="4" fontId="0" fillId="0" borderId="0" xfId="0" applyNumberFormat="1" applyAlignment="1">
      <alignment vertical="center"/>
    </xf>
    <xf numFmtId="4" fontId="8" fillId="139" borderId="0" xfId="0" applyNumberFormat="1" applyFont="1" applyFill="1" applyAlignment="1">
      <alignment vertical="center"/>
    </xf>
    <xf numFmtId="4" fontId="8" fillId="140" borderId="0" xfId="0" applyNumberFormat="1" applyFont="1" applyFill="1" applyAlignment="1">
      <alignment vertical="center"/>
    </xf>
    <xf numFmtId="4" fontId="21" fillId="136" borderId="0" xfId="0" applyNumberFormat="1" applyFont="1" applyFill="1" applyAlignment="1">
      <alignment horizontal="right" vertical="center"/>
    </xf>
    <xf numFmtId="4" fontId="8" fillId="137" borderId="0" xfId="0" applyNumberFormat="1" applyFont="1" applyFill="1" applyAlignment="1">
      <alignment horizontal="right" vertical="center"/>
    </xf>
    <xf numFmtId="4" fontId="0" fillId="0" borderId="0" xfId="0" applyNumberFormat="1" applyAlignment="1">
      <alignment horizontal="right" vertical="center"/>
    </xf>
    <xf numFmtId="4" fontId="8" fillId="139" borderId="0" xfId="0" applyNumberFormat="1" applyFont="1" applyFill="1" applyAlignment="1">
      <alignment horizontal="right" vertical="center"/>
    </xf>
    <xf numFmtId="4" fontId="8" fillId="140" borderId="0" xfId="0" applyNumberFormat="1" applyFont="1" applyFill="1" applyAlignment="1">
      <alignment horizontal="right" vertical="center"/>
    </xf>
    <xf numFmtId="0" fontId="8" fillId="0" borderId="0" xfId="0" applyFont="1" applyAlignment="1">
      <alignment vertical="center"/>
    </xf>
    <xf numFmtId="0" fontId="8" fillId="0" borderId="0" xfId="0" applyFont="1" applyAlignment="1">
      <alignment wrapText="1"/>
    </xf>
    <xf numFmtId="4" fontId="8" fillId="0" borderId="0" xfId="0" applyNumberFormat="1" applyFont="1" applyAlignment="1">
      <alignment vertical="center"/>
    </xf>
    <xf numFmtId="4" fontId="8" fillId="0" borderId="0" xfId="0" applyNumberFormat="1" applyFont="1" applyAlignment="1">
      <alignment horizontal="right" vertical="center"/>
    </xf>
    <xf numFmtId="0" fontId="21" fillId="136" borderId="0" xfId="0" applyFont="1" applyFill="1" applyAlignment="1">
      <alignment wrapText="1"/>
    </xf>
    <xf numFmtId="0" fontId="21" fillId="141" borderId="0" xfId="0" applyFont="1" applyFill="1" applyAlignment="1">
      <alignment vertical="center"/>
    </xf>
    <xf numFmtId="0" fontId="21" fillId="141" borderId="0" xfId="0" applyFont="1" applyFill="1" applyAlignment="1">
      <alignment wrapText="1"/>
    </xf>
    <xf numFmtId="4" fontId="21" fillId="141" borderId="0" xfId="0" applyNumberFormat="1" applyFont="1" applyFill="1" applyAlignment="1">
      <alignment vertical="center"/>
    </xf>
    <xf numFmtId="4" fontId="21" fillId="141" borderId="0" xfId="0" applyNumberFormat="1" applyFont="1" applyFill="1" applyAlignment="1">
      <alignment horizontal="right" vertical="center"/>
    </xf>
    <xf numFmtId="165" fontId="21" fillId="136" borderId="0" xfId="0" applyNumberFormat="1" applyFont="1" applyFill="1" applyAlignment="1">
      <alignment horizontal="right" vertical="center"/>
    </xf>
    <xf numFmtId="165" fontId="8" fillId="0" borderId="0" xfId="0" applyNumberFormat="1" applyFont="1" applyAlignment="1">
      <alignment horizontal="right" vertical="center"/>
    </xf>
    <xf numFmtId="165" fontId="21" fillId="141" borderId="0" xfId="0" applyNumberFormat="1" applyFont="1" applyFill="1" applyAlignment="1">
      <alignment horizontal="right" vertical="center"/>
    </xf>
    <xf numFmtId="10" fontId="8" fillId="137" borderId="0" xfId="0" applyNumberFormat="1" applyFont="1" applyFill="1" applyAlignment="1">
      <alignment vertical="center"/>
    </xf>
    <xf numFmtId="165" fontId="8" fillId="137" borderId="0" xfId="0" applyNumberFormat="1" applyFont="1" applyFill="1" applyAlignment="1">
      <alignment vertical="center"/>
    </xf>
    <xf numFmtId="0" fontId="8" fillId="138" borderId="0" xfId="0" applyFont="1" applyFill="1" applyAlignment="1">
      <alignment horizontal="center"/>
    </xf>
    <xf numFmtId="0" fontId="21" fillId="141" borderId="0" xfId="0" applyFont="1" applyFill="1"/>
    <xf numFmtId="165" fontId="0" fillId="0" borderId="0" xfId="0" applyNumberFormat="1"/>
    <xf numFmtId="165" fontId="21" fillId="141" borderId="0" xfId="0" applyNumberFormat="1" applyFont="1" applyFill="1"/>
    <xf numFmtId="10" fontId="0" fillId="0" borderId="0" xfId="0" applyNumberFormat="1"/>
    <xf numFmtId="10" fontId="21" fillId="141" borderId="0" xfId="0" applyNumberFormat="1" applyFont="1" applyFill="1"/>
    <xf numFmtId="49" fontId="0" fillId="0" borderId="0" xfId="0" applyNumberFormat="1"/>
    <xf numFmtId="49" fontId="8" fillId="138" borderId="0" xfId="0" applyNumberFormat="1" applyFont="1" applyFill="1" applyAlignment="1">
      <alignment horizontal="center" vertical="center" wrapText="1"/>
    </xf>
    <xf numFmtId="49" fontId="21" fillId="136" borderId="0" xfId="0" applyNumberFormat="1" applyFont="1" applyFill="1" applyAlignment="1">
      <alignment vertical="center"/>
    </xf>
    <xf numFmtId="49" fontId="8" fillId="137" borderId="0" xfId="0" applyNumberFormat="1" applyFont="1" applyFill="1" applyAlignment="1">
      <alignment vertical="center"/>
    </xf>
    <xf numFmtId="49" fontId="0" fillId="0" borderId="0" xfId="0" applyNumberFormat="1" applyAlignment="1">
      <alignment vertical="center"/>
    </xf>
    <xf numFmtId="49" fontId="8" fillId="139" borderId="0" xfId="0" applyNumberFormat="1" applyFont="1" applyFill="1" applyAlignment="1">
      <alignment vertical="center"/>
    </xf>
    <xf numFmtId="49" fontId="8" fillId="140" borderId="0" xfId="0" applyNumberFormat="1" applyFont="1" applyFill="1" applyAlignment="1">
      <alignment vertical="center"/>
    </xf>
    <xf numFmtId="49" fontId="8" fillId="0" borderId="0" xfId="0" applyNumberFormat="1" applyFont="1" applyAlignment="1">
      <alignment vertical="center"/>
    </xf>
    <xf numFmtId="49" fontId="21" fillId="141" borderId="0" xfId="0" applyNumberFormat="1" applyFont="1" applyFill="1" applyAlignment="1">
      <alignment vertical="center"/>
    </xf>
    <xf numFmtId="0" fontId="22" fillId="10" borderId="2" xfId="0" applyFont="1" applyFill="1" applyBorder="1" applyAlignment="1">
      <alignment horizontal="center" vertical="center" wrapText="1"/>
    </xf>
    <xf numFmtId="0" fontId="25" fillId="0" borderId="9" xfId="0" applyFont="1" applyBorder="1" applyAlignment="1">
      <alignment wrapText="1"/>
    </xf>
    <xf numFmtId="49" fontId="25" fillId="0" borderId="9" xfId="0" applyNumberFormat="1" applyFont="1" applyBorder="1" applyAlignment="1">
      <alignment vertical="center" wrapText="1"/>
    </xf>
    <xf numFmtId="0" fontId="26" fillId="142" borderId="2" xfId="0" applyFont="1" applyFill="1" applyBorder="1" applyAlignment="1">
      <alignment vertical="center" wrapText="1"/>
    </xf>
    <xf numFmtId="0" fontId="26" fillId="142" borderId="2" xfId="0" applyFont="1" applyFill="1" applyBorder="1" applyAlignment="1">
      <alignment horizontal="center" vertical="center" wrapText="1"/>
    </xf>
    <xf numFmtId="2" fontId="26" fillId="142" borderId="2" xfId="0" applyNumberFormat="1" applyFont="1" applyFill="1" applyBorder="1" applyAlignment="1">
      <alignment vertical="center" wrapText="1"/>
    </xf>
    <xf numFmtId="44" fontId="26" fillId="142" borderId="2" xfId="8" applyFont="1" applyFill="1" applyBorder="1" applyAlignment="1">
      <alignment vertical="center" wrapText="1"/>
    </xf>
    <xf numFmtId="165" fontId="26" fillId="142" borderId="2" xfId="0" applyNumberFormat="1" applyFont="1" applyFill="1" applyBorder="1" applyAlignment="1">
      <alignment vertical="center" wrapText="1"/>
    </xf>
    <xf numFmtId="0" fontId="28" fillId="6" borderId="0" xfId="0" applyFont="1" applyFill="1" applyAlignment="1">
      <alignment wrapText="1"/>
    </xf>
    <xf numFmtId="165" fontId="31" fillId="0" borderId="9" xfId="0" applyNumberFormat="1" applyFont="1" applyBorder="1" applyAlignment="1">
      <alignment horizontal="right" vertical="center" wrapText="1"/>
    </xf>
    <xf numFmtId="0" fontId="31" fillId="7" borderId="9" xfId="0" applyFont="1" applyFill="1" applyBorder="1" applyAlignment="1">
      <alignment horizontal="right" vertical="center" wrapText="1"/>
    </xf>
    <xf numFmtId="165" fontId="31" fillId="4" borderId="9" xfId="0" applyNumberFormat="1" applyFont="1" applyFill="1" applyBorder="1" applyAlignment="1">
      <alignment horizontal="right" vertical="center" wrapText="1"/>
    </xf>
    <xf numFmtId="0" fontId="35" fillId="19" borderId="2" xfId="0" applyFont="1" applyFill="1" applyBorder="1" applyAlignment="1">
      <alignment horizontal="center" vertical="center" wrapText="1"/>
    </xf>
    <xf numFmtId="0" fontId="36" fillId="21" borderId="4" xfId="0" applyFont="1" applyFill="1" applyBorder="1" applyAlignment="1">
      <alignment horizontal="left" vertical="top" wrapText="1"/>
    </xf>
    <xf numFmtId="0" fontId="36" fillId="25" borderId="6" xfId="0" applyFont="1" applyFill="1" applyBorder="1" applyAlignment="1">
      <alignment horizontal="left" vertical="top" wrapText="1"/>
    </xf>
    <xf numFmtId="0" fontId="34" fillId="26" borderId="2" xfId="0" applyFont="1" applyFill="1" applyBorder="1" applyAlignment="1">
      <alignment wrapText="1"/>
    </xf>
    <xf numFmtId="4" fontId="35" fillId="27" borderId="2" xfId="0" applyNumberFormat="1" applyFont="1" applyFill="1" applyBorder="1" applyAlignment="1">
      <alignment horizontal="right" vertical="center" wrapText="1"/>
    </xf>
    <xf numFmtId="0" fontId="34" fillId="30" borderId="7" xfId="0" applyFont="1" applyFill="1" applyBorder="1" applyAlignment="1">
      <alignment wrapText="1"/>
    </xf>
    <xf numFmtId="0" fontId="35" fillId="32" borderId="4" xfId="0" applyFont="1" applyFill="1" applyBorder="1" applyAlignment="1">
      <alignment horizontal="center" vertical="center" wrapText="1"/>
    </xf>
    <xf numFmtId="0" fontId="34" fillId="33" borderId="8" xfId="0" applyFont="1" applyFill="1" applyBorder="1" applyAlignment="1">
      <alignment wrapText="1"/>
    </xf>
    <xf numFmtId="0" fontId="41" fillId="13" borderId="2" xfId="0" applyFont="1" applyFill="1" applyBorder="1" applyAlignment="1">
      <alignment horizontal="center" vertical="center" wrapText="1"/>
    </xf>
    <xf numFmtId="0" fontId="41" fillId="35" borderId="2" xfId="0" applyFont="1" applyFill="1" applyBorder="1" applyAlignment="1">
      <alignment horizontal="justify" vertical="center" wrapText="1"/>
    </xf>
    <xf numFmtId="0" fontId="41" fillId="13" borderId="1" xfId="0" applyFont="1" applyFill="1" applyBorder="1" applyAlignment="1">
      <alignment horizontal="center" vertical="center" wrapText="1"/>
    </xf>
    <xf numFmtId="0" fontId="41" fillId="35" borderId="1" xfId="0" applyFont="1" applyFill="1" applyBorder="1" applyAlignment="1">
      <alignment horizontal="justify" vertical="center" wrapText="1"/>
    </xf>
    <xf numFmtId="4" fontId="41" fillId="14" borderId="1" xfId="0" applyNumberFormat="1" applyFont="1" applyFill="1" applyBorder="1" applyAlignment="1">
      <alignment horizontal="right" vertical="center" wrapText="1"/>
    </xf>
    <xf numFmtId="165" fontId="41" fillId="15" borderId="1" xfId="0" applyNumberFormat="1" applyFont="1" applyFill="1" applyBorder="1" applyAlignment="1">
      <alignment horizontal="right" vertical="center" wrapText="1"/>
    </xf>
    <xf numFmtId="0" fontId="40" fillId="133" borderId="9" xfId="6" applyFont="1" applyFill="1" applyBorder="1" applyAlignment="1">
      <alignment horizontal="center" vertical="center"/>
    </xf>
    <xf numFmtId="0" fontId="42" fillId="133" borderId="9" xfId="0" applyFont="1" applyFill="1" applyBorder="1" applyAlignment="1">
      <alignment horizontal="center" vertical="center" wrapText="1"/>
    </xf>
    <xf numFmtId="0" fontId="40" fillId="133" borderId="9" xfId="6" applyFont="1" applyFill="1" applyBorder="1" applyAlignment="1">
      <alignment horizontal="center" vertical="center" wrapText="1"/>
    </xf>
    <xf numFmtId="4" fontId="39" fillId="133" borderId="9" xfId="6" applyNumberFormat="1" applyFont="1" applyFill="1" applyBorder="1" applyAlignment="1">
      <alignment horizontal="center" vertical="center"/>
    </xf>
    <xf numFmtId="0" fontId="32" fillId="133" borderId="9" xfId="0" applyFont="1" applyFill="1" applyBorder="1" applyAlignment="1">
      <alignment horizontal="center" vertical="center"/>
    </xf>
    <xf numFmtId="2" fontId="32" fillId="133" borderId="9" xfId="0" applyNumberFormat="1" applyFont="1" applyFill="1" applyBorder="1" applyAlignment="1">
      <alignment horizontal="center" vertical="center"/>
    </xf>
    <xf numFmtId="165" fontId="31" fillId="45" borderId="2" xfId="0" applyNumberFormat="1" applyFont="1" applyFill="1" applyBorder="1" applyAlignment="1">
      <alignment horizontal="right" vertical="top" wrapText="1"/>
    </xf>
    <xf numFmtId="4" fontId="31" fillId="48" borderId="2" xfId="0" applyNumberFormat="1" applyFont="1" applyFill="1" applyBorder="1" applyAlignment="1">
      <alignment horizontal="right" vertical="center" wrapText="1"/>
    </xf>
    <xf numFmtId="0" fontId="32" fillId="9" borderId="1" xfId="0" applyFont="1" applyFill="1" applyBorder="1" applyAlignment="1">
      <alignment wrapText="1"/>
    </xf>
    <xf numFmtId="168" fontId="41" fillId="53" borderId="2" xfId="0" applyNumberFormat="1" applyFont="1" applyFill="1" applyBorder="1" applyAlignment="1">
      <alignment horizontal="right" vertical="center" wrapText="1"/>
    </xf>
    <xf numFmtId="165" fontId="31" fillId="11" borderId="2" xfId="0" applyNumberFormat="1" applyFont="1" applyFill="1" applyBorder="1" applyAlignment="1">
      <alignment horizontal="right" vertical="center" wrapText="1"/>
    </xf>
    <xf numFmtId="0" fontId="41" fillId="55" borderId="2" xfId="0" applyFont="1" applyFill="1" applyBorder="1" applyAlignment="1">
      <alignment horizontal="right" vertical="center" wrapText="1"/>
    </xf>
    <xf numFmtId="4" fontId="41" fillId="75" borderId="2" xfId="0" applyNumberFormat="1" applyFont="1" applyFill="1" applyBorder="1" applyAlignment="1">
      <alignment horizontal="right" vertical="top" wrapText="1"/>
    </xf>
    <xf numFmtId="167" fontId="41" fillId="76" borderId="2" xfId="0" applyNumberFormat="1" applyFont="1" applyFill="1" applyBorder="1" applyAlignment="1">
      <alignment horizontal="right" vertical="top" wrapText="1"/>
    </xf>
    <xf numFmtId="0" fontId="28" fillId="143" borderId="1" xfId="0" applyFont="1" applyFill="1" applyBorder="1" applyAlignment="1">
      <alignment wrapText="1"/>
    </xf>
    <xf numFmtId="165" fontId="27" fillId="143" borderId="1" xfId="0" applyNumberFormat="1" applyFont="1" applyFill="1" applyBorder="1" applyAlignment="1">
      <alignment horizontal="right" vertical="center" wrapText="1"/>
    </xf>
    <xf numFmtId="0" fontId="31" fillId="3" borderId="30" xfId="0" applyFont="1" applyFill="1" applyBorder="1" applyAlignment="1">
      <alignment horizontal="center" vertical="center" wrapText="1"/>
    </xf>
    <xf numFmtId="10" fontId="31" fillId="0" borderId="31" xfId="0" applyNumberFormat="1" applyFont="1" applyBorder="1" applyAlignment="1">
      <alignment horizontal="center" vertical="center" wrapText="1"/>
    </xf>
    <xf numFmtId="0" fontId="32" fillId="6" borderId="28" xfId="0" applyFont="1" applyFill="1" applyBorder="1" applyAlignment="1">
      <alignment vertical="center" wrapText="1"/>
    </xf>
    <xf numFmtId="0" fontId="32" fillId="6" borderId="1" xfId="0" applyFont="1" applyFill="1" applyBorder="1" applyAlignment="1">
      <alignment vertical="center" wrapText="1"/>
    </xf>
    <xf numFmtId="0" fontId="32" fillId="6" borderId="29" xfId="0" applyFont="1" applyFill="1" applyBorder="1" applyAlignment="1">
      <alignment vertical="center" wrapText="1"/>
    </xf>
    <xf numFmtId="0" fontId="0" fillId="0" borderId="1" xfId="0" applyBorder="1"/>
    <xf numFmtId="0" fontId="0" fillId="0" borderId="1" xfId="0" applyBorder="1" applyAlignment="1">
      <alignment horizontal="left"/>
    </xf>
    <xf numFmtId="0" fontId="17" fillId="0" borderId="1" xfId="0" applyFont="1" applyBorder="1" applyAlignment="1">
      <alignment horizontal="left"/>
    </xf>
    <xf numFmtId="0" fontId="26" fillId="142" borderId="6" xfId="0" applyFont="1" applyFill="1" applyBorder="1" applyAlignment="1">
      <alignment vertical="center" wrapText="1"/>
    </xf>
    <xf numFmtId="0" fontId="7" fillId="0" borderId="1" xfId="0" applyFont="1" applyBorder="1" applyAlignment="1">
      <alignment horizontal="left"/>
    </xf>
    <xf numFmtId="0" fontId="22" fillId="10" borderId="21" xfId="0" applyFont="1" applyFill="1" applyBorder="1" applyAlignment="1">
      <alignment horizontal="center" vertical="center" wrapText="1"/>
    </xf>
    <xf numFmtId="0" fontId="22" fillId="10" borderId="22" xfId="0" applyFont="1" applyFill="1" applyBorder="1" applyAlignment="1">
      <alignment horizontal="center" vertical="center" wrapText="1"/>
    </xf>
    <xf numFmtId="0" fontId="34" fillId="0" borderId="29" xfId="0" applyFont="1" applyBorder="1"/>
    <xf numFmtId="0" fontId="34" fillId="6" borderId="1" xfId="0" applyFont="1" applyFill="1" applyBorder="1" applyAlignment="1">
      <alignment wrapText="1"/>
    </xf>
    <xf numFmtId="0" fontId="36" fillId="20" borderId="23" xfId="0" applyFont="1" applyFill="1" applyBorder="1" applyAlignment="1">
      <alignment horizontal="left" vertical="top" wrapText="1"/>
    </xf>
    <xf numFmtId="0" fontId="36" fillId="24" borderId="39" xfId="0" applyFont="1" applyFill="1" applyBorder="1" applyAlignment="1">
      <alignment horizontal="left" vertical="top" wrapText="1"/>
    </xf>
    <xf numFmtId="0" fontId="34" fillId="6" borderId="28" xfId="0" applyFont="1" applyFill="1" applyBorder="1" applyAlignment="1">
      <alignment wrapText="1"/>
    </xf>
    <xf numFmtId="0" fontId="34" fillId="29" borderId="28" xfId="0" applyFont="1" applyFill="1" applyBorder="1" applyAlignment="1">
      <alignment wrapText="1"/>
    </xf>
    <xf numFmtId="0" fontId="0" fillId="6" borderId="28" xfId="0" applyFill="1" applyBorder="1" applyAlignment="1">
      <alignment wrapText="1"/>
    </xf>
    <xf numFmtId="0" fontId="0" fillId="6" borderId="29" xfId="0" applyFill="1" applyBorder="1" applyAlignment="1">
      <alignment wrapText="1"/>
    </xf>
    <xf numFmtId="0" fontId="31" fillId="10" borderId="22" xfId="0" applyFont="1" applyFill="1" applyBorder="1" applyAlignment="1">
      <alignment horizontal="center" vertical="center" wrapText="1"/>
    </xf>
    <xf numFmtId="0" fontId="41" fillId="13" borderId="21" xfId="0" applyFont="1" applyFill="1" applyBorder="1" applyAlignment="1">
      <alignment horizontal="center" vertical="center" wrapText="1"/>
    </xf>
    <xf numFmtId="165" fontId="41" fillId="15" borderId="22" xfId="0" applyNumberFormat="1" applyFont="1" applyFill="1" applyBorder="1" applyAlignment="1">
      <alignment horizontal="right" vertical="center" wrapText="1"/>
    </xf>
    <xf numFmtId="0" fontId="41" fillId="13" borderId="38" xfId="0" applyFont="1" applyFill="1" applyBorder="1" applyAlignment="1">
      <alignment horizontal="center" vertical="center" wrapText="1"/>
    </xf>
    <xf numFmtId="0" fontId="41" fillId="35" borderId="26" xfId="0" applyFont="1" applyFill="1" applyBorder="1" applyAlignment="1">
      <alignment horizontal="justify" vertical="center" wrapText="1"/>
    </xf>
    <xf numFmtId="0" fontId="41" fillId="13" borderId="26" xfId="0" applyFont="1" applyFill="1" applyBorder="1" applyAlignment="1">
      <alignment horizontal="center" vertical="center" wrapText="1"/>
    </xf>
    <xf numFmtId="4" fontId="41" fillId="14" borderId="26" xfId="0" applyNumberFormat="1" applyFont="1" applyFill="1" applyBorder="1" applyAlignment="1">
      <alignment horizontal="right" vertical="center" wrapText="1"/>
    </xf>
    <xf numFmtId="165" fontId="41" fillId="15" borderId="26" xfId="0" applyNumberFormat="1" applyFont="1" applyFill="1" applyBorder="1" applyAlignment="1">
      <alignment horizontal="right" vertical="center" wrapText="1"/>
    </xf>
    <xf numFmtId="165" fontId="41" fillId="15" borderId="27" xfId="0" applyNumberFormat="1" applyFont="1" applyFill="1" applyBorder="1" applyAlignment="1">
      <alignment horizontal="right" vertical="center" wrapText="1"/>
    </xf>
    <xf numFmtId="0" fontId="0" fillId="6" borderId="1" xfId="0" applyFill="1" applyBorder="1" applyAlignment="1">
      <alignment wrapText="1"/>
    </xf>
    <xf numFmtId="0" fontId="32" fillId="0" borderId="1" xfId="0" applyFont="1" applyBorder="1"/>
    <xf numFmtId="0" fontId="32" fillId="0" borderId="29" xfId="0" applyFont="1" applyBorder="1"/>
    <xf numFmtId="0" fontId="41" fillId="40" borderId="21" xfId="0" applyFont="1" applyFill="1" applyBorder="1" applyAlignment="1">
      <alignment horizontal="center" vertical="top" wrapText="1"/>
    </xf>
    <xf numFmtId="0" fontId="32" fillId="6" borderId="28" xfId="0" applyFont="1" applyFill="1" applyBorder="1" applyAlignment="1">
      <alignment wrapText="1"/>
    </xf>
    <xf numFmtId="0" fontId="32" fillId="6" borderId="1" xfId="0" applyFont="1" applyFill="1" applyBorder="1" applyAlignment="1">
      <alignment wrapText="1"/>
    </xf>
    <xf numFmtId="0" fontId="32" fillId="9" borderId="28" xfId="0" applyFont="1" applyFill="1" applyBorder="1" applyAlignment="1">
      <alignment wrapText="1"/>
    </xf>
    <xf numFmtId="0" fontId="39" fillId="133" borderId="1" xfId="0" applyFont="1" applyFill="1" applyBorder="1" applyAlignment="1">
      <alignment horizontal="left" vertical="center"/>
    </xf>
    <xf numFmtId="0" fontId="32" fillId="133" borderId="1" xfId="0" applyFont="1" applyFill="1" applyBorder="1" applyAlignment="1">
      <alignment horizontal="center" vertical="center"/>
    </xf>
    <xf numFmtId="0" fontId="32" fillId="133" borderId="1" xfId="0" applyFont="1" applyFill="1" applyBorder="1" applyAlignment="1">
      <alignment horizontal="left" vertical="center"/>
    </xf>
    <xf numFmtId="0" fontId="42" fillId="133" borderId="1" xfId="0" applyFont="1" applyFill="1" applyBorder="1" applyAlignment="1">
      <alignment horizontal="right" vertical="center"/>
    </xf>
    <xf numFmtId="0" fontId="40" fillId="133" borderId="30" xfId="6" applyFont="1" applyFill="1" applyBorder="1" applyAlignment="1">
      <alignment vertical="center"/>
    </xf>
    <xf numFmtId="0" fontId="39" fillId="133" borderId="30" xfId="6" applyFont="1" applyFill="1" applyBorder="1" applyAlignment="1">
      <alignment vertical="center"/>
    </xf>
    <xf numFmtId="0" fontId="40" fillId="133" borderId="35" xfId="6" applyFont="1" applyFill="1" applyBorder="1" applyAlignment="1">
      <alignment vertical="center"/>
    </xf>
    <xf numFmtId="184" fontId="40" fillId="133" borderId="36" xfId="7" applyNumberFormat="1" applyFont="1" applyFill="1" applyBorder="1" applyAlignment="1">
      <alignment horizontal="center" vertical="center"/>
    </xf>
    <xf numFmtId="0" fontId="32" fillId="133" borderId="36" xfId="0" applyFont="1" applyFill="1" applyBorder="1" applyAlignment="1">
      <alignment horizontal="center" vertical="center"/>
    </xf>
    <xf numFmtId="184" fontId="40" fillId="133" borderId="1" xfId="7" applyNumberFormat="1" applyFont="1" applyFill="1" applyBorder="1" applyAlignment="1">
      <alignment horizontal="center" vertical="center"/>
    </xf>
    <xf numFmtId="4" fontId="31" fillId="48" borderId="4" xfId="0" applyNumberFormat="1" applyFont="1" applyFill="1" applyBorder="1" applyAlignment="1">
      <alignment horizontal="right" vertical="center" wrapText="1"/>
    </xf>
    <xf numFmtId="0" fontId="39" fillId="133" borderId="9" xfId="0" applyFont="1" applyFill="1" applyBorder="1" applyAlignment="1">
      <alignment horizontal="center" vertical="center"/>
    </xf>
    <xf numFmtId="0" fontId="39" fillId="133" borderId="9" xfId="0" applyFont="1" applyFill="1" applyBorder="1" applyAlignment="1">
      <alignment horizontal="left" vertical="center"/>
    </xf>
    <xf numFmtId="0" fontId="40" fillId="133" borderId="9" xfId="0" applyFont="1" applyFill="1" applyBorder="1" applyAlignment="1">
      <alignment horizontal="right" vertical="center"/>
    </xf>
    <xf numFmtId="0" fontId="40" fillId="133" borderId="9" xfId="0" applyFont="1" applyFill="1" applyBorder="1" applyAlignment="1">
      <alignment horizontal="center" vertical="center" wrapText="1"/>
    </xf>
    <xf numFmtId="43" fontId="39" fillId="133" borderId="9" xfId="1" applyFont="1" applyFill="1" applyBorder="1" applyAlignment="1">
      <alignment horizontal="left" vertical="center"/>
    </xf>
    <xf numFmtId="0" fontId="39" fillId="133" borderId="9" xfId="0" applyFont="1" applyFill="1" applyBorder="1" applyAlignment="1">
      <alignment horizontal="right" vertical="center"/>
    </xf>
    <xf numFmtId="183" fontId="39" fillId="133" borderId="9" xfId="0" applyNumberFormat="1" applyFont="1" applyFill="1" applyBorder="1" applyAlignment="1">
      <alignment horizontal="left" vertical="center"/>
    </xf>
    <xf numFmtId="184" fontId="39" fillId="133" borderId="9" xfId="0" applyNumberFormat="1" applyFont="1" applyFill="1" applyBorder="1" applyAlignment="1">
      <alignment horizontal="left" vertical="center"/>
    </xf>
    <xf numFmtId="185" fontId="39" fillId="133" borderId="9" xfId="0" applyNumberFormat="1" applyFont="1" applyFill="1" applyBorder="1" applyAlignment="1">
      <alignment horizontal="center" vertical="center"/>
    </xf>
    <xf numFmtId="0" fontId="32" fillId="133" borderId="9" xfId="0" applyFont="1" applyFill="1" applyBorder="1" applyAlignment="1">
      <alignment horizontal="left" vertical="center"/>
    </xf>
    <xf numFmtId="0" fontId="42" fillId="133" borderId="9" xfId="0" applyFont="1" applyFill="1" applyBorder="1" applyAlignment="1">
      <alignment horizontal="right" vertical="center"/>
    </xf>
    <xf numFmtId="0" fontId="42" fillId="133" borderId="9" xfId="0" applyFont="1" applyFill="1" applyBorder="1" applyAlignment="1">
      <alignment horizontal="center" vertical="center"/>
    </xf>
    <xf numFmtId="0" fontId="40" fillId="133" borderId="30" xfId="0" applyFont="1" applyFill="1" applyBorder="1" applyAlignment="1">
      <alignment horizontal="left" vertical="center"/>
    </xf>
    <xf numFmtId="0" fontId="40" fillId="133" borderId="31" xfId="0" applyFont="1" applyFill="1" applyBorder="1" applyAlignment="1">
      <alignment horizontal="right" vertical="center"/>
    </xf>
    <xf numFmtId="0" fontId="40" fillId="133" borderId="30" xfId="0" applyFont="1" applyFill="1" applyBorder="1" applyAlignment="1">
      <alignment horizontal="left" vertical="center" wrapText="1"/>
    </xf>
    <xf numFmtId="0" fontId="40" fillId="133" borderId="31" xfId="0" applyFont="1" applyFill="1" applyBorder="1" applyAlignment="1">
      <alignment horizontal="center" vertical="center" wrapText="1"/>
    </xf>
    <xf numFmtId="0" fontId="39" fillId="133" borderId="30" xfId="0" applyFont="1" applyFill="1" applyBorder="1" applyAlignment="1">
      <alignment horizontal="left" vertical="center"/>
    </xf>
    <xf numFmtId="43" fontId="39" fillId="133" borderId="31" xfId="1" applyFont="1" applyFill="1" applyBorder="1" applyAlignment="1">
      <alignment horizontal="left" vertical="center"/>
    </xf>
    <xf numFmtId="0" fontId="39" fillId="133" borderId="30" xfId="0" applyFont="1" applyFill="1" applyBorder="1" applyAlignment="1">
      <alignment horizontal="left" vertical="center" wrapText="1"/>
    </xf>
    <xf numFmtId="43" fontId="40" fillId="133" borderId="31" xfId="1" applyFont="1" applyFill="1" applyBorder="1" applyAlignment="1">
      <alignment horizontal="center" vertical="center"/>
    </xf>
    <xf numFmtId="43" fontId="39" fillId="133" borderId="31" xfId="0" applyNumberFormat="1" applyFont="1" applyFill="1" applyBorder="1" applyAlignment="1">
      <alignment horizontal="center" vertical="center"/>
    </xf>
    <xf numFmtId="183" fontId="39" fillId="133" borderId="31" xfId="1" applyNumberFormat="1" applyFont="1" applyFill="1" applyBorder="1" applyAlignment="1">
      <alignment horizontal="left" vertical="center"/>
    </xf>
    <xf numFmtId="0" fontId="32" fillId="133" borderId="30" xfId="0" applyFont="1" applyFill="1" applyBorder="1" applyAlignment="1">
      <alignment horizontal="left" vertical="center"/>
    </xf>
    <xf numFmtId="43" fontId="32" fillId="133" borderId="31" xfId="1" applyFont="1" applyFill="1" applyBorder="1" applyAlignment="1">
      <alignment horizontal="left" vertical="center"/>
    </xf>
    <xf numFmtId="0" fontId="32" fillId="133" borderId="31" xfId="0" applyFont="1" applyFill="1" applyBorder="1" applyAlignment="1">
      <alignment horizontal="left" vertical="center"/>
    </xf>
    <xf numFmtId="0" fontId="42" fillId="133" borderId="30" xfId="0" applyFont="1" applyFill="1" applyBorder="1" applyAlignment="1">
      <alignment horizontal="left" vertical="center" wrapText="1"/>
    </xf>
    <xf numFmtId="0" fontId="42" fillId="133" borderId="31" xfId="0" applyFont="1" applyFill="1" applyBorder="1" applyAlignment="1">
      <alignment horizontal="center" vertical="center"/>
    </xf>
    <xf numFmtId="0" fontId="32" fillId="133" borderId="36" xfId="0" applyFont="1" applyFill="1" applyBorder="1" applyAlignment="1">
      <alignment horizontal="left" vertical="center"/>
    </xf>
    <xf numFmtId="0" fontId="42" fillId="133" borderId="36" xfId="0" applyFont="1" applyFill="1" applyBorder="1" applyAlignment="1">
      <alignment horizontal="right" vertical="center"/>
    </xf>
    <xf numFmtId="0" fontId="39" fillId="133" borderId="36" xfId="0" applyFont="1" applyFill="1" applyBorder="1" applyAlignment="1">
      <alignment horizontal="left" vertical="center"/>
    </xf>
    <xf numFmtId="43" fontId="40" fillId="133" borderId="37" xfId="1" applyFont="1" applyFill="1" applyBorder="1" applyAlignment="1">
      <alignment horizontal="center" vertical="center"/>
    </xf>
    <xf numFmtId="166" fontId="36" fillId="22" borderId="4" xfId="0" applyNumberFormat="1" applyFont="1" applyFill="1" applyBorder="1" applyAlignment="1">
      <alignment horizontal="right" vertical="top" wrapText="1"/>
    </xf>
    <xf numFmtId="4" fontId="35" fillId="23" borderId="4" xfId="0" applyNumberFormat="1" applyFont="1" applyFill="1" applyBorder="1" applyAlignment="1">
      <alignment horizontal="right" vertical="top" wrapText="1"/>
    </xf>
    <xf numFmtId="0" fontId="35" fillId="28" borderId="1" xfId="0" applyFont="1" applyFill="1" applyBorder="1" applyAlignment="1">
      <alignment horizontal="left" vertical="top" wrapText="1"/>
    </xf>
    <xf numFmtId="0" fontId="31" fillId="39" borderId="2" xfId="0" applyFont="1" applyFill="1" applyBorder="1" applyAlignment="1">
      <alignment horizontal="center" vertical="center" wrapText="1"/>
    </xf>
    <xf numFmtId="0" fontId="41" fillId="40" borderId="2" xfId="0" applyFont="1" applyFill="1" applyBorder="1" applyAlignment="1">
      <alignment horizontal="center" vertical="top" wrapText="1"/>
    </xf>
    <xf numFmtId="0" fontId="40" fillId="133" borderId="9" xfId="0" applyFont="1" applyFill="1" applyBorder="1" applyAlignment="1">
      <alignment horizontal="center" vertical="center"/>
    </xf>
    <xf numFmtId="0" fontId="31" fillId="10" borderId="2" xfId="0" applyFont="1" applyFill="1" applyBorder="1" applyAlignment="1">
      <alignment horizontal="center" vertical="center" wrapText="1"/>
    </xf>
    <xf numFmtId="166" fontId="41" fillId="51" borderId="2" xfId="0" applyNumberFormat="1" applyFont="1" applyFill="1" applyBorder="1" applyAlignment="1">
      <alignment horizontal="center" vertical="center" wrapText="1"/>
    </xf>
    <xf numFmtId="165" fontId="41" fillId="15" borderId="2" xfId="0" applyNumberFormat="1" applyFont="1" applyFill="1" applyBorder="1" applyAlignment="1">
      <alignment horizontal="right" vertical="center" wrapText="1"/>
    </xf>
    <xf numFmtId="167" fontId="41" fillId="52" borderId="2" xfId="0" applyNumberFormat="1" applyFont="1" applyFill="1" applyBorder="1" applyAlignment="1">
      <alignment horizontal="right" vertical="center" wrapText="1"/>
    </xf>
    <xf numFmtId="166" fontId="41" fillId="54" borderId="2" xfId="0" applyNumberFormat="1" applyFont="1" applyFill="1" applyBorder="1" applyAlignment="1">
      <alignment horizontal="right" vertical="center" wrapText="1"/>
    </xf>
    <xf numFmtId="4" fontId="41" fillId="14" borderId="2" xfId="0" applyNumberFormat="1" applyFont="1" applyFill="1" applyBorder="1" applyAlignment="1">
      <alignment horizontal="right" vertical="center" wrapText="1"/>
    </xf>
    <xf numFmtId="166" fontId="41" fillId="42" borderId="2" xfId="0" applyNumberFormat="1" applyFont="1" applyFill="1" applyBorder="1" applyAlignment="1">
      <alignment horizontal="right" vertical="top" wrapText="1"/>
    </xf>
    <xf numFmtId="165" fontId="41" fillId="43" borderId="2" xfId="0" applyNumberFormat="1" applyFont="1" applyFill="1" applyBorder="1" applyAlignment="1">
      <alignment horizontal="right" vertical="top" wrapText="1"/>
    </xf>
    <xf numFmtId="0" fontId="41" fillId="41" borderId="2" xfId="0" applyFont="1" applyFill="1" applyBorder="1" applyAlignment="1">
      <alignment horizontal="justify" vertical="top" wrapText="1"/>
    </xf>
    <xf numFmtId="0" fontId="41" fillId="72" borderId="2" xfId="0" applyFont="1" applyFill="1" applyBorder="1" applyAlignment="1">
      <alignment horizontal="left" vertical="top" wrapText="1"/>
    </xf>
    <xf numFmtId="0" fontId="41" fillId="71" borderId="2" xfId="0" applyFont="1" applyFill="1" applyBorder="1" applyAlignment="1">
      <alignment horizontal="center" vertical="top" wrapText="1"/>
    </xf>
    <xf numFmtId="171" fontId="41" fillId="62" borderId="2" xfId="0" applyNumberFormat="1" applyFont="1" applyFill="1" applyBorder="1" applyAlignment="1">
      <alignment horizontal="center" vertical="center" wrapText="1"/>
    </xf>
    <xf numFmtId="0" fontId="0" fillId="0" borderId="1" xfId="0" applyBorder="1" applyAlignment="1">
      <alignment horizontal="center" vertical="center"/>
    </xf>
    <xf numFmtId="0" fontId="25" fillId="0" borderId="9" xfId="0" applyFont="1" applyBorder="1" applyAlignment="1">
      <alignment horizontal="center" vertical="center"/>
    </xf>
    <xf numFmtId="0" fontId="0" fillId="0" borderId="0" xfId="0" applyAlignment="1">
      <alignment horizontal="center" vertical="center"/>
    </xf>
    <xf numFmtId="0" fontId="25" fillId="0" borderId="30" xfId="0" applyFont="1" applyBorder="1" applyAlignment="1">
      <alignment horizontal="center" vertical="center"/>
    </xf>
    <xf numFmtId="0" fontId="25" fillId="0" borderId="9" xfId="0" applyFont="1" applyBorder="1" applyAlignment="1">
      <alignment horizontal="center" vertical="center" wrapText="1"/>
    </xf>
    <xf numFmtId="2" fontId="25" fillId="0" borderId="9" xfId="0" applyNumberFormat="1" applyFont="1" applyBorder="1" applyAlignment="1">
      <alignment horizontal="center" vertical="center"/>
    </xf>
    <xf numFmtId="44" fontId="25" fillId="0" borderId="9" xfId="8" applyFont="1" applyFill="1" applyBorder="1" applyAlignment="1">
      <alignment horizontal="center" vertical="center" wrapText="1"/>
    </xf>
    <xf numFmtId="43" fontId="25" fillId="0" borderId="9" xfId="1" applyFont="1" applyFill="1" applyBorder="1" applyAlignment="1">
      <alignment horizontal="center" vertical="center" wrapText="1"/>
    </xf>
    <xf numFmtId="0" fontId="24" fillId="0" borderId="9" xfId="0" applyFont="1" applyBorder="1" applyAlignment="1">
      <alignment horizontal="center" vertical="center" wrapText="1"/>
    </xf>
    <xf numFmtId="44" fontId="25" fillId="0" borderId="9" xfId="8" applyFont="1" applyFill="1" applyBorder="1" applyAlignment="1">
      <alignment horizontal="center" vertical="center"/>
    </xf>
    <xf numFmtId="0" fontId="25" fillId="0" borderId="9" xfId="0" applyFont="1" applyBorder="1" applyAlignment="1">
      <alignment horizontal="left" vertical="center" wrapText="1"/>
    </xf>
    <xf numFmtId="0" fontId="0" fillId="0" borderId="28" xfId="0" applyBorder="1" applyAlignment="1">
      <alignment horizontal="center" vertical="center"/>
    </xf>
    <xf numFmtId="165" fontId="30" fillId="11" borderId="27" xfId="0" applyNumberFormat="1" applyFont="1" applyFill="1" applyBorder="1" applyAlignment="1">
      <alignment horizontal="center" vertical="center" wrapText="1"/>
    </xf>
    <xf numFmtId="0" fontId="14" fillId="16" borderId="1" xfId="0" applyFont="1" applyFill="1" applyBorder="1" applyAlignment="1">
      <alignment horizontal="center" vertical="center" wrapText="1"/>
    </xf>
    <xf numFmtId="0" fontId="0" fillId="0" borderId="29" xfId="0" applyBorder="1" applyAlignment="1">
      <alignment horizontal="center" vertical="center"/>
    </xf>
    <xf numFmtId="0" fontId="25" fillId="0" borderId="9" xfId="0" applyFont="1" applyBorder="1" applyAlignment="1">
      <alignment vertical="center" wrapText="1"/>
    </xf>
    <xf numFmtId="0" fontId="0" fillId="145" borderId="1" xfId="0" applyFill="1" applyBorder="1"/>
    <xf numFmtId="43" fontId="9" fillId="145" borderId="0" xfId="1" applyFont="1" applyFill="1" applyAlignment="1">
      <alignment horizontal="left"/>
    </xf>
    <xf numFmtId="0" fontId="0" fillId="145" borderId="0" xfId="0" applyFill="1"/>
    <xf numFmtId="0" fontId="26" fillId="142" borderId="43" xfId="0" applyFont="1" applyFill="1" applyBorder="1" applyAlignment="1">
      <alignment horizontal="center" vertical="center" wrapText="1"/>
    </xf>
    <xf numFmtId="0" fontId="26" fillId="142" borderId="44" xfId="0" applyFont="1" applyFill="1" applyBorder="1" applyAlignment="1">
      <alignment horizontal="center" vertical="center" wrapText="1"/>
    </xf>
    <xf numFmtId="2" fontId="26" fillId="142" borderId="44" xfId="0" applyNumberFormat="1" applyFont="1" applyFill="1" applyBorder="1" applyAlignment="1">
      <alignment horizontal="center" vertical="center" wrapText="1"/>
    </xf>
    <xf numFmtId="44" fontId="26" fillId="142" borderId="44" xfId="8" applyFont="1" applyFill="1" applyBorder="1" applyAlignment="1">
      <alignment horizontal="center" vertical="center" wrapText="1"/>
    </xf>
    <xf numFmtId="165" fontId="26" fillId="142" borderId="44" xfId="0" applyNumberFormat="1" applyFont="1" applyFill="1" applyBorder="1" applyAlignment="1">
      <alignment horizontal="center" vertical="center" wrapText="1"/>
    </xf>
    <xf numFmtId="165" fontId="26" fillId="142" borderId="45" xfId="0" applyNumberFormat="1"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9" xfId="0" applyFont="1" applyBorder="1" applyAlignment="1">
      <alignment vertical="center" wrapText="1"/>
    </xf>
    <xf numFmtId="2" fontId="23" fillId="0" borderId="9" xfId="0" applyNumberFormat="1" applyFont="1" applyBorder="1" applyAlignment="1">
      <alignment horizontal="center" vertical="center" wrapText="1"/>
    </xf>
    <xf numFmtId="44" fontId="23" fillId="0" borderId="9" xfId="8" applyFont="1" applyFill="1" applyBorder="1" applyAlignment="1">
      <alignment horizontal="center" vertical="center" wrapText="1"/>
    </xf>
    <xf numFmtId="165" fontId="23" fillId="0" borderId="9" xfId="0" applyNumberFormat="1" applyFont="1" applyBorder="1" applyAlignment="1">
      <alignment horizontal="center" vertical="center" wrapText="1"/>
    </xf>
    <xf numFmtId="165" fontId="23" fillId="0" borderId="31" xfId="0" applyNumberFormat="1" applyFont="1" applyBorder="1" applyAlignment="1">
      <alignment horizontal="center" vertical="center" wrapText="1"/>
    </xf>
    <xf numFmtId="0" fontId="24" fillId="0" borderId="9" xfId="0" applyFont="1" applyBorder="1" applyAlignment="1">
      <alignment vertical="center" wrapText="1"/>
    </xf>
    <xf numFmtId="2" fontId="24" fillId="0" borderId="9" xfId="0" applyNumberFormat="1" applyFont="1" applyBorder="1" applyAlignment="1">
      <alignment horizontal="center" vertical="center" wrapText="1"/>
    </xf>
    <xf numFmtId="44" fontId="24" fillId="0" borderId="9" xfId="8" applyFont="1" applyFill="1" applyBorder="1" applyAlignment="1">
      <alignment horizontal="center" vertical="center" wrapText="1"/>
    </xf>
    <xf numFmtId="165" fontId="24" fillId="0" borderId="9" xfId="0" applyNumberFormat="1" applyFont="1" applyBorder="1" applyAlignment="1">
      <alignment horizontal="center" vertical="center" wrapText="1"/>
    </xf>
    <xf numFmtId="165" fontId="24" fillId="0" borderId="31" xfId="0" applyNumberFormat="1" applyFont="1" applyBorder="1" applyAlignment="1">
      <alignment horizontal="center" vertical="center" wrapText="1"/>
    </xf>
    <xf numFmtId="0" fontId="26" fillId="142" borderId="30" xfId="0" applyFont="1" applyFill="1" applyBorder="1" applyAlignment="1">
      <alignment horizontal="center" vertical="center" wrapText="1"/>
    </xf>
    <xf numFmtId="0" fontId="26" fillId="142" borderId="9" xfId="0" applyFont="1" applyFill="1" applyBorder="1" applyAlignment="1">
      <alignment horizontal="center" vertical="center" wrapText="1"/>
    </xf>
    <xf numFmtId="2" fontId="26" fillId="142" borderId="9" xfId="0" applyNumberFormat="1" applyFont="1" applyFill="1" applyBorder="1" applyAlignment="1">
      <alignment horizontal="center" vertical="center" wrapText="1"/>
    </xf>
    <xf numFmtId="44" fontId="26" fillId="142" borderId="9" xfId="8" applyFont="1" applyFill="1" applyBorder="1" applyAlignment="1">
      <alignment horizontal="center" vertical="center" wrapText="1"/>
    </xf>
    <xf numFmtId="165" fontId="26" fillId="142" borderId="9" xfId="0" applyNumberFormat="1" applyFont="1" applyFill="1" applyBorder="1" applyAlignment="1">
      <alignment horizontal="center" vertical="center" wrapText="1"/>
    </xf>
    <xf numFmtId="165" fontId="26" fillId="142" borderId="31" xfId="0" applyNumberFormat="1" applyFont="1" applyFill="1" applyBorder="1" applyAlignment="1">
      <alignment horizontal="center" vertical="center" wrapText="1"/>
    </xf>
    <xf numFmtId="0" fontId="22" fillId="0" borderId="30" xfId="0" applyFont="1" applyBorder="1" applyAlignment="1">
      <alignment horizontal="center" vertical="center" wrapText="1"/>
    </xf>
    <xf numFmtId="0" fontId="22" fillId="0" borderId="9" xfId="0" applyFont="1" applyBorder="1" applyAlignment="1">
      <alignment horizontal="center" vertical="center" wrapText="1"/>
    </xf>
    <xf numFmtId="2" fontId="22" fillId="0" borderId="9" xfId="0" applyNumberFormat="1" applyFont="1" applyBorder="1" applyAlignment="1">
      <alignment horizontal="center" vertical="center" wrapText="1"/>
    </xf>
    <xf numFmtId="44" fontId="22" fillId="0" borderId="9" xfId="8" applyFont="1" applyFill="1" applyBorder="1" applyAlignment="1">
      <alignment horizontal="center" vertical="center" wrapText="1"/>
    </xf>
    <xf numFmtId="165" fontId="22" fillId="0" borderId="9" xfId="0" applyNumberFormat="1" applyFont="1" applyBorder="1" applyAlignment="1">
      <alignment horizontal="center" vertical="center" wrapText="1"/>
    </xf>
    <xf numFmtId="165" fontId="22" fillId="0" borderId="31" xfId="0" applyNumberFormat="1" applyFont="1" applyBorder="1" applyAlignment="1">
      <alignment horizontal="center" vertical="center" wrapText="1"/>
    </xf>
    <xf numFmtId="0" fontId="25" fillId="0" borderId="30" xfId="0" applyFont="1" applyBorder="1" applyAlignment="1">
      <alignment horizontal="center" vertical="center" wrapText="1"/>
    </xf>
    <xf numFmtId="2" fontId="25" fillId="0" borderId="9" xfId="0" applyNumberFormat="1" applyFont="1" applyBorder="1" applyAlignment="1">
      <alignment horizontal="center" vertical="center" wrapText="1"/>
    </xf>
    <xf numFmtId="165" fontId="25" fillId="0" borderId="9" xfId="0" applyNumberFormat="1" applyFont="1" applyBorder="1" applyAlignment="1">
      <alignment horizontal="center" vertical="center" wrapText="1"/>
    </xf>
    <xf numFmtId="165" fontId="25" fillId="0" borderId="31" xfId="0" applyNumberFormat="1" applyFont="1" applyBorder="1" applyAlignment="1">
      <alignment horizontal="center" vertical="center" wrapText="1"/>
    </xf>
    <xf numFmtId="0" fontId="28" fillId="0" borderId="9" xfId="0" applyFont="1" applyBorder="1" applyAlignment="1">
      <alignment horizontal="center" vertical="center"/>
    </xf>
    <xf numFmtId="0" fontId="33" fillId="17" borderId="28" xfId="0" applyFont="1" applyFill="1" applyBorder="1" applyAlignment="1">
      <alignment vertical="top" wrapText="1"/>
    </xf>
    <xf numFmtId="0" fontId="33" fillId="17" borderId="1" xfId="0" applyFont="1" applyFill="1" applyBorder="1" applyAlignment="1">
      <alignment vertical="top" wrapText="1"/>
    </xf>
    <xf numFmtId="0" fontId="22" fillId="144" borderId="30" xfId="0" applyFont="1" applyFill="1" applyBorder="1" applyAlignment="1">
      <alignment horizontal="center" vertical="center" wrapText="1"/>
    </xf>
    <xf numFmtId="0" fontId="22" fillId="144" borderId="9" xfId="0" applyFont="1" applyFill="1" applyBorder="1" applyAlignment="1">
      <alignment horizontal="center" vertical="center" wrapText="1"/>
    </xf>
    <xf numFmtId="0" fontId="28" fillId="144" borderId="9" xfId="0" applyFont="1" applyFill="1" applyBorder="1" applyAlignment="1">
      <alignment horizontal="center" vertical="center"/>
    </xf>
    <xf numFmtId="2" fontId="22" fillId="144" borderId="9" xfId="0" applyNumberFormat="1" applyFont="1" applyFill="1" applyBorder="1" applyAlignment="1">
      <alignment horizontal="center" vertical="center" wrapText="1"/>
    </xf>
    <xf numFmtId="44" fontId="22" fillId="144" borderId="9" xfId="8" applyFont="1" applyFill="1" applyBorder="1" applyAlignment="1">
      <alignment horizontal="center" vertical="center" wrapText="1"/>
    </xf>
    <xf numFmtId="165" fontId="22" fillId="144" borderId="9" xfId="0" applyNumberFormat="1" applyFont="1" applyFill="1" applyBorder="1" applyAlignment="1">
      <alignment horizontal="center" vertical="center" wrapText="1"/>
    </xf>
    <xf numFmtId="165" fontId="22" fillId="144" borderId="31" xfId="0" applyNumberFormat="1" applyFont="1" applyFill="1" applyBorder="1" applyAlignment="1">
      <alignment horizontal="center" vertical="center" wrapText="1"/>
    </xf>
    <xf numFmtId="0" fontId="23" fillId="144" borderId="9" xfId="0" applyFont="1" applyFill="1" applyBorder="1" applyAlignment="1">
      <alignment horizontal="center" vertical="center" wrapText="1"/>
    </xf>
    <xf numFmtId="0" fontId="0" fillId="144" borderId="1" xfId="0" applyFill="1" applyBorder="1" applyAlignment="1">
      <alignment horizontal="left"/>
    </xf>
    <xf numFmtId="43" fontId="9" fillId="144" borderId="0" xfId="1" applyFont="1" applyFill="1" applyAlignment="1">
      <alignment horizontal="left"/>
    </xf>
    <xf numFmtId="0" fontId="0" fillId="144" borderId="0" xfId="0" applyFill="1" applyAlignment="1">
      <alignment horizontal="left"/>
    </xf>
    <xf numFmtId="0" fontId="25" fillId="144" borderId="9" xfId="0" applyFont="1" applyFill="1" applyBorder="1" applyAlignment="1">
      <alignment horizontal="center" vertical="center"/>
    </xf>
    <xf numFmtId="0" fontId="26" fillId="144" borderId="9" xfId="0" applyFont="1" applyFill="1" applyBorder="1" applyAlignment="1">
      <alignment horizontal="center" vertical="center" wrapText="1"/>
    </xf>
    <xf numFmtId="165" fontId="26" fillId="146" borderId="31" xfId="0" applyNumberFormat="1" applyFont="1" applyFill="1" applyBorder="1" applyAlignment="1">
      <alignment horizontal="center" vertical="center" wrapText="1"/>
    </xf>
    <xf numFmtId="165" fontId="45" fillId="146" borderId="27" xfId="0" applyNumberFormat="1" applyFont="1" applyFill="1" applyBorder="1" applyAlignment="1">
      <alignment horizontal="center" vertical="center" wrapText="1"/>
    </xf>
    <xf numFmtId="0" fontId="45" fillId="146" borderId="38" xfId="0" applyFont="1" applyFill="1" applyBorder="1" applyAlignment="1">
      <alignment horizontal="center" vertical="center" wrapText="1"/>
    </xf>
    <xf numFmtId="0" fontId="45" fillId="146" borderId="26" xfId="0" applyFont="1" applyFill="1" applyBorder="1" applyAlignment="1">
      <alignment horizontal="center" vertical="center" wrapText="1"/>
    </xf>
    <xf numFmtId="10" fontId="31" fillId="5" borderId="31" xfId="0" applyNumberFormat="1" applyFont="1" applyFill="1" applyBorder="1" applyAlignment="1">
      <alignment horizontal="center" vertical="center" wrapText="1"/>
    </xf>
    <xf numFmtId="0" fontId="0" fillId="0" borderId="1" xfId="0" applyBorder="1" applyAlignment="1">
      <alignment vertical="center"/>
    </xf>
    <xf numFmtId="0" fontId="27" fillId="111" borderId="9" xfId="0" applyFont="1" applyFill="1" applyBorder="1" applyAlignment="1">
      <alignment horizontal="center" vertical="center" wrapText="1"/>
    </xf>
    <xf numFmtId="182" fontId="27" fillId="116" borderId="9" xfId="0" applyNumberFormat="1" applyFont="1" applyFill="1" applyBorder="1" applyAlignment="1">
      <alignment horizontal="right" vertical="center" wrapText="1"/>
    </xf>
    <xf numFmtId="165" fontId="27" fillId="118" borderId="9" xfId="0" applyNumberFormat="1" applyFont="1" applyFill="1" applyBorder="1" applyAlignment="1">
      <alignment horizontal="right" vertical="center" wrapText="1"/>
    </xf>
    <xf numFmtId="0" fontId="28" fillId="120" borderId="9" xfId="0" applyFont="1" applyFill="1" applyBorder="1" applyAlignment="1">
      <alignment wrapText="1"/>
    </xf>
    <xf numFmtId="0" fontId="28" fillId="121" borderId="9" xfId="0" applyFont="1" applyFill="1" applyBorder="1" applyAlignment="1">
      <alignment wrapText="1"/>
    </xf>
    <xf numFmtId="0" fontId="28" fillId="122" borderId="9" xfId="0" applyFont="1" applyFill="1" applyBorder="1" applyAlignment="1">
      <alignment wrapText="1"/>
    </xf>
    <xf numFmtId="0" fontId="28" fillId="123" borderId="9" xfId="0" applyFont="1" applyFill="1" applyBorder="1" applyAlignment="1">
      <alignment wrapText="1"/>
    </xf>
    <xf numFmtId="0" fontId="28" fillId="124" borderId="9" xfId="0" applyFont="1" applyFill="1" applyBorder="1" applyAlignment="1">
      <alignment wrapText="1"/>
    </xf>
    <xf numFmtId="0" fontId="28" fillId="125" borderId="9" xfId="0" applyFont="1" applyFill="1" applyBorder="1" applyAlignment="1">
      <alignment wrapText="1"/>
    </xf>
    <xf numFmtId="0" fontId="28" fillId="127" borderId="9" xfId="0" applyFont="1" applyFill="1" applyBorder="1" applyAlignment="1">
      <alignment wrapText="1"/>
    </xf>
    <xf numFmtId="165" fontId="27" fillId="129" borderId="9" xfId="0" applyNumberFormat="1" applyFont="1" applyFill="1" applyBorder="1" applyAlignment="1">
      <alignment horizontal="right" vertical="center" wrapText="1"/>
    </xf>
    <xf numFmtId="0" fontId="28" fillId="131" borderId="9" xfId="0" applyFont="1" applyFill="1" applyBorder="1" applyAlignment="1">
      <alignment wrapText="1"/>
    </xf>
    <xf numFmtId="165" fontId="27" fillId="132" borderId="9" xfId="0" applyNumberFormat="1" applyFont="1" applyFill="1" applyBorder="1" applyAlignment="1">
      <alignment horizontal="right" vertical="center" wrapText="1"/>
    </xf>
    <xf numFmtId="0" fontId="8" fillId="2" borderId="9" xfId="0" applyFont="1" applyFill="1" applyBorder="1" applyAlignment="1">
      <alignment wrapText="1"/>
    </xf>
    <xf numFmtId="0" fontId="22" fillId="10" borderId="8" xfId="0" applyFont="1" applyFill="1" applyBorder="1" applyAlignment="1">
      <alignment horizontal="center" vertical="center" wrapText="1"/>
    </xf>
    <xf numFmtId="0" fontId="22" fillId="10" borderId="51" xfId="0" applyFont="1" applyFill="1" applyBorder="1" applyAlignment="1">
      <alignment horizontal="center" vertical="center" wrapText="1"/>
    </xf>
    <xf numFmtId="0" fontId="22" fillId="10" borderId="50" xfId="0" applyFont="1" applyFill="1" applyBorder="1" applyAlignment="1">
      <alignment horizontal="center" vertical="center" wrapText="1"/>
    </xf>
    <xf numFmtId="0" fontId="31" fillId="10" borderId="8" xfId="0" applyFont="1" applyFill="1" applyBorder="1" applyAlignment="1">
      <alignment horizontal="center" vertical="center" wrapText="1"/>
    </xf>
    <xf numFmtId="0" fontId="31" fillId="10" borderId="51" xfId="0" applyFont="1" applyFill="1" applyBorder="1" applyAlignment="1">
      <alignment horizontal="center" vertical="center" wrapText="1"/>
    </xf>
    <xf numFmtId="0" fontId="31" fillId="10" borderId="50" xfId="0" applyFont="1" applyFill="1" applyBorder="1" applyAlignment="1">
      <alignment horizontal="center" vertical="center" wrapText="1"/>
    </xf>
    <xf numFmtId="0" fontId="31" fillId="47" borderId="1" xfId="0" applyFont="1" applyFill="1" applyBorder="1" applyAlignment="1">
      <alignment horizontal="right" vertical="center" wrapText="1"/>
    </xf>
    <xf numFmtId="0" fontId="27" fillId="8" borderId="1" xfId="0" applyFont="1" applyFill="1" applyBorder="1" applyAlignment="1">
      <alignment vertical="center" wrapText="1"/>
    </xf>
    <xf numFmtId="0" fontId="27" fillId="111" borderId="30" xfId="0" applyFont="1" applyFill="1" applyBorder="1" applyAlignment="1">
      <alignment horizontal="center" vertical="center" wrapText="1"/>
    </xf>
    <xf numFmtId="0" fontId="27" fillId="112" borderId="31" xfId="0" applyFont="1" applyFill="1" applyBorder="1" applyAlignment="1">
      <alignment horizontal="center" vertical="center" wrapText="1"/>
    </xf>
    <xf numFmtId="182" fontId="29" fillId="117" borderId="31" xfId="0" applyNumberFormat="1" applyFont="1" applyFill="1" applyBorder="1" applyAlignment="1">
      <alignment horizontal="right" vertical="center" wrapText="1"/>
    </xf>
    <xf numFmtId="165" fontId="29" fillId="119" borderId="31" xfId="0" applyNumberFormat="1" applyFont="1" applyFill="1" applyBorder="1" applyAlignment="1">
      <alignment horizontal="right" vertical="center" wrapText="1"/>
    </xf>
    <xf numFmtId="0" fontId="28" fillId="126" borderId="30" xfId="0" applyFont="1" applyFill="1" applyBorder="1" applyAlignment="1">
      <alignment wrapText="1"/>
    </xf>
    <xf numFmtId="0" fontId="28" fillId="130" borderId="30" xfId="0" applyFont="1" applyFill="1" applyBorder="1" applyAlignment="1">
      <alignment wrapText="1"/>
    </xf>
    <xf numFmtId="0" fontId="28" fillId="143" borderId="28" xfId="0" applyFont="1" applyFill="1" applyBorder="1" applyAlignment="1">
      <alignment wrapText="1"/>
    </xf>
    <xf numFmtId="165" fontId="27" fillId="143" borderId="29" xfId="0" applyNumberFormat="1" applyFont="1" applyFill="1" applyBorder="1" applyAlignment="1">
      <alignment horizontal="right" vertical="center" wrapText="1"/>
    </xf>
    <xf numFmtId="0" fontId="12" fillId="6" borderId="28"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2" fillId="6" borderId="1" xfId="0" applyFont="1" applyFill="1" applyBorder="1" applyAlignment="1">
      <alignment horizontal="left" wrapText="1"/>
    </xf>
    <xf numFmtId="165" fontId="14" fillId="11" borderId="29" xfId="0" applyNumberFormat="1" applyFont="1" applyFill="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5" xfId="0" applyBorder="1" applyAlignment="1">
      <alignment horizontal="left"/>
    </xf>
    <xf numFmtId="0" fontId="0" fillId="0" borderId="34" xfId="0" applyBorder="1" applyAlignment="1">
      <alignment horizontal="center" vertical="center"/>
    </xf>
    <xf numFmtId="0" fontId="34" fillId="6" borderId="25" xfId="0" applyFont="1" applyFill="1" applyBorder="1" applyAlignment="1">
      <alignment wrapText="1"/>
    </xf>
    <xf numFmtId="0" fontId="34" fillId="0" borderId="34" xfId="0" applyFont="1" applyBorder="1"/>
    <xf numFmtId="0" fontId="41" fillId="13" borderId="28" xfId="0" applyFont="1" applyFill="1" applyBorder="1" applyAlignment="1">
      <alignment horizontal="center" vertical="center" wrapText="1"/>
    </xf>
    <xf numFmtId="165" fontId="41" fillId="15" borderId="29" xfId="0" applyNumberFormat="1" applyFont="1" applyFill="1" applyBorder="1" applyAlignment="1">
      <alignment horizontal="right" vertical="center" wrapText="1"/>
    </xf>
    <xf numFmtId="0" fontId="40" fillId="133" borderId="28" xfId="6" applyFont="1" applyFill="1" applyBorder="1" applyAlignment="1">
      <alignment vertical="center"/>
    </xf>
    <xf numFmtId="43" fontId="40" fillId="133" borderId="29" xfId="1" applyFont="1" applyFill="1" applyBorder="1" applyAlignment="1">
      <alignment horizontal="center" vertical="center"/>
    </xf>
    <xf numFmtId="0" fontId="0" fillId="0" borderId="25" xfId="0" applyBorder="1"/>
    <xf numFmtId="0" fontId="0" fillId="0" borderId="34" xfId="0" applyBorder="1"/>
    <xf numFmtId="0" fontId="31" fillId="39" borderId="22" xfId="0" applyFont="1" applyFill="1" applyBorder="1" applyAlignment="1">
      <alignment horizontal="center" vertical="center" wrapText="1"/>
    </xf>
    <xf numFmtId="165" fontId="41" fillId="43" borderId="22" xfId="0" applyNumberFormat="1" applyFont="1" applyFill="1" applyBorder="1" applyAlignment="1">
      <alignment horizontal="right" vertical="top" wrapText="1"/>
    </xf>
    <xf numFmtId="165" fontId="31" fillId="45" borderId="22" xfId="0" applyNumberFormat="1" applyFont="1" applyFill="1" applyBorder="1" applyAlignment="1">
      <alignment horizontal="right" vertical="top" wrapText="1"/>
    </xf>
    <xf numFmtId="4" fontId="31" fillId="48" borderId="22" xfId="0" applyNumberFormat="1" applyFont="1" applyFill="1" applyBorder="1" applyAlignment="1">
      <alignment horizontal="right" vertical="center" wrapText="1"/>
    </xf>
    <xf numFmtId="4" fontId="41" fillId="14" borderId="22" xfId="0" applyNumberFormat="1" applyFont="1" applyFill="1" applyBorder="1" applyAlignment="1">
      <alignment horizontal="right" vertical="center" wrapText="1"/>
    </xf>
    <xf numFmtId="167" fontId="41" fillId="52" borderId="22" xfId="0" applyNumberFormat="1" applyFont="1" applyFill="1" applyBorder="1" applyAlignment="1">
      <alignment horizontal="right" vertical="center" wrapText="1"/>
    </xf>
    <xf numFmtId="169" fontId="41" fillId="58" borderId="22" xfId="0" applyNumberFormat="1" applyFont="1" applyFill="1" applyBorder="1" applyAlignment="1">
      <alignment horizontal="right" vertical="center" wrapText="1"/>
    </xf>
    <xf numFmtId="167" fontId="31" fillId="63" borderId="22" xfId="0" applyNumberFormat="1" applyFont="1" applyFill="1" applyBorder="1" applyAlignment="1">
      <alignment horizontal="right" vertical="center" wrapText="1"/>
    </xf>
    <xf numFmtId="171" fontId="41" fillId="64" borderId="22" xfId="0" applyNumberFormat="1" applyFont="1" applyFill="1" applyBorder="1" applyAlignment="1">
      <alignment horizontal="right" vertical="center" wrapText="1"/>
    </xf>
    <xf numFmtId="165" fontId="31" fillId="11" borderId="22" xfId="0" applyNumberFormat="1" applyFont="1" applyFill="1" applyBorder="1" applyAlignment="1">
      <alignment horizontal="right" vertical="center" wrapText="1"/>
    </xf>
    <xf numFmtId="167" fontId="41" fillId="67" borderId="22" xfId="0" applyNumberFormat="1" applyFont="1" applyFill="1" applyBorder="1" applyAlignment="1">
      <alignment horizontal="right" vertical="top" wrapText="1"/>
    </xf>
    <xf numFmtId="167" fontId="31" fillId="68" borderId="22" xfId="0" applyNumberFormat="1" applyFont="1" applyFill="1" applyBorder="1" applyAlignment="1">
      <alignment horizontal="right" vertical="top" wrapText="1"/>
    </xf>
    <xf numFmtId="171" fontId="31" fillId="70" borderId="22" xfId="0" applyNumberFormat="1" applyFont="1" applyFill="1" applyBorder="1" applyAlignment="1">
      <alignment horizontal="right" vertical="center" wrapText="1"/>
    </xf>
    <xf numFmtId="0" fontId="41" fillId="71" borderId="21" xfId="0" applyFont="1" applyFill="1" applyBorder="1" applyAlignment="1">
      <alignment horizontal="center" vertical="top" wrapText="1"/>
    </xf>
    <xf numFmtId="167" fontId="41" fillId="74" borderId="22" xfId="0" applyNumberFormat="1" applyFont="1" applyFill="1" applyBorder="1" applyAlignment="1">
      <alignment horizontal="right" vertical="top" wrapText="1"/>
    </xf>
    <xf numFmtId="4" fontId="31" fillId="48" borderId="29" xfId="0" applyNumberFormat="1" applyFont="1" applyFill="1" applyBorder="1" applyAlignment="1">
      <alignment horizontal="right" vertical="center" wrapText="1"/>
    </xf>
    <xf numFmtId="168" fontId="41" fillId="53" borderId="22" xfId="0" applyNumberFormat="1" applyFont="1" applyFill="1" applyBorder="1" applyAlignment="1">
      <alignment horizontal="right" vertical="center" wrapText="1"/>
    </xf>
    <xf numFmtId="0" fontId="32" fillId="6" borderId="29" xfId="0" applyFont="1" applyFill="1" applyBorder="1" applyAlignment="1">
      <alignment wrapText="1"/>
    </xf>
    <xf numFmtId="0" fontId="41" fillId="55" borderId="22" xfId="0" applyFont="1" applyFill="1" applyBorder="1" applyAlignment="1">
      <alignment horizontal="right" vertical="center" wrapText="1"/>
    </xf>
    <xf numFmtId="0" fontId="1" fillId="78" borderId="21" xfId="0" applyFont="1" applyFill="1" applyBorder="1" applyAlignment="1">
      <alignment horizontal="center" vertical="center" wrapText="1"/>
    </xf>
    <xf numFmtId="0" fontId="1" fillId="78" borderId="22" xfId="0" applyFont="1" applyFill="1" applyBorder="1" applyAlignment="1">
      <alignment horizontal="center" vertical="center" wrapText="1"/>
    </xf>
    <xf numFmtId="0" fontId="2" fillId="80" borderId="28" xfId="0" applyFont="1" applyFill="1" applyBorder="1" applyAlignment="1">
      <alignment horizontal="center" vertical="top" wrapText="1"/>
    </xf>
    <xf numFmtId="0" fontId="2" fillId="80" borderId="29" xfId="0" applyFont="1" applyFill="1" applyBorder="1" applyAlignment="1">
      <alignment horizontal="center" vertical="top" wrapText="1"/>
    </xf>
    <xf numFmtId="0" fontId="2" fillId="85" borderId="28" xfId="0" applyFont="1" applyFill="1" applyBorder="1" applyAlignment="1">
      <alignment horizontal="center" vertical="top" wrapText="1"/>
    </xf>
    <xf numFmtId="0" fontId="2" fillId="85" borderId="29" xfId="0" applyFont="1" applyFill="1" applyBorder="1" applyAlignment="1">
      <alignment horizontal="center" vertical="top" wrapText="1"/>
    </xf>
    <xf numFmtId="0" fontId="2" fillId="90" borderId="28" xfId="0" applyFont="1" applyFill="1" applyBorder="1" applyAlignment="1">
      <alignment horizontal="center" vertical="top" wrapText="1"/>
    </xf>
    <xf numFmtId="0" fontId="2" fillId="90" borderId="29" xfId="0" applyFont="1" applyFill="1" applyBorder="1" applyAlignment="1">
      <alignment horizontal="center" vertical="top" wrapText="1"/>
    </xf>
    <xf numFmtId="0" fontId="32" fillId="133" borderId="30" xfId="0" applyFont="1" applyFill="1" applyBorder="1" applyAlignment="1">
      <alignment horizontal="left" vertical="center" wrapText="1"/>
    </xf>
    <xf numFmtId="0" fontId="28" fillId="0" borderId="0" xfId="0" applyFont="1"/>
    <xf numFmtId="0" fontId="6" fillId="0" borderId="0" xfId="0" applyFont="1" applyAlignment="1">
      <alignment wrapText="1"/>
    </xf>
    <xf numFmtId="0" fontId="28" fillId="0" borderId="9" xfId="0" applyFont="1" applyBorder="1" applyAlignment="1">
      <alignment wrapText="1"/>
    </xf>
    <xf numFmtId="0" fontId="47" fillId="142" borderId="59" xfId="0" applyFont="1" applyFill="1" applyBorder="1" applyAlignment="1">
      <alignment horizontal="center" vertical="center" wrapText="1"/>
    </xf>
    <xf numFmtId="0" fontId="47" fillId="142" borderId="60" xfId="0" applyFont="1" applyFill="1" applyBorder="1" applyAlignment="1">
      <alignment horizontal="center" vertical="center" wrapText="1"/>
    </xf>
    <xf numFmtId="0" fontId="47" fillId="142" borderId="61" xfId="0" applyFont="1" applyFill="1" applyBorder="1" applyAlignment="1">
      <alignment horizontal="center" vertical="center" wrapText="1"/>
    </xf>
    <xf numFmtId="0" fontId="8" fillId="2" borderId="56" xfId="0" applyFont="1" applyFill="1" applyBorder="1" applyAlignment="1">
      <alignment horizontal="center" vertical="center" wrapText="1"/>
    </xf>
    <xf numFmtId="0" fontId="8" fillId="2" borderId="57"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0" fillId="0" borderId="28" xfId="0" applyBorder="1" applyAlignment="1">
      <alignment horizontal="center"/>
    </xf>
    <xf numFmtId="0" fontId="0" fillId="0" borderId="1" xfId="0" applyBorder="1" applyAlignment="1">
      <alignment horizontal="center"/>
    </xf>
    <xf numFmtId="0" fontId="0" fillId="0" borderId="29" xfId="0" applyBorder="1" applyAlignment="1">
      <alignment horizontal="center"/>
    </xf>
    <xf numFmtId="0" fontId="6" fillId="0" borderId="28" xfId="0" applyFont="1" applyBorder="1" applyAlignment="1">
      <alignment horizontal="center" vertical="top" wrapText="1"/>
    </xf>
    <xf numFmtId="0" fontId="0" fillId="0" borderId="1" xfId="0" applyBorder="1" applyAlignment="1">
      <alignment horizontal="center" vertical="top" wrapText="1"/>
    </xf>
    <xf numFmtId="0" fontId="0" fillId="0" borderId="29" xfId="0" applyBorder="1" applyAlignment="1">
      <alignment horizontal="center" vertical="top" wrapText="1"/>
    </xf>
    <xf numFmtId="0" fontId="0" fillId="0" borderId="28" xfId="0" applyBorder="1" applyAlignment="1">
      <alignment horizontal="center" vertical="top" wrapText="1"/>
    </xf>
    <xf numFmtId="0" fontId="0" fillId="0" borderId="24" xfId="0" applyBorder="1" applyAlignment="1">
      <alignment horizontal="center" vertical="top" wrapText="1"/>
    </xf>
    <xf numFmtId="0" fontId="0" fillId="0" borderId="25" xfId="0" applyBorder="1" applyAlignment="1">
      <alignment horizontal="center" vertical="top" wrapText="1"/>
    </xf>
    <xf numFmtId="0" fontId="0" fillId="0" borderId="34" xfId="0" applyBorder="1" applyAlignment="1">
      <alignment horizontal="center" vertical="top" wrapText="1"/>
    </xf>
    <xf numFmtId="0" fontId="31" fillId="3" borderId="9" xfId="0" applyFont="1" applyFill="1" applyBorder="1" applyAlignment="1">
      <alignment horizontal="left" vertical="center" wrapText="1"/>
    </xf>
    <xf numFmtId="0" fontId="3" fillId="8" borderId="28"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8" fillId="2" borderId="9" xfId="0" applyFont="1" applyFill="1" applyBorder="1" applyAlignment="1">
      <alignment horizontal="center" wrapText="1"/>
    </xf>
    <xf numFmtId="0" fontId="8" fillId="2" borderId="31" xfId="0" applyFont="1" applyFill="1" applyBorder="1" applyAlignment="1">
      <alignment horizontal="center" wrapText="1"/>
    </xf>
    <xf numFmtId="0" fontId="8" fillId="2" borderId="52" xfId="0" applyFont="1" applyFill="1" applyBorder="1" applyAlignment="1">
      <alignment horizontal="center" wrapText="1"/>
    </xf>
    <xf numFmtId="0" fontId="8" fillId="2" borderId="53" xfId="0" applyFont="1" applyFill="1" applyBorder="1" applyAlignment="1">
      <alignment horizontal="center" wrapText="1"/>
    </xf>
    <xf numFmtId="0" fontId="8" fillId="2" borderId="55" xfId="0" applyFont="1" applyFill="1" applyBorder="1" applyAlignment="1">
      <alignment horizontal="center" wrapText="1"/>
    </xf>
    <xf numFmtId="165" fontId="29" fillId="118" borderId="31" xfId="0" applyNumberFormat="1" applyFont="1" applyFill="1" applyBorder="1" applyAlignment="1">
      <alignment horizontal="right" vertical="center" wrapText="1"/>
    </xf>
    <xf numFmtId="165" fontId="27" fillId="132" borderId="9" xfId="0" applyNumberFormat="1" applyFont="1" applyFill="1" applyBorder="1" applyAlignment="1">
      <alignment horizontal="right" vertical="center" wrapText="1"/>
    </xf>
    <xf numFmtId="165" fontId="27" fillId="128" borderId="9" xfId="0" applyNumberFormat="1" applyFont="1" applyFill="1" applyBorder="1" applyAlignment="1">
      <alignment horizontal="right" vertical="center" wrapText="1"/>
    </xf>
    <xf numFmtId="0" fontId="8" fillId="2" borderId="47"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6" fillId="2" borderId="9" xfId="0" applyFont="1" applyFill="1" applyBorder="1" applyAlignment="1">
      <alignment horizontal="center" wrapText="1"/>
    </xf>
    <xf numFmtId="0" fontId="27" fillId="113" borderId="30" xfId="0" applyFont="1" applyFill="1" applyBorder="1" applyAlignment="1">
      <alignment horizontal="left" vertical="center" wrapText="1"/>
    </xf>
    <xf numFmtId="0" fontId="27" fillId="114" borderId="9" xfId="0" applyFont="1" applyFill="1" applyBorder="1" applyAlignment="1">
      <alignment horizontal="left" vertical="center" wrapText="1"/>
    </xf>
    <xf numFmtId="165" fontId="27" fillId="115" borderId="9" xfId="0" applyNumberFormat="1" applyFont="1" applyFill="1" applyBorder="1" applyAlignment="1">
      <alignment horizontal="right" vertical="center" wrapText="1"/>
    </xf>
    <xf numFmtId="182" fontId="27" fillId="116" borderId="9" xfId="0" applyNumberFormat="1" applyFont="1" applyFill="1" applyBorder="1" applyAlignment="1">
      <alignment horizontal="right" vertical="center" wrapText="1"/>
    </xf>
    <xf numFmtId="165" fontId="27" fillId="118" borderId="9" xfId="0" applyNumberFormat="1" applyFont="1" applyFill="1" applyBorder="1" applyAlignment="1">
      <alignment horizontal="right" vertical="center" wrapText="1"/>
    </xf>
    <xf numFmtId="0" fontId="46" fillId="143" borderId="48" xfId="0" applyFont="1" applyFill="1" applyBorder="1" applyAlignment="1">
      <alignment horizontal="center" vertical="center" wrapText="1"/>
    </xf>
    <xf numFmtId="0" fontId="46" fillId="143" borderId="49" xfId="0" applyFont="1" applyFill="1" applyBorder="1" applyAlignment="1">
      <alignment horizontal="center" vertical="center" wrapText="1"/>
    </xf>
    <xf numFmtId="0" fontId="6" fillId="2" borderId="52" xfId="0" applyFont="1" applyFill="1" applyBorder="1" applyAlignment="1">
      <alignment horizontal="center" wrapText="1"/>
    </xf>
    <xf numFmtId="0" fontId="6" fillId="2" borderId="53" xfId="0" applyFont="1" applyFill="1" applyBorder="1" applyAlignment="1">
      <alignment horizontal="center" wrapText="1"/>
    </xf>
    <xf numFmtId="0" fontId="6" fillId="2" borderId="55" xfId="0" applyFont="1" applyFill="1" applyBorder="1" applyAlignment="1">
      <alignment horizontal="center" wrapText="1"/>
    </xf>
    <xf numFmtId="0" fontId="47" fillId="142" borderId="33" xfId="0" applyFont="1" applyFill="1" applyBorder="1" applyAlignment="1">
      <alignment horizontal="center" vertical="center" wrapText="1"/>
    </xf>
    <xf numFmtId="0" fontId="47" fillId="142" borderId="12" xfId="0" applyFont="1" applyFill="1" applyBorder="1" applyAlignment="1">
      <alignment horizontal="center" vertical="center" wrapText="1"/>
    </xf>
    <xf numFmtId="0" fontId="47" fillId="142" borderId="64" xfId="0" applyFont="1" applyFill="1" applyBorder="1" applyAlignment="1">
      <alignment horizontal="center" vertical="center" wrapText="1"/>
    </xf>
    <xf numFmtId="0" fontId="27" fillId="8" borderId="28"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7" fillId="8" borderId="29" xfId="0" applyFont="1" applyFill="1" applyBorder="1" applyAlignment="1">
      <alignment horizontal="center" vertical="center" wrapText="1"/>
    </xf>
    <xf numFmtId="0" fontId="27" fillId="8" borderId="24" xfId="0" applyFont="1" applyFill="1" applyBorder="1" applyAlignment="1">
      <alignment horizontal="center" vertical="center" wrapText="1"/>
    </xf>
    <xf numFmtId="0" fontId="27" fillId="8" borderId="25" xfId="0" applyFont="1" applyFill="1" applyBorder="1" applyAlignment="1">
      <alignment horizontal="center" vertical="center" wrapText="1"/>
    </xf>
    <xf numFmtId="0" fontId="27" fillId="8" borderId="34" xfId="0" applyFont="1" applyFill="1" applyBorder="1" applyAlignment="1">
      <alignment horizontal="center" vertical="center" wrapText="1"/>
    </xf>
    <xf numFmtId="0" fontId="0" fillId="2" borderId="9" xfId="0" applyFill="1" applyBorder="1" applyAlignment="1">
      <alignment horizontal="center" wrapText="1"/>
    </xf>
    <xf numFmtId="0" fontId="0" fillId="2" borderId="31" xfId="0" applyFill="1" applyBorder="1" applyAlignment="1">
      <alignment horizontal="center" wrapText="1"/>
    </xf>
    <xf numFmtId="0" fontId="27" fillId="111" borderId="9" xfId="0" applyFont="1" applyFill="1" applyBorder="1" applyAlignment="1">
      <alignment horizontal="center" vertical="center" wrapText="1"/>
    </xf>
    <xf numFmtId="0" fontId="35" fillId="18" borderId="28" xfId="0" applyFont="1" applyFill="1" applyBorder="1" applyAlignment="1">
      <alignment horizontal="left" vertical="center" wrapText="1"/>
    </xf>
    <xf numFmtId="0" fontId="35" fillId="18" borderId="1" xfId="0" applyFont="1" applyFill="1" applyBorder="1" applyAlignment="1">
      <alignment horizontal="left" vertical="center" wrapText="1"/>
    </xf>
    <xf numFmtId="0" fontId="34" fillId="9" borderId="28" xfId="0" applyFont="1" applyFill="1" applyBorder="1" applyAlignment="1">
      <alignment wrapText="1"/>
    </xf>
    <xf numFmtId="0" fontId="34" fillId="9" borderId="1" xfId="0" applyFont="1" applyFill="1" applyBorder="1" applyAlignment="1">
      <alignment wrapText="1"/>
    </xf>
    <xf numFmtId="0" fontId="33" fillId="17" borderId="28" xfId="0" applyFont="1" applyFill="1" applyBorder="1" applyAlignment="1">
      <alignment horizontal="center" vertical="top" wrapText="1"/>
    </xf>
    <xf numFmtId="0" fontId="33" fillId="17" borderId="1" xfId="0" applyFont="1" applyFill="1" applyBorder="1" applyAlignment="1">
      <alignment horizontal="center" vertical="top" wrapText="1"/>
    </xf>
    <xf numFmtId="0" fontId="33" fillId="17" borderId="28" xfId="0" applyFont="1" applyFill="1" applyBorder="1" applyAlignment="1">
      <alignment horizontal="left" vertical="top" wrapText="1"/>
    </xf>
    <xf numFmtId="0" fontId="33" fillId="17" borderId="1" xfId="0" applyFont="1" applyFill="1" applyBorder="1" applyAlignment="1">
      <alignment horizontal="left" vertical="top" wrapText="1"/>
    </xf>
    <xf numFmtId="0" fontId="35" fillId="28" borderId="1" xfId="0" applyFont="1" applyFill="1" applyBorder="1" applyAlignment="1">
      <alignment horizontal="left" vertical="top" wrapText="1"/>
    </xf>
    <xf numFmtId="166" fontId="36" fillId="22" borderId="4" xfId="0" applyNumberFormat="1" applyFont="1" applyFill="1" applyBorder="1" applyAlignment="1">
      <alignment horizontal="right" vertical="top" wrapText="1"/>
    </xf>
    <xf numFmtId="4" fontId="35" fillId="23" borderId="4" xfId="0" applyNumberFormat="1" applyFont="1" applyFill="1" applyBorder="1" applyAlignment="1">
      <alignment horizontal="right" vertical="top" wrapText="1"/>
    </xf>
    <xf numFmtId="0" fontId="36" fillId="31" borderId="28" xfId="0" applyFont="1" applyFill="1" applyBorder="1" applyAlignment="1">
      <alignment horizontal="left" vertical="top" wrapText="1"/>
    </xf>
    <xf numFmtId="0" fontId="36" fillId="31" borderId="1" xfId="0" applyFont="1" applyFill="1" applyBorder="1" applyAlignment="1">
      <alignment horizontal="left" vertical="top" wrapText="1"/>
    </xf>
    <xf numFmtId="49" fontId="33" fillId="17" borderId="28" xfId="0" applyNumberFormat="1" applyFont="1" applyFill="1" applyBorder="1" applyAlignment="1">
      <alignment horizontal="center" vertical="top" wrapText="1"/>
    </xf>
    <xf numFmtId="0" fontId="36" fillId="31" borderId="24" xfId="0" applyFont="1" applyFill="1" applyBorder="1" applyAlignment="1">
      <alignment horizontal="left" vertical="top" wrapText="1"/>
    </xf>
    <xf numFmtId="0" fontId="36" fillId="31" borderId="25" xfId="0" applyFont="1" applyFill="1" applyBorder="1" applyAlignment="1">
      <alignment horizontal="left" vertical="top" wrapText="1"/>
    </xf>
    <xf numFmtId="0" fontId="8" fillId="2" borderId="54" xfId="0" applyFont="1" applyFill="1" applyBorder="1" applyAlignment="1">
      <alignment horizontal="center" wrapText="1"/>
    </xf>
    <xf numFmtId="0" fontId="8" fillId="2" borderId="9" xfId="0" applyFont="1" applyFill="1" applyBorder="1" applyAlignment="1">
      <alignment horizontal="center" vertical="center" wrapText="1"/>
    </xf>
    <xf numFmtId="0" fontId="3" fillId="8" borderId="24" xfId="0" applyFont="1" applyFill="1" applyBorder="1" applyAlignment="1">
      <alignment horizontal="center" vertical="center" wrapText="1"/>
    </xf>
    <xf numFmtId="0" fontId="3" fillId="8" borderId="25" xfId="0" applyFont="1" applyFill="1" applyBorder="1" applyAlignment="1">
      <alignment horizontal="center" vertical="center" wrapText="1"/>
    </xf>
    <xf numFmtId="0" fontId="3" fillId="8" borderId="34"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1" fillId="37" borderId="50" xfId="0" applyFont="1" applyFill="1" applyBorder="1" applyAlignment="1">
      <alignment horizontal="left" vertical="center" wrapText="1"/>
    </xf>
    <xf numFmtId="0" fontId="31" fillId="37" borderId="8" xfId="0" applyFont="1" applyFill="1" applyBorder="1" applyAlignment="1">
      <alignment horizontal="left" vertical="center" wrapText="1"/>
    </xf>
    <xf numFmtId="0" fontId="31" fillId="38" borderId="21" xfId="0" applyFont="1" applyFill="1" applyBorder="1" applyAlignment="1">
      <alignment horizontal="left" vertical="center" wrapText="1"/>
    </xf>
    <xf numFmtId="0" fontId="31" fillId="38" borderId="2" xfId="0" applyFont="1" applyFill="1" applyBorder="1" applyAlignment="1">
      <alignment horizontal="left" vertical="center" wrapText="1"/>
    </xf>
    <xf numFmtId="0" fontId="31" fillId="39" borderId="2" xfId="0" applyFont="1" applyFill="1" applyBorder="1" applyAlignment="1">
      <alignment horizontal="center" vertical="center" wrapText="1"/>
    </xf>
    <xf numFmtId="0" fontId="31" fillId="44" borderId="2" xfId="0" applyFont="1" applyFill="1" applyBorder="1" applyAlignment="1">
      <alignment horizontal="right" vertical="top" wrapText="1"/>
    </xf>
    <xf numFmtId="0" fontId="8" fillId="2" borderId="52" xfId="0" applyFont="1" applyFill="1" applyBorder="1" applyAlignment="1">
      <alignment horizontal="center" vertical="center" wrapText="1"/>
    </xf>
    <xf numFmtId="0" fontId="8" fillId="2" borderId="53"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41" fillId="40" borderId="2" xfId="0" applyFont="1" applyFill="1" applyBorder="1" applyAlignment="1">
      <alignment horizontal="center" vertical="top" wrapText="1"/>
    </xf>
    <xf numFmtId="0" fontId="31" fillId="47" borderId="2" xfId="0" applyFont="1" applyFill="1" applyBorder="1" applyAlignment="1">
      <alignment horizontal="right" vertical="center" wrapText="1"/>
    </xf>
    <xf numFmtId="0" fontId="41" fillId="46" borderId="28" xfId="0" applyFont="1" applyFill="1" applyBorder="1" applyAlignment="1">
      <alignment horizontal="left" vertical="top" wrapText="1"/>
    </xf>
    <xf numFmtId="0" fontId="41" fillId="46" borderId="1" xfId="0" applyFont="1" applyFill="1" applyBorder="1" applyAlignment="1">
      <alignment horizontal="left" vertical="top" wrapText="1"/>
    </xf>
    <xf numFmtId="0" fontId="41" fillId="36" borderId="1" xfId="0" applyFont="1" applyFill="1" applyBorder="1" applyAlignment="1">
      <alignment horizontal="left" vertical="top" wrapText="1"/>
    </xf>
    <xf numFmtId="0" fontId="31" fillId="37" borderId="21" xfId="0" applyFont="1" applyFill="1" applyBorder="1" applyAlignment="1">
      <alignment horizontal="left" vertical="center" wrapText="1"/>
    </xf>
    <xf numFmtId="0" fontId="31" fillId="37" borderId="2" xfId="0" applyFont="1" applyFill="1" applyBorder="1" applyAlignment="1">
      <alignment horizontal="left" vertical="center" wrapText="1"/>
    </xf>
    <xf numFmtId="0" fontId="31" fillId="49" borderId="21" xfId="0" applyFont="1" applyFill="1" applyBorder="1" applyAlignment="1">
      <alignment horizontal="left" vertical="center" wrapText="1"/>
    </xf>
    <xf numFmtId="0" fontId="31" fillId="49" borderId="2" xfId="0" applyFont="1" applyFill="1" applyBorder="1" applyAlignment="1">
      <alignment horizontal="left" vertical="center" wrapText="1"/>
    </xf>
    <xf numFmtId="0" fontId="41" fillId="50" borderId="5" xfId="0" applyFont="1" applyFill="1" applyBorder="1" applyAlignment="1">
      <alignment horizontal="left" vertical="center" wrapText="1"/>
    </xf>
    <xf numFmtId="0" fontId="31" fillId="16" borderId="2" xfId="0" applyFont="1" applyFill="1" applyBorder="1" applyAlignment="1">
      <alignment horizontal="right" vertical="center" wrapText="1"/>
    </xf>
    <xf numFmtId="0" fontId="41" fillId="12" borderId="2" xfId="0" applyFont="1" applyFill="1" applyBorder="1" applyAlignment="1">
      <alignment horizontal="left" vertical="center" wrapText="1"/>
    </xf>
    <xf numFmtId="0" fontId="40" fillId="133" borderId="9" xfId="0" applyFont="1" applyFill="1" applyBorder="1" applyAlignment="1">
      <alignment horizontal="center" vertical="center"/>
    </xf>
    <xf numFmtId="0" fontId="40" fillId="133" borderId="31" xfId="0" applyFont="1" applyFill="1" applyBorder="1" applyAlignment="1">
      <alignment horizontal="center" vertical="center"/>
    </xf>
    <xf numFmtId="0" fontId="31" fillId="47" borderId="4" xfId="0" applyFont="1" applyFill="1" applyBorder="1" applyAlignment="1">
      <alignment horizontal="right" vertical="center" wrapText="1"/>
    </xf>
    <xf numFmtId="0" fontId="40" fillId="144" borderId="33" xfId="0" applyFont="1" applyFill="1" applyBorder="1" applyAlignment="1">
      <alignment horizontal="left" vertical="center" wrapText="1"/>
    </xf>
    <xf numFmtId="0" fontId="40" fillId="144" borderId="12" xfId="0" applyFont="1" applyFill="1" applyBorder="1" applyAlignment="1">
      <alignment horizontal="left" vertical="center" wrapText="1"/>
    </xf>
    <xf numFmtId="0" fontId="40" fillId="144" borderId="42" xfId="0" applyFont="1" applyFill="1" applyBorder="1" applyAlignment="1">
      <alignment horizontal="left" vertical="center" wrapText="1"/>
    </xf>
    <xf numFmtId="0" fontId="40" fillId="144" borderId="32" xfId="0" applyFont="1" applyFill="1" applyBorder="1" applyAlignment="1">
      <alignment horizontal="left" vertical="center" wrapText="1"/>
    </xf>
    <xf numFmtId="0" fontId="40" fillId="144" borderId="10" xfId="0" applyFont="1" applyFill="1" applyBorder="1" applyAlignment="1">
      <alignment horizontal="left" vertical="center" wrapText="1"/>
    </xf>
    <xf numFmtId="0" fontId="40" fillId="144" borderId="11" xfId="0" applyFont="1" applyFill="1" applyBorder="1" applyAlignment="1">
      <alignment horizontal="left" vertical="center" wrapText="1"/>
    </xf>
    <xf numFmtId="0" fontId="40" fillId="144" borderId="40" xfId="0" applyFont="1" applyFill="1" applyBorder="1" applyAlignment="1">
      <alignment horizontal="left" vertical="center" wrapText="1"/>
    </xf>
    <xf numFmtId="0" fontId="40" fillId="144" borderId="41" xfId="0" applyFont="1" applyFill="1" applyBorder="1" applyAlignment="1">
      <alignment horizontal="left" vertical="center" wrapText="1"/>
    </xf>
    <xf numFmtId="0" fontId="8" fillId="2" borderId="56" xfId="0" applyFont="1" applyFill="1" applyBorder="1" applyAlignment="1">
      <alignment horizontal="center" vertical="center"/>
    </xf>
    <xf numFmtId="0" fontId="8" fillId="2" borderId="57" xfId="0" applyFont="1" applyFill="1" applyBorder="1" applyAlignment="1">
      <alignment horizontal="center" vertical="center"/>
    </xf>
    <xf numFmtId="0" fontId="8" fillId="2" borderId="46" xfId="0" applyFont="1" applyFill="1" applyBorder="1" applyAlignment="1">
      <alignment horizontal="center" vertical="center"/>
    </xf>
    <xf numFmtId="0" fontId="8" fillId="2" borderId="58" xfId="0" applyFont="1" applyFill="1" applyBorder="1" applyAlignment="1">
      <alignment horizontal="center" wrapText="1"/>
    </xf>
    <xf numFmtId="0" fontId="31" fillId="37" borderId="51" xfId="0" applyFont="1" applyFill="1" applyBorder="1" applyAlignment="1">
      <alignment horizontal="left" vertical="center" wrapText="1"/>
    </xf>
    <xf numFmtId="0" fontId="41" fillId="41" borderId="2" xfId="0" applyFont="1" applyFill="1" applyBorder="1" applyAlignment="1">
      <alignment horizontal="justify" vertical="top" wrapText="1"/>
    </xf>
    <xf numFmtId="166" fontId="41" fillId="42" borderId="2" xfId="0" applyNumberFormat="1" applyFont="1" applyFill="1" applyBorder="1" applyAlignment="1">
      <alignment horizontal="right" vertical="top" wrapText="1"/>
    </xf>
    <xf numFmtId="165" fontId="41" fillId="43" borderId="2" xfId="0" applyNumberFormat="1" applyFont="1" applyFill="1" applyBorder="1" applyAlignment="1">
      <alignment horizontal="right" vertical="top" wrapText="1"/>
    </xf>
    <xf numFmtId="0" fontId="41" fillId="36" borderId="29" xfId="0" applyFont="1" applyFill="1" applyBorder="1" applyAlignment="1">
      <alignment horizontal="left" vertical="top" wrapText="1"/>
    </xf>
    <xf numFmtId="0" fontId="31" fillId="37" borderId="22" xfId="0" applyFont="1" applyFill="1" applyBorder="1" applyAlignment="1">
      <alignment horizontal="left" vertical="center" wrapText="1"/>
    </xf>
    <xf numFmtId="169" fontId="41" fillId="56" borderId="2" xfId="0" applyNumberFormat="1" applyFont="1" applyFill="1" applyBorder="1" applyAlignment="1">
      <alignment horizontal="right" vertical="top" wrapText="1"/>
    </xf>
    <xf numFmtId="0" fontId="31" fillId="10" borderId="2" xfId="0" applyFont="1" applyFill="1" applyBorder="1" applyAlignment="1">
      <alignment horizontal="center" vertical="center" wrapText="1"/>
    </xf>
    <xf numFmtId="170" fontId="41" fillId="57" borderId="2" xfId="0" applyNumberFormat="1" applyFont="1" applyFill="1" applyBorder="1" applyAlignment="1">
      <alignment horizontal="center" vertical="center" wrapText="1"/>
    </xf>
    <xf numFmtId="4" fontId="41" fillId="14" borderId="2" xfId="0" applyNumberFormat="1" applyFont="1" applyFill="1" applyBorder="1" applyAlignment="1">
      <alignment horizontal="right" vertical="center" wrapText="1"/>
    </xf>
    <xf numFmtId="0" fontId="31" fillId="59" borderId="23" xfId="0" applyFont="1" applyFill="1" applyBorder="1" applyAlignment="1">
      <alignment horizontal="left" vertical="center" wrapText="1"/>
    </xf>
    <xf numFmtId="0" fontId="31" fillId="59" borderId="3" xfId="0" applyFont="1" applyFill="1" applyBorder="1" applyAlignment="1">
      <alignment horizontal="left" vertical="center" wrapText="1"/>
    </xf>
    <xf numFmtId="0" fontId="31" fillId="60" borderId="4" xfId="0" applyFont="1" applyFill="1" applyBorder="1" applyAlignment="1">
      <alignment horizontal="center" vertical="center" wrapText="1"/>
    </xf>
    <xf numFmtId="0" fontId="31" fillId="10" borderId="22" xfId="0" applyFont="1" applyFill="1" applyBorder="1" applyAlignment="1">
      <alignment horizontal="center" vertical="center" wrapText="1"/>
    </xf>
    <xf numFmtId="169" fontId="41" fillId="61" borderId="2" xfId="0" applyNumberFormat="1" applyFont="1" applyFill="1" applyBorder="1" applyAlignment="1">
      <alignment horizontal="center" vertical="center" wrapText="1"/>
    </xf>
    <xf numFmtId="167" fontId="41" fillId="52" borderId="2" xfId="0" applyNumberFormat="1" applyFont="1" applyFill="1" applyBorder="1" applyAlignment="1">
      <alignment horizontal="right" vertical="center" wrapText="1"/>
    </xf>
    <xf numFmtId="166" fontId="41" fillId="51" borderId="2" xfId="0" applyNumberFormat="1" applyFont="1" applyFill="1" applyBorder="1" applyAlignment="1">
      <alignment horizontal="center" vertical="center" wrapText="1"/>
    </xf>
    <xf numFmtId="165" fontId="41" fillId="15" borderId="2" xfId="0" applyNumberFormat="1" applyFont="1" applyFill="1" applyBorder="1" applyAlignment="1">
      <alignment horizontal="right" vertical="center" wrapText="1"/>
    </xf>
    <xf numFmtId="166" fontId="41" fillId="54" borderId="2" xfId="0" applyNumberFormat="1" applyFont="1" applyFill="1" applyBorder="1" applyAlignment="1">
      <alignment horizontal="right" vertical="center" wrapText="1"/>
    </xf>
    <xf numFmtId="165" fontId="41" fillId="65" borderId="2" xfId="0" applyNumberFormat="1" applyFont="1" applyFill="1" applyBorder="1" applyAlignment="1">
      <alignment horizontal="right" vertical="top" wrapText="1"/>
    </xf>
    <xf numFmtId="170" fontId="41" fillId="66" borderId="2" xfId="0" applyNumberFormat="1" applyFont="1" applyFill="1" applyBorder="1" applyAlignment="1">
      <alignment horizontal="right" vertical="top" wrapText="1"/>
    </xf>
    <xf numFmtId="167" fontId="41" fillId="67" borderId="2" xfId="0" applyNumberFormat="1" applyFont="1" applyFill="1" applyBorder="1" applyAlignment="1">
      <alignment horizontal="right" vertical="top" wrapText="1"/>
    </xf>
    <xf numFmtId="170" fontId="41" fillId="69" borderId="2" xfId="0" applyNumberFormat="1" applyFont="1" applyFill="1" applyBorder="1" applyAlignment="1">
      <alignment horizontal="right" vertical="center" wrapText="1"/>
    </xf>
    <xf numFmtId="171" fontId="41" fillId="64" borderId="2" xfId="0" applyNumberFormat="1" applyFont="1" applyFill="1" applyBorder="1" applyAlignment="1">
      <alignment horizontal="right" vertical="center" wrapText="1"/>
    </xf>
    <xf numFmtId="0" fontId="41" fillId="72" borderId="2" xfId="0" applyFont="1" applyFill="1" applyBorder="1" applyAlignment="1">
      <alignment horizontal="left" vertical="top" wrapText="1"/>
    </xf>
    <xf numFmtId="0" fontId="41" fillId="71" borderId="2" xfId="0" applyFont="1" applyFill="1" applyBorder="1" applyAlignment="1">
      <alignment horizontal="center" vertical="top" wrapText="1"/>
    </xf>
    <xf numFmtId="169" fontId="41" fillId="73" borderId="2" xfId="0" applyNumberFormat="1" applyFont="1" applyFill="1" applyBorder="1" applyAlignment="1">
      <alignment horizontal="center" vertical="top" wrapText="1"/>
    </xf>
    <xf numFmtId="167" fontId="41" fillId="74" borderId="2" xfId="0" applyNumberFormat="1" applyFont="1" applyFill="1" applyBorder="1" applyAlignment="1">
      <alignment horizontal="right" vertical="top" wrapText="1"/>
    </xf>
    <xf numFmtId="0" fontId="31" fillId="39" borderId="22" xfId="0" applyFont="1" applyFill="1" applyBorder="1" applyAlignment="1">
      <alignment horizontal="center" vertical="center" wrapText="1"/>
    </xf>
    <xf numFmtId="0" fontId="47" fillId="142" borderId="47" xfId="0" applyFont="1" applyFill="1" applyBorder="1" applyAlignment="1">
      <alignment horizontal="center" vertical="center" wrapText="1"/>
    </xf>
    <xf numFmtId="0" fontId="47" fillId="142" borderId="48" xfId="0" applyFont="1" applyFill="1" applyBorder="1" applyAlignment="1">
      <alignment horizontal="center" vertical="center" wrapText="1"/>
    </xf>
    <xf numFmtId="0" fontId="47" fillId="142" borderId="49" xfId="0" applyFont="1" applyFill="1" applyBorder="1" applyAlignment="1">
      <alignment horizontal="center" vertical="center" wrapText="1"/>
    </xf>
    <xf numFmtId="0" fontId="41" fillId="8" borderId="24" xfId="0" applyFont="1" applyFill="1" applyBorder="1" applyAlignment="1">
      <alignment horizontal="center" vertical="center" wrapText="1"/>
    </xf>
    <xf numFmtId="0" fontId="41" fillId="8" borderId="25" xfId="0" applyFont="1" applyFill="1" applyBorder="1" applyAlignment="1">
      <alignment horizontal="center" vertical="center" wrapText="1"/>
    </xf>
    <xf numFmtId="0" fontId="41" fillId="8" borderId="34" xfId="0" applyFont="1" applyFill="1" applyBorder="1" applyAlignment="1">
      <alignment horizontal="center" vertical="center" wrapText="1"/>
    </xf>
    <xf numFmtId="171" fontId="41" fillId="62" borderId="2" xfId="0" applyNumberFormat="1" applyFont="1" applyFill="1" applyBorder="1" applyAlignment="1">
      <alignment horizontal="center" vertical="center" wrapText="1"/>
    </xf>
    <xf numFmtId="0" fontId="41" fillId="77" borderId="2" xfId="0" applyFont="1" applyFill="1" applyBorder="1" applyAlignment="1">
      <alignment horizontal="center" vertical="center" wrapText="1"/>
    </xf>
    <xf numFmtId="169" fontId="41" fillId="58" borderId="2" xfId="0" applyNumberFormat="1" applyFont="1" applyFill="1" applyBorder="1" applyAlignment="1">
      <alignment horizontal="right" vertical="center" wrapText="1"/>
    </xf>
    <xf numFmtId="0" fontId="4" fillId="34" borderId="1" xfId="0" applyFont="1" applyFill="1" applyBorder="1" applyAlignment="1">
      <alignment horizontal="right" vertical="center" wrapText="1"/>
    </xf>
    <xf numFmtId="165" fontId="5" fillId="95" borderId="1" xfId="0" applyNumberFormat="1" applyFont="1" applyFill="1" applyBorder="1" applyAlignment="1">
      <alignment horizontal="right" vertical="center" wrapText="1"/>
    </xf>
    <xf numFmtId="165" fontId="5" fillId="95" borderId="29" xfId="0" applyNumberFormat="1" applyFont="1" applyFill="1" applyBorder="1" applyAlignment="1">
      <alignment horizontal="right" vertical="center" wrapText="1"/>
    </xf>
    <xf numFmtId="0" fontId="8" fillId="2" borderId="62" xfId="0" applyFont="1" applyFill="1" applyBorder="1" applyAlignment="1">
      <alignment horizontal="center" wrapText="1"/>
    </xf>
    <xf numFmtId="0" fontId="8" fillId="2" borderId="63" xfId="0" applyFont="1" applyFill="1" applyBorder="1" applyAlignment="1">
      <alignment horizontal="center" wrapText="1"/>
    </xf>
    <xf numFmtId="0" fontId="8" fillId="2" borderId="65" xfId="0" applyFont="1" applyFill="1" applyBorder="1" applyAlignment="1">
      <alignment horizontal="center" wrapText="1"/>
    </xf>
    <xf numFmtId="0" fontId="8" fillId="2" borderId="55" xfId="0" applyFont="1" applyFill="1" applyBorder="1" applyAlignment="1">
      <alignment horizontal="center" vertical="center" wrapText="1"/>
    </xf>
    <xf numFmtId="0" fontId="19" fillId="135" borderId="14" xfId="0" applyFont="1" applyFill="1" applyBorder="1" applyAlignment="1">
      <alignment horizontal="center" vertical="center" wrapText="1"/>
    </xf>
    <xf numFmtId="0" fontId="0" fillId="0" borderId="0" xfId="0" applyAlignment="1">
      <alignment vertical="center" wrapText="1"/>
    </xf>
    <xf numFmtId="0" fontId="20" fillId="136" borderId="0" xfId="0" applyFont="1" applyFill="1" applyAlignment="1">
      <alignment horizontal="center" vertical="center"/>
    </xf>
    <xf numFmtId="49" fontId="20" fillId="136" borderId="0" xfId="0" applyNumberFormat="1" applyFont="1" applyFill="1" applyAlignment="1">
      <alignment horizontal="center" vertical="center"/>
    </xf>
    <xf numFmtId="0" fontId="8" fillId="137" borderId="0" xfId="0" applyFont="1" applyFill="1" applyAlignment="1">
      <alignment vertical="center"/>
    </xf>
    <xf numFmtId="49" fontId="8" fillId="137" borderId="0" xfId="0" applyNumberFormat="1" applyFont="1" applyFill="1" applyAlignment="1">
      <alignment vertical="center"/>
    </xf>
    <xf numFmtId="165" fontId="0" fillId="0" borderId="0" xfId="0" applyNumberFormat="1" applyAlignment="1">
      <alignment horizontal="left"/>
    </xf>
    <xf numFmtId="165" fontId="0" fillId="144" borderId="0" xfId="0" applyNumberFormat="1" applyFill="1" applyAlignment="1">
      <alignment horizontal="left"/>
    </xf>
    <xf numFmtId="4" fontId="0" fillId="0" borderId="0" xfId="0" applyNumberFormat="1" applyAlignment="1">
      <alignment horizontal="left"/>
    </xf>
    <xf numFmtId="4" fontId="17" fillId="0" borderId="0" xfId="0" applyNumberFormat="1" applyFont="1" applyAlignment="1">
      <alignment horizontal="left"/>
    </xf>
    <xf numFmtId="4" fontId="26" fillId="142" borderId="2" xfId="0" applyNumberFormat="1" applyFont="1" applyFill="1" applyBorder="1" applyAlignment="1">
      <alignment horizontal="center" vertical="center" wrapText="1"/>
    </xf>
    <xf numFmtId="4" fontId="0" fillId="144" borderId="0" xfId="0" applyNumberFormat="1" applyFill="1" applyAlignment="1">
      <alignment horizontal="left"/>
    </xf>
    <xf numFmtId="4" fontId="0" fillId="145" borderId="0" xfId="0" applyNumberFormat="1" applyFill="1"/>
    <xf numFmtId="4" fontId="0" fillId="0" borderId="0" xfId="0" applyNumberFormat="1"/>
    <xf numFmtId="4" fontId="7" fillId="0" borderId="0" xfId="0" applyNumberFormat="1" applyFont="1" applyAlignment="1">
      <alignment horizontal="left"/>
    </xf>
  </cellXfs>
  <cellStyles count="9">
    <cellStyle name="Moeda" xfId="8" builtinId="4"/>
    <cellStyle name="Moeda 10" xfId="4"/>
    <cellStyle name="Normal" xfId="0" builtinId="0"/>
    <cellStyle name="Normal 198" xfId="2"/>
    <cellStyle name="Normal 2 2" xfId="5"/>
    <cellStyle name="Normal 3 2 2 3" xfId="6"/>
    <cellStyle name="Vírgula" xfId="1"/>
    <cellStyle name="Vírgula 11 5" xfId="3"/>
    <cellStyle name="Vírgula 2 2 2" xfId="7"/>
  </cellStyles>
  <dxfs count="0"/>
  <tableStyles count="0" defaultTableStyle="TableStyleMedium2" defaultPivotStyle="PivotStyleLight16"/>
  <colors>
    <mruColors>
      <color rgb="FF2037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2.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3</xdr:row>
      <xdr:rowOff>114301</xdr:rowOff>
    </xdr:from>
    <xdr:to>
      <xdr:col>0</xdr:col>
      <xdr:colOff>1578391</xdr:colOff>
      <xdr:row>4</xdr:row>
      <xdr:rowOff>209550</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1352551"/>
          <a:ext cx="1549816" cy="438149"/>
        </a:xfrm>
        <a:prstGeom prst="rect">
          <a:avLst/>
        </a:prstGeom>
      </xdr:spPr>
    </xdr:pic>
    <xdr:clientData/>
  </xdr:twoCellAnchor>
  <xdr:twoCellAnchor editAs="oneCell">
    <xdr:from>
      <xdr:col>0</xdr:col>
      <xdr:colOff>438150</xdr:colOff>
      <xdr:row>1</xdr:row>
      <xdr:rowOff>76200</xdr:rowOff>
    </xdr:from>
    <xdr:to>
      <xdr:col>0</xdr:col>
      <xdr:colOff>1304925</xdr:colOff>
      <xdr:row>3</xdr:row>
      <xdr:rowOff>133350</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150" y="504825"/>
          <a:ext cx="866775"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3</xdr:row>
      <xdr:rowOff>19052</xdr:rowOff>
    </xdr:from>
    <xdr:to>
      <xdr:col>0</xdr:col>
      <xdr:colOff>1390650</xdr:colOff>
      <xdr:row>4</xdr:row>
      <xdr:rowOff>193551</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 y="971552"/>
          <a:ext cx="1257300" cy="507874"/>
        </a:xfrm>
        <a:prstGeom prst="rect">
          <a:avLst/>
        </a:prstGeom>
      </xdr:spPr>
    </xdr:pic>
    <xdr:clientData/>
  </xdr:twoCellAnchor>
  <xdr:twoCellAnchor editAs="oneCell">
    <xdr:from>
      <xdr:col>0</xdr:col>
      <xdr:colOff>333375</xdr:colOff>
      <xdr:row>0</xdr:row>
      <xdr:rowOff>57150</xdr:rowOff>
    </xdr:from>
    <xdr:to>
      <xdr:col>0</xdr:col>
      <xdr:colOff>1266824</xdr:colOff>
      <xdr:row>2</xdr:row>
      <xdr:rowOff>288542</xdr:rowOff>
    </xdr:to>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3375" y="57150"/>
          <a:ext cx="933449" cy="8695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66675</xdr:colOff>
      <xdr:row>3</xdr:row>
      <xdr:rowOff>133351</xdr:rowOff>
    </xdr:from>
    <xdr:to>
      <xdr:col>1</xdr:col>
      <xdr:colOff>130591</xdr:colOff>
      <xdr:row>4</xdr:row>
      <xdr:rowOff>228600</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1009651"/>
          <a:ext cx="1549816" cy="438149"/>
        </a:xfrm>
        <a:prstGeom prst="rect">
          <a:avLst/>
        </a:prstGeom>
      </xdr:spPr>
    </xdr:pic>
    <xdr:clientData/>
  </xdr:twoCellAnchor>
  <xdr:twoCellAnchor editAs="oneCell">
    <xdr:from>
      <xdr:col>0</xdr:col>
      <xdr:colOff>447675</xdr:colOff>
      <xdr:row>0</xdr:row>
      <xdr:rowOff>142875</xdr:rowOff>
    </xdr:from>
    <xdr:to>
      <xdr:col>0</xdr:col>
      <xdr:colOff>1362075</xdr:colOff>
      <xdr:row>3</xdr:row>
      <xdr:rowOff>180975</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7675" y="142875"/>
          <a:ext cx="914400" cy="9144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107674</xdr:colOff>
      <xdr:row>4</xdr:row>
      <xdr:rowOff>193814</xdr:rowOff>
    </xdr:from>
    <xdr:to>
      <xdr:col>0</xdr:col>
      <xdr:colOff>1838739</xdr:colOff>
      <xdr:row>4</xdr:row>
      <xdr:rowOff>844826</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674" y="1717814"/>
          <a:ext cx="1731065" cy="651012"/>
        </a:xfrm>
        <a:prstGeom prst="rect">
          <a:avLst/>
        </a:prstGeom>
      </xdr:spPr>
    </xdr:pic>
    <xdr:clientData/>
  </xdr:twoCellAnchor>
  <xdr:twoCellAnchor editAs="oneCell">
    <xdr:from>
      <xdr:col>0</xdr:col>
      <xdr:colOff>532156</xdr:colOff>
      <xdr:row>1</xdr:row>
      <xdr:rowOff>372717</xdr:rowOff>
    </xdr:from>
    <xdr:to>
      <xdr:col>0</xdr:col>
      <xdr:colOff>1557129</xdr:colOff>
      <xdr:row>4</xdr:row>
      <xdr:rowOff>213701</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2156" y="563217"/>
          <a:ext cx="1024973" cy="11744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3</xdr:row>
      <xdr:rowOff>333376</xdr:rowOff>
    </xdr:from>
    <xdr:to>
      <xdr:col>0</xdr:col>
      <xdr:colOff>1486837</xdr:colOff>
      <xdr:row>3</xdr:row>
      <xdr:rowOff>742949</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1314451"/>
          <a:ext cx="1448737" cy="409573"/>
        </a:xfrm>
        <a:prstGeom prst="rect">
          <a:avLst/>
        </a:prstGeom>
      </xdr:spPr>
    </xdr:pic>
    <xdr:clientData/>
  </xdr:twoCellAnchor>
  <xdr:twoCellAnchor editAs="oneCell">
    <xdr:from>
      <xdr:col>0</xdr:col>
      <xdr:colOff>276225</xdr:colOff>
      <xdr:row>1</xdr:row>
      <xdr:rowOff>47625</xdr:rowOff>
    </xdr:from>
    <xdr:to>
      <xdr:col>0</xdr:col>
      <xdr:colOff>1304925</xdr:colOff>
      <xdr:row>3</xdr:row>
      <xdr:rowOff>285750</xdr:rowOff>
    </xdr:to>
    <xdr:pic>
      <xdr:nvPicPr>
        <xdr:cNvPr id="4" name="Imagem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6225" y="238125"/>
          <a:ext cx="1028700" cy="1028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3</xdr:row>
      <xdr:rowOff>304801</xdr:rowOff>
    </xdr:from>
    <xdr:to>
      <xdr:col>0</xdr:col>
      <xdr:colOff>1645066</xdr:colOff>
      <xdr:row>3</xdr:row>
      <xdr:rowOff>781050</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209676"/>
          <a:ext cx="1549816" cy="476249"/>
        </a:xfrm>
        <a:prstGeom prst="rect">
          <a:avLst/>
        </a:prstGeom>
      </xdr:spPr>
    </xdr:pic>
    <xdr:clientData/>
  </xdr:twoCellAnchor>
  <xdr:twoCellAnchor editAs="oneCell">
    <xdr:from>
      <xdr:col>0</xdr:col>
      <xdr:colOff>466724</xdr:colOff>
      <xdr:row>1</xdr:row>
      <xdr:rowOff>114301</xdr:rowOff>
    </xdr:from>
    <xdr:to>
      <xdr:col>0</xdr:col>
      <xdr:colOff>1448991</xdr:colOff>
      <xdr:row>3</xdr:row>
      <xdr:rowOff>352426</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6724" y="304801"/>
          <a:ext cx="982267" cy="952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9526</xdr:colOff>
      <xdr:row>3</xdr:row>
      <xdr:rowOff>552452</xdr:rowOff>
    </xdr:from>
    <xdr:to>
      <xdr:col>0</xdr:col>
      <xdr:colOff>1323500</xdr:colOff>
      <xdr:row>4</xdr:row>
      <xdr:rowOff>171451</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6" y="1123952"/>
          <a:ext cx="1313974" cy="371474"/>
        </a:xfrm>
        <a:prstGeom prst="rect">
          <a:avLst/>
        </a:prstGeom>
      </xdr:spPr>
    </xdr:pic>
    <xdr:clientData/>
  </xdr:twoCellAnchor>
  <xdr:twoCellAnchor editAs="oneCell">
    <xdr:from>
      <xdr:col>0</xdr:col>
      <xdr:colOff>247650</xdr:colOff>
      <xdr:row>1</xdr:row>
      <xdr:rowOff>19050</xdr:rowOff>
    </xdr:from>
    <xdr:to>
      <xdr:col>0</xdr:col>
      <xdr:colOff>1162050</xdr:colOff>
      <xdr:row>3</xdr:row>
      <xdr:rowOff>552450</xdr:rowOff>
    </xdr:to>
    <xdr:pic>
      <xdr:nvPicPr>
        <xdr:cNvPr id="4" name="Imagem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7650" y="209550"/>
          <a:ext cx="914400" cy="9144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161926</xdr:colOff>
      <xdr:row>3</xdr:row>
      <xdr:rowOff>733427</xdr:rowOff>
    </xdr:from>
    <xdr:to>
      <xdr:col>0</xdr:col>
      <xdr:colOff>1475900</xdr:colOff>
      <xdr:row>3</xdr:row>
      <xdr:rowOff>1104901</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6" y="1304927"/>
          <a:ext cx="1313974" cy="371474"/>
        </a:xfrm>
        <a:prstGeom prst="rect">
          <a:avLst/>
        </a:prstGeom>
      </xdr:spPr>
    </xdr:pic>
    <xdr:clientData/>
  </xdr:twoCellAnchor>
  <xdr:twoCellAnchor editAs="oneCell">
    <xdr:from>
      <xdr:col>0</xdr:col>
      <xdr:colOff>438150</xdr:colOff>
      <xdr:row>1</xdr:row>
      <xdr:rowOff>152400</xdr:rowOff>
    </xdr:from>
    <xdr:to>
      <xdr:col>0</xdr:col>
      <xdr:colOff>1352550</xdr:colOff>
      <xdr:row>3</xdr:row>
      <xdr:rowOff>685800</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8150" y="342900"/>
          <a:ext cx="914400" cy="9144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66676</xdr:colOff>
      <xdr:row>3</xdr:row>
      <xdr:rowOff>400052</xdr:rowOff>
    </xdr:from>
    <xdr:to>
      <xdr:col>0</xdr:col>
      <xdr:colOff>1380650</xdr:colOff>
      <xdr:row>4</xdr:row>
      <xdr:rowOff>238126</xdr:rowOff>
    </xdr:to>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6" y="1285877"/>
          <a:ext cx="1313974" cy="371474"/>
        </a:xfrm>
        <a:prstGeom prst="rect">
          <a:avLst/>
        </a:prstGeom>
      </xdr:spPr>
    </xdr:pic>
    <xdr:clientData/>
  </xdr:twoCellAnchor>
  <xdr:twoCellAnchor editAs="oneCell">
    <xdr:from>
      <xdr:col>0</xdr:col>
      <xdr:colOff>285750</xdr:colOff>
      <xdr:row>1</xdr:row>
      <xdr:rowOff>19050</xdr:rowOff>
    </xdr:from>
    <xdr:to>
      <xdr:col>0</xdr:col>
      <xdr:colOff>1200150</xdr:colOff>
      <xdr:row>3</xdr:row>
      <xdr:rowOff>238125</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5750" y="209550"/>
          <a:ext cx="914400" cy="9144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76201</xdr:colOff>
      <xdr:row>3</xdr:row>
      <xdr:rowOff>800102</xdr:rowOff>
    </xdr:from>
    <xdr:to>
      <xdr:col>0</xdr:col>
      <xdr:colOff>1390175</xdr:colOff>
      <xdr:row>4</xdr:row>
      <xdr:rowOff>114301</xdr:rowOff>
    </xdr:to>
    <xdr:pic>
      <xdr:nvPicPr>
        <xdr:cNvPr id="3" name="Imagem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1" y="1371602"/>
          <a:ext cx="1313974" cy="371474"/>
        </a:xfrm>
        <a:prstGeom prst="rect">
          <a:avLst/>
        </a:prstGeom>
      </xdr:spPr>
    </xdr:pic>
    <xdr:clientData/>
  </xdr:twoCellAnchor>
  <xdr:twoCellAnchor editAs="oneCell">
    <xdr:from>
      <xdr:col>0</xdr:col>
      <xdr:colOff>285750</xdr:colOff>
      <xdr:row>1</xdr:row>
      <xdr:rowOff>161925</xdr:rowOff>
    </xdr:from>
    <xdr:to>
      <xdr:col>0</xdr:col>
      <xdr:colOff>1200150</xdr:colOff>
      <xdr:row>3</xdr:row>
      <xdr:rowOff>695325</xdr:rowOff>
    </xdr:to>
    <xdr:pic>
      <xdr:nvPicPr>
        <xdr:cNvPr id="4" name="Imagem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5750" y="352425"/>
          <a:ext cx="914400" cy="9144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
  <sheetViews>
    <sheetView view="pageBreakPreview" zoomScale="60" zoomScaleNormal="100" workbookViewId="0">
      <selection activeCell="J19" sqref="I17:J19"/>
    </sheetView>
  </sheetViews>
  <sheetFormatPr defaultRowHeight="15" x14ac:dyDescent="0.25"/>
  <cols>
    <col min="1" max="1" width="24.28515625" customWidth="1"/>
    <col min="2" max="2" width="62.42578125" customWidth="1"/>
    <col min="3" max="3" width="22.85546875" customWidth="1"/>
    <col min="4" max="4" width="12.42578125" customWidth="1"/>
    <col min="5" max="5" width="8.28515625" customWidth="1"/>
  </cols>
  <sheetData>
    <row r="1" spans="1:5" ht="33.75" customHeight="1" x14ac:dyDescent="0.25">
      <c r="A1" s="397" t="s">
        <v>4695</v>
      </c>
      <c r="B1" s="398"/>
      <c r="C1" s="398"/>
      <c r="D1" s="398"/>
      <c r="E1" s="399"/>
    </row>
    <row r="2" spans="1:5" ht="33.75" customHeight="1" x14ac:dyDescent="0.25">
      <c r="A2" s="400"/>
      <c r="B2" s="333" t="s">
        <v>4698</v>
      </c>
      <c r="C2" s="417" t="s">
        <v>4696</v>
      </c>
      <c r="D2" s="417"/>
      <c r="E2" s="418"/>
    </row>
    <row r="3" spans="1:5" ht="30" customHeight="1" x14ac:dyDescent="0.25">
      <c r="A3" s="401"/>
      <c r="B3" s="333" t="s">
        <v>4699</v>
      </c>
      <c r="C3" s="417" t="s">
        <v>4709</v>
      </c>
      <c r="D3" s="417"/>
      <c r="E3" s="418"/>
    </row>
    <row r="4" spans="1:5" ht="27" customHeight="1" x14ac:dyDescent="0.25">
      <c r="A4" s="401"/>
      <c r="B4" s="333" t="s">
        <v>4700</v>
      </c>
      <c r="C4" s="417" t="s">
        <v>4697</v>
      </c>
      <c r="D4" s="417"/>
      <c r="E4" s="418"/>
    </row>
    <row r="5" spans="1:5" ht="22.5" customHeight="1" x14ac:dyDescent="0.25">
      <c r="A5" s="402"/>
      <c r="B5" s="419" t="s">
        <v>4701</v>
      </c>
      <c r="C5" s="420"/>
      <c r="D5" s="420"/>
      <c r="E5" s="421"/>
    </row>
    <row r="6" spans="1:5" ht="20.100000000000001" customHeight="1" x14ac:dyDescent="0.25">
      <c r="A6" s="149">
        <v>1</v>
      </c>
      <c r="B6" s="413" t="s">
        <v>1</v>
      </c>
      <c r="C6" s="413"/>
      <c r="D6" s="116">
        <f>'PLANILHA ORCAMENTARIA'!J8</f>
        <v>788734.25</v>
      </c>
      <c r="E6" s="150">
        <f t="shared" ref="E6:E11" si="0">D6/$D$12</f>
        <v>0.10897900098174251</v>
      </c>
    </row>
    <row r="7" spans="1:5" ht="20.100000000000001" customHeight="1" x14ac:dyDescent="0.25">
      <c r="A7" s="149" t="s">
        <v>2</v>
      </c>
      <c r="B7" s="413" t="s">
        <v>3</v>
      </c>
      <c r="C7" s="413"/>
      <c r="D7" s="116">
        <f>'PLANILHA ORCAMENTARIA'!J19</f>
        <v>51983.22</v>
      </c>
      <c r="E7" s="150">
        <f t="shared" si="0"/>
        <v>7.18249446301354E-3</v>
      </c>
    </row>
    <row r="8" spans="1:5" ht="20.100000000000001" customHeight="1" x14ac:dyDescent="0.25">
      <c r="A8" s="149" t="s">
        <v>4</v>
      </c>
      <c r="B8" s="413" t="s">
        <v>1800</v>
      </c>
      <c r="C8" s="413"/>
      <c r="D8" s="116">
        <f>'PLANILHA ORCAMENTARIA'!J35</f>
        <v>4588873.12</v>
      </c>
      <c r="E8" s="150">
        <f t="shared" si="0"/>
        <v>0.63404221161889684</v>
      </c>
    </row>
    <row r="9" spans="1:5" ht="20.100000000000001" customHeight="1" x14ac:dyDescent="0.25">
      <c r="A9" s="149" t="s">
        <v>5</v>
      </c>
      <c r="B9" s="413" t="s">
        <v>4416</v>
      </c>
      <c r="C9" s="413"/>
      <c r="D9" s="116">
        <f>'PLANILHA ORCAMENTARIA'!J335</f>
        <v>1738290.68</v>
      </c>
      <c r="E9" s="150">
        <f t="shared" si="0"/>
        <v>0.24017871890598622</v>
      </c>
    </row>
    <row r="10" spans="1:5" ht="20.100000000000001" customHeight="1" x14ac:dyDescent="0.25">
      <c r="A10" s="149" t="s">
        <v>7</v>
      </c>
      <c r="B10" s="413" t="s">
        <v>18</v>
      </c>
      <c r="C10" s="413"/>
      <c r="D10" s="116">
        <f>'PLANILHA ORCAMENTARIA'!J401</f>
        <v>57663.839999999997</v>
      </c>
      <c r="E10" s="150">
        <f t="shared" si="0"/>
        <v>7.9673827730582809E-3</v>
      </c>
    </row>
    <row r="11" spans="1:5" ht="20.100000000000001" customHeight="1" x14ac:dyDescent="0.25">
      <c r="A11" s="149" t="s">
        <v>9</v>
      </c>
      <c r="B11" s="413" t="s">
        <v>20</v>
      </c>
      <c r="C11" s="413"/>
      <c r="D11" s="116">
        <f>'PLANILHA ORCAMENTARIA'!J407</f>
        <v>11943.24</v>
      </c>
      <c r="E11" s="150">
        <f t="shared" si="0"/>
        <v>1.6501912573026801E-3</v>
      </c>
    </row>
    <row r="12" spans="1:5" s="44" customFormat="1" ht="20.100000000000001" customHeight="1" x14ac:dyDescent="0.25">
      <c r="A12" s="151"/>
      <c r="B12" s="152"/>
      <c r="C12" s="117" t="s">
        <v>24</v>
      </c>
      <c r="D12" s="118">
        <f>D11+D10+D9+D8+D7+D6</f>
        <v>7237488.3499999996</v>
      </c>
      <c r="E12" s="318">
        <f>SUM(E6:E11)</f>
        <v>1</v>
      </c>
    </row>
    <row r="13" spans="1:5" s="44" customFormat="1" ht="20.100000000000001" customHeight="1" x14ac:dyDescent="0.25">
      <c r="A13" s="151"/>
      <c r="B13" s="152"/>
      <c r="C13" s="319"/>
      <c r="D13" s="319"/>
      <c r="E13" s="153"/>
    </row>
    <row r="14" spans="1:5" s="44" customFormat="1" ht="20.100000000000001" customHeight="1" x14ac:dyDescent="0.25">
      <c r="A14" s="151"/>
      <c r="B14" s="152"/>
      <c r="C14" s="319"/>
      <c r="D14" s="319"/>
      <c r="E14" s="153"/>
    </row>
    <row r="15" spans="1:5" ht="15.75" customHeight="1" x14ac:dyDescent="0.25">
      <c r="A15" s="414"/>
      <c r="B15" s="415"/>
      <c r="C15" s="415"/>
      <c r="D15" s="415"/>
      <c r="E15" s="416"/>
    </row>
    <row r="16" spans="1:5" x14ac:dyDescent="0.25">
      <c r="A16" s="403"/>
      <c r="B16" s="404"/>
      <c r="C16" s="404"/>
      <c r="D16" s="404"/>
      <c r="E16" s="405"/>
    </row>
    <row r="17" spans="1:5" ht="15" customHeight="1" x14ac:dyDescent="0.25">
      <c r="A17" s="406" t="s">
        <v>25</v>
      </c>
      <c r="B17" s="407"/>
      <c r="C17" s="407"/>
      <c r="D17" s="407"/>
      <c r="E17" s="408"/>
    </row>
    <row r="18" spans="1:5" x14ac:dyDescent="0.25">
      <c r="A18" s="409"/>
      <c r="B18" s="407"/>
      <c r="C18" s="407"/>
      <c r="D18" s="407"/>
      <c r="E18" s="408"/>
    </row>
    <row r="19" spans="1:5" ht="15.75" thickBot="1" x14ac:dyDescent="0.3">
      <c r="A19" s="410"/>
      <c r="B19" s="411"/>
      <c r="C19" s="411"/>
      <c r="D19" s="411"/>
      <c r="E19" s="412"/>
    </row>
  </sheetData>
  <mergeCells count="15">
    <mergeCell ref="A1:E1"/>
    <mergeCell ref="A2:A5"/>
    <mergeCell ref="A16:E16"/>
    <mergeCell ref="A17:E19"/>
    <mergeCell ref="B11:C11"/>
    <mergeCell ref="A15:E15"/>
    <mergeCell ref="C2:E2"/>
    <mergeCell ref="C3:E3"/>
    <mergeCell ref="C4:E4"/>
    <mergeCell ref="B5:E5"/>
    <mergeCell ref="B8:C8"/>
    <mergeCell ref="B6:C6"/>
    <mergeCell ref="B7:C7"/>
    <mergeCell ref="B10:C10"/>
    <mergeCell ref="B9:C9"/>
  </mergeCells>
  <pageMargins left="0.7" right="0.7" top="0.75" bottom="0.75" header="0.3" footer="0.3"/>
  <pageSetup paperSize="9" scale="6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4"/>
  <sheetViews>
    <sheetView view="pageBreakPreview" zoomScale="60" zoomScaleNormal="100" workbookViewId="0">
      <selection activeCell="C38" sqref="C38"/>
    </sheetView>
  </sheetViews>
  <sheetFormatPr defaultRowHeight="15" x14ac:dyDescent="0.25"/>
  <cols>
    <col min="1" max="1" width="23.7109375" customWidth="1"/>
    <col min="2" max="2" width="34.7109375" customWidth="1"/>
    <col min="3" max="3" width="13.7109375" customWidth="1"/>
    <col min="4" max="7" width="11.85546875" customWidth="1"/>
    <col min="8" max="8" width="10.7109375" bestFit="1" customWidth="1"/>
    <col min="9" max="9" width="0.140625" customWidth="1"/>
    <col min="10" max="16" width="11.85546875" customWidth="1"/>
    <col min="17" max="17" width="12.140625" customWidth="1"/>
    <col min="18" max="18" width="129.7109375" customWidth="1"/>
  </cols>
  <sheetData>
    <row r="1" spans="1:18" ht="27.75" customHeight="1" x14ac:dyDescent="0.25">
      <c r="A1" s="425"/>
      <c r="B1" s="433" t="s">
        <v>4703</v>
      </c>
      <c r="C1" s="433"/>
      <c r="D1" s="433"/>
      <c r="E1" s="433"/>
      <c r="F1" s="433"/>
      <c r="G1" s="433"/>
      <c r="H1" s="433"/>
      <c r="I1" s="433"/>
      <c r="J1" s="433"/>
      <c r="K1" s="433"/>
      <c r="L1" s="433"/>
      <c r="M1" s="433"/>
      <c r="N1" s="433"/>
      <c r="O1" s="433"/>
      <c r="P1" s="433"/>
      <c r="Q1" s="434"/>
    </row>
    <row r="2" spans="1:18" ht="22.5" customHeight="1" x14ac:dyDescent="0.25">
      <c r="A2" s="426"/>
      <c r="B2" s="427" t="s">
        <v>4698</v>
      </c>
      <c r="C2" s="427"/>
      <c r="D2" s="427"/>
      <c r="E2" s="427"/>
      <c r="F2" s="427"/>
      <c r="G2" s="427"/>
      <c r="H2" s="427"/>
      <c r="I2" s="427"/>
      <c r="J2" s="427"/>
      <c r="K2" s="427"/>
      <c r="L2" s="447" t="s">
        <v>4696</v>
      </c>
      <c r="M2" s="447"/>
      <c r="N2" s="447"/>
      <c r="O2" s="447"/>
      <c r="P2" s="447"/>
      <c r="Q2" s="448"/>
    </row>
    <row r="3" spans="1:18" ht="24.75" customHeight="1" x14ac:dyDescent="0.25">
      <c r="A3" s="426"/>
      <c r="B3" s="427" t="s">
        <v>4699</v>
      </c>
      <c r="C3" s="427"/>
      <c r="D3" s="427"/>
      <c r="E3" s="427"/>
      <c r="F3" s="427"/>
      <c r="G3" s="427"/>
      <c r="H3" s="427"/>
      <c r="I3" s="427"/>
      <c r="J3" s="427"/>
      <c r="K3" s="427"/>
      <c r="L3" s="419" t="s">
        <v>4709</v>
      </c>
      <c r="M3" s="420"/>
      <c r="N3" s="420"/>
      <c r="O3" s="420"/>
      <c r="P3" s="420"/>
      <c r="Q3" s="421"/>
    </row>
    <row r="4" spans="1:18" ht="26.25" customHeight="1" x14ac:dyDescent="0.25">
      <c r="A4" s="426"/>
      <c r="B4" s="427" t="s">
        <v>4700</v>
      </c>
      <c r="C4" s="427"/>
      <c r="D4" s="427"/>
      <c r="E4" s="427"/>
      <c r="F4" s="427"/>
      <c r="G4" s="427"/>
      <c r="H4" s="427"/>
      <c r="I4" s="427"/>
      <c r="J4" s="427"/>
      <c r="K4" s="427"/>
      <c r="L4" s="447" t="s">
        <v>4697</v>
      </c>
      <c r="M4" s="447"/>
      <c r="N4" s="447"/>
      <c r="O4" s="447"/>
      <c r="P4" s="447"/>
      <c r="Q4" s="448"/>
    </row>
    <row r="5" spans="1:18" ht="21" customHeight="1" x14ac:dyDescent="0.25">
      <c r="A5" s="426"/>
      <c r="B5" s="435" t="s">
        <v>4701</v>
      </c>
      <c r="C5" s="436"/>
      <c r="D5" s="436"/>
      <c r="E5" s="436"/>
      <c r="F5" s="436"/>
      <c r="G5" s="436"/>
      <c r="H5" s="436"/>
      <c r="I5" s="436"/>
      <c r="J5" s="436"/>
      <c r="K5" s="436"/>
      <c r="L5" s="436"/>
      <c r="M5" s="436"/>
      <c r="N5" s="436"/>
      <c r="O5" s="436"/>
      <c r="P5" s="436"/>
      <c r="Q5" s="437"/>
      <c r="R5" s="1"/>
    </row>
    <row r="6" spans="1:18" ht="21" customHeight="1" x14ac:dyDescent="0.25">
      <c r="A6" s="438" t="s">
        <v>4702</v>
      </c>
      <c r="B6" s="439"/>
      <c r="C6" s="439"/>
      <c r="D6" s="439"/>
      <c r="E6" s="439"/>
      <c r="F6" s="439"/>
      <c r="G6" s="439"/>
      <c r="H6" s="439"/>
      <c r="I6" s="439"/>
      <c r="J6" s="439"/>
      <c r="K6" s="439"/>
      <c r="L6" s="439"/>
      <c r="M6" s="439"/>
      <c r="N6" s="439"/>
      <c r="O6" s="439"/>
      <c r="P6" s="439"/>
      <c r="Q6" s="440"/>
      <c r="R6" s="1"/>
    </row>
    <row r="7" spans="1:18" ht="15.95" customHeight="1" x14ac:dyDescent="0.25">
      <c r="A7" s="342" t="s">
        <v>26</v>
      </c>
      <c r="B7" s="320" t="s">
        <v>27</v>
      </c>
      <c r="C7" s="320" t="s">
        <v>28</v>
      </c>
      <c r="D7" s="320" t="s">
        <v>29</v>
      </c>
      <c r="E7" s="320" t="s">
        <v>30</v>
      </c>
      <c r="F7" s="320" t="s">
        <v>31</v>
      </c>
      <c r="G7" s="320" t="s">
        <v>32</v>
      </c>
      <c r="H7" s="449" t="s">
        <v>33</v>
      </c>
      <c r="I7" s="449"/>
      <c r="J7" s="320" t="s">
        <v>34</v>
      </c>
      <c r="K7" s="320" t="s">
        <v>35</v>
      </c>
      <c r="L7" s="320" t="s">
        <v>36</v>
      </c>
      <c r="M7" s="320" t="s">
        <v>37</v>
      </c>
      <c r="N7" s="320" t="s">
        <v>38</v>
      </c>
      <c r="O7" s="320" t="s">
        <v>39</v>
      </c>
      <c r="P7" s="320" t="s">
        <v>40</v>
      </c>
      <c r="Q7" s="343" t="s">
        <v>41</v>
      </c>
      <c r="R7" s="115"/>
    </row>
    <row r="8" spans="1:18" ht="12" customHeight="1" x14ac:dyDescent="0.25">
      <c r="A8" s="428" t="s">
        <v>0</v>
      </c>
      <c r="B8" s="429" t="s">
        <v>1</v>
      </c>
      <c r="C8" s="430">
        <f>RESUMO!D6</f>
        <v>788734.25</v>
      </c>
      <c r="D8" s="321">
        <v>0.87569999999999992</v>
      </c>
      <c r="E8" s="321">
        <v>1.1299999999999999E-2</v>
      </c>
      <c r="F8" s="321">
        <v>1.1299999999999999E-2</v>
      </c>
      <c r="G8" s="321">
        <v>1.1299999999999999E-2</v>
      </c>
      <c r="H8" s="431">
        <v>1.1299999999999999E-2</v>
      </c>
      <c r="I8" s="431"/>
      <c r="J8" s="321">
        <v>1.1299999999999999E-2</v>
      </c>
      <c r="K8" s="321">
        <v>1.1299999999999999E-2</v>
      </c>
      <c r="L8" s="321">
        <v>1.1299999999999999E-2</v>
      </c>
      <c r="M8" s="321">
        <v>1.1299999999999999E-2</v>
      </c>
      <c r="N8" s="321">
        <v>1.1299999999999999E-2</v>
      </c>
      <c r="O8" s="321">
        <v>1.1299999999999999E-2</v>
      </c>
      <c r="P8" s="321">
        <v>1.1299999999999999E-2</v>
      </c>
      <c r="Q8" s="344">
        <f t="shared" ref="Q8:Q19" si="0">SUM(D8:P8)</f>
        <v>0.99999999999999967</v>
      </c>
      <c r="R8" s="115"/>
    </row>
    <row r="9" spans="1:18" ht="12.95" customHeight="1" x14ac:dyDescent="0.25">
      <c r="A9" s="428"/>
      <c r="B9" s="429"/>
      <c r="C9" s="430"/>
      <c r="D9" s="322">
        <f>IF(D8&gt;0,ROUND(C8*D8,2),"")</f>
        <v>690694.58</v>
      </c>
      <c r="E9" s="322">
        <f>IF(E8&gt;0,IF(AND(SUM(D8:E8)=1,Q8=1),C8-SUM(D9:D9),ROUND(C8*E8,2)),"")</f>
        <v>8912.7000000000007</v>
      </c>
      <c r="F9" s="322">
        <f>IF(F8&gt;0,IF(AND(SUM(D8:F8)=1,Q8=1),C8-SUM(D9:E9),ROUND(C8*F8,2)),"")</f>
        <v>8912.7000000000007</v>
      </c>
      <c r="G9" s="322">
        <f>IF(G8&gt;0,IF(AND(SUM(D8:G8)=1,Q8=1),C8-SUM(D9:F9),ROUND(C8*G8,2)),"")</f>
        <v>8912.7000000000007</v>
      </c>
      <c r="H9" s="432">
        <f>IF(H8&gt;0,IF(AND(SUM(D8:H8)=1,Q8=1),C8-SUM(D9:G9),ROUND(C8*H8,2)),"")</f>
        <v>8912.7000000000007</v>
      </c>
      <c r="I9" s="432" t="str">
        <f>IF(I8&gt;0,IF(AND(SUM(D8:I8)=1,Q8=1),C8-SUM(D9:H9),ROUND(C8*I8,2)),"")</f>
        <v/>
      </c>
      <c r="J9" s="322">
        <f>IF(J8&gt;0,IF(AND(SUM(D8:J8)=1,Q8=1),C8-SUM(D9:I9),ROUND(C8*J8,2)),"")</f>
        <v>8912.7000000000007</v>
      </c>
      <c r="K9" s="322">
        <f>IF(K8&gt;0,IF(AND(SUM(D8:K8)=1,Q8=1),C8-SUM(D9:J9),ROUND(C8*K8,2)),"")</f>
        <v>8912.7000000000007</v>
      </c>
      <c r="L9" s="322">
        <f>IF(L8&gt;0,IF(AND(SUM(D8:L8)=1,Q8=1),C8-SUM(D9:K9),ROUND(C8*L8,2)),"")</f>
        <v>8912.7000000000007</v>
      </c>
      <c r="M9" s="322">
        <f>IF(M8&gt;0,IF(AND(SUM(D8:M8)=1,Q8=1),C8-SUM(D9:L9),ROUND(C8*M8,2)),"")</f>
        <v>8912.7000000000007</v>
      </c>
      <c r="N9" s="322">
        <f>IF(N8&gt;0,IF(AND(SUM(D8:N8)=1,Q8=1),C8-SUM(D9:M9),ROUND(C8*N8,2)),"")</f>
        <v>8912.7000000000007</v>
      </c>
      <c r="O9" s="322">
        <f>IF(O8&gt;0,IF(AND(SUM(D8:O8)=1,Q8=1),C8-SUM(D9:N9),ROUND(C8*O8,2)),"")</f>
        <v>8912.7000000000007</v>
      </c>
      <c r="P9" s="322">
        <f>IF(P8&gt;0,IF(AND(SUM(D8:P8)=1,Q8=1),C8-SUM(D9:O9),ROUND(C8*P8,2)),"")</f>
        <v>8912.6700000005076</v>
      </c>
      <c r="Q9" s="345">
        <f t="shared" si="0"/>
        <v>788734.25</v>
      </c>
      <c r="R9" s="115"/>
    </row>
    <row r="10" spans="1:18" ht="12" customHeight="1" x14ac:dyDescent="0.25">
      <c r="A10" s="428" t="s">
        <v>2</v>
      </c>
      <c r="B10" s="429" t="s">
        <v>3</v>
      </c>
      <c r="C10" s="430">
        <f>RESUMO!D7</f>
        <v>51983.22</v>
      </c>
      <c r="D10" s="321">
        <v>1</v>
      </c>
      <c r="E10" s="323"/>
      <c r="F10" s="323"/>
      <c r="G10" s="323"/>
      <c r="H10" s="324"/>
      <c r="I10" s="325"/>
      <c r="J10" s="323"/>
      <c r="K10" s="323"/>
      <c r="L10" s="323"/>
      <c r="M10" s="323"/>
      <c r="N10" s="323"/>
      <c r="O10" s="323"/>
      <c r="P10" s="323"/>
      <c r="Q10" s="344">
        <f t="shared" si="0"/>
        <v>1</v>
      </c>
      <c r="R10" s="115"/>
    </row>
    <row r="11" spans="1:18" ht="12.95" customHeight="1" x14ac:dyDescent="0.25">
      <c r="A11" s="428"/>
      <c r="B11" s="429"/>
      <c r="C11" s="430"/>
      <c r="D11" s="322">
        <f>IF(D10&gt;0,ROUND(C10*D10,2),"")</f>
        <v>51983.22</v>
      </c>
      <c r="E11" s="326" t="str">
        <f>IF(E10&gt;0,IF(AND(SUM(D10:E10)=1,Q10=1),C10-SUM(D11:D11),ROUND(C10*E10,2)),"")</f>
        <v/>
      </c>
      <c r="F11" s="326" t="str">
        <f>IF(F10&gt;0,IF(AND(SUM(D10:F10)=1,Q10=1),C10-SUM(D11:E11),ROUND(C10*F10,2)),"")</f>
        <v/>
      </c>
      <c r="G11" s="326" t="str">
        <f>IF(G10&gt;0,IF(AND(SUM(D10:G10)=1,Q10=1),C10-SUM(D11:F11),ROUND(C10*G10,2)),"")</f>
        <v/>
      </c>
      <c r="H11" s="327" t="str">
        <f>IF(H10&gt;0,IF(AND(SUM(D10:H10)=1,Q10=1),C10-SUM(D11:G11),ROUND(C10*H10,2)),"")</f>
        <v/>
      </c>
      <c r="I11" s="328" t="str">
        <f>IF(I10&gt;0,IF(AND(SUM(D10:I10)=1,Q10=1),C10-SUM(D11:H11),ROUND(C10*I10,2)),"")</f>
        <v/>
      </c>
      <c r="J11" s="326" t="str">
        <f>IF(J10&gt;0,IF(AND(SUM(D10:J10)=1,Q10=1),C10-SUM(D11:I11),ROUND(C10*J10,2)),"")</f>
        <v/>
      </c>
      <c r="K11" s="326" t="str">
        <f>IF(K10&gt;0,IF(AND(SUM(D10:K10)=1,Q10=1),C10-SUM(D11:J11),ROUND(C10*K10,2)),"")</f>
        <v/>
      </c>
      <c r="L11" s="326" t="str">
        <f>IF(L10&gt;0,IF(AND(SUM(D10:L10)=1,Q10=1),C10-SUM(D11:K11),ROUND(C10*L10,2)),"")</f>
        <v/>
      </c>
      <c r="M11" s="326" t="str">
        <f>IF(M10&gt;0,IF(AND(SUM(D10:M10)=1,Q10=1),C10-SUM(D11:L11),ROUND(C10*M10,2)),"")</f>
        <v/>
      </c>
      <c r="N11" s="326" t="str">
        <f>IF(N10&gt;0,IF(AND(SUM(D10:N10)=1,Q10=1),C10-SUM(D11:M11),ROUND(C10*N10,2)),"")</f>
        <v/>
      </c>
      <c r="O11" s="326" t="str">
        <f>IF(O10&gt;0,IF(AND(SUM(D10:O10)=1,Q10=1),C10-SUM(D11:N11),ROUND(C10*O10,2)),"")</f>
        <v/>
      </c>
      <c r="P11" s="326" t="str">
        <f>IF(P10&gt;0,IF(AND(SUM(D10:P10)=1,Q10=1),C10-SUM(D11:O11),ROUND(C10*P10,2)),"")</f>
        <v/>
      </c>
      <c r="Q11" s="345">
        <f t="shared" si="0"/>
        <v>51983.22</v>
      </c>
      <c r="R11" s="115"/>
    </row>
    <row r="12" spans="1:18" ht="12" customHeight="1" x14ac:dyDescent="0.25">
      <c r="A12" s="428" t="s">
        <v>4</v>
      </c>
      <c r="B12" s="429" t="s">
        <v>1800</v>
      </c>
      <c r="C12" s="430">
        <f>RESUMO!D8</f>
        <v>4588873.12</v>
      </c>
      <c r="D12" s="323"/>
      <c r="E12" s="321">
        <v>0.1</v>
      </c>
      <c r="F12" s="321">
        <v>0.1</v>
      </c>
      <c r="G12" s="321">
        <v>0.1</v>
      </c>
      <c r="H12" s="431">
        <v>0.1</v>
      </c>
      <c r="I12" s="431"/>
      <c r="J12" s="321">
        <v>0.1</v>
      </c>
      <c r="K12" s="321">
        <v>0.1</v>
      </c>
      <c r="L12" s="321">
        <v>0.1</v>
      </c>
      <c r="M12" s="321">
        <v>0.1</v>
      </c>
      <c r="N12" s="321">
        <v>0.1</v>
      </c>
      <c r="O12" s="321">
        <v>0.1</v>
      </c>
      <c r="P12" s="323"/>
      <c r="Q12" s="344">
        <f t="shared" si="0"/>
        <v>0.99999999999999989</v>
      </c>
      <c r="R12" s="115"/>
    </row>
    <row r="13" spans="1:18" ht="12.95" customHeight="1" x14ac:dyDescent="0.25">
      <c r="A13" s="428"/>
      <c r="B13" s="429"/>
      <c r="C13" s="430"/>
      <c r="D13" s="326" t="str">
        <f>IF(D12&gt;0,ROUND(C12*D12,2),"")</f>
        <v/>
      </c>
      <c r="E13" s="322">
        <f>IF(E12&gt;0,IF(AND(SUM(D12:E12)=1,Q12=1),C12-SUM(D13:D13),ROUND(C12*E12,2)),"")</f>
        <v>458887.31</v>
      </c>
      <c r="F13" s="322">
        <f>IF(F12&gt;0,IF(AND(SUM(D12:F12)=1,Q12=1),C12-SUM(D13:E13),ROUND(C12*F12,2)),"")</f>
        <v>458887.31</v>
      </c>
      <c r="G13" s="322">
        <f>IF(G12&gt;0,IF(AND(SUM(D12:G12)=1,Q12=1),C12-SUM(D13:F13),ROUND(C12*G12,2)),"")</f>
        <v>458887.31</v>
      </c>
      <c r="H13" s="432">
        <f>IF(H12&gt;0,IF(AND(SUM(D12:H12)=1,Q12=1),C12-SUM(D13:G13),ROUND(C12*H12,2)),"")</f>
        <v>458887.31</v>
      </c>
      <c r="I13" s="432" t="str">
        <f>IF(I12&gt;0,IF(AND(SUM(D12:I12)=1,Q12=1),C12-SUM(D13:H13),ROUND(C12*I12,2)),"")</f>
        <v/>
      </c>
      <c r="J13" s="322">
        <f>IF(J12&gt;0,IF(AND(SUM(D12:J12)=1,Q12=1),C12-SUM(D13:I13),ROUND(C12*J12,2)),"")</f>
        <v>458887.31</v>
      </c>
      <c r="K13" s="322">
        <f>IF(K12&gt;0,IF(AND(SUM(D12:K12)=1,Q12=1),C12-SUM(D13:J13),ROUND(C12*K12,2)),"")</f>
        <v>458887.31</v>
      </c>
      <c r="L13" s="322">
        <f>IF(L12&gt;0,IF(AND(SUM(D12:L12)=1,Q12=1),C12-SUM(D13:K13),ROUND(C12*L12,2)),"")</f>
        <v>458887.31</v>
      </c>
      <c r="M13" s="322">
        <f>IF(M12&gt;0,IF(AND(SUM(D12:M12)=1,Q12=1),C12-SUM(D13:L13),ROUND(C12*M12,2)),"")</f>
        <v>458887.31</v>
      </c>
      <c r="N13" s="322">
        <f>IF(N12&gt;0,IF(AND(SUM(D12:N12)=1,Q12=1),C12-SUM(D13:M13),ROUND(C12*N12,2)),"")</f>
        <v>458887.31</v>
      </c>
      <c r="O13" s="322">
        <f>IF(O12&gt;0,IF(AND(SUM(D12:O12)=1,Q12=1),C12-SUM(D13:N13),ROUND(C12*O12,2)),"")</f>
        <v>458887.33000000007</v>
      </c>
      <c r="P13" s="326" t="str">
        <f>IF(P12&gt;0,IF(AND(SUM(D12:P12)=1,Q12=1),C12-SUM(D13:O13),ROUND(C12*P12,2)),"")</f>
        <v/>
      </c>
      <c r="Q13" s="345">
        <f t="shared" si="0"/>
        <v>4588873.12</v>
      </c>
      <c r="R13" s="115"/>
    </row>
    <row r="14" spans="1:18" ht="12" customHeight="1" x14ac:dyDescent="0.25">
      <c r="A14" s="428" t="s">
        <v>5</v>
      </c>
      <c r="B14" s="429" t="s">
        <v>4694</v>
      </c>
      <c r="C14" s="430">
        <f>RESUMO!D9</f>
        <v>1738290.68</v>
      </c>
      <c r="D14" s="323"/>
      <c r="E14" s="321">
        <v>0.2</v>
      </c>
      <c r="F14" s="321">
        <v>0.2</v>
      </c>
      <c r="G14" s="321">
        <v>0.2</v>
      </c>
      <c r="H14" s="431">
        <v>0.2</v>
      </c>
      <c r="I14" s="431"/>
      <c r="J14" s="321">
        <v>0.2</v>
      </c>
      <c r="K14" s="323"/>
      <c r="L14" s="323"/>
      <c r="M14" s="323"/>
      <c r="N14" s="323"/>
      <c r="O14" s="323"/>
      <c r="P14" s="323"/>
      <c r="Q14" s="344">
        <f t="shared" si="0"/>
        <v>1</v>
      </c>
      <c r="R14" s="115"/>
    </row>
    <row r="15" spans="1:18" ht="12.95" customHeight="1" x14ac:dyDescent="0.25">
      <c r="A15" s="428"/>
      <c r="B15" s="429"/>
      <c r="C15" s="430"/>
      <c r="D15" s="326" t="str">
        <f>IF(D14&gt;0,ROUND(C14*D14,2),"")</f>
        <v/>
      </c>
      <c r="E15" s="322">
        <f>IF(E14&gt;0,IF(AND(SUM(D14:E14)=1,Q14=1),C14-SUM(D15:D15),ROUND(C14*E14,2)),"")</f>
        <v>347658.14</v>
      </c>
      <c r="F15" s="322">
        <f>IF(F14&gt;0,IF(AND(SUM(D14:F14)=1,Q14=1),C14-SUM(D15:E15),ROUND(C14*F14,2)),"")</f>
        <v>347658.14</v>
      </c>
      <c r="G15" s="322">
        <f>IF(G14&gt;0,IF(AND(SUM(D14:G14)=1,Q14=1),C14-SUM(D15:F15),ROUND(C14*G14,2)),"")</f>
        <v>347658.14</v>
      </c>
      <c r="H15" s="432">
        <f>IF(H14&gt;0,IF(AND(SUM(D14:H14)=1,Q14=1),C14-SUM(D15:G15),ROUND(C14*H14,2)),"")</f>
        <v>347658.14</v>
      </c>
      <c r="I15" s="432" t="str">
        <f>IF(I14&gt;0,IF(AND(SUM(D14:I14)=1,Q14=1),C14-SUM(D15:H15),ROUND(C14*I14,2)),"")</f>
        <v/>
      </c>
      <c r="J15" s="322">
        <f>IF(J14&gt;0,IF(AND(SUM(D14:J14)=1,Q14=1),C14-SUM(D15:I15),ROUND(C14*J14,2)),"")</f>
        <v>347658.11999999988</v>
      </c>
      <c r="K15" s="326" t="str">
        <f>IF(K14&gt;0,IF(AND(SUM(D14:K14)=1,Q14=1),C14-SUM(D15:J15),ROUND(C14*K14,2)),"")</f>
        <v/>
      </c>
      <c r="L15" s="326" t="str">
        <f>IF(L14&gt;0,IF(AND(SUM(D14:L14)=1,Q14=1),C14-SUM(D15:K15),ROUND(C14*L14,2)),"")</f>
        <v/>
      </c>
      <c r="M15" s="326" t="str">
        <f>IF(M14&gt;0,IF(AND(SUM(D14:M14)=1,Q14=1),C14-SUM(D15:L15),ROUND(C14*M14,2)),"")</f>
        <v/>
      </c>
      <c r="N15" s="326" t="str">
        <f>IF(N14&gt;0,IF(AND(SUM(D14:N14)=1,Q14=1),C14-SUM(D15:M15),ROUND(C14*N14,2)),"")</f>
        <v/>
      </c>
      <c r="O15" s="326" t="str">
        <f>IF(O14&gt;0,IF(AND(SUM(D14:O14)=1,Q14=1),C14-SUM(D15:N15),ROUND(C14*O14,2)),"")</f>
        <v/>
      </c>
      <c r="P15" s="326" t="str">
        <f>IF(P14&gt;0,IF(AND(SUM(D14:P14)=1,Q14=1),C14-SUM(D15:O15),ROUND(C14*P14,2)),"")</f>
        <v/>
      </c>
      <c r="Q15" s="345">
        <f t="shared" si="0"/>
        <v>1738290.68</v>
      </c>
      <c r="R15" s="115"/>
    </row>
    <row r="16" spans="1:18" ht="12" customHeight="1" x14ac:dyDescent="0.25">
      <c r="A16" s="428" t="s">
        <v>7</v>
      </c>
      <c r="B16" s="429" t="s">
        <v>18</v>
      </c>
      <c r="C16" s="430">
        <f>RESUMO!D10</f>
        <v>57663.839999999997</v>
      </c>
      <c r="D16" s="323"/>
      <c r="E16" s="323"/>
      <c r="F16" s="323"/>
      <c r="G16" s="323"/>
      <c r="H16" s="324"/>
      <c r="I16" s="325"/>
      <c r="J16" s="323"/>
      <c r="K16" s="323"/>
      <c r="L16" s="323"/>
      <c r="M16" s="321">
        <v>1</v>
      </c>
      <c r="N16" s="323"/>
      <c r="O16" s="323"/>
      <c r="P16" s="323"/>
      <c r="Q16" s="344">
        <f t="shared" si="0"/>
        <v>1</v>
      </c>
      <c r="R16" s="115"/>
    </row>
    <row r="17" spans="1:18" ht="12.95" customHeight="1" x14ac:dyDescent="0.25">
      <c r="A17" s="428"/>
      <c r="B17" s="429"/>
      <c r="C17" s="430"/>
      <c r="D17" s="326" t="str">
        <f>IF(D16&gt;0,ROUND(C16*D16,2),"")</f>
        <v/>
      </c>
      <c r="E17" s="326" t="str">
        <f>IF(E16&gt;0,IF(AND(SUM(D16:E16)=1,Q16=1),C16-SUM(D17:D17),ROUND(C16*E16,2)),"")</f>
        <v/>
      </c>
      <c r="F17" s="326" t="str">
        <f>IF(F16&gt;0,IF(AND(SUM(D16:F16)=1,Q16=1),C16-SUM(D17:E17),ROUND(C16*F16,2)),"")</f>
        <v/>
      </c>
      <c r="G17" s="326" t="str">
        <f>IF(G16&gt;0,IF(AND(SUM(D16:G16)=1,Q16=1),C16-SUM(D17:F17),ROUND(C16*G16,2)),"")</f>
        <v/>
      </c>
      <c r="H17" s="327" t="str">
        <f>IF(H16&gt;0,IF(AND(SUM(D16:H16)=1,Q16=1),C16-SUM(D17:G17),ROUND(C16*H16,2)),"")</f>
        <v/>
      </c>
      <c r="I17" s="328" t="str">
        <f>IF(I16&gt;0,IF(AND(SUM(D16:I16)=1,Q16=1),C16-SUM(D17:H17),ROUND(C16*I16,2)),"")</f>
        <v/>
      </c>
      <c r="J17" s="326" t="str">
        <f>IF(J16&gt;0,IF(AND(SUM(D16:J16)=1,Q16=1),C16-SUM(D17:I17),ROUND(C16*J16,2)),"")</f>
        <v/>
      </c>
      <c r="K17" s="326" t="str">
        <f>IF(K16&gt;0,IF(AND(SUM(D16:K16)=1,Q16=1),C16-SUM(D17:J17),ROUND(C16*K16,2)),"")</f>
        <v/>
      </c>
      <c r="L17" s="326" t="str">
        <f>IF(L16&gt;0,IF(AND(SUM(D16:L16)=1,Q16=1),C16-SUM(D17:K17),ROUND(C16*L16,2)),"")</f>
        <v/>
      </c>
      <c r="M17" s="322">
        <f>IF(M16&gt;0,IF(AND(SUM(D16:M16)=1,Q16=1),C16-SUM(D17:L17),ROUND(C16*M16,2)),"")</f>
        <v>57663.839999999997</v>
      </c>
      <c r="N17" s="326" t="str">
        <f>IF(N16&gt;0,IF(AND(SUM(D16:N16)=1,Q16=1),C16-SUM(D17:M17),ROUND(C16*N16,2)),"")</f>
        <v/>
      </c>
      <c r="O17" s="326" t="str">
        <f>IF(O16&gt;0,IF(AND(SUM(D16:O16)=1,Q16=1),C16-SUM(D17:N17),ROUND(C16*O16,2)),"")</f>
        <v/>
      </c>
      <c r="P17" s="326" t="str">
        <f>IF(P16&gt;0,IF(AND(SUM(D16:P16)=1,Q16=1),C16-SUM(D17:O17),ROUND(C16*P16,2)),"")</f>
        <v/>
      </c>
      <c r="Q17" s="345">
        <f t="shared" si="0"/>
        <v>57663.839999999997</v>
      </c>
      <c r="R17" s="115"/>
    </row>
    <row r="18" spans="1:18" ht="12" customHeight="1" x14ac:dyDescent="0.25">
      <c r="A18" s="428" t="s">
        <v>9</v>
      </c>
      <c r="B18" s="429" t="s">
        <v>20</v>
      </c>
      <c r="C18" s="430">
        <f>RESUMO!D11</f>
        <v>11943.24</v>
      </c>
      <c r="D18" s="323"/>
      <c r="E18" s="321">
        <v>0.2</v>
      </c>
      <c r="F18" s="321">
        <v>0.2</v>
      </c>
      <c r="G18" s="321">
        <v>0.2</v>
      </c>
      <c r="H18" s="431">
        <v>0.2</v>
      </c>
      <c r="I18" s="431"/>
      <c r="J18" s="321">
        <v>0.2</v>
      </c>
      <c r="K18" s="323"/>
      <c r="L18" s="323"/>
      <c r="M18" s="323"/>
      <c r="N18" s="323"/>
      <c r="O18" s="323"/>
      <c r="P18" s="323"/>
      <c r="Q18" s="344">
        <f t="shared" si="0"/>
        <v>1</v>
      </c>
      <c r="R18" s="115"/>
    </row>
    <row r="19" spans="1:18" ht="12.95" customHeight="1" x14ac:dyDescent="0.25">
      <c r="A19" s="428"/>
      <c r="B19" s="429"/>
      <c r="C19" s="430"/>
      <c r="D19" s="326" t="str">
        <f>IF(D18&gt;0,ROUND(C18*D18,2),"")</f>
        <v/>
      </c>
      <c r="E19" s="322">
        <f>IF(E18&gt;0,IF(AND(SUM(D18:E18)=1,Q18=1),C18-SUM(D19:D19),ROUND(C18*E18,2)),"")</f>
        <v>2388.65</v>
      </c>
      <c r="F19" s="322">
        <f>IF(F18&gt;0,IF(AND(SUM(D18:F18)=1,Q18=1),C18-SUM(D19:E19),ROUND(C18*F18,2)),"")</f>
        <v>2388.65</v>
      </c>
      <c r="G19" s="322">
        <f>IF(G18&gt;0,IF(AND(SUM(D18:G18)=1,Q18=1),C18-SUM(D19:F19),ROUND(C18*G18,2)),"")</f>
        <v>2388.65</v>
      </c>
      <c r="H19" s="432">
        <f>IF(H18&gt;0,IF(AND(SUM(D18:H18)=1,Q18=1),C18-SUM(D19:G19),ROUND(C18*H18,2)),"")</f>
        <v>2388.65</v>
      </c>
      <c r="I19" s="432" t="str">
        <f>IF(I18&gt;0,IF(AND(SUM(D18:I18)=1,Q18=1),C18-SUM(D19:H19),ROUND(C18*I18,2)),"")</f>
        <v/>
      </c>
      <c r="J19" s="322">
        <f>IF(J18&gt;0,IF(AND(SUM(D18:J18)=1,Q18=1),C18-SUM(D19:I19),ROUND(C18*J18,2)),"")</f>
        <v>2388.6399999999994</v>
      </c>
      <c r="K19" s="326" t="str">
        <f>IF(K18&gt;0,IF(AND(SUM(D18:K18)=1,Q18=1),C18-SUM(D19:J19),ROUND(C18*K18,2)),"")</f>
        <v/>
      </c>
      <c r="L19" s="326" t="str">
        <f>IF(L18&gt;0,IF(AND(SUM(D18:L18)=1,Q18=1),C18-SUM(D19:K19),ROUND(C18*L18,2)),"")</f>
        <v/>
      </c>
      <c r="M19" s="326" t="str">
        <f>IF(M18&gt;0,IF(AND(SUM(D18:M18)=1,Q18=1),C18-SUM(D19:L19),ROUND(C18*M18,2)),"")</f>
        <v/>
      </c>
      <c r="N19" s="326" t="str">
        <f>IF(N18&gt;0,IF(AND(SUM(D18:N18)=1,Q18=1),C18-SUM(D19:M19),ROUND(C18*N18,2)),"")</f>
        <v/>
      </c>
      <c r="O19" s="326" t="str">
        <f>IF(O18&gt;0,IF(AND(SUM(D18:O18)=1,Q18=1),C18-SUM(D19:N19),ROUND(C18*O18,2)),"")</f>
        <v/>
      </c>
      <c r="P19" s="326" t="str">
        <f>IF(P18&gt;0,IF(AND(SUM(D18:P18)=1,Q18=1),C18-SUM(D19:O19),ROUND(C18*P18,2)),"")</f>
        <v/>
      </c>
      <c r="Q19" s="345">
        <f t="shared" si="0"/>
        <v>11943.24</v>
      </c>
      <c r="R19" s="115"/>
    </row>
    <row r="20" spans="1:18" ht="12" customHeight="1" x14ac:dyDescent="0.25">
      <c r="A20" s="346"/>
      <c r="B20" s="329"/>
      <c r="C20" s="424">
        <f>SUM(C8:C19)</f>
        <v>7237488.3499999996</v>
      </c>
      <c r="D20" s="330">
        <f>SUM(D9,D11,D13,D15,D17,D19)</f>
        <v>742677.79999999993</v>
      </c>
      <c r="E20" s="330">
        <f t="shared" ref="E20:P20" si="1">SUM(E9,E11,E13,E15,E17,E19)</f>
        <v>817846.8</v>
      </c>
      <c r="F20" s="330">
        <f t="shared" si="1"/>
        <v>817846.8</v>
      </c>
      <c r="G20" s="330">
        <f t="shared" si="1"/>
        <v>817846.8</v>
      </c>
      <c r="H20" s="330">
        <f t="shared" si="1"/>
        <v>817846.8</v>
      </c>
      <c r="I20" s="330"/>
      <c r="J20" s="330">
        <f t="shared" si="1"/>
        <v>817846.7699999999</v>
      </c>
      <c r="K20" s="330">
        <f t="shared" si="1"/>
        <v>467800.01</v>
      </c>
      <c r="L20" s="330">
        <f t="shared" si="1"/>
        <v>467800.01</v>
      </c>
      <c r="M20" s="330">
        <f t="shared" si="1"/>
        <v>525463.85</v>
      </c>
      <c r="N20" s="330">
        <f t="shared" si="1"/>
        <v>467800.01</v>
      </c>
      <c r="O20" s="330">
        <f t="shared" si="1"/>
        <v>467800.03000000009</v>
      </c>
      <c r="P20" s="330">
        <f t="shared" si="1"/>
        <v>8912.6700000005076</v>
      </c>
      <c r="Q20" s="422">
        <f>C20</f>
        <v>7237488.3499999996</v>
      </c>
      <c r="R20" s="115"/>
    </row>
    <row r="21" spans="1:18" ht="12.95" customHeight="1" x14ac:dyDescent="0.25">
      <c r="A21" s="347"/>
      <c r="B21" s="331"/>
      <c r="C21" s="424"/>
      <c r="D21" s="322">
        <f t="shared" ref="D21:P21" si="2">D20</f>
        <v>742677.79999999993</v>
      </c>
      <c r="E21" s="322">
        <f t="shared" si="2"/>
        <v>817846.8</v>
      </c>
      <c r="F21" s="322">
        <f t="shared" si="2"/>
        <v>817846.8</v>
      </c>
      <c r="G21" s="322">
        <f t="shared" si="2"/>
        <v>817846.8</v>
      </c>
      <c r="H21" s="423">
        <f t="shared" si="2"/>
        <v>817846.8</v>
      </c>
      <c r="I21" s="423">
        <f t="shared" si="2"/>
        <v>0</v>
      </c>
      <c r="J21" s="332">
        <f t="shared" si="2"/>
        <v>817846.7699999999</v>
      </c>
      <c r="K21" s="332">
        <f t="shared" si="2"/>
        <v>467800.01</v>
      </c>
      <c r="L21" s="332">
        <f t="shared" si="2"/>
        <v>467800.01</v>
      </c>
      <c r="M21" s="332">
        <f t="shared" si="2"/>
        <v>525463.85</v>
      </c>
      <c r="N21" s="332">
        <f t="shared" si="2"/>
        <v>467800.01</v>
      </c>
      <c r="O21" s="332">
        <f t="shared" si="2"/>
        <v>467800.03000000009</v>
      </c>
      <c r="P21" s="332">
        <f t="shared" si="2"/>
        <v>8912.6700000005076</v>
      </c>
      <c r="Q21" s="422"/>
      <c r="R21" s="115"/>
    </row>
    <row r="22" spans="1:18" ht="27" customHeight="1" x14ac:dyDescent="0.25">
      <c r="A22" s="348"/>
      <c r="B22" s="147"/>
      <c r="C22" s="148"/>
      <c r="D22" s="148"/>
      <c r="E22" s="148"/>
      <c r="F22" s="148"/>
      <c r="G22" s="148"/>
      <c r="H22" s="148"/>
      <c r="I22" s="148"/>
      <c r="J22" s="148"/>
      <c r="K22" s="148"/>
      <c r="L22" s="148"/>
      <c r="M22" s="148"/>
      <c r="N22" s="148"/>
      <c r="O22" s="148"/>
      <c r="P22" s="148"/>
      <c r="Q22" s="349"/>
      <c r="R22" s="115"/>
    </row>
    <row r="23" spans="1:18" ht="49.5" customHeight="1" x14ac:dyDescent="0.25">
      <c r="A23" s="441" t="s">
        <v>25</v>
      </c>
      <c r="B23" s="442"/>
      <c r="C23" s="442"/>
      <c r="D23" s="442"/>
      <c r="E23" s="442"/>
      <c r="F23" s="442"/>
      <c r="G23" s="442"/>
      <c r="H23" s="442"/>
      <c r="I23" s="442"/>
      <c r="J23" s="442"/>
      <c r="K23" s="442"/>
      <c r="L23" s="442"/>
      <c r="M23" s="442"/>
      <c r="N23" s="442"/>
      <c r="O23" s="442"/>
      <c r="P23" s="442"/>
      <c r="Q23" s="443"/>
      <c r="R23" s="341"/>
    </row>
    <row r="24" spans="1:18" ht="15.75" thickBot="1" x14ac:dyDescent="0.3">
      <c r="A24" s="444"/>
      <c r="B24" s="445"/>
      <c r="C24" s="445"/>
      <c r="D24" s="445"/>
      <c r="E24" s="445"/>
      <c r="F24" s="445"/>
      <c r="G24" s="445"/>
      <c r="H24" s="445"/>
      <c r="I24" s="445"/>
      <c r="J24" s="445"/>
      <c r="K24" s="445"/>
      <c r="L24" s="445"/>
      <c r="M24" s="445"/>
      <c r="N24" s="445"/>
      <c r="O24" s="445"/>
      <c r="P24" s="445"/>
      <c r="Q24" s="446"/>
    </row>
  </sheetData>
  <mergeCells count="41">
    <mergeCell ref="A23:Q24"/>
    <mergeCell ref="L4:Q4"/>
    <mergeCell ref="L3:Q3"/>
    <mergeCell ref="L2:Q2"/>
    <mergeCell ref="A16:A17"/>
    <mergeCell ref="A18:A19"/>
    <mergeCell ref="A14:A15"/>
    <mergeCell ref="H15:I15"/>
    <mergeCell ref="A10:A11"/>
    <mergeCell ref="B10:B11"/>
    <mergeCell ref="C10:C11"/>
    <mergeCell ref="A12:A13"/>
    <mergeCell ref="B12:B13"/>
    <mergeCell ref="C12:C13"/>
    <mergeCell ref="H7:I7"/>
    <mergeCell ref="B16:B17"/>
    <mergeCell ref="B18:B19"/>
    <mergeCell ref="C18:C19"/>
    <mergeCell ref="H12:I12"/>
    <mergeCell ref="H13:I13"/>
    <mergeCell ref="B14:B15"/>
    <mergeCell ref="C14:C15"/>
    <mergeCell ref="H14:I14"/>
    <mergeCell ref="H18:I18"/>
    <mergeCell ref="H19:I19"/>
    <mergeCell ref="Q20:Q21"/>
    <mergeCell ref="H21:I21"/>
    <mergeCell ref="C20:C21"/>
    <mergeCell ref="A1:A5"/>
    <mergeCell ref="B2:K2"/>
    <mergeCell ref="B3:K3"/>
    <mergeCell ref="B4:K4"/>
    <mergeCell ref="A8:A9"/>
    <mergeCell ref="B8:B9"/>
    <mergeCell ref="C8:C9"/>
    <mergeCell ref="H8:I8"/>
    <mergeCell ref="H9:I9"/>
    <mergeCell ref="B1:Q1"/>
    <mergeCell ref="B5:Q5"/>
    <mergeCell ref="A6:Q6"/>
    <mergeCell ref="C16:C17"/>
  </mergeCells>
  <pageMargins left="0.7" right="0.7" top="0.75" bottom="0.75" header="0.3" footer="0.3"/>
  <pageSetup paperSize="9" scale="5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416"/>
  <sheetViews>
    <sheetView tabSelected="1" view="pageBreakPreview" topLeftCell="C390" zoomScaleNormal="100" zoomScaleSheetLayoutView="100" workbookViewId="0">
      <selection activeCell="J410" sqref="J410"/>
    </sheetView>
  </sheetViews>
  <sheetFormatPr defaultRowHeight="15" outlineLevelRow="3" x14ac:dyDescent="0.25"/>
  <cols>
    <col min="1" max="1" width="22.28515625" style="247" customWidth="1"/>
    <col min="2" max="2" width="12.7109375" style="247" customWidth="1"/>
    <col min="3" max="3" width="16.140625" style="247" customWidth="1"/>
    <col min="4" max="4" width="57.28515625" style="36" customWidth="1"/>
    <col min="5" max="5" width="9.28515625" style="247" customWidth="1"/>
    <col min="6" max="6" width="12.42578125" style="247" customWidth="1"/>
    <col min="7" max="7" width="19.42578125" style="247" customWidth="1"/>
    <col min="8" max="8" width="17.5703125" style="247" customWidth="1"/>
    <col min="9" max="9" width="18.28515625" style="247" customWidth="1"/>
    <col min="10" max="10" width="20.140625" style="247" customWidth="1"/>
    <col min="11" max="11" width="0" hidden="1" customWidth="1"/>
    <col min="12" max="12" width="9.5703125" style="34" hidden="1" customWidth="1"/>
    <col min="13" max="13" width="11.7109375" bestFit="1" customWidth="1"/>
    <col min="14" max="14" width="14.42578125" bestFit="1" customWidth="1"/>
    <col min="15" max="15" width="11.7109375" bestFit="1" customWidth="1"/>
  </cols>
  <sheetData>
    <row r="1" spans="1:17" ht="15" customHeight="1" x14ac:dyDescent="0.25">
      <c r="A1" s="397" t="s">
        <v>4704</v>
      </c>
      <c r="B1" s="398"/>
      <c r="C1" s="398"/>
      <c r="D1" s="398"/>
      <c r="E1" s="398"/>
      <c r="F1" s="398"/>
      <c r="G1" s="398"/>
      <c r="H1" s="398"/>
      <c r="I1" s="398"/>
      <c r="J1" s="399"/>
      <c r="K1" s="154"/>
    </row>
    <row r="2" spans="1:17" ht="27" customHeight="1" x14ac:dyDescent="0.25">
      <c r="A2" s="400"/>
      <c r="B2" s="417" t="s">
        <v>4698</v>
      </c>
      <c r="C2" s="417"/>
      <c r="D2" s="417"/>
      <c r="E2" s="417"/>
      <c r="F2" s="417"/>
      <c r="G2" s="417"/>
      <c r="H2" s="417" t="s">
        <v>4696</v>
      </c>
      <c r="I2" s="417"/>
      <c r="J2" s="418"/>
      <c r="K2" s="154"/>
    </row>
    <row r="3" spans="1:17" ht="27" customHeight="1" x14ac:dyDescent="0.25">
      <c r="A3" s="401"/>
      <c r="B3" s="417" t="s">
        <v>4699</v>
      </c>
      <c r="C3" s="417"/>
      <c r="D3" s="417"/>
      <c r="E3" s="417"/>
      <c r="F3" s="417"/>
      <c r="G3" s="417"/>
      <c r="H3" s="417" t="s">
        <v>4709</v>
      </c>
      <c r="I3" s="417"/>
      <c r="J3" s="418"/>
      <c r="K3" s="154"/>
    </row>
    <row r="4" spans="1:17" ht="27" customHeight="1" x14ac:dyDescent="0.25">
      <c r="A4" s="401"/>
      <c r="B4" s="417" t="s">
        <v>4700</v>
      </c>
      <c r="C4" s="417"/>
      <c r="D4" s="417"/>
      <c r="E4" s="417"/>
      <c r="F4" s="417"/>
      <c r="G4" s="417"/>
      <c r="H4" s="417" t="s">
        <v>4697</v>
      </c>
      <c r="I4" s="417"/>
      <c r="J4" s="418"/>
      <c r="K4" s="154"/>
    </row>
    <row r="5" spans="1:17" s="36" customFormat="1" ht="27" customHeight="1" x14ac:dyDescent="0.25">
      <c r="A5" s="402"/>
      <c r="B5" s="417" t="s">
        <v>4701</v>
      </c>
      <c r="C5" s="417"/>
      <c r="D5" s="417"/>
      <c r="E5" s="417"/>
      <c r="F5" s="417"/>
      <c r="G5" s="417"/>
      <c r="H5" s="417"/>
      <c r="I5" s="417"/>
      <c r="J5" s="418"/>
      <c r="K5" s="155"/>
      <c r="L5" s="37"/>
    </row>
    <row r="6" spans="1:17" s="36" customFormat="1" x14ac:dyDescent="0.25">
      <c r="A6" s="336" t="s">
        <v>26</v>
      </c>
      <c r="B6" s="334" t="s">
        <v>42</v>
      </c>
      <c r="C6" s="334" t="s">
        <v>43</v>
      </c>
      <c r="D6" s="334" t="s">
        <v>27</v>
      </c>
      <c r="E6" s="334" t="s">
        <v>44</v>
      </c>
      <c r="F6" s="334" t="s">
        <v>45</v>
      </c>
      <c r="G6" s="334" t="s">
        <v>46</v>
      </c>
      <c r="H6" s="334" t="s">
        <v>46</v>
      </c>
      <c r="I6" s="334" t="s">
        <v>47</v>
      </c>
      <c r="J6" s="335"/>
      <c r="K6" s="155"/>
      <c r="L6" s="37"/>
    </row>
    <row r="7" spans="1:17" s="36" customFormat="1" x14ac:dyDescent="0.25">
      <c r="A7" s="159"/>
      <c r="B7" s="107"/>
      <c r="C7" s="107"/>
      <c r="D7" s="107"/>
      <c r="E7" s="107"/>
      <c r="F7" s="107"/>
      <c r="G7" s="107" t="s">
        <v>48</v>
      </c>
      <c r="H7" s="107" t="s">
        <v>49</v>
      </c>
      <c r="I7" s="107" t="s">
        <v>48</v>
      </c>
      <c r="J7" s="160" t="s">
        <v>49</v>
      </c>
      <c r="K7" s="155"/>
      <c r="L7" s="37"/>
    </row>
    <row r="8" spans="1:17" s="36" customFormat="1" x14ac:dyDescent="0.25">
      <c r="A8" s="264" t="s">
        <v>0</v>
      </c>
      <c r="B8" s="265"/>
      <c r="C8" s="283"/>
      <c r="D8" s="265" t="s">
        <v>1</v>
      </c>
      <c r="E8" s="265"/>
      <c r="F8" s="266"/>
      <c r="G8" s="267"/>
      <c r="H8" s="265"/>
      <c r="I8" s="268">
        <f>ROUND(SUM(I9:I18),2)</f>
        <v>591923.54</v>
      </c>
      <c r="J8" s="269">
        <f>ROUND(SUM(J9:J18),2)</f>
        <v>788734.25</v>
      </c>
      <c r="K8" s="155"/>
      <c r="L8" s="37"/>
      <c r="N8" s="559">
        <f>SUM(J9:J18)</f>
        <v>788734.24999999988</v>
      </c>
      <c r="O8" s="561">
        <f t="shared" ref="O8:O71" si="0">J8-N8</f>
        <v>0</v>
      </c>
      <c r="Q8" s="36">
        <f t="shared" ref="Q7:Q70" si="1">F8*H8</f>
        <v>0</v>
      </c>
    </row>
    <row r="9" spans="1:17" s="36" customFormat="1" outlineLevel="1" x14ac:dyDescent="0.25">
      <c r="A9" s="270" t="s">
        <v>50</v>
      </c>
      <c r="B9" s="271" t="s">
        <v>4322</v>
      </c>
      <c r="C9" s="298">
        <v>20305</v>
      </c>
      <c r="D9" s="272" t="s">
        <v>53</v>
      </c>
      <c r="E9" s="271" t="s">
        <v>54</v>
      </c>
      <c r="F9" s="273">
        <v>16</v>
      </c>
      <c r="G9" s="274">
        <v>241.93</v>
      </c>
      <c r="H9" s="275">
        <f t="shared" ref="H9:H18" si="2">ROUND(G9*ROUND(1+(33.25/100),4),2)</f>
        <v>322.37</v>
      </c>
      <c r="I9" s="275">
        <f t="shared" ref="I9:I18" si="3">ROUND(ROUND(F9,2)*ROUND(G9,2),2)</f>
        <v>3870.88</v>
      </c>
      <c r="J9" s="276">
        <f t="shared" ref="J9:J18" si="4">ROUND(ROUND(F9,2)*ROUND(H9,2),2)</f>
        <v>5157.92</v>
      </c>
      <c r="K9" s="155"/>
      <c r="L9" s="40">
        <f>F9*H9</f>
        <v>5157.92</v>
      </c>
      <c r="O9" s="561">
        <f t="shared" si="0"/>
        <v>5157.92</v>
      </c>
      <c r="Q9" s="36">
        <f t="shared" si="1"/>
        <v>5157.92</v>
      </c>
    </row>
    <row r="10" spans="1:17" s="36" customFormat="1" outlineLevel="1" x14ac:dyDescent="0.25">
      <c r="A10" s="270" t="s">
        <v>55</v>
      </c>
      <c r="B10" s="271" t="s">
        <v>4713</v>
      </c>
      <c r="C10" s="298">
        <v>11739</v>
      </c>
      <c r="D10" s="272" t="s">
        <v>4716</v>
      </c>
      <c r="E10" s="271" t="s">
        <v>4715</v>
      </c>
      <c r="F10" s="273">
        <v>6</v>
      </c>
      <c r="G10" s="274">
        <v>69025.649999999994</v>
      </c>
      <c r="H10" s="275">
        <f t="shared" ref="H10" si="5">ROUND(G10*ROUND(1+(33.25/100),4),2)</f>
        <v>91976.68</v>
      </c>
      <c r="I10" s="275">
        <f t="shared" ref="I10" si="6">ROUND(ROUND(F10,2)*ROUND(G10,2),2)</f>
        <v>414153.9</v>
      </c>
      <c r="J10" s="276">
        <f t="shared" ref="J10" si="7">ROUND(ROUND(F10,2)*ROUND(H10,2),2)</f>
        <v>551860.07999999996</v>
      </c>
      <c r="K10" s="155"/>
      <c r="L10" s="40">
        <f>F10*H10</f>
        <v>551860.07999999996</v>
      </c>
      <c r="O10" s="561">
        <f t="shared" si="0"/>
        <v>551860.07999999996</v>
      </c>
      <c r="Q10" s="36">
        <f t="shared" si="1"/>
        <v>551860.07999999996</v>
      </c>
    </row>
    <row r="11" spans="1:17" s="36" customFormat="1" ht="33.75" outlineLevel="1" x14ac:dyDescent="0.25">
      <c r="A11" s="270" t="s">
        <v>58</v>
      </c>
      <c r="B11" s="271" t="s">
        <v>4322</v>
      </c>
      <c r="C11" s="271">
        <v>20702</v>
      </c>
      <c r="D11" s="272" t="s">
        <v>57</v>
      </c>
      <c r="E11" s="271" t="s">
        <v>54</v>
      </c>
      <c r="F11" s="273">
        <v>19</v>
      </c>
      <c r="G11" s="274">
        <v>603.45000000000005</v>
      </c>
      <c r="H11" s="275">
        <f t="shared" si="2"/>
        <v>804.1</v>
      </c>
      <c r="I11" s="275">
        <f t="shared" si="3"/>
        <v>11465.55</v>
      </c>
      <c r="J11" s="276">
        <f t="shared" si="4"/>
        <v>15277.9</v>
      </c>
      <c r="K11" s="155"/>
      <c r="L11" s="40">
        <f t="shared" ref="L11:L68" si="8">F11*H11</f>
        <v>15277.9</v>
      </c>
      <c r="O11" s="561">
        <f t="shared" si="0"/>
        <v>15277.9</v>
      </c>
      <c r="Q11" s="36">
        <f t="shared" si="1"/>
        <v>15277.9</v>
      </c>
    </row>
    <row r="12" spans="1:17" s="36" customFormat="1" ht="33.75" outlineLevel="1" x14ac:dyDescent="0.25">
      <c r="A12" s="270" t="s">
        <v>61</v>
      </c>
      <c r="B12" s="271" t="s">
        <v>4322</v>
      </c>
      <c r="C12" s="271" t="s">
        <v>744</v>
      </c>
      <c r="D12" s="260" t="s">
        <v>745</v>
      </c>
      <c r="E12" s="249" t="s">
        <v>54</v>
      </c>
      <c r="F12" s="250">
        <v>24.2</v>
      </c>
      <c r="G12" s="274">
        <v>480.68</v>
      </c>
      <c r="H12" s="275">
        <f t="shared" ref="H12" si="9">ROUND(G12*ROUND(1+(33.25/100),4),2)</f>
        <v>640.51</v>
      </c>
      <c r="I12" s="275">
        <f t="shared" ref="I12" si="10">ROUND(ROUND(F12,2)*ROUND(G12,2),2)</f>
        <v>11632.46</v>
      </c>
      <c r="J12" s="276">
        <f t="shared" ref="J12" si="11">ROUND(ROUND(F12,2)*ROUND(H12,2),2)</f>
        <v>15500.34</v>
      </c>
      <c r="K12" s="155"/>
      <c r="L12" s="40"/>
      <c r="O12" s="561">
        <f t="shared" si="0"/>
        <v>15500.34</v>
      </c>
      <c r="Q12" s="36">
        <f t="shared" si="1"/>
        <v>15500.341999999999</v>
      </c>
    </row>
    <row r="13" spans="1:17" s="36" customFormat="1" ht="33.75" outlineLevel="1" x14ac:dyDescent="0.25">
      <c r="A13" s="270" t="s">
        <v>65</v>
      </c>
      <c r="B13" s="271" t="s">
        <v>4322</v>
      </c>
      <c r="C13" s="271">
        <v>20701</v>
      </c>
      <c r="D13" s="272" t="s">
        <v>60</v>
      </c>
      <c r="E13" s="271" t="s">
        <v>54</v>
      </c>
      <c r="F13" s="273">
        <v>14.5</v>
      </c>
      <c r="G13" s="274">
        <v>876.88</v>
      </c>
      <c r="H13" s="275">
        <f t="shared" si="2"/>
        <v>1168.44</v>
      </c>
      <c r="I13" s="275">
        <f t="shared" si="3"/>
        <v>12714.76</v>
      </c>
      <c r="J13" s="276">
        <f t="shared" si="4"/>
        <v>16942.38</v>
      </c>
      <c r="K13" s="155"/>
      <c r="L13" s="40">
        <f t="shared" si="8"/>
        <v>16942.38</v>
      </c>
      <c r="O13" s="561">
        <f t="shared" si="0"/>
        <v>16942.38</v>
      </c>
      <c r="Q13" s="36">
        <f t="shared" si="1"/>
        <v>16942.38</v>
      </c>
    </row>
    <row r="14" spans="1:17" s="36" customFormat="1" ht="45" outlineLevel="1" x14ac:dyDescent="0.25">
      <c r="A14" s="270" t="s">
        <v>69</v>
      </c>
      <c r="B14" s="271" t="s">
        <v>4322</v>
      </c>
      <c r="C14" s="298">
        <v>20355</v>
      </c>
      <c r="D14" s="272" t="s">
        <v>63</v>
      </c>
      <c r="E14" s="271" t="s">
        <v>64</v>
      </c>
      <c r="F14" s="273">
        <v>12</v>
      </c>
      <c r="G14" s="274">
        <v>1199.25</v>
      </c>
      <c r="H14" s="275">
        <f t="shared" si="2"/>
        <v>1598</v>
      </c>
      <c r="I14" s="275">
        <f t="shared" si="3"/>
        <v>14391</v>
      </c>
      <c r="J14" s="276">
        <f t="shared" si="4"/>
        <v>19176</v>
      </c>
      <c r="K14" s="155"/>
      <c r="L14" s="40">
        <f t="shared" si="8"/>
        <v>19176</v>
      </c>
      <c r="O14" s="561">
        <f t="shared" si="0"/>
        <v>19176</v>
      </c>
      <c r="Q14" s="36">
        <f t="shared" si="1"/>
        <v>19176</v>
      </c>
    </row>
    <row r="15" spans="1:17" s="36" customFormat="1" outlineLevel="1" x14ac:dyDescent="0.25">
      <c r="A15" s="270" t="s">
        <v>73</v>
      </c>
      <c r="B15" s="271" t="s">
        <v>4322</v>
      </c>
      <c r="C15" s="271">
        <v>20344</v>
      </c>
      <c r="D15" s="272" t="s">
        <v>67</v>
      </c>
      <c r="E15" s="271" t="s">
        <v>68</v>
      </c>
      <c r="F15" s="273">
        <v>1</v>
      </c>
      <c r="G15" s="274">
        <v>1766.67</v>
      </c>
      <c r="H15" s="275">
        <f t="shared" si="2"/>
        <v>2354.09</v>
      </c>
      <c r="I15" s="275">
        <f t="shared" si="3"/>
        <v>1766.67</v>
      </c>
      <c r="J15" s="276">
        <f t="shared" si="4"/>
        <v>2354.09</v>
      </c>
      <c r="K15" s="155"/>
      <c r="L15" s="40">
        <f t="shared" si="8"/>
        <v>2354.09</v>
      </c>
      <c r="O15" s="561">
        <f t="shared" si="0"/>
        <v>2354.09</v>
      </c>
      <c r="Q15" s="36">
        <f t="shared" si="1"/>
        <v>2354.09</v>
      </c>
    </row>
    <row r="16" spans="1:17" s="36" customFormat="1" ht="45" outlineLevel="1" x14ac:dyDescent="0.25">
      <c r="A16" s="270" t="s">
        <v>76</v>
      </c>
      <c r="B16" s="271" t="s">
        <v>4322</v>
      </c>
      <c r="C16" s="271">
        <v>20350</v>
      </c>
      <c r="D16" s="272" t="s">
        <v>71</v>
      </c>
      <c r="E16" s="271" t="s">
        <v>72</v>
      </c>
      <c r="F16" s="273">
        <v>698</v>
      </c>
      <c r="G16" s="274">
        <v>158.66</v>
      </c>
      <c r="H16" s="275">
        <f t="shared" si="2"/>
        <v>211.41</v>
      </c>
      <c r="I16" s="275">
        <f t="shared" si="3"/>
        <v>110744.68</v>
      </c>
      <c r="J16" s="276">
        <f t="shared" si="4"/>
        <v>147564.18</v>
      </c>
      <c r="K16" s="155"/>
      <c r="L16" s="40">
        <f t="shared" si="8"/>
        <v>147564.18</v>
      </c>
      <c r="O16" s="561">
        <f t="shared" si="0"/>
        <v>147564.18</v>
      </c>
      <c r="Q16" s="36">
        <f t="shared" si="1"/>
        <v>147564.18</v>
      </c>
    </row>
    <row r="17" spans="1:16384" s="36" customFormat="1" outlineLevel="1" x14ac:dyDescent="0.25">
      <c r="A17" s="270" t="s">
        <v>4323</v>
      </c>
      <c r="B17" s="271" t="s">
        <v>4322</v>
      </c>
      <c r="C17" s="271">
        <v>20346</v>
      </c>
      <c r="D17" s="272" t="s">
        <v>75</v>
      </c>
      <c r="E17" s="271" t="s">
        <v>72</v>
      </c>
      <c r="F17" s="273">
        <v>468</v>
      </c>
      <c r="G17" s="274">
        <v>21.78</v>
      </c>
      <c r="H17" s="275">
        <f t="shared" si="2"/>
        <v>29.02</v>
      </c>
      <c r="I17" s="275">
        <f t="shared" si="3"/>
        <v>10193.040000000001</v>
      </c>
      <c r="J17" s="276">
        <f t="shared" si="4"/>
        <v>13581.36</v>
      </c>
      <c r="K17" s="155"/>
      <c r="L17" s="40">
        <f t="shared" si="8"/>
        <v>13581.36</v>
      </c>
      <c r="O17" s="561">
        <f t="shared" si="0"/>
        <v>13581.36</v>
      </c>
      <c r="Q17" s="36">
        <f t="shared" si="1"/>
        <v>13581.36</v>
      </c>
    </row>
    <row r="18" spans="1:16384" s="41" customFormat="1" ht="45" outlineLevel="1" x14ac:dyDescent="0.25">
      <c r="A18" s="270" t="s">
        <v>4714</v>
      </c>
      <c r="B18" s="253" t="s">
        <v>77</v>
      </c>
      <c r="C18" s="271" t="s">
        <v>78</v>
      </c>
      <c r="D18" s="277" t="s">
        <v>79</v>
      </c>
      <c r="E18" s="253" t="s">
        <v>72</v>
      </c>
      <c r="F18" s="278">
        <v>30</v>
      </c>
      <c r="G18" s="279">
        <v>33.020000000000003</v>
      </c>
      <c r="H18" s="280">
        <f t="shared" si="2"/>
        <v>44</v>
      </c>
      <c r="I18" s="280">
        <f t="shared" si="3"/>
        <v>990.6</v>
      </c>
      <c r="J18" s="281">
        <f t="shared" si="4"/>
        <v>1320</v>
      </c>
      <c r="K18" s="156"/>
      <c r="L18" s="42">
        <f t="shared" si="8"/>
        <v>1320</v>
      </c>
      <c r="O18" s="562">
        <f t="shared" si="0"/>
        <v>1320</v>
      </c>
      <c r="Q18" s="41">
        <f t="shared" si="1"/>
        <v>1320</v>
      </c>
    </row>
    <row r="19" spans="1:16384" s="36" customFormat="1" x14ac:dyDescent="0.25">
      <c r="A19" s="282" t="s">
        <v>2</v>
      </c>
      <c r="B19" s="283"/>
      <c r="C19" s="283"/>
      <c r="D19" s="283" t="s">
        <v>3</v>
      </c>
      <c r="E19" s="283"/>
      <c r="F19" s="284"/>
      <c r="G19" s="285"/>
      <c r="H19" s="283"/>
      <c r="I19" s="286">
        <f>ROUND(I20+I336+I344,2)</f>
        <v>105602.59</v>
      </c>
      <c r="J19" s="287">
        <f>ROUND(J20,2)</f>
        <v>51983.22</v>
      </c>
      <c r="K19" s="157"/>
      <c r="L19" s="110">
        <f t="shared" si="8"/>
        <v>0</v>
      </c>
      <c r="M19" s="110"/>
      <c r="N19" s="110"/>
      <c r="O19" s="563">
        <f t="shared" si="0"/>
        <v>51983.22</v>
      </c>
      <c r="P19" s="112"/>
      <c r="Q19" s="113">
        <f t="shared" si="1"/>
        <v>0</v>
      </c>
      <c r="R19" s="110"/>
      <c r="S19" s="114"/>
      <c r="T19" s="114"/>
      <c r="U19" s="110"/>
      <c r="V19" s="110"/>
      <c r="W19" s="110"/>
      <c r="X19" s="110"/>
      <c r="Y19" s="111"/>
      <c r="Z19" s="112"/>
      <c r="AA19" s="113"/>
      <c r="AB19" s="110"/>
      <c r="AC19" s="114"/>
      <c r="AD19" s="114"/>
      <c r="AE19" s="110"/>
      <c r="AF19" s="110"/>
      <c r="AG19" s="110"/>
      <c r="AH19" s="110"/>
      <c r="AI19" s="111"/>
      <c r="AJ19" s="112"/>
      <c r="AK19" s="113"/>
      <c r="AL19" s="110"/>
      <c r="AM19" s="114"/>
      <c r="AN19" s="114"/>
      <c r="AO19" s="110"/>
      <c r="AP19" s="110"/>
      <c r="AQ19" s="110"/>
      <c r="AR19" s="110"/>
      <c r="AS19" s="111"/>
      <c r="AT19" s="112"/>
      <c r="AU19" s="113"/>
      <c r="AV19" s="110"/>
      <c r="AW19" s="114"/>
      <c r="AX19" s="114"/>
      <c r="AY19" s="110"/>
      <c r="AZ19" s="110"/>
      <c r="BA19" s="110"/>
      <c r="BB19" s="110"/>
      <c r="BC19" s="111"/>
      <c r="BD19" s="112"/>
      <c r="BE19" s="113"/>
      <c r="BF19" s="110"/>
      <c r="BG19" s="114"/>
      <c r="BH19" s="114"/>
      <c r="BI19" s="110"/>
      <c r="BJ19" s="110"/>
      <c r="BK19" s="110"/>
      <c r="BL19" s="110"/>
      <c r="BM19" s="111"/>
      <c r="BN19" s="112"/>
      <c r="BO19" s="113"/>
      <c r="BP19" s="110"/>
      <c r="BQ19" s="114"/>
      <c r="BR19" s="114"/>
      <c r="BS19" s="110"/>
      <c r="BT19" s="110"/>
      <c r="BU19" s="110"/>
      <c r="BV19" s="110"/>
      <c r="BW19" s="111"/>
      <c r="BX19" s="112"/>
      <c r="BY19" s="113"/>
      <c r="BZ19" s="110"/>
      <c r="CA19" s="114"/>
      <c r="CB19" s="114"/>
      <c r="CC19" s="110"/>
      <c r="CD19" s="110"/>
      <c r="CE19" s="110"/>
      <c r="CF19" s="110"/>
      <c r="CG19" s="111"/>
      <c r="CH19" s="112"/>
      <c r="CI19" s="113"/>
      <c r="CJ19" s="110"/>
      <c r="CK19" s="114"/>
      <c r="CL19" s="114"/>
      <c r="CM19" s="110"/>
      <c r="CN19" s="110"/>
      <c r="CO19" s="110"/>
      <c r="CP19" s="110"/>
      <c r="CQ19" s="111"/>
      <c r="CR19" s="112"/>
      <c r="CS19" s="113"/>
      <c r="CT19" s="110"/>
      <c r="CU19" s="114"/>
      <c r="CV19" s="114"/>
      <c r="CW19" s="110"/>
      <c r="CX19" s="110"/>
      <c r="CY19" s="110"/>
      <c r="CZ19" s="110"/>
      <c r="DA19" s="111"/>
      <c r="DB19" s="112"/>
      <c r="DC19" s="113"/>
      <c r="DD19" s="110"/>
      <c r="DE19" s="114"/>
      <c r="DF19" s="114"/>
      <c r="DG19" s="110"/>
      <c r="DH19" s="110"/>
      <c r="DI19" s="110"/>
      <c r="DJ19" s="110"/>
      <c r="DK19" s="111"/>
      <c r="DL19" s="112"/>
      <c r="DM19" s="113"/>
      <c r="DN19" s="110"/>
      <c r="DO19" s="114"/>
      <c r="DP19" s="114"/>
      <c r="DQ19" s="110"/>
      <c r="DR19" s="110"/>
      <c r="DS19" s="110"/>
      <c r="DT19" s="110"/>
      <c r="DU19" s="111"/>
      <c r="DV19" s="112"/>
      <c r="DW19" s="113"/>
      <c r="DX19" s="110"/>
      <c r="DY19" s="114"/>
      <c r="DZ19" s="114"/>
      <c r="EA19" s="110"/>
      <c r="EB19" s="110"/>
      <c r="EC19" s="110"/>
      <c r="ED19" s="110"/>
      <c r="EE19" s="111"/>
      <c r="EF19" s="112"/>
      <c r="EG19" s="113"/>
      <c r="EH19" s="110"/>
      <c r="EI19" s="114"/>
      <c r="EJ19" s="114"/>
      <c r="EK19" s="110"/>
      <c r="EL19" s="110"/>
      <c r="EM19" s="110"/>
      <c r="EN19" s="110"/>
      <c r="EO19" s="111"/>
      <c r="EP19" s="112"/>
      <c r="EQ19" s="113"/>
      <c r="ER19" s="110"/>
      <c r="ES19" s="114"/>
      <c r="ET19" s="114"/>
      <c r="EU19" s="110"/>
      <c r="EV19" s="110"/>
      <c r="EW19" s="110"/>
      <c r="EX19" s="110"/>
      <c r="EY19" s="111"/>
      <c r="EZ19" s="112"/>
      <c r="FA19" s="113"/>
      <c r="FB19" s="110"/>
      <c r="FC19" s="114"/>
      <c r="FD19" s="114"/>
      <c r="FE19" s="110"/>
      <c r="FF19" s="110"/>
      <c r="FG19" s="110"/>
      <c r="FH19" s="110"/>
      <c r="FI19" s="111"/>
      <c r="FJ19" s="112"/>
      <c r="FK19" s="113"/>
      <c r="FL19" s="110"/>
      <c r="FM19" s="114"/>
      <c r="FN19" s="114"/>
      <c r="FO19" s="110"/>
      <c r="FP19" s="110"/>
      <c r="FQ19" s="110"/>
      <c r="FR19" s="110"/>
      <c r="FS19" s="111"/>
      <c r="FT19" s="112"/>
      <c r="FU19" s="113"/>
      <c r="FV19" s="110"/>
      <c r="FW19" s="114"/>
      <c r="FX19" s="114"/>
      <c r="FY19" s="110"/>
      <c r="FZ19" s="110"/>
      <c r="GA19" s="110"/>
      <c r="GB19" s="110"/>
      <c r="GC19" s="111"/>
      <c r="GD19" s="112"/>
      <c r="GE19" s="113"/>
      <c r="GF19" s="110"/>
      <c r="GG19" s="114"/>
      <c r="GH19" s="114"/>
      <c r="GI19" s="110"/>
      <c r="GJ19" s="110"/>
      <c r="GK19" s="110"/>
      <c r="GL19" s="110"/>
      <c r="GM19" s="111"/>
      <c r="GN19" s="112"/>
      <c r="GO19" s="113"/>
      <c r="GP19" s="110"/>
      <c r="GQ19" s="114"/>
      <c r="GR19" s="114"/>
      <c r="GS19" s="110"/>
      <c r="GT19" s="110"/>
      <c r="GU19" s="110"/>
      <c r="GV19" s="110"/>
      <c r="GW19" s="111"/>
      <c r="GX19" s="112"/>
      <c r="GY19" s="113"/>
      <c r="GZ19" s="110"/>
      <c r="HA19" s="114"/>
      <c r="HB19" s="114"/>
      <c r="HC19" s="110"/>
      <c r="HD19" s="110"/>
      <c r="HE19" s="110"/>
      <c r="HF19" s="110"/>
      <c r="HG19" s="111"/>
      <c r="HH19" s="112"/>
      <c r="HI19" s="113"/>
      <c r="HJ19" s="110"/>
      <c r="HK19" s="114"/>
      <c r="HL19" s="114"/>
      <c r="HM19" s="110"/>
      <c r="HN19" s="110"/>
      <c r="HO19" s="110"/>
      <c r="HP19" s="110"/>
      <c r="HQ19" s="111"/>
      <c r="HR19" s="112"/>
      <c r="HS19" s="113"/>
      <c r="HT19" s="110"/>
      <c r="HU19" s="114"/>
      <c r="HV19" s="114"/>
      <c r="HW19" s="110"/>
      <c r="HX19" s="110"/>
      <c r="HY19" s="110"/>
      <c r="HZ19" s="110"/>
      <c r="IA19" s="111"/>
      <c r="IB19" s="112"/>
      <c r="IC19" s="113"/>
      <c r="ID19" s="110"/>
      <c r="IE19" s="114"/>
      <c r="IF19" s="114"/>
      <c r="IG19" s="110"/>
      <c r="IH19" s="110"/>
      <c r="II19" s="110"/>
      <c r="IJ19" s="110"/>
      <c r="IK19" s="111"/>
      <c r="IL19" s="112"/>
      <c r="IM19" s="113"/>
      <c r="IN19" s="110"/>
      <c r="IO19" s="114"/>
      <c r="IP19" s="114"/>
      <c r="IQ19" s="110"/>
      <c r="IR19" s="110"/>
      <c r="IS19" s="110"/>
      <c r="IT19" s="110"/>
      <c r="IU19" s="111"/>
      <c r="IV19" s="112"/>
      <c r="IW19" s="113"/>
      <c r="IX19" s="110"/>
      <c r="IY19" s="114"/>
      <c r="IZ19" s="114"/>
      <c r="JA19" s="110"/>
      <c r="JB19" s="110"/>
      <c r="JC19" s="110"/>
      <c r="JD19" s="110"/>
      <c r="JE19" s="111"/>
      <c r="JF19" s="112"/>
      <c r="JG19" s="113"/>
      <c r="JH19" s="110"/>
      <c r="JI19" s="114"/>
      <c r="JJ19" s="114"/>
      <c r="JK19" s="110"/>
      <c r="JL19" s="110"/>
      <c r="JM19" s="110"/>
      <c r="JN19" s="110"/>
      <c r="JO19" s="111"/>
      <c r="JP19" s="112"/>
      <c r="JQ19" s="113"/>
      <c r="JR19" s="110"/>
      <c r="JS19" s="114"/>
      <c r="JT19" s="114"/>
      <c r="JU19" s="110"/>
      <c r="JV19" s="110"/>
      <c r="JW19" s="110"/>
      <c r="JX19" s="110"/>
      <c r="JY19" s="111"/>
      <c r="JZ19" s="112"/>
      <c r="KA19" s="113"/>
      <c r="KB19" s="110"/>
      <c r="KC19" s="114"/>
      <c r="KD19" s="114"/>
      <c r="KE19" s="110"/>
      <c r="KF19" s="110"/>
      <c r="KG19" s="110"/>
      <c r="KH19" s="110"/>
      <c r="KI19" s="111"/>
      <c r="KJ19" s="112"/>
      <c r="KK19" s="113"/>
      <c r="KL19" s="110"/>
      <c r="KM19" s="114"/>
      <c r="KN19" s="114"/>
      <c r="KO19" s="110"/>
      <c r="KP19" s="110"/>
      <c r="KQ19" s="110"/>
      <c r="KR19" s="110"/>
      <c r="KS19" s="111"/>
      <c r="KT19" s="112"/>
      <c r="KU19" s="113"/>
      <c r="KV19" s="110"/>
      <c r="KW19" s="114"/>
      <c r="KX19" s="114"/>
      <c r="KY19" s="110"/>
      <c r="KZ19" s="110"/>
      <c r="LA19" s="110"/>
      <c r="LB19" s="110"/>
      <c r="LC19" s="111"/>
      <c r="LD19" s="112"/>
      <c r="LE19" s="113"/>
      <c r="LF19" s="110"/>
      <c r="LG19" s="114"/>
      <c r="LH19" s="114"/>
      <c r="LI19" s="110"/>
      <c r="LJ19" s="110"/>
      <c r="LK19" s="110"/>
      <c r="LL19" s="110"/>
      <c r="LM19" s="111"/>
      <c r="LN19" s="112"/>
      <c r="LO19" s="113"/>
      <c r="LP19" s="110"/>
      <c r="LQ19" s="114"/>
      <c r="LR19" s="114"/>
      <c r="LS19" s="110"/>
      <c r="LT19" s="110"/>
      <c r="LU19" s="110"/>
      <c r="LV19" s="110"/>
      <c r="LW19" s="111"/>
      <c r="LX19" s="112"/>
      <c r="LY19" s="113"/>
      <c r="LZ19" s="110"/>
      <c r="MA19" s="114"/>
      <c r="MB19" s="114"/>
      <c r="MC19" s="110"/>
      <c r="MD19" s="110"/>
      <c r="ME19" s="110"/>
      <c r="MF19" s="110"/>
      <c r="MG19" s="111"/>
      <c r="MH19" s="112"/>
      <c r="MI19" s="113"/>
      <c r="MJ19" s="110"/>
      <c r="MK19" s="114"/>
      <c r="ML19" s="114"/>
      <c r="MM19" s="110"/>
      <c r="MN19" s="110"/>
      <c r="MO19" s="110"/>
      <c r="MP19" s="110"/>
      <c r="MQ19" s="111"/>
      <c r="MR19" s="112"/>
      <c r="MS19" s="113"/>
      <c r="MT19" s="110"/>
      <c r="MU19" s="114"/>
      <c r="MV19" s="114"/>
      <c r="MW19" s="110"/>
      <c r="MX19" s="110"/>
      <c r="MY19" s="110"/>
      <c r="MZ19" s="110"/>
      <c r="NA19" s="111"/>
      <c r="NB19" s="112"/>
      <c r="NC19" s="113"/>
      <c r="ND19" s="110"/>
      <c r="NE19" s="114"/>
      <c r="NF19" s="114"/>
      <c r="NG19" s="110"/>
      <c r="NH19" s="110"/>
      <c r="NI19" s="110"/>
      <c r="NJ19" s="110"/>
      <c r="NK19" s="111"/>
      <c r="NL19" s="112"/>
      <c r="NM19" s="113"/>
      <c r="NN19" s="110"/>
      <c r="NO19" s="114"/>
      <c r="NP19" s="114"/>
      <c r="NQ19" s="110"/>
      <c r="NR19" s="110"/>
      <c r="NS19" s="110"/>
      <c r="NT19" s="110"/>
      <c r="NU19" s="111"/>
      <c r="NV19" s="112"/>
      <c r="NW19" s="113"/>
      <c r="NX19" s="110"/>
      <c r="NY19" s="114"/>
      <c r="NZ19" s="114"/>
      <c r="OA19" s="110"/>
      <c r="OB19" s="110"/>
      <c r="OC19" s="110"/>
      <c r="OD19" s="110"/>
      <c r="OE19" s="111"/>
      <c r="OF19" s="112"/>
      <c r="OG19" s="113"/>
      <c r="OH19" s="110"/>
      <c r="OI19" s="114"/>
      <c r="OJ19" s="114"/>
      <c r="OK19" s="110"/>
      <c r="OL19" s="110"/>
      <c r="OM19" s="110"/>
      <c r="ON19" s="110"/>
      <c r="OO19" s="111"/>
      <c r="OP19" s="112"/>
      <c r="OQ19" s="113"/>
      <c r="OR19" s="110"/>
      <c r="OS19" s="114"/>
      <c r="OT19" s="114"/>
      <c r="OU19" s="110"/>
      <c r="OV19" s="110"/>
      <c r="OW19" s="110"/>
      <c r="OX19" s="110"/>
      <c r="OY19" s="111"/>
      <c r="OZ19" s="112"/>
      <c r="PA19" s="113"/>
      <c r="PB19" s="110"/>
      <c r="PC19" s="114"/>
      <c r="PD19" s="114"/>
      <c r="PE19" s="110"/>
      <c r="PF19" s="110"/>
      <c r="PG19" s="110"/>
      <c r="PH19" s="110"/>
      <c r="PI19" s="111"/>
      <c r="PJ19" s="112"/>
      <c r="PK19" s="113"/>
      <c r="PL19" s="110"/>
      <c r="PM19" s="114"/>
      <c r="PN19" s="114"/>
      <c r="PO19" s="110"/>
      <c r="PP19" s="110"/>
      <c r="PQ19" s="110"/>
      <c r="PR19" s="110"/>
      <c r="PS19" s="111"/>
      <c r="PT19" s="112"/>
      <c r="PU19" s="113"/>
      <c r="PV19" s="110"/>
      <c r="PW19" s="114"/>
      <c r="PX19" s="114"/>
      <c r="PY19" s="110"/>
      <c r="PZ19" s="110"/>
      <c r="QA19" s="110"/>
      <c r="QB19" s="110"/>
      <c r="QC19" s="111"/>
      <c r="QD19" s="112"/>
      <c r="QE19" s="113"/>
      <c r="QF19" s="110"/>
      <c r="QG19" s="114"/>
      <c r="QH19" s="114"/>
      <c r="QI19" s="110"/>
      <c r="QJ19" s="110"/>
      <c r="QK19" s="110"/>
      <c r="QL19" s="110"/>
      <c r="QM19" s="111"/>
      <c r="QN19" s="112"/>
      <c r="QO19" s="113"/>
      <c r="QP19" s="110"/>
      <c r="QQ19" s="114"/>
      <c r="QR19" s="114"/>
      <c r="QS19" s="110"/>
      <c r="QT19" s="110"/>
      <c r="QU19" s="110"/>
      <c r="QV19" s="110"/>
      <c r="QW19" s="111"/>
      <c r="QX19" s="112"/>
      <c r="QY19" s="113"/>
      <c r="QZ19" s="110"/>
      <c r="RA19" s="114"/>
      <c r="RB19" s="114"/>
      <c r="RC19" s="110"/>
      <c r="RD19" s="110"/>
      <c r="RE19" s="110"/>
      <c r="RF19" s="110"/>
      <c r="RG19" s="111"/>
      <c r="RH19" s="112"/>
      <c r="RI19" s="113"/>
      <c r="RJ19" s="110"/>
      <c r="RK19" s="114"/>
      <c r="RL19" s="114"/>
      <c r="RM19" s="110"/>
      <c r="RN19" s="110"/>
      <c r="RO19" s="110"/>
      <c r="RP19" s="110"/>
      <c r="RQ19" s="111"/>
      <c r="RR19" s="112"/>
      <c r="RS19" s="113"/>
      <c r="RT19" s="110"/>
      <c r="RU19" s="114"/>
      <c r="RV19" s="114"/>
      <c r="RW19" s="110"/>
      <c r="RX19" s="110"/>
      <c r="RY19" s="110"/>
      <c r="RZ19" s="110"/>
      <c r="SA19" s="111"/>
      <c r="SB19" s="112"/>
      <c r="SC19" s="113"/>
      <c r="SD19" s="110"/>
      <c r="SE19" s="114"/>
      <c r="SF19" s="114"/>
      <c r="SG19" s="110"/>
      <c r="SH19" s="110"/>
      <c r="SI19" s="110"/>
      <c r="SJ19" s="110"/>
      <c r="SK19" s="111"/>
      <c r="SL19" s="112"/>
      <c r="SM19" s="113"/>
      <c r="SN19" s="110"/>
      <c r="SO19" s="114"/>
      <c r="SP19" s="114"/>
      <c r="SQ19" s="110"/>
      <c r="SR19" s="110"/>
      <c r="SS19" s="110"/>
      <c r="ST19" s="110"/>
      <c r="SU19" s="111"/>
      <c r="SV19" s="112"/>
      <c r="SW19" s="113"/>
      <c r="SX19" s="110"/>
      <c r="SY19" s="114"/>
      <c r="SZ19" s="114"/>
      <c r="TA19" s="110"/>
      <c r="TB19" s="110"/>
      <c r="TC19" s="110"/>
      <c r="TD19" s="110"/>
      <c r="TE19" s="111"/>
      <c r="TF19" s="112"/>
      <c r="TG19" s="113"/>
      <c r="TH19" s="110"/>
      <c r="TI19" s="114"/>
      <c r="TJ19" s="114"/>
      <c r="TK19" s="110"/>
      <c r="TL19" s="110"/>
      <c r="TM19" s="110"/>
      <c r="TN19" s="110"/>
      <c r="TO19" s="111"/>
      <c r="TP19" s="112"/>
      <c r="TQ19" s="113"/>
      <c r="TR19" s="110"/>
      <c r="TS19" s="114"/>
      <c r="TT19" s="114"/>
      <c r="TU19" s="110"/>
      <c r="TV19" s="110"/>
      <c r="TW19" s="110"/>
      <c r="TX19" s="110"/>
      <c r="TY19" s="111"/>
      <c r="TZ19" s="112"/>
      <c r="UA19" s="113"/>
      <c r="UB19" s="110"/>
      <c r="UC19" s="114"/>
      <c r="UD19" s="114"/>
      <c r="UE19" s="110"/>
      <c r="UF19" s="110"/>
      <c r="UG19" s="110"/>
      <c r="UH19" s="110"/>
      <c r="UI19" s="111"/>
      <c r="UJ19" s="112"/>
      <c r="UK19" s="113"/>
      <c r="UL19" s="110"/>
      <c r="UM19" s="114"/>
      <c r="UN19" s="114"/>
      <c r="UO19" s="110"/>
      <c r="UP19" s="110"/>
      <c r="UQ19" s="110"/>
      <c r="UR19" s="110"/>
      <c r="US19" s="111"/>
      <c r="UT19" s="112"/>
      <c r="UU19" s="113"/>
      <c r="UV19" s="110"/>
      <c r="UW19" s="114"/>
      <c r="UX19" s="114"/>
      <c r="UY19" s="110"/>
      <c r="UZ19" s="110"/>
      <c r="VA19" s="110"/>
      <c r="VB19" s="110"/>
      <c r="VC19" s="111"/>
      <c r="VD19" s="112"/>
      <c r="VE19" s="113"/>
      <c r="VF19" s="110"/>
      <c r="VG19" s="114"/>
      <c r="VH19" s="114"/>
      <c r="VI19" s="110"/>
      <c r="VJ19" s="110"/>
      <c r="VK19" s="110"/>
      <c r="VL19" s="110"/>
      <c r="VM19" s="111"/>
      <c r="VN19" s="112"/>
      <c r="VO19" s="113"/>
      <c r="VP19" s="110"/>
      <c r="VQ19" s="114"/>
      <c r="VR19" s="114"/>
      <c r="VS19" s="110"/>
      <c r="VT19" s="110"/>
      <c r="VU19" s="110"/>
      <c r="VV19" s="110"/>
      <c r="VW19" s="111"/>
      <c r="VX19" s="112"/>
      <c r="VY19" s="113"/>
      <c r="VZ19" s="110"/>
      <c r="WA19" s="114"/>
      <c r="WB19" s="114"/>
      <c r="WC19" s="110"/>
      <c r="WD19" s="110"/>
      <c r="WE19" s="110"/>
      <c r="WF19" s="110"/>
      <c r="WG19" s="111"/>
      <c r="WH19" s="112"/>
      <c r="WI19" s="113"/>
      <c r="WJ19" s="110"/>
      <c r="WK19" s="114"/>
      <c r="WL19" s="114"/>
      <c r="WM19" s="110"/>
      <c r="WN19" s="110"/>
      <c r="WO19" s="110"/>
      <c r="WP19" s="110"/>
      <c r="WQ19" s="111"/>
      <c r="WR19" s="112"/>
      <c r="WS19" s="113"/>
      <c r="WT19" s="110"/>
      <c r="WU19" s="114"/>
      <c r="WV19" s="114"/>
      <c r="WW19" s="110"/>
      <c r="WX19" s="110"/>
      <c r="WY19" s="110"/>
      <c r="WZ19" s="110"/>
      <c r="XA19" s="111"/>
      <c r="XB19" s="112"/>
      <c r="XC19" s="113"/>
      <c r="XD19" s="110"/>
      <c r="XE19" s="114"/>
      <c r="XF19" s="114"/>
      <c r="XG19" s="110"/>
      <c r="XH19" s="110"/>
      <c r="XI19" s="110"/>
      <c r="XJ19" s="110"/>
      <c r="XK19" s="111"/>
      <c r="XL19" s="112"/>
      <c r="XM19" s="113"/>
      <c r="XN19" s="110"/>
      <c r="XO19" s="114"/>
      <c r="XP19" s="114"/>
      <c r="XQ19" s="110"/>
      <c r="XR19" s="110"/>
      <c r="XS19" s="110"/>
      <c r="XT19" s="110"/>
      <c r="XU19" s="111"/>
      <c r="XV19" s="112"/>
      <c r="XW19" s="113"/>
      <c r="XX19" s="110"/>
      <c r="XY19" s="114"/>
      <c r="XZ19" s="114"/>
      <c r="YA19" s="110"/>
      <c r="YB19" s="110"/>
      <c r="YC19" s="110"/>
      <c r="YD19" s="110"/>
      <c r="YE19" s="111"/>
      <c r="YF19" s="112"/>
      <c r="YG19" s="113"/>
      <c r="YH19" s="110"/>
      <c r="YI19" s="114"/>
      <c r="YJ19" s="114"/>
      <c r="YK19" s="110"/>
      <c r="YL19" s="110"/>
      <c r="YM19" s="110"/>
      <c r="YN19" s="110"/>
      <c r="YO19" s="111"/>
      <c r="YP19" s="112"/>
      <c r="YQ19" s="113"/>
      <c r="YR19" s="110"/>
      <c r="YS19" s="114"/>
      <c r="YT19" s="114"/>
      <c r="YU19" s="110"/>
      <c r="YV19" s="110"/>
      <c r="YW19" s="110"/>
      <c r="YX19" s="110"/>
      <c r="YY19" s="111"/>
      <c r="YZ19" s="112"/>
      <c r="ZA19" s="113"/>
      <c r="ZB19" s="110"/>
      <c r="ZC19" s="114"/>
      <c r="ZD19" s="114"/>
      <c r="ZE19" s="110"/>
      <c r="ZF19" s="110"/>
      <c r="ZG19" s="110"/>
      <c r="ZH19" s="110"/>
      <c r="ZI19" s="111"/>
      <c r="ZJ19" s="112"/>
      <c r="ZK19" s="113"/>
      <c r="ZL19" s="110"/>
      <c r="ZM19" s="114"/>
      <c r="ZN19" s="114"/>
      <c r="ZO19" s="110"/>
      <c r="ZP19" s="110"/>
      <c r="ZQ19" s="110"/>
      <c r="ZR19" s="110"/>
      <c r="ZS19" s="111"/>
      <c r="ZT19" s="112"/>
      <c r="ZU19" s="113"/>
      <c r="ZV19" s="110"/>
      <c r="ZW19" s="114"/>
      <c r="ZX19" s="114"/>
      <c r="ZY19" s="110"/>
      <c r="ZZ19" s="110"/>
      <c r="AAA19" s="110"/>
      <c r="AAB19" s="110"/>
      <c r="AAC19" s="111"/>
      <c r="AAD19" s="112"/>
      <c r="AAE19" s="113"/>
      <c r="AAF19" s="110"/>
      <c r="AAG19" s="114"/>
      <c r="AAH19" s="114"/>
      <c r="AAI19" s="110"/>
      <c r="AAJ19" s="110"/>
      <c r="AAK19" s="110"/>
      <c r="AAL19" s="110"/>
      <c r="AAM19" s="111"/>
      <c r="AAN19" s="112"/>
      <c r="AAO19" s="113"/>
      <c r="AAP19" s="110"/>
      <c r="AAQ19" s="114"/>
      <c r="AAR19" s="114"/>
      <c r="AAS19" s="110"/>
      <c r="AAT19" s="110"/>
      <c r="AAU19" s="110"/>
      <c r="AAV19" s="110"/>
      <c r="AAW19" s="111"/>
      <c r="AAX19" s="112"/>
      <c r="AAY19" s="113"/>
      <c r="AAZ19" s="110"/>
      <c r="ABA19" s="114"/>
      <c r="ABB19" s="114"/>
      <c r="ABC19" s="110"/>
      <c r="ABD19" s="110"/>
      <c r="ABE19" s="110"/>
      <c r="ABF19" s="110"/>
      <c r="ABG19" s="111"/>
      <c r="ABH19" s="112"/>
      <c r="ABI19" s="113"/>
      <c r="ABJ19" s="110"/>
      <c r="ABK19" s="114"/>
      <c r="ABL19" s="114"/>
      <c r="ABM19" s="110"/>
      <c r="ABN19" s="110"/>
      <c r="ABO19" s="110"/>
      <c r="ABP19" s="110"/>
      <c r="ABQ19" s="111"/>
      <c r="ABR19" s="112"/>
      <c r="ABS19" s="113"/>
      <c r="ABT19" s="110"/>
      <c r="ABU19" s="114"/>
      <c r="ABV19" s="114"/>
      <c r="ABW19" s="110"/>
      <c r="ABX19" s="110"/>
      <c r="ABY19" s="110"/>
      <c r="ABZ19" s="110"/>
      <c r="ACA19" s="111"/>
      <c r="ACB19" s="112"/>
      <c r="ACC19" s="113"/>
      <c r="ACD19" s="110"/>
      <c r="ACE19" s="114"/>
      <c r="ACF19" s="114"/>
      <c r="ACG19" s="110"/>
      <c r="ACH19" s="110"/>
      <c r="ACI19" s="110"/>
      <c r="ACJ19" s="110"/>
      <c r="ACK19" s="111"/>
      <c r="ACL19" s="112"/>
      <c r="ACM19" s="113"/>
      <c r="ACN19" s="110"/>
      <c r="ACO19" s="114"/>
      <c r="ACP19" s="114"/>
      <c r="ACQ19" s="110"/>
      <c r="ACR19" s="110"/>
      <c r="ACS19" s="110"/>
      <c r="ACT19" s="110"/>
      <c r="ACU19" s="111"/>
      <c r="ACV19" s="112"/>
      <c r="ACW19" s="113"/>
      <c r="ACX19" s="110"/>
      <c r="ACY19" s="114"/>
      <c r="ACZ19" s="114"/>
      <c r="ADA19" s="110"/>
      <c r="ADB19" s="110"/>
      <c r="ADC19" s="110"/>
      <c r="ADD19" s="110"/>
      <c r="ADE19" s="111"/>
      <c r="ADF19" s="112"/>
      <c r="ADG19" s="113"/>
      <c r="ADH19" s="110"/>
      <c r="ADI19" s="114"/>
      <c r="ADJ19" s="114"/>
      <c r="ADK19" s="110"/>
      <c r="ADL19" s="110"/>
      <c r="ADM19" s="110"/>
      <c r="ADN19" s="110"/>
      <c r="ADO19" s="111"/>
      <c r="ADP19" s="112"/>
      <c r="ADQ19" s="113"/>
      <c r="ADR19" s="110"/>
      <c r="ADS19" s="114"/>
      <c r="ADT19" s="114"/>
      <c r="ADU19" s="110"/>
      <c r="ADV19" s="110"/>
      <c r="ADW19" s="110"/>
      <c r="ADX19" s="110"/>
      <c r="ADY19" s="111"/>
      <c r="ADZ19" s="112"/>
      <c r="AEA19" s="113"/>
      <c r="AEB19" s="110"/>
      <c r="AEC19" s="114"/>
      <c r="AED19" s="114"/>
      <c r="AEE19" s="110"/>
      <c r="AEF19" s="110"/>
      <c r="AEG19" s="110"/>
      <c r="AEH19" s="110"/>
      <c r="AEI19" s="111"/>
      <c r="AEJ19" s="112"/>
      <c r="AEK19" s="113"/>
      <c r="AEL19" s="110"/>
      <c r="AEM19" s="114"/>
      <c r="AEN19" s="114"/>
      <c r="AEO19" s="110"/>
      <c r="AEP19" s="110"/>
      <c r="AEQ19" s="110"/>
      <c r="AER19" s="110"/>
      <c r="AES19" s="111"/>
      <c r="AET19" s="112"/>
      <c r="AEU19" s="113"/>
      <c r="AEV19" s="110"/>
      <c r="AEW19" s="114"/>
      <c r="AEX19" s="114"/>
      <c r="AEY19" s="110"/>
      <c r="AEZ19" s="110"/>
      <c r="AFA19" s="110"/>
      <c r="AFB19" s="110"/>
      <c r="AFC19" s="111"/>
      <c r="AFD19" s="112"/>
      <c r="AFE19" s="113"/>
      <c r="AFF19" s="110"/>
      <c r="AFG19" s="114"/>
      <c r="AFH19" s="114"/>
      <c r="AFI19" s="110"/>
      <c r="AFJ19" s="110"/>
      <c r="AFK19" s="110"/>
      <c r="AFL19" s="110"/>
      <c r="AFM19" s="111"/>
      <c r="AFN19" s="112"/>
      <c r="AFO19" s="113"/>
      <c r="AFP19" s="110"/>
      <c r="AFQ19" s="114"/>
      <c r="AFR19" s="114"/>
      <c r="AFS19" s="110"/>
      <c r="AFT19" s="110"/>
      <c r="AFU19" s="110"/>
      <c r="AFV19" s="110"/>
      <c r="AFW19" s="111"/>
      <c r="AFX19" s="112"/>
      <c r="AFY19" s="113"/>
      <c r="AFZ19" s="110"/>
      <c r="AGA19" s="114"/>
      <c r="AGB19" s="114"/>
      <c r="AGC19" s="110"/>
      <c r="AGD19" s="110"/>
      <c r="AGE19" s="110"/>
      <c r="AGF19" s="110"/>
      <c r="AGG19" s="111"/>
      <c r="AGH19" s="112"/>
      <c r="AGI19" s="113"/>
      <c r="AGJ19" s="110"/>
      <c r="AGK19" s="114"/>
      <c r="AGL19" s="114"/>
      <c r="AGM19" s="110"/>
      <c r="AGN19" s="110"/>
      <c r="AGO19" s="110"/>
      <c r="AGP19" s="110"/>
      <c r="AGQ19" s="111"/>
      <c r="AGR19" s="112"/>
      <c r="AGS19" s="113"/>
      <c r="AGT19" s="110"/>
      <c r="AGU19" s="114"/>
      <c r="AGV19" s="114"/>
      <c r="AGW19" s="110"/>
      <c r="AGX19" s="110"/>
      <c r="AGY19" s="110"/>
      <c r="AGZ19" s="110"/>
      <c r="AHA19" s="111"/>
      <c r="AHB19" s="112"/>
      <c r="AHC19" s="113"/>
      <c r="AHD19" s="110"/>
      <c r="AHE19" s="114"/>
      <c r="AHF19" s="114"/>
      <c r="AHG19" s="110"/>
      <c r="AHH19" s="110"/>
      <c r="AHI19" s="110"/>
      <c r="AHJ19" s="110"/>
      <c r="AHK19" s="111"/>
      <c r="AHL19" s="112"/>
      <c r="AHM19" s="113"/>
      <c r="AHN19" s="110"/>
      <c r="AHO19" s="114"/>
      <c r="AHP19" s="114"/>
      <c r="AHQ19" s="110"/>
      <c r="AHR19" s="110"/>
      <c r="AHS19" s="110"/>
      <c r="AHT19" s="110"/>
      <c r="AHU19" s="111"/>
      <c r="AHV19" s="112"/>
      <c r="AHW19" s="113"/>
      <c r="AHX19" s="110"/>
      <c r="AHY19" s="114"/>
      <c r="AHZ19" s="114"/>
      <c r="AIA19" s="110"/>
      <c r="AIB19" s="110"/>
      <c r="AIC19" s="110"/>
      <c r="AID19" s="110"/>
      <c r="AIE19" s="111"/>
      <c r="AIF19" s="112"/>
      <c r="AIG19" s="113"/>
      <c r="AIH19" s="110"/>
      <c r="AII19" s="114"/>
      <c r="AIJ19" s="114"/>
      <c r="AIK19" s="110"/>
      <c r="AIL19" s="110"/>
      <c r="AIM19" s="110"/>
      <c r="AIN19" s="110"/>
      <c r="AIO19" s="111"/>
      <c r="AIP19" s="112"/>
      <c r="AIQ19" s="113"/>
      <c r="AIR19" s="110"/>
      <c r="AIS19" s="114"/>
      <c r="AIT19" s="114"/>
      <c r="AIU19" s="110"/>
      <c r="AIV19" s="110"/>
      <c r="AIW19" s="110"/>
      <c r="AIX19" s="110"/>
      <c r="AIY19" s="111"/>
      <c r="AIZ19" s="112"/>
      <c r="AJA19" s="113"/>
      <c r="AJB19" s="110"/>
      <c r="AJC19" s="114"/>
      <c r="AJD19" s="114"/>
      <c r="AJE19" s="110"/>
      <c r="AJF19" s="110"/>
      <c r="AJG19" s="110"/>
      <c r="AJH19" s="110"/>
      <c r="AJI19" s="111"/>
      <c r="AJJ19" s="112"/>
      <c r="AJK19" s="113"/>
      <c r="AJL19" s="110"/>
      <c r="AJM19" s="114"/>
      <c r="AJN19" s="114"/>
      <c r="AJO19" s="110"/>
      <c r="AJP19" s="110"/>
      <c r="AJQ19" s="110"/>
      <c r="AJR19" s="110"/>
      <c r="AJS19" s="111"/>
      <c r="AJT19" s="112"/>
      <c r="AJU19" s="113"/>
      <c r="AJV19" s="110"/>
      <c r="AJW19" s="114"/>
      <c r="AJX19" s="114"/>
      <c r="AJY19" s="110"/>
      <c r="AJZ19" s="110"/>
      <c r="AKA19" s="110"/>
      <c r="AKB19" s="110"/>
      <c r="AKC19" s="111"/>
      <c r="AKD19" s="112"/>
      <c r="AKE19" s="113"/>
      <c r="AKF19" s="110"/>
      <c r="AKG19" s="114"/>
      <c r="AKH19" s="114"/>
      <c r="AKI19" s="110"/>
      <c r="AKJ19" s="110"/>
      <c r="AKK19" s="110"/>
      <c r="AKL19" s="110"/>
      <c r="AKM19" s="111"/>
      <c r="AKN19" s="112"/>
      <c r="AKO19" s="113"/>
      <c r="AKP19" s="110"/>
      <c r="AKQ19" s="114"/>
      <c r="AKR19" s="114"/>
      <c r="AKS19" s="110"/>
      <c r="AKT19" s="110"/>
      <c r="AKU19" s="110"/>
      <c r="AKV19" s="110"/>
      <c r="AKW19" s="111"/>
      <c r="AKX19" s="112"/>
      <c r="AKY19" s="113"/>
      <c r="AKZ19" s="110"/>
      <c r="ALA19" s="114"/>
      <c r="ALB19" s="114"/>
      <c r="ALC19" s="110"/>
      <c r="ALD19" s="110"/>
      <c r="ALE19" s="110"/>
      <c r="ALF19" s="110"/>
      <c r="ALG19" s="111"/>
      <c r="ALH19" s="112"/>
      <c r="ALI19" s="113"/>
      <c r="ALJ19" s="110"/>
      <c r="ALK19" s="114"/>
      <c r="ALL19" s="114"/>
      <c r="ALM19" s="110"/>
      <c r="ALN19" s="110"/>
      <c r="ALO19" s="110"/>
      <c r="ALP19" s="110"/>
      <c r="ALQ19" s="111"/>
      <c r="ALR19" s="112"/>
      <c r="ALS19" s="113"/>
      <c r="ALT19" s="110"/>
      <c r="ALU19" s="114"/>
      <c r="ALV19" s="114"/>
      <c r="ALW19" s="110"/>
      <c r="ALX19" s="110"/>
      <c r="ALY19" s="110"/>
      <c r="ALZ19" s="110"/>
      <c r="AMA19" s="111"/>
      <c r="AMB19" s="112"/>
      <c r="AMC19" s="113"/>
      <c r="AMD19" s="110"/>
      <c r="AME19" s="114"/>
      <c r="AMF19" s="114"/>
      <c r="AMG19" s="110"/>
      <c r="AMH19" s="110"/>
      <c r="AMI19" s="110"/>
      <c r="AMJ19" s="110"/>
      <c r="AMK19" s="111"/>
      <c r="AML19" s="112"/>
      <c r="AMM19" s="113"/>
      <c r="AMN19" s="110"/>
      <c r="AMO19" s="114"/>
      <c r="AMP19" s="114"/>
      <c r="AMQ19" s="110"/>
      <c r="AMR19" s="110"/>
      <c r="AMS19" s="110"/>
      <c r="AMT19" s="110"/>
      <c r="AMU19" s="111"/>
      <c r="AMV19" s="112"/>
      <c r="AMW19" s="113"/>
      <c r="AMX19" s="110"/>
      <c r="AMY19" s="114"/>
      <c r="AMZ19" s="114"/>
      <c r="ANA19" s="110"/>
      <c r="ANB19" s="110"/>
      <c r="ANC19" s="110"/>
      <c r="AND19" s="110"/>
      <c r="ANE19" s="111"/>
      <c r="ANF19" s="112"/>
      <c r="ANG19" s="113"/>
      <c r="ANH19" s="110"/>
      <c r="ANI19" s="114"/>
      <c r="ANJ19" s="114"/>
      <c r="ANK19" s="110"/>
      <c r="ANL19" s="110"/>
      <c r="ANM19" s="110"/>
      <c r="ANN19" s="110"/>
      <c r="ANO19" s="111"/>
      <c r="ANP19" s="112"/>
      <c r="ANQ19" s="113"/>
      <c r="ANR19" s="110"/>
      <c r="ANS19" s="114"/>
      <c r="ANT19" s="114"/>
      <c r="ANU19" s="110"/>
      <c r="ANV19" s="110"/>
      <c r="ANW19" s="110"/>
      <c r="ANX19" s="110"/>
      <c r="ANY19" s="111"/>
      <c r="ANZ19" s="112"/>
      <c r="AOA19" s="113"/>
      <c r="AOB19" s="110"/>
      <c r="AOC19" s="114"/>
      <c r="AOD19" s="114"/>
      <c r="AOE19" s="110"/>
      <c r="AOF19" s="110"/>
      <c r="AOG19" s="110"/>
      <c r="AOH19" s="110"/>
      <c r="AOI19" s="111"/>
      <c r="AOJ19" s="112"/>
      <c r="AOK19" s="113"/>
      <c r="AOL19" s="110"/>
      <c r="AOM19" s="114"/>
      <c r="AON19" s="114"/>
      <c r="AOO19" s="110"/>
      <c r="AOP19" s="110"/>
      <c r="AOQ19" s="110"/>
      <c r="AOR19" s="110"/>
      <c r="AOS19" s="111"/>
      <c r="AOT19" s="112"/>
      <c r="AOU19" s="113"/>
      <c r="AOV19" s="110"/>
      <c r="AOW19" s="114"/>
      <c r="AOX19" s="114"/>
      <c r="AOY19" s="110"/>
      <c r="AOZ19" s="110"/>
      <c r="APA19" s="110"/>
      <c r="APB19" s="110"/>
      <c r="APC19" s="111"/>
      <c r="APD19" s="112"/>
      <c r="APE19" s="113"/>
      <c r="APF19" s="110"/>
      <c r="APG19" s="114"/>
      <c r="APH19" s="114"/>
      <c r="API19" s="110"/>
      <c r="APJ19" s="110"/>
      <c r="APK19" s="110"/>
      <c r="APL19" s="110"/>
      <c r="APM19" s="111"/>
      <c r="APN19" s="112"/>
      <c r="APO19" s="113"/>
      <c r="APP19" s="110"/>
      <c r="APQ19" s="114"/>
      <c r="APR19" s="114"/>
      <c r="APS19" s="110"/>
      <c r="APT19" s="110"/>
      <c r="APU19" s="110"/>
      <c r="APV19" s="110"/>
      <c r="APW19" s="111"/>
      <c r="APX19" s="112"/>
      <c r="APY19" s="113"/>
      <c r="APZ19" s="110"/>
      <c r="AQA19" s="114"/>
      <c r="AQB19" s="114"/>
      <c r="AQC19" s="110"/>
      <c r="AQD19" s="110"/>
      <c r="AQE19" s="110"/>
      <c r="AQF19" s="110"/>
      <c r="AQG19" s="111"/>
      <c r="AQH19" s="112"/>
      <c r="AQI19" s="113"/>
      <c r="AQJ19" s="110"/>
      <c r="AQK19" s="114"/>
      <c r="AQL19" s="114"/>
      <c r="AQM19" s="110"/>
      <c r="AQN19" s="110"/>
      <c r="AQO19" s="110"/>
      <c r="AQP19" s="110"/>
      <c r="AQQ19" s="111"/>
      <c r="AQR19" s="112"/>
      <c r="AQS19" s="113"/>
      <c r="AQT19" s="110"/>
      <c r="AQU19" s="114"/>
      <c r="AQV19" s="114"/>
      <c r="AQW19" s="110"/>
      <c r="AQX19" s="110"/>
      <c r="AQY19" s="110"/>
      <c r="AQZ19" s="110"/>
      <c r="ARA19" s="111"/>
      <c r="ARB19" s="112"/>
      <c r="ARC19" s="113"/>
      <c r="ARD19" s="110"/>
      <c r="ARE19" s="114"/>
      <c r="ARF19" s="114"/>
      <c r="ARG19" s="110"/>
      <c r="ARH19" s="110"/>
      <c r="ARI19" s="110"/>
      <c r="ARJ19" s="110"/>
      <c r="ARK19" s="111"/>
      <c r="ARL19" s="112"/>
      <c r="ARM19" s="113"/>
      <c r="ARN19" s="110"/>
      <c r="ARO19" s="114"/>
      <c r="ARP19" s="114"/>
      <c r="ARQ19" s="110"/>
      <c r="ARR19" s="110"/>
      <c r="ARS19" s="110"/>
      <c r="ART19" s="110"/>
      <c r="ARU19" s="111"/>
      <c r="ARV19" s="112"/>
      <c r="ARW19" s="113"/>
      <c r="ARX19" s="110"/>
      <c r="ARY19" s="114"/>
      <c r="ARZ19" s="114"/>
      <c r="ASA19" s="110"/>
      <c r="ASB19" s="110"/>
      <c r="ASC19" s="110"/>
      <c r="ASD19" s="110"/>
      <c r="ASE19" s="111"/>
      <c r="ASF19" s="112"/>
      <c r="ASG19" s="113"/>
      <c r="ASH19" s="110"/>
      <c r="ASI19" s="114"/>
      <c r="ASJ19" s="114"/>
      <c r="ASK19" s="110"/>
      <c r="ASL19" s="110"/>
      <c r="ASM19" s="110"/>
      <c r="ASN19" s="110"/>
      <c r="ASO19" s="111"/>
      <c r="ASP19" s="112"/>
      <c r="ASQ19" s="113"/>
      <c r="ASR19" s="110"/>
      <c r="ASS19" s="114"/>
      <c r="AST19" s="114"/>
      <c r="ASU19" s="110"/>
      <c r="ASV19" s="110"/>
      <c r="ASW19" s="110"/>
      <c r="ASX19" s="110"/>
      <c r="ASY19" s="111"/>
      <c r="ASZ19" s="112"/>
      <c r="ATA19" s="113"/>
      <c r="ATB19" s="110"/>
      <c r="ATC19" s="114"/>
      <c r="ATD19" s="114"/>
      <c r="ATE19" s="110"/>
      <c r="ATF19" s="110"/>
      <c r="ATG19" s="110"/>
      <c r="ATH19" s="110"/>
      <c r="ATI19" s="111"/>
      <c r="ATJ19" s="112"/>
      <c r="ATK19" s="113"/>
      <c r="ATL19" s="110"/>
      <c r="ATM19" s="114"/>
      <c r="ATN19" s="114"/>
      <c r="ATO19" s="110"/>
      <c r="ATP19" s="110"/>
      <c r="ATQ19" s="110"/>
      <c r="ATR19" s="110"/>
      <c r="ATS19" s="111"/>
      <c r="ATT19" s="112"/>
      <c r="ATU19" s="113"/>
      <c r="ATV19" s="110"/>
      <c r="ATW19" s="114"/>
      <c r="ATX19" s="114"/>
      <c r="ATY19" s="110"/>
      <c r="ATZ19" s="110"/>
      <c r="AUA19" s="110"/>
      <c r="AUB19" s="110"/>
      <c r="AUC19" s="111"/>
      <c r="AUD19" s="112"/>
      <c r="AUE19" s="113"/>
      <c r="AUF19" s="110"/>
      <c r="AUG19" s="114"/>
      <c r="AUH19" s="114"/>
      <c r="AUI19" s="110"/>
      <c r="AUJ19" s="110"/>
      <c r="AUK19" s="110"/>
      <c r="AUL19" s="110"/>
      <c r="AUM19" s="111"/>
      <c r="AUN19" s="112"/>
      <c r="AUO19" s="113"/>
      <c r="AUP19" s="110"/>
      <c r="AUQ19" s="114"/>
      <c r="AUR19" s="114"/>
      <c r="AUS19" s="110"/>
      <c r="AUT19" s="110"/>
      <c r="AUU19" s="110"/>
      <c r="AUV19" s="110"/>
      <c r="AUW19" s="111"/>
      <c r="AUX19" s="112"/>
      <c r="AUY19" s="113"/>
      <c r="AUZ19" s="110"/>
      <c r="AVA19" s="114"/>
      <c r="AVB19" s="114"/>
      <c r="AVC19" s="110"/>
      <c r="AVD19" s="110"/>
      <c r="AVE19" s="110"/>
      <c r="AVF19" s="110"/>
      <c r="AVG19" s="111"/>
      <c r="AVH19" s="112"/>
      <c r="AVI19" s="113"/>
      <c r="AVJ19" s="110"/>
      <c r="AVK19" s="114"/>
      <c r="AVL19" s="114"/>
      <c r="AVM19" s="110"/>
      <c r="AVN19" s="110"/>
      <c r="AVO19" s="110"/>
      <c r="AVP19" s="110"/>
      <c r="AVQ19" s="111"/>
      <c r="AVR19" s="112"/>
      <c r="AVS19" s="113"/>
      <c r="AVT19" s="110"/>
      <c r="AVU19" s="114"/>
      <c r="AVV19" s="114"/>
      <c r="AVW19" s="110"/>
      <c r="AVX19" s="110"/>
      <c r="AVY19" s="110"/>
      <c r="AVZ19" s="110"/>
      <c r="AWA19" s="111"/>
      <c r="AWB19" s="112"/>
      <c r="AWC19" s="113"/>
      <c r="AWD19" s="110"/>
      <c r="AWE19" s="114"/>
      <c r="AWF19" s="114"/>
      <c r="AWG19" s="110"/>
      <c r="AWH19" s="110"/>
      <c r="AWI19" s="110"/>
      <c r="AWJ19" s="110"/>
      <c r="AWK19" s="111"/>
      <c r="AWL19" s="112"/>
      <c r="AWM19" s="113"/>
      <c r="AWN19" s="110"/>
      <c r="AWO19" s="114"/>
      <c r="AWP19" s="114"/>
      <c r="AWQ19" s="110"/>
      <c r="AWR19" s="110"/>
      <c r="AWS19" s="110"/>
      <c r="AWT19" s="110"/>
      <c r="AWU19" s="111"/>
      <c r="AWV19" s="112"/>
      <c r="AWW19" s="113"/>
      <c r="AWX19" s="110"/>
      <c r="AWY19" s="114"/>
      <c r="AWZ19" s="114"/>
      <c r="AXA19" s="110"/>
      <c r="AXB19" s="110"/>
      <c r="AXC19" s="110"/>
      <c r="AXD19" s="110"/>
      <c r="AXE19" s="111"/>
      <c r="AXF19" s="112"/>
      <c r="AXG19" s="113"/>
      <c r="AXH19" s="110"/>
      <c r="AXI19" s="114"/>
      <c r="AXJ19" s="114"/>
      <c r="AXK19" s="110"/>
      <c r="AXL19" s="110"/>
      <c r="AXM19" s="110"/>
      <c r="AXN19" s="110"/>
      <c r="AXO19" s="111"/>
      <c r="AXP19" s="112"/>
      <c r="AXQ19" s="113"/>
      <c r="AXR19" s="110"/>
      <c r="AXS19" s="114"/>
      <c r="AXT19" s="114"/>
      <c r="AXU19" s="110"/>
      <c r="AXV19" s="110"/>
      <c r="AXW19" s="110"/>
      <c r="AXX19" s="110"/>
      <c r="AXY19" s="111"/>
      <c r="AXZ19" s="112"/>
      <c r="AYA19" s="113"/>
      <c r="AYB19" s="110"/>
      <c r="AYC19" s="114"/>
      <c r="AYD19" s="114"/>
      <c r="AYE19" s="110"/>
      <c r="AYF19" s="110"/>
      <c r="AYG19" s="110"/>
      <c r="AYH19" s="110"/>
      <c r="AYI19" s="111"/>
      <c r="AYJ19" s="112"/>
      <c r="AYK19" s="113"/>
      <c r="AYL19" s="110"/>
      <c r="AYM19" s="114"/>
      <c r="AYN19" s="114"/>
      <c r="AYO19" s="110"/>
      <c r="AYP19" s="110"/>
      <c r="AYQ19" s="110"/>
      <c r="AYR19" s="110"/>
      <c r="AYS19" s="111"/>
      <c r="AYT19" s="112"/>
      <c r="AYU19" s="113"/>
      <c r="AYV19" s="110"/>
      <c r="AYW19" s="114"/>
      <c r="AYX19" s="114"/>
      <c r="AYY19" s="110"/>
      <c r="AYZ19" s="110"/>
      <c r="AZA19" s="110"/>
      <c r="AZB19" s="110"/>
      <c r="AZC19" s="111"/>
      <c r="AZD19" s="112"/>
      <c r="AZE19" s="113"/>
      <c r="AZF19" s="110"/>
      <c r="AZG19" s="114"/>
      <c r="AZH19" s="114"/>
      <c r="AZI19" s="110"/>
      <c r="AZJ19" s="110"/>
      <c r="AZK19" s="110"/>
      <c r="AZL19" s="110"/>
      <c r="AZM19" s="111"/>
      <c r="AZN19" s="112"/>
      <c r="AZO19" s="113"/>
      <c r="AZP19" s="110"/>
      <c r="AZQ19" s="114"/>
      <c r="AZR19" s="114"/>
      <c r="AZS19" s="110"/>
      <c r="AZT19" s="110"/>
      <c r="AZU19" s="110"/>
      <c r="AZV19" s="110"/>
      <c r="AZW19" s="111"/>
      <c r="AZX19" s="112"/>
      <c r="AZY19" s="113"/>
      <c r="AZZ19" s="110"/>
      <c r="BAA19" s="114"/>
      <c r="BAB19" s="114"/>
      <c r="BAC19" s="110"/>
      <c r="BAD19" s="110"/>
      <c r="BAE19" s="110"/>
      <c r="BAF19" s="110"/>
      <c r="BAG19" s="111"/>
      <c r="BAH19" s="112"/>
      <c r="BAI19" s="113"/>
      <c r="BAJ19" s="110"/>
      <c r="BAK19" s="114"/>
      <c r="BAL19" s="114"/>
      <c r="BAM19" s="110"/>
      <c r="BAN19" s="110"/>
      <c r="BAO19" s="110"/>
      <c r="BAP19" s="110"/>
      <c r="BAQ19" s="111"/>
      <c r="BAR19" s="112"/>
      <c r="BAS19" s="113"/>
      <c r="BAT19" s="110"/>
      <c r="BAU19" s="114"/>
      <c r="BAV19" s="114"/>
      <c r="BAW19" s="110"/>
      <c r="BAX19" s="110"/>
      <c r="BAY19" s="110"/>
      <c r="BAZ19" s="110"/>
      <c r="BBA19" s="111"/>
      <c r="BBB19" s="112"/>
      <c r="BBC19" s="113"/>
      <c r="BBD19" s="110"/>
      <c r="BBE19" s="114"/>
      <c r="BBF19" s="114"/>
      <c r="BBG19" s="110"/>
      <c r="BBH19" s="110"/>
      <c r="BBI19" s="110"/>
      <c r="BBJ19" s="110"/>
      <c r="BBK19" s="111"/>
      <c r="BBL19" s="112"/>
      <c r="BBM19" s="113"/>
      <c r="BBN19" s="110"/>
      <c r="BBO19" s="114"/>
      <c r="BBP19" s="114"/>
      <c r="BBQ19" s="110"/>
      <c r="BBR19" s="110"/>
      <c r="BBS19" s="110"/>
      <c r="BBT19" s="110"/>
      <c r="BBU19" s="111"/>
      <c r="BBV19" s="112"/>
      <c r="BBW19" s="113"/>
      <c r="BBX19" s="110"/>
      <c r="BBY19" s="114"/>
      <c r="BBZ19" s="114"/>
      <c r="BCA19" s="110"/>
      <c r="BCB19" s="110"/>
      <c r="BCC19" s="110"/>
      <c r="BCD19" s="110"/>
      <c r="BCE19" s="111"/>
      <c r="BCF19" s="112"/>
      <c r="BCG19" s="113"/>
      <c r="BCH19" s="110"/>
      <c r="BCI19" s="114"/>
      <c r="BCJ19" s="114"/>
      <c r="BCK19" s="110"/>
      <c r="BCL19" s="110"/>
      <c r="BCM19" s="110"/>
      <c r="BCN19" s="110"/>
      <c r="BCO19" s="111"/>
      <c r="BCP19" s="112"/>
      <c r="BCQ19" s="113"/>
      <c r="BCR19" s="110"/>
      <c r="BCS19" s="114"/>
      <c r="BCT19" s="114"/>
      <c r="BCU19" s="110"/>
      <c r="BCV19" s="110"/>
      <c r="BCW19" s="110"/>
      <c r="BCX19" s="110"/>
      <c r="BCY19" s="111"/>
      <c r="BCZ19" s="112"/>
      <c r="BDA19" s="113"/>
      <c r="BDB19" s="110"/>
      <c r="BDC19" s="114"/>
      <c r="BDD19" s="114"/>
      <c r="BDE19" s="110"/>
      <c r="BDF19" s="110"/>
      <c r="BDG19" s="110"/>
      <c r="BDH19" s="110"/>
      <c r="BDI19" s="111"/>
      <c r="BDJ19" s="112"/>
      <c r="BDK19" s="113"/>
      <c r="BDL19" s="110"/>
      <c r="BDM19" s="114"/>
      <c r="BDN19" s="114"/>
      <c r="BDO19" s="110"/>
      <c r="BDP19" s="110"/>
      <c r="BDQ19" s="110"/>
      <c r="BDR19" s="110"/>
      <c r="BDS19" s="111"/>
      <c r="BDT19" s="112"/>
      <c r="BDU19" s="113"/>
      <c r="BDV19" s="110"/>
      <c r="BDW19" s="114"/>
      <c r="BDX19" s="114"/>
      <c r="BDY19" s="110"/>
      <c r="BDZ19" s="110"/>
      <c r="BEA19" s="110"/>
      <c r="BEB19" s="110"/>
      <c r="BEC19" s="111"/>
      <c r="BED19" s="112"/>
      <c r="BEE19" s="113"/>
      <c r="BEF19" s="110"/>
      <c r="BEG19" s="114"/>
      <c r="BEH19" s="114"/>
      <c r="BEI19" s="110"/>
      <c r="BEJ19" s="110"/>
      <c r="BEK19" s="110"/>
      <c r="BEL19" s="110"/>
      <c r="BEM19" s="111"/>
      <c r="BEN19" s="112"/>
      <c r="BEO19" s="113"/>
      <c r="BEP19" s="110"/>
      <c r="BEQ19" s="114"/>
      <c r="BER19" s="114"/>
      <c r="BES19" s="110"/>
      <c r="BET19" s="110"/>
      <c r="BEU19" s="110"/>
      <c r="BEV19" s="110"/>
      <c r="BEW19" s="111"/>
      <c r="BEX19" s="112"/>
      <c r="BEY19" s="113"/>
      <c r="BEZ19" s="110"/>
      <c r="BFA19" s="114"/>
      <c r="BFB19" s="114"/>
      <c r="BFC19" s="110"/>
      <c r="BFD19" s="110"/>
      <c r="BFE19" s="110"/>
      <c r="BFF19" s="110"/>
      <c r="BFG19" s="111"/>
      <c r="BFH19" s="112"/>
      <c r="BFI19" s="113"/>
      <c r="BFJ19" s="110"/>
      <c r="BFK19" s="114"/>
      <c r="BFL19" s="114"/>
      <c r="BFM19" s="110"/>
      <c r="BFN19" s="110"/>
      <c r="BFO19" s="110"/>
      <c r="BFP19" s="110"/>
      <c r="BFQ19" s="111"/>
      <c r="BFR19" s="112"/>
      <c r="BFS19" s="113"/>
      <c r="BFT19" s="110"/>
      <c r="BFU19" s="114"/>
      <c r="BFV19" s="114"/>
      <c r="BFW19" s="110"/>
      <c r="BFX19" s="110"/>
      <c r="BFY19" s="110"/>
      <c r="BFZ19" s="110"/>
      <c r="BGA19" s="111"/>
      <c r="BGB19" s="112"/>
      <c r="BGC19" s="113"/>
      <c r="BGD19" s="110"/>
      <c r="BGE19" s="114"/>
      <c r="BGF19" s="114"/>
      <c r="BGG19" s="110"/>
      <c r="BGH19" s="110"/>
      <c r="BGI19" s="110"/>
      <c r="BGJ19" s="110"/>
      <c r="BGK19" s="111"/>
      <c r="BGL19" s="112"/>
      <c r="BGM19" s="113"/>
      <c r="BGN19" s="110"/>
      <c r="BGO19" s="114"/>
      <c r="BGP19" s="114"/>
      <c r="BGQ19" s="110"/>
      <c r="BGR19" s="110"/>
      <c r="BGS19" s="110"/>
      <c r="BGT19" s="110"/>
      <c r="BGU19" s="111"/>
      <c r="BGV19" s="112"/>
      <c r="BGW19" s="113"/>
      <c r="BGX19" s="110"/>
      <c r="BGY19" s="114"/>
      <c r="BGZ19" s="114"/>
      <c r="BHA19" s="110"/>
      <c r="BHB19" s="110"/>
      <c r="BHC19" s="110"/>
      <c r="BHD19" s="110"/>
      <c r="BHE19" s="111"/>
      <c r="BHF19" s="112"/>
      <c r="BHG19" s="113"/>
      <c r="BHH19" s="110"/>
      <c r="BHI19" s="114"/>
      <c r="BHJ19" s="114"/>
      <c r="BHK19" s="110"/>
      <c r="BHL19" s="110"/>
      <c r="BHM19" s="110"/>
      <c r="BHN19" s="110"/>
      <c r="BHO19" s="111"/>
      <c r="BHP19" s="112"/>
      <c r="BHQ19" s="113"/>
      <c r="BHR19" s="110"/>
      <c r="BHS19" s="114"/>
      <c r="BHT19" s="114"/>
      <c r="BHU19" s="110"/>
      <c r="BHV19" s="110"/>
      <c r="BHW19" s="110"/>
      <c r="BHX19" s="110"/>
      <c r="BHY19" s="111"/>
      <c r="BHZ19" s="112"/>
      <c r="BIA19" s="113"/>
      <c r="BIB19" s="110"/>
      <c r="BIC19" s="114"/>
      <c r="BID19" s="114"/>
      <c r="BIE19" s="110"/>
      <c r="BIF19" s="110"/>
      <c r="BIG19" s="110"/>
      <c r="BIH19" s="110"/>
      <c r="BII19" s="111"/>
      <c r="BIJ19" s="112"/>
      <c r="BIK19" s="113"/>
      <c r="BIL19" s="110"/>
      <c r="BIM19" s="114"/>
      <c r="BIN19" s="114"/>
      <c r="BIO19" s="110"/>
      <c r="BIP19" s="110"/>
      <c r="BIQ19" s="110"/>
      <c r="BIR19" s="110"/>
      <c r="BIS19" s="111"/>
      <c r="BIT19" s="112"/>
      <c r="BIU19" s="113"/>
      <c r="BIV19" s="110"/>
      <c r="BIW19" s="114"/>
      <c r="BIX19" s="114"/>
      <c r="BIY19" s="110"/>
      <c r="BIZ19" s="110"/>
      <c r="BJA19" s="110"/>
      <c r="BJB19" s="110"/>
      <c r="BJC19" s="111"/>
      <c r="BJD19" s="112"/>
      <c r="BJE19" s="113"/>
      <c r="BJF19" s="110"/>
      <c r="BJG19" s="114"/>
      <c r="BJH19" s="114"/>
      <c r="BJI19" s="110"/>
      <c r="BJJ19" s="110"/>
      <c r="BJK19" s="110"/>
      <c r="BJL19" s="110"/>
      <c r="BJM19" s="111"/>
      <c r="BJN19" s="112"/>
      <c r="BJO19" s="113"/>
      <c r="BJP19" s="110"/>
      <c r="BJQ19" s="114"/>
      <c r="BJR19" s="114"/>
      <c r="BJS19" s="110"/>
      <c r="BJT19" s="110"/>
      <c r="BJU19" s="110"/>
      <c r="BJV19" s="110"/>
      <c r="BJW19" s="111"/>
      <c r="BJX19" s="112"/>
      <c r="BJY19" s="113"/>
      <c r="BJZ19" s="110"/>
      <c r="BKA19" s="114"/>
      <c r="BKB19" s="114"/>
      <c r="BKC19" s="110"/>
      <c r="BKD19" s="110"/>
      <c r="BKE19" s="110"/>
      <c r="BKF19" s="110"/>
      <c r="BKG19" s="111"/>
      <c r="BKH19" s="112"/>
      <c r="BKI19" s="113"/>
      <c r="BKJ19" s="110"/>
      <c r="BKK19" s="114"/>
      <c r="BKL19" s="114"/>
      <c r="BKM19" s="110"/>
      <c r="BKN19" s="110"/>
      <c r="BKO19" s="110"/>
      <c r="BKP19" s="110"/>
      <c r="BKQ19" s="111"/>
      <c r="BKR19" s="112"/>
      <c r="BKS19" s="113"/>
      <c r="BKT19" s="110"/>
      <c r="BKU19" s="114"/>
      <c r="BKV19" s="114"/>
      <c r="BKW19" s="110"/>
      <c r="BKX19" s="110"/>
      <c r="BKY19" s="110"/>
      <c r="BKZ19" s="110"/>
      <c r="BLA19" s="111"/>
      <c r="BLB19" s="112"/>
      <c r="BLC19" s="113"/>
      <c r="BLD19" s="110"/>
      <c r="BLE19" s="114"/>
      <c r="BLF19" s="114"/>
      <c r="BLG19" s="110"/>
      <c r="BLH19" s="110"/>
      <c r="BLI19" s="110"/>
      <c r="BLJ19" s="110"/>
      <c r="BLK19" s="111"/>
      <c r="BLL19" s="112"/>
      <c r="BLM19" s="113"/>
      <c r="BLN19" s="110"/>
      <c r="BLO19" s="114"/>
      <c r="BLP19" s="114"/>
      <c r="BLQ19" s="110"/>
      <c r="BLR19" s="110"/>
      <c r="BLS19" s="110"/>
      <c r="BLT19" s="110"/>
      <c r="BLU19" s="111"/>
      <c r="BLV19" s="112"/>
      <c r="BLW19" s="113"/>
      <c r="BLX19" s="110"/>
      <c r="BLY19" s="114"/>
      <c r="BLZ19" s="114"/>
      <c r="BMA19" s="110"/>
      <c r="BMB19" s="110"/>
      <c r="BMC19" s="110"/>
      <c r="BMD19" s="110"/>
      <c r="BME19" s="111"/>
      <c r="BMF19" s="112"/>
      <c r="BMG19" s="113"/>
      <c r="BMH19" s="110"/>
      <c r="BMI19" s="114"/>
      <c r="BMJ19" s="114"/>
      <c r="BMK19" s="110"/>
      <c r="BML19" s="110"/>
      <c r="BMM19" s="110"/>
      <c r="BMN19" s="110"/>
      <c r="BMO19" s="111"/>
      <c r="BMP19" s="112"/>
      <c r="BMQ19" s="113"/>
      <c r="BMR19" s="110"/>
      <c r="BMS19" s="114"/>
      <c r="BMT19" s="114"/>
      <c r="BMU19" s="110"/>
      <c r="BMV19" s="110"/>
      <c r="BMW19" s="110"/>
      <c r="BMX19" s="110"/>
      <c r="BMY19" s="111"/>
      <c r="BMZ19" s="112"/>
      <c r="BNA19" s="113"/>
      <c r="BNB19" s="110"/>
      <c r="BNC19" s="114"/>
      <c r="BND19" s="114"/>
      <c r="BNE19" s="110"/>
      <c r="BNF19" s="110"/>
      <c r="BNG19" s="110"/>
      <c r="BNH19" s="110"/>
      <c r="BNI19" s="111"/>
      <c r="BNJ19" s="112"/>
      <c r="BNK19" s="113"/>
      <c r="BNL19" s="110"/>
      <c r="BNM19" s="114"/>
      <c r="BNN19" s="114"/>
      <c r="BNO19" s="110"/>
      <c r="BNP19" s="110"/>
      <c r="BNQ19" s="110"/>
      <c r="BNR19" s="110"/>
      <c r="BNS19" s="111"/>
      <c r="BNT19" s="112"/>
      <c r="BNU19" s="113"/>
      <c r="BNV19" s="110"/>
      <c r="BNW19" s="114"/>
      <c r="BNX19" s="114"/>
      <c r="BNY19" s="110"/>
      <c r="BNZ19" s="110"/>
      <c r="BOA19" s="110"/>
      <c r="BOB19" s="110"/>
      <c r="BOC19" s="111"/>
      <c r="BOD19" s="112"/>
      <c r="BOE19" s="113"/>
      <c r="BOF19" s="110"/>
      <c r="BOG19" s="114"/>
      <c r="BOH19" s="114"/>
      <c r="BOI19" s="110"/>
      <c r="BOJ19" s="110"/>
      <c r="BOK19" s="110"/>
      <c r="BOL19" s="110"/>
      <c r="BOM19" s="111"/>
      <c r="BON19" s="112"/>
      <c r="BOO19" s="113"/>
      <c r="BOP19" s="110"/>
      <c r="BOQ19" s="114"/>
      <c r="BOR19" s="114"/>
      <c r="BOS19" s="110"/>
      <c r="BOT19" s="110"/>
      <c r="BOU19" s="110"/>
      <c r="BOV19" s="110"/>
      <c r="BOW19" s="111"/>
      <c r="BOX19" s="112"/>
      <c r="BOY19" s="113"/>
      <c r="BOZ19" s="110"/>
      <c r="BPA19" s="114"/>
      <c r="BPB19" s="114"/>
      <c r="BPC19" s="110"/>
      <c r="BPD19" s="110"/>
      <c r="BPE19" s="110"/>
      <c r="BPF19" s="110"/>
      <c r="BPG19" s="111"/>
      <c r="BPH19" s="112"/>
      <c r="BPI19" s="113"/>
      <c r="BPJ19" s="110"/>
      <c r="BPK19" s="114"/>
      <c r="BPL19" s="114"/>
      <c r="BPM19" s="110"/>
      <c r="BPN19" s="110"/>
      <c r="BPO19" s="110"/>
      <c r="BPP19" s="110"/>
      <c r="BPQ19" s="111"/>
      <c r="BPR19" s="112"/>
      <c r="BPS19" s="113"/>
      <c r="BPT19" s="110"/>
      <c r="BPU19" s="114"/>
      <c r="BPV19" s="114"/>
      <c r="BPW19" s="110"/>
      <c r="BPX19" s="110"/>
      <c r="BPY19" s="110"/>
      <c r="BPZ19" s="110"/>
      <c r="BQA19" s="111"/>
      <c r="BQB19" s="112"/>
      <c r="BQC19" s="113"/>
      <c r="BQD19" s="110"/>
      <c r="BQE19" s="114"/>
      <c r="BQF19" s="114"/>
      <c r="BQG19" s="110"/>
      <c r="BQH19" s="110"/>
      <c r="BQI19" s="110"/>
      <c r="BQJ19" s="110"/>
      <c r="BQK19" s="111"/>
      <c r="BQL19" s="112"/>
      <c r="BQM19" s="113"/>
      <c r="BQN19" s="110"/>
      <c r="BQO19" s="114"/>
      <c r="BQP19" s="114"/>
      <c r="BQQ19" s="110"/>
      <c r="BQR19" s="110"/>
      <c r="BQS19" s="110"/>
      <c r="BQT19" s="110"/>
      <c r="BQU19" s="111"/>
      <c r="BQV19" s="112"/>
      <c r="BQW19" s="113"/>
      <c r="BQX19" s="110"/>
      <c r="BQY19" s="114"/>
      <c r="BQZ19" s="114"/>
      <c r="BRA19" s="110"/>
      <c r="BRB19" s="110"/>
      <c r="BRC19" s="110"/>
      <c r="BRD19" s="110"/>
      <c r="BRE19" s="111"/>
      <c r="BRF19" s="112"/>
      <c r="BRG19" s="113"/>
      <c r="BRH19" s="110"/>
      <c r="BRI19" s="114"/>
      <c r="BRJ19" s="114"/>
      <c r="BRK19" s="110"/>
      <c r="BRL19" s="110"/>
      <c r="BRM19" s="110"/>
      <c r="BRN19" s="110"/>
      <c r="BRO19" s="111"/>
      <c r="BRP19" s="112"/>
      <c r="BRQ19" s="113"/>
      <c r="BRR19" s="110"/>
      <c r="BRS19" s="114"/>
      <c r="BRT19" s="114"/>
      <c r="BRU19" s="110"/>
      <c r="BRV19" s="110"/>
      <c r="BRW19" s="110"/>
      <c r="BRX19" s="110"/>
      <c r="BRY19" s="111"/>
      <c r="BRZ19" s="112"/>
      <c r="BSA19" s="113"/>
      <c r="BSB19" s="110"/>
      <c r="BSC19" s="114"/>
      <c r="BSD19" s="114"/>
      <c r="BSE19" s="110"/>
      <c r="BSF19" s="110"/>
      <c r="BSG19" s="110"/>
      <c r="BSH19" s="110"/>
      <c r="BSI19" s="111"/>
      <c r="BSJ19" s="112"/>
      <c r="BSK19" s="113"/>
      <c r="BSL19" s="110"/>
      <c r="BSM19" s="114"/>
      <c r="BSN19" s="114"/>
      <c r="BSO19" s="110"/>
      <c r="BSP19" s="110"/>
      <c r="BSQ19" s="110"/>
      <c r="BSR19" s="110"/>
      <c r="BSS19" s="111"/>
      <c r="BST19" s="112"/>
      <c r="BSU19" s="113"/>
      <c r="BSV19" s="110"/>
      <c r="BSW19" s="114"/>
      <c r="BSX19" s="114"/>
      <c r="BSY19" s="110"/>
      <c r="BSZ19" s="110"/>
      <c r="BTA19" s="110"/>
      <c r="BTB19" s="110"/>
      <c r="BTC19" s="111"/>
      <c r="BTD19" s="112"/>
      <c r="BTE19" s="113"/>
      <c r="BTF19" s="110"/>
      <c r="BTG19" s="114"/>
      <c r="BTH19" s="114"/>
      <c r="BTI19" s="110"/>
      <c r="BTJ19" s="110"/>
      <c r="BTK19" s="110"/>
      <c r="BTL19" s="110"/>
      <c r="BTM19" s="111"/>
      <c r="BTN19" s="112"/>
      <c r="BTO19" s="113"/>
      <c r="BTP19" s="110"/>
      <c r="BTQ19" s="114"/>
      <c r="BTR19" s="114"/>
      <c r="BTS19" s="110"/>
      <c r="BTT19" s="110"/>
      <c r="BTU19" s="110"/>
      <c r="BTV19" s="110"/>
      <c r="BTW19" s="111"/>
      <c r="BTX19" s="112"/>
      <c r="BTY19" s="113"/>
      <c r="BTZ19" s="110"/>
      <c r="BUA19" s="114"/>
      <c r="BUB19" s="114"/>
      <c r="BUC19" s="110"/>
      <c r="BUD19" s="110"/>
      <c r="BUE19" s="110"/>
      <c r="BUF19" s="110"/>
      <c r="BUG19" s="111"/>
      <c r="BUH19" s="112"/>
      <c r="BUI19" s="113"/>
      <c r="BUJ19" s="110"/>
      <c r="BUK19" s="114"/>
      <c r="BUL19" s="114"/>
      <c r="BUM19" s="110"/>
      <c r="BUN19" s="110"/>
      <c r="BUO19" s="110"/>
      <c r="BUP19" s="110"/>
      <c r="BUQ19" s="111"/>
      <c r="BUR19" s="112"/>
      <c r="BUS19" s="113"/>
      <c r="BUT19" s="110"/>
      <c r="BUU19" s="114"/>
      <c r="BUV19" s="114"/>
      <c r="BUW19" s="110"/>
      <c r="BUX19" s="110"/>
      <c r="BUY19" s="110"/>
      <c r="BUZ19" s="110"/>
      <c r="BVA19" s="111"/>
      <c r="BVB19" s="112"/>
      <c r="BVC19" s="113"/>
      <c r="BVD19" s="110"/>
      <c r="BVE19" s="114"/>
      <c r="BVF19" s="114"/>
      <c r="BVG19" s="110"/>
      <c r="BVH19" s="110"/>
      <c r="BVI19" s="110"/>
      <c r="BVJ19" s="110"/>
      <c r="BVK19" s="111"/>
      <c r="BVL19" s="112"/>
      <c r="BVM19" s="113"/>
      <c r="BVN19" s="110"/>
      <c r="BVO19" s="114"/>
      <c r="BVP19" s="114"/>
      <c r="BVQ19" s="110"/>
      <c r="BVR19" s="110"/>
      <c r="BVS19" s="110"/>
      <c r="BVT19" s="110"/>
      <c r="BVU19" s="111"/>
      <c r="BVV19" s="112"/>
      <c r="BVW19" s="113"/>
      <c r="BVX19" s="110"/>
      <c r="BVY19" s="114"/>
      <c r="BVZ19" s="114"/>
      <c r="BWA19" s="110"/>
      <c r="BWB19" s="110"/>
      <c r="BWC19" s="110"/>
      <c r="BWD19" s="110"/>
      <c r="BWE19" s="111"/>
      <c r="BWF19" s="112"/>
      <c r="BWG19" s="113"/>
      <c r="BWH19" s="110"/>
      <c r="BWI19" s="114"/>
      <c r="BWJ19" s="114"/>
      <c r="BWK19" s="110"/>
      <c r="BWL19" s="110"/>
      <c r="BWM19" s="110"/>
      <c r="BWN19" s="110"/>
      <c r="BWO19" s="111"/>
      <c r="BWP19" s="112"/>
      <c r="BWQ19" s="113"/>
      <c r="BWR19" s="110"/>
      <c r="BWS19" s="114"/>
      <c r="BWT19" s="114"/>
      <c r="BWU19" s="110"/>
      <c r="BWV19" s="110"/>
      <c r="BWW19" s="110"/>
      <c r="BWX19" s="110"/>
      <c r="BWY19" s="111"/>
      <c r="BWZ19" s="112"/>
      <c r="BXA19" s="113"/>
      <c r="BXB19" s="110"/>
      <c r="BXC19" s="114"/>
      <c r="BXD19" s="114"/>
      <c r="BXE19" s="110"/>
      <c r="BXF19" s="110"/>
      <c r="BXG19" s="110"/>
      <c r="BXH19" s="110"/>
      <c r="BXI19" s="111"/>
      <c r="BXJ19" s="112"/>
      <c r="BXK19" s="113"/>
      <c r="BXL19" s="110"/>
      <c r="BXM19" s="114"/>
      <c r="BXN19" s="114"/>
      <c r="BXO19" s="110"/>
      <c r="BXP19" s="110"/>
      <c r="BXQ19" s="110"/>
      <c r="BXR19" s="110"/>
      <c r="BXS19" s="111"/>
      <c r="BXT19" s="112"/>
      <c r="BXU19" s="113"/>
      <c r="BXV19" s="110"/>
      <c r="BXW19" s="114"/>
      <c r="BXX19" s="114"/>
      <c r="BXY19" s="110"/>
      <c r="BXZ19" s="110"/>
      <c r="BYA19" s="110"/>
      <c r="BYB19" s="110"/>
      <c r="BYC19" s="111"/>
      <c r="BYD19" s="112"/>
      <c r="BYE19" s="113"/>
      <c r="BYF19" s="110"/>
      <c r="BYG19" s="114"/>
      <c r="BYH19" s="114"/>
      <c r="BYI19" s="110"/>
      <c r="BYJ19" s="110"/>
      <c r="BYK19" s="110"/>
      <c r="BYL19" s="110"/>
      <c r="BYM19" s="111"/>
      <c r="BYN19" s="112"/>
      <c r="BYO19" s="113"/>
      <c r="BYP19" s="110"/>
      <c r="BYQ19" s="114"/>
      <c r="BYR19" s="114"/>
      <c r="BYS19" s="110"/>
      <c r="BYT19" s="110"/>
      <c r="BYU19" s="110"/>
      <c r="BYV19" s="110"/>
      <c r="BYW19" s="111"/>
      <c r="BYX19" s="112"/>
      <c r="BYY19" s="113"/>
      <c r="BYZ19" s="110"/>
      <c r="BZA19" s="114"/>
      <c r="BZB19" s="114"/>
      <c r="BZC19" s="110"/>
      <c r="BZD19" s="110"/>
      <c r="BZE19" s="110"/>
      <c r="BZF19" s="110"/>
      <c r="BZG19" s="111"/>
      <c r="BZH19" s="112"/>
      <c r="BZI19" s="113"/>
      <c r="BZJ19" s="110"/>
      <c r="BZK19" s="114"/>
      <c r="BZL19" s="114"/>
      <c r="BZM19" s="110"/>
      <c r="BZN19" s="110"/>
      <c r="BZO19" s="110"/>
      <c r="BZP19" s="110"/>
      <c r="BZQ19" s="111"/>
      <c r="BZR19" s="112"/>
      <c r="BZS19" s="113"/>
      <c r="BZT19" s="110"/>
      <c r="BZU19" s="114"/>
      <c r="BZV19" s="114"/>
      <c r="BZW19" s="110"/>
      <c r="BZX19" s="110"/>
      <c r="BZY19" s="110"/>
      <c r="BZZ19" s="110"/>
      <c r="CAA19" s="111"/>
      <c r="CAB19" s="112"/>
      <c r="CAC19" s="113"/>
      <c r="CAD19" s="110"/>
      <c r="CAE19" s="114"/>
      <c r="CAF19" s="114"/>
      <c r="CAG19" s="110"/>
      <c r="CAH19" s="110"/>
      <c r="CAI19" s="110"/>
      <c r="CAJ19" s="110"/>
      <c r="CAK19" s="111"/>
      <c r="CAL19" s="112"/>
      <c r="CAM19" s="113"/>
      <c r="CAN19" s="110"/>
      <c r="CAO19" s="114"/>
      <c r="CAP19" s="114"/>
      <c r="CAQ19" s="110"/>
      <c r="CAR19" s="110"/>
      <c r="CAS19" s="110"/>
      <c r="CAT19" s="110"/>
      <c r="CAU19" s="111"/>
      <c r="CAV19" s="112"/>
      <c r="CAW19" s="113"/>
      <c r="CAX19" s="110"/>
      <c r="CAY19" s="114"/>
      <c r="CAZ19" s="114"/>
      <c r="CBA19" s="110"/>
      <c r="CBB19" s="110"/>
      <c r="CBC19" s="110"/>
      <c r="CBD19" s="110"/>
      <c r="CBE19" s="111"/>
      <c r="CBF19" s="112"/>
      <c r="CBG19" s="113"/>
      <c r="CBH19" s="110"/>
      <c r="CBI19" s="114"/>
      <c r="CBJ19" s="114"/>
      <c r="CBK19" s="110"/>
      <c r="CBL19" s="110"/>
      <c r="CBM19" s="110"/>
      <c r="CBN19" s="110"/>
      <c r="CBO19" s="111"/>
      <c r="CBP19" s="112"/>
      <c r="CBQ19" s="113"/>
      <c r="CBR19" s="110"/>
      <c r="CBS19" s="114"/>
      <c r="CBT19" s="114"/>
      <c r="CBU19" s="110"/>
      <c r="CBV19" s="110"/>
      <c r="CBW19" s="110"/>
      <c r="CBX19" s="110"/>
      <c r="CBY19" s="111"/>
      <c r="CBZ19" s="112"/>
      <c r="CCA19" s="113"/>
      <c r="CCB19" s="110"/>
      <c r="CCC19" s="114"/>
      <c r="CCD19" s="114"/>
      <c r="CCE19" s="110"/>
      <c r="CCF19" s="110"/>
      <c r="CCG19" s="110"/>
      <c r="CCH19" s="110"/>
      <c r="CCI19" s="111"/>
      <c r="CCJ19" s="112"/>
      <c r="CCK19" s="113"/>
      <c r="CCL19" s="110"/>
      <c r="CCM19" s="114"/>
      <c r="CCN19" s="114"/>
      <c r="CCO19" s="110"/>
      <c r="CCP19" s="110"/>
      <c r="CCQ19" s="110"/>
      <c r="CCR19" s="110"/>
      <c r="CCS19" s="111"/>
      <c r="CCT19" s="112"/>
      <c r="CCU19" s="113"/>
      <c r="CCV19" s="110"/>
      <c r="CCW19" s="114"/>
      <c r="CCX19" s="114"/>
      <c r="CCY19" s="110"/>
      <c r="CCZ19" s="110"/>
      <c r="CDA19" s="110"/>
      <c r="CDB19" s="110"/>
      <c r="CDC19" s="111"/>
      <c r="CDD19" s="112"/>
      <c r="CDE19" s="113"/>
      <c r="CDF19" s="110"/>
      <c r="CDG19" s="114"/>
      <c r="CDH19" s="114"/>
      <c r="CDI19" s="110"/>
      <c r="CDJ19" s="110"/>
      <c r="CDK19" s="110"/>
      <c r="CDL19" s="110"/>
      <c r="CDM19" s="111"/>
      <c r="CDN19" s="112"/>
      <c r="CDO19" s="113"/>
      <c r="CDP19" s="110"/>
      <c r="CDQ19" s="114"/>
      <c r="CDR19" s="114"/>
      <c r="CDS19" s="110"/>
      <c r="CDT19" s="110"/>
      <c r="CDU19" s="110"/>
      <c r="CDV19" s="110"/>
      <c r="CDW19" s="111"/>
      <c r="CDX19" s="112"/>
      <c r="CDY19" s="113"/>
      <c r="CDZ19" s="110"/>
      <c r="CEA19" s="114"/>
      <c r="CEB19" s="114"/>
      <c r="CEC19" s="110"/>
      <c r="CED19" s="110"/>
      <c r="CEE19" s="110"/>
      <c r="CEF19" s="110"/>
      <c r="CEG19" s="111"/>
      <c r="CEH19" s="112"/>
      <c r="CEI19" s="113"/>
      <c r="CEJ19" s="110"/>
      <c r="CEK19" s="114"/>
      <c r="CEL19" s="114"/>
      <c r="CEM19" s="110"/>
      <c r="CEN19" s="110"/>
      <c r="CEO19" s="110"/>
      <c r="CEP19" s="110"/>
      <c r="CEQ19" s="111"/>
      <c r="CER19" s="112"/>
      <c r="CES19" s="113"/>
      <c r="CET19" s="110"/>
      <c r="CEU19" s="114"/>
      <c r="CEV19" s="114"/>
      <c r="CEW19" s="110"/>
      <c r="CEX19" s="110"/>
      <c r="CEY19" s="110"/>
      <c r="CEZ19" s="110"/>
      <c r="CFA19" s="111"/>
      <c r="CFB19" s="112"/>
      <c r="CFC19" s="113"/>
      <c r="CFD19" s="110"/>
      <c r="CFE19" s="114"/>
      <c r="CFF19" s="114"/>
      <c r="CFG19" s="110"/>
      <c r="CFH19" s="110"/>
      <c r="CFI19" s="110"/>
      <c r="CFJ19" s="110"/>
      <c r="CFK19" s="111"/>
      <c r="CFL19" s="112"/>
      <c r="CFM19" s="113"/>
      <c r="CFN19" s="110"/>
      <c r="CFO19" s="114"/>
      <c r="CFP19" s="114"/>
      <c r="CFQ19" s="110"/>
      <c r="CFR19" s="110"/>
      <c r="CFS19" s="110"/>
      <c r="CFT19" s="110"/>
      <c r="CFU19" s="111"/>
      <c r="CFV19" s="112"/>
      <c r="CFW19" s="113"/>
      <c r="CFX19" s="110"/>
      <c r="CFY19" s="114"/>
      <c r="CFZ19" s="114"/>
      <c r="CGA19" s="110"/>
      <c r="CGB19" s="110"/>
      <c r="CGC19" s="110"/>
      <c r="CGD19" s="110"/>
      <c r="CGE19" s="111"/>
      <c r="CGF19" s="112"/>
      <c r="CGG19" s="113"/>
      <c r="CGH19" s="110"/>
      <c r="CGI19" s="114"/>
      <c r="CGJ19" s="114"/>
      <c r="CGK19" s="110"/>
      <c r="CGL19" s="110"/>
      <c r="CGM19" s="110"/>
      <c r="CGN19" s="110"/>
      <c r="CGO19" s="111"/>
      <c r="CGP19" s="112"/>
      <c r="CGQ19" s="113"/>
      <c r="CGR19" s="110"/>
      <c r="CGS19" s="114"/>
      <c r="CGT19" s="114"/>
      <c r="CGU19" s="110"/>
      <c r="CGV19" s="110"/>
      <c r="CGW19" s="110"/>
      <c r="CGX19" s="110"/>
      <c r="CGY19" s="111"/>
      <c r="CGZ19" s="112"/>
      <c r="CHA19" s="113"/>
      <c r="CHB19" s="110"/>
      <c r="CHC19" s="114"/>
      <c r="CHD19" s="114"/>
      <c r="CHE19" s="110"/>
      <c r="CHF19" s="110"/>
      <c r="CHG19" s="110"/>
      <c r="CHH19" s="110"/>
      <c r="CHI19" s="111"/>
      <c r="CHJ19" s="112"/>
      <c r="CHK19" s="113"/>
      <c r="CHL19" s="110"/>
      <c r="CHM19" s="114"/>
      <c r="CHN19" s="114"/>
      <c r="CHO19" s="110"/>
      <c r="CHP19" s="110"/>
      <c r="CHQ19" s="110"/>
      <c r="CHR19" s="110"/>
      <c r="CHS19" s="111"/>
      <c r="CHT19" s="112"/>
      <c r="CHU19" s="113"/>
      <c r="CHV19" s="110"/>
      <c r="CHW19" s="114"/>
      <c r="CHX19" s="114"/>
      <c r="CHY19" s="110"/>
      <c r="CHZ19" s="110"/>
      <c r="CIA19" s="110"/>
      <c r="CIB19" s="110"/>
      <c r="CIC19" s="111"/>
      <c r="CID19" s="112"/>
      <c r="CIE19" s="113"/>
      <c r="CIF19" s="110"/>
      <c r="CIG19" s="114"/>
      <c r="CIH19" s="114"/>
      <c r="CII19" s="110"/>
      <c r="CIJ19" s="110"/>
      <c r="CIK19" s="110"/>
      <c r="CIL19" s="110"/>
      <c r="CIM19" s="111"/>
      <c r="CIN19" s="112"/>
      <c r="CIO19" s="113"/>
      <c r="CIP19" s="110"/>
      <c r="CIQ19" s="114"/>
      <c r="CIR19" s="114"/>
      <c r="CIS19" s="110"/>
      <c r="CIT19" s="110"/>
      <c r="CIU19" s="110"/>
      <c r="CIV19" s="110"/>
      <c r="CIW19" s="111"/>
      <c r="CIX19" s="112"/>
      <c r="CIY19" s="113"/>
      <c r="CIZ19" s="110"/>
      <c r="CJA19" s="114"/>
      <c r="CJB19" s="114"/>
      <c r="CJC19" s="110"/>
      <c r="CJD19" s="110"/>
      <c r="CJE19" s="110"/>
      <c r="CJF19" s="110"/>
      <c r="CJG19" s="111"/>
      <c r="CJH19" s="112"/>
      <c r="CJI19" s="113"/>
      <c r="CJJ19" s="110"/>
      <c r="CJK19" s="114"/>
      <c r="CJL19" s="114"/>
      <c r="CJM19" s="110"/>
      <c r="CJN19" s="110"/>
      <c r="CJO19" s="110"/>
      <c r="CJP19" s="110"/>
      <c r="CJQ19" s="111"/>
      <c r="CJR19" s="112"/>
      <c r="CJS19" s="113"/>
      <c r="CJT19" s="110"/>
      <c r="CJU19" s="114"/>
      <c r="CJV19" s="114"/>
      <c r="CJW19" s="110"/>
      <c r="CJX19" s="110"/>
      <c r="CJY19" s="110"/>
      <c r="CJZ19" s="110"/>
      <c r="CKA19" s="111"/>
      <c r="CKB19" s="112"/>
      <c r="CKC19" s="113"/>
      <c r="CKD19" s="110"/>
      <c r="CKE19" s="114"/>
      <c r="CKF19" s="114"/>
      <c r="CKG19" s="110"/>
      <c r="CKH19" s="110"/>
      <c r="CKI19" s="110"/>
      <c r="CKJ19" s="110"/>
      <c r="CKK19" s="111"/>
      <c r="CKL19" s="112"/>
      <c r="CKM19" s="113"/>
      <c r="CKN19" s="110"/>
      <c r="CKO19" s="114"/>
      <c r="CKP19" s="114"/>
      <c r="CKQ19" s="110"/>
      <c r="CKR19" s="110"/>
      <c r="CKS19" s="110"/>
      <c r="CKT19" s="110"/>
      <c r="CKU19" s="111"/>
      <c r="CKV19" s="112"/>
      <c r="CKW19" s="113"/>
      <c r="CKX19" s="110"/>
      <c r="CKY19" s="114"/>
      <c r="CKZ19" s="114"/>
      <c r="CLA19" s="110"/>
      <c r="CLB19" s="110"/>
      <c r="CLC19" s="110"/>
      <c r="CLD19" s="110"/>
      <c r="CLE19" s="111"/>
      <c r="CLF19" s="112"/>
      <c r="CLG19" s="113"/>
      <c r="CLH19" s="110"/>
      <c r="CLI19" s="114"/>
      <c r="CLJ19" s="114"/>
      <c r="CLK19" s="110"/>
      <c r="CLL19" s="110"/>
      <c r="CLM19" s="110"/>
      <c r="CLN19" s="110"/>
      <c r="CLO19" s="111"/>
      <c r="CLP19" s="112"/>
      <c r="CLQ19" s="113"/>
      <c r="CLR19" s="110"/>
      <c r="CLS19" s="114"/>
      <c r="CLT19" s="114"/>
      <c r="CLU19" s="110"/>
      <c r="CLV19" s="110"/>
      <c r="CLW19" s="110"/>
      <c r="CLX19" s="110"/>
      <c r="CLY19" s="111"/>
      <c r="CLZ19" s="112"/>
      <c r="CMA19" s="113"/>
      <c r="CMB19" s="110"/>
      <c r="CMC19" s="114"/>
      <c r="CMD19" s="114"/>
      <c r="CME19" s="110"/>
      <c r="CMF19" s="110"/>
      <c r="CMG19" s="110"/>
      <c r="CMH19" s="110"/>
      <c r="CMI19" s="111"/>
      <c r="CMJ19" s="112"/>
      <c r="CMK19" s="113"/>
      <c r="CML19" s="110"/>
      <c r="CMM19" s="114"/>
      <c r="CMN19" s="114"/>
      <c r="CMO19" s="110"/>
      <c r="CMP19" s="110"/>
      <c r="CMQ19" s="110"/>
      <c r="CMR19" s="110"/>
      <c r="CMS19" s="111"/>
      <c r="CMT19" s="112"/>
      <c r="CMU19" s="113"/>
      <c r="CMV19" s="110"/>
      <c r="CMW19" s="114"/>
      <c r="CMX19" s="114"/>
      <c r="CMY19" s="110"/>
      <c r="CMZ19" s="110"/>
      <c r="CNA19" s="110"/>
      <c r="CNB19" s="110"/>
      <c r="CNC19" s="111"/>
      <c r="CND19" s="112"/>
      <c r="CNE19" s="113"/>
      <c r="CNF19" s="110"/>
      <c r="CNG19" s="114"/>
      <c r="CNH19" s="114"/>
      <c r="CNI19" s="110"/>
      <c r="CNJ19" s="110"/>
      <c r="CNK19" s="110"/>
      <c r="CNL19" s="110"/>
      <c r="CNM19" s="111"/>
      <c r="CNN19" s="112"/>
      <c r="CNO19" s="113"/>
      <c r="CNP19" s="110"/>
      <c r="CNQ19" s="114"/>
      <c r="CNR19" s="114"/>
      <c r="CNS19" s="110"/>
      <c r="CNT19" s="110"/>
      <c r="CNU19" s="110"/>
      <c r="CNV19" s="110"/>
      <c r="CNW19" s="111"/>
      <c r="CNX19" s="112"/>
      <c r="CNY19" s="113"/>
      <c r="CNZ19" s="110"/>
      <c r="COA19" s="114"/>
      <c r="COB19" s="114"/>
      <c r="COC19" s="110"/>
      <c r="COD19" s="110"/>
      <c r="COE19" s="110"/>
      <c r="COF19" s="110"/>
      <c r="COG19" s="111"/>
      <c r="COH19" s="112"/>
      <c r="COI19" s="113"/>
      <c r="COJ19" s="110"/>
      <c r="COK19" s="114"/>
      <c r="COL19" s="114"/>
      <c r="COM19" s="110"/>
      <c r="CON19" s="110"/>
      <c r="COO19" s="110"/>
      <c r="COP19" s="110"/>
      <c r="COQ19" s="111"/>
      <c r="COR19" s="112"/>
      <c r="COS19" s="113"/>
      <c r="COT19" s="110"/>
      <c r="COU19" s="114"/>
      <c r="COV19" s="114"/>
      <c r="COW19" s="110"/>
      <c r="COX19" s="110"/>
      <c r="COY19" s="110"/>
      <c r="COZ19" s="110"/>
      <c r="CPA19" s="111"/>
      <c r="CPB19" s="112"/>
      <c r="CPC19" s="113"/>
      <c r="CPD19" s="110"/>
      <c r="CPE19" s="114"/>
      <c r="CPF19" s="114"/>
      <c r="CPG19" s="110"/>
      <c r="CPH19" s="110"/>
      <c r="CPI19" s="110"/>
      <c r="CPJ19" s="110"/>
      <c r="CPK19" s="111"/>
      <c r="CPL19" s="112"/>
      <c r="CPM19" s="113"/>
      <c r="CPN19" s="110"/>
      <c r="CPO19" s="114"/>
      <c r="CPP19" s="114"/>
      <c r="CPQ19" s="110"/>
      <c r="CPR19" s="110"/>
      <c r="CPS19" s="110"/>
      <c r="CPT19" s="110"/>
      <c r="CPU19" s="111"/>
      <c r="CPV19" s="112"/>
      <c r="CPW19" s="113"/>
      <c r="CPX19" s="110"/>
      <c r="CPY19" s="114"/>
      <c r="CPZ19" s="114"/>
      <c r="CQA19" s="110"/>
      <c r="CQB19" s="110"/>
      <c r="CQC19" s="110"/>
      <c r="CQD19" s="110"/>
      <c r="CQE19" s="111"/>
      <c r="CQF19" s="112"/>
      <c r="CQG19" s="113"/>
      <c r="CQH19" s="110"/>
      <c r="CQI19" s="114"/>
      <c r="CQJ19" s="114"/>
      <c r="CQK19" s="110"/>
      <c r="CQL19" s="110"/>
      <c r="CQM19" s="110"/>
      <c r="CQN19" s="110"/>
      <c r="CQO19" s="111"/>
      <c r="CQP19" s="112"/>
      <c r="CQQ19" s="113"/>
      <c r="CQR19" s="110"/>
      <c r="CQS19" s="114"/>
      <c r="CQT19" s="114"/>
      <c r="CQU19" s="110"/>
      <c r="CQV19" s="110"/>
      <c r="CQW19" s="110"/>
      <c r="CQX19" s="110"/>
      <c r="CQY19" s="111"/>
      <c r="CQZ19" s="112"/>
      <c r="CRA19" s="113"/>
      <c r="CRB19" s="110"/>
      <c r="CRC19" s="114"/>
      <c r="CRD19" s="114"/>
      <c r="CRE19" s="110"/>
      <c r="CRF19" s="110"/>
      <c r="CRG19" s="110"/>
      <c r="CRH19" s="110"/>
      <c r="CRI19" s="111"/>
      <c r="CRJ19" s="112"/>
      <c r="CRK19" s="113"/>
      <c r="CRL19" s="110"/>
      <c r="CRM19" s="114"/>
      <c r="CRN19" s="114"/>
      <c r="CRO19" s="110"/>
      <c r="CRP19" s="110"/>
      <c r="CRQ19" s="110"/>
      <c r="CRR19" s="110"/>
      <c r="CRS19" s="111"/>
      <c r="CRT19" s="112"/>
      <c r="CRU19" s="113"/>
      <c r="CRV19" s="110"/>
      <c r="CRW19" s="114"/>
      <c r="CRX19" s="114"/>
      <c r="CRY19" s="110"/>
      <c r="CRZ19" s="110"/>
      <c r="CSA19" s="110"/>
      <c r="CSB19" s="110"/>
      <c r="CSC19" s="111"/>
      <c r="CSD19" s="112"/>
      <c r="CSE19" s="113"/>
      <c r="CSF19" s="110"/>
      <c r="CSG19" s="114"/>
      <c r="CSH19" s="114"/>
      <c r="CSI19" s="110"/>
      <c r="CSJ19" s="110"/>
      <c r="CSK19" s="110"/>
      <c r="CSL19" s="110"/>
      <c r="CSM19" s="111"/>
      <c r="CSN19" s="112"/>
      <c r="CSO19" s="113"/>
      <c r="CSP19" s="110"/>
      <c r="CSQ19" s="114"/>
      <c r="CSR19" s="114"/>
      <c r="CSS19" s="110"/>
      <c r="CST19" s="110"/>
      <c r="CSU19" s="110"/>
      <c r="CSV19" s="110"/>
      <c r="CSW19" s="111"/>
      <c r="CSX19" s="112"/>
      <c r="CSY19" s="113"/>
      <c r="CSZ19" s="110"/>
      <c r="CTA19" s="114"/>
      <c r="CTB19" s="114"/>
      <c r="CTC19" s="110"/>
      <c r="CTD19" s="110"/>
      <c r="CTE19" s="110"/>
      <c r="CTF19" s="110"/>
      <c r="CTG19" s="111"/>
      <c r="CTH19" s="112"/>
      <c r="CTI19" s="113"/>
      <c r="CTJ19" s="110"/>
      <c r="CTK19" s="114"/>
      <c r="CTL19" s="114"/>
      <c r="CTM19" s="110"/>
      <c r="CTN19" s="110"/>
      <c r="CTO19" s="110"/>
      <c r="CTP19" s="110"/>
      <c r="CTQ19" s="111"/>
      <c r="CTR19" s="112"/>
      <c r="CTS19" s="113"/>
      <c r="CTT19" s="110"/>
      <c r="CTU19" s="114"/>
      <c r="CTV19" s="114"/>
      <c r="CTW19" s="110"/>
      <c r="CTX19" s="110"/>
      <c r="CTY19" s="110"/>
      <c r="CTZ19" s="110"/>
      <c r="CUA19" s="111"/>
      <c r="CUB19" s="112"/>
      <c r="CUC19" s="113"/>
      <c r="CUD19" s="110"/>
      <c r="CUE19" s="114"/>
      <c r="CUF19" s="114"/>
      <c r="CUG19" s="110"/>
      <c r="CUH19" s="110"/>
      <c r="CUI19" s="110"/>
      <c r="CUJ19" s="110"/>
      <c r="CUK19" s="111"/>
      <c r="CUL19" s="112"/>
      <c r="CUM19" s="113"/>
      <c r="CUN19" s="110"/>
      <c r="CUO19" s="114"/>
      <c r="CUP19" s="114"/>
      <c r="CUQ19" s="110"/>
      <c r="CUR19" s="110"/>
      <c r="CUS19" s="110"/>
      <c r="CUT19" s="110"/>
      <c r="CUU19" s="111"/>
      <c r="CUV19" s="112"/>
      <c r="CUW19" s="113"/>
      <c r="CUX19" s="110"/>
      <c r="CUY19" s="114"/>
      <c r="CUZ19" s="114"/>
      <c r="CVA19" s="110"/>
      <c r="CVB19" s="110"/>
      <c r="CVC19" s="110"/>
      <c r="CVD19" s="110"/>
      <c r="CVE19" s="111"/>
      <c r="CVF19" s="112"/>
      <c r="CVG19" s="113"/>
      <c r="CVH19" s="110"/>
      <c r="CVI19" s="114"/>
      <c r="CVJ19" s="114"/>
      <c r="CVK19" s="110"/>
      <c r="CVL19" s="110"/>
      <c r="CVM19" s="110"/>
      <c r="CVN19" s="110"/>
      <c r="CVO19" s="111"/>
      <c r="CVP19" s="112"/>
      <c r="CVQ19" s="113"/>
      <c r="CVR19" s="110"/>
      <c r="CVS19" s="114"/>
      <c r="CVT19" s="114"/>
      <c r="CVU19" s="110"/>
      <c r="CVV19" s="110"/>
      <c r="CVW19" s="110"/>
      <c r="CVX19" s="110"/>
      <c r="CVY19" s="111"/>
      <c r="CVZ19" s="112"/>
      <c r="CWA19" s="113"/>
      <c r="CWB19" s="110"/>
      <c r="CWC19" s="114"/>
      <c r="CWD19" s="114"/>
      <c r="CWE19" s="110"/>
      <c r="CWF19" s="110"/>
      <c r="CWG19" s="110"/>
      <c r="CWH19" s="110"/>
      <c r="CWI19" s="111"/>
      <c r="CWJ19" s="112"/>
      <c r="CWK19" s="113"/>
      <c r="CWL19" s="110"/>
      <c r="CWM19" s="114"/>
      <c r="CWN19" s="114"/>
      <c r="CWO19" s="110"/>
      <c r="CWP19" s="110"/>
      <c r="CWQ19" s="110"/>
      <c r="CWR19" s="110"/>
      <c r="CWS19" s="111"/>
      <c r="CWT19" s="112"/>
      <c r="CWU19" s="113"/>
      <c r="CWV19" s="110"/>
      <c r="CWW19" s="114"/>
      <c r="CWX19" s="114"/>
      <c r="CWY19" s="110"/>
      <c r="CWZ19" s="110"/>
      <c r="CXA19" s="110"/>
      <c r="CXB19" s="110"/>
      <c r="CXC19" s="111"/>
      <c r="CXD19" s="112"/>
      <c r="CXE19" s="113"/>
      <c r="CXF19" s="110"/>
      <c r="CXG19" s="114"/>
      <c r="CXH19" s="114"/>
      <c r="CXI19" s="110"/>
      <c r="CXJ19" s="110"/>
      <c r="CXK19" s="110"/>
      <c r="CXL19" s="110"/>
      <c r="CXM19" s="111"/>
      <c r="CXN19" s="112"/>
      <c r="CXO19" s="113"/>
      <c r="CXP19" s="110"/>
      <c r="CXQ19" s="114"/>
      <c r="CXR19" s="114"/>
      <c r="CXS19" s="110"/>
      <c r="CXT19" s="110"/>
      <c r="CXU19" s="110"/>
      <c r="CXV19" s="110"/>
      <c r="CXW19" s="111"/>
      <c r="CXX19" s="112"/>
      <c r="CXY19" s="113"/>
      <c r="CXZ19" s="110"/>
      <c r="CYA19" s="114"/>
      <c r="CYB19" s="114"/>
      <c r="CYC19" s="110"/>
      <c r="CYD19" s="110"/>
      <c r="CYE19" s="110"/>
      <c r="CYF19" s="110"/>
      <c r="CYG19" s="111"/>
      <c r="CYH19" s="112"/>
      <c r="CYI19" s="113"/>
      <c r="CYJ19" s="110"/>
      <c r="CYK19" s="114"/>
      <c r="CYL19" s="114"/>
      <c r="CYM19" s="110"/>
      <c r="CYN19" s="110"/>
      <c r="CYO19" s="110"/>
      <c r="CYP19" s="110"/>
      <c r="CYQ19" s="111"/>
      <c r="CYR19" s="112"/>
      <c r="CYS19" s="113"/>
      <c r="CYT19" s="110"/>
      <c r="CYU19" s="114"/>
      <c r="CYV19" s="114"/>
      <c r="CYW19" s="110"/>
      <c r="CYX19" s="110"/>
      <c r="CYY19" s="110"/>
      <c r="CYZ19" s="110"/>
      <c r="CZA19" s="111"/>
      <c r="CZB19" s="112"/>
      <c r="CZC19" s="113"/>
      <c r="CZD19" s="110"/>
      <c r="CZE19" s="114"/>
      <c r="CZF19" s="114"/>
      <c r="CZG19" s="110"/>
      <c r="CZH19" s="110"/>
      <c r="CZI19" s="110"/>
      <c r="CZJ19" s="110"/>
      <c r="CZK19" s="111"/>
      <c r="CZL19" s="112"/>
      <c r="CZM19" s="113"/>
      <c r="CZN19" s="110"/>
      <c r="CZO19" s="114"/>
      <c r="CZP19" s="114"/>
      <c r="CZQ19" s="110"/>
      <c r="CZR19" s="110"/>
      <c r="CZS19" s="110"/>
      <c r="CZT19" s="110"/>
      <c r="CZU19" s="111"/>
      <c r="CZV19" s="112"/>
      <c r="CZW19" s="113"/>
      <c r="CZX19" s="110"/>
      <c r="CZY19" s="114"/>
      <c r="CZZ19" s="114"/>
      <c r="DAA19" s="110"/>
      <c r="DAB19" s="110"/>
      <c r="DAC19" s="110"/>
      <c r="DAD19" s="110"/>
      <c r="DAE19" s="111"/>
      <c r="DAF19" s="112"/>
      <c r="DAG19" s="113"/>
      <c r="DAH19" s="110"/>
      <c r="DAI19" s="114"/>
      <c r="DAJ19" s="114"/>
      <c r="DAK19" s="110"/>
      <c r="DAL19" s="110"/>
      <c r="DAM19" s="110"/>
      <c r="DAN19" s="110"/>
      <c r="DAO19" s="111"/>
      <c r="DAP19" s="112"/>
      <c r="DAQ19" s="113"/>
      <c r="DAR19" s="110"/>
      <c r="DAS19" s="114"/>
      <c r="DAT19" s="114"/>
      <c r="DAU19" s="110"/>
      <c r="DAV19" s="110"/>
      <c r="DAW19" s="110"/>
      <c r="DAX19" s="110"/>
      <c r="DAY19" s="111"/>
      <c r="DAZ19" s="112"/>
      <c r="DBA19" s="113"/>
      <c r="DBB19" s="110"/>
      <c r="DBC19" s="114"/>
      <c r="DBD19" s="114"/>
      <c r="DBE19" s="110"/>
      <c r="DBF19" s="110"/>
      <c r="DBG19" s="110"/>
      <c r="DBH19" s="110"/>
      <c r="DBI19" s="111"/>
      <c r="DBJ19" s="112"/>
      <c r="DBK19" s="113"/>
      <c r="DBL19" s="110"/>
      <c r="DBM19" s="114"/>
      <c r="DBN19" s="114"/>
      <c r="DBO19" s="110"/>
      <c r="DBP19" s="110"/>
      <c r="DBQ19" s="110"/>
      <c r="DBR19" s="110"/>
      <c r="DBS19" s="111"/>
      <c r="DBT19" s="112"/>
      <c r="DBU19" s="113"/>
      <c r="DBV19" s="110"/>
      <c r="DBW19" s="114"/>
      <c r="DBX19" s="114"/>
      <c r="DBY19" s="110"/>
      <c r="DBZ19" s="110"/>
      <c r="DCA19" s="110"/>
      <c r="DCB19" s="110"/>
      <c r="DCC19" s="111"/>
      <c r="DCD19" s="112"/>
      <c r="DCE19" s="113"/>
      <c r="DCF19" s="110"/>
      <c r="DCG19" s="114"/>
      <c r="DCH19" s="114"/>
      <c r="DCI19" s="110"/>
      <c r="DCJ19" s="110"/>
      <c r="DCK19" s="110"/>
      <c r="DCL19" s="110"/>
      <c r="DCM19" s="111"/>
      <c r="DCN19" s="112"/>
      <c r="DCO19" s="113"/>
      <c r="DCP19" s="110"/>
      <c r="DCQ19" s="114"/>
      <c r="DCR19" s="114"/>
      <c r="DCS19" s="110"/>
      <c r="DCT19" s="110"/>
      <c r="DCU19" s="110"/>
      <c r="DCV19" s="110"/>
      <c r="DCW19" s="111"/>
      <c r="DCX19" s="112"/>
      <c r="DCY19" s="113"/>
      <c r="DCZ19" s="110"/>
      <c r="DDA19" s="114"/>
      <c r="DDB19" s="114"/>
      <c r="DDC19" s="110"/>
      <c r="DDD19" s="110"/>
      <c r="DDE19" s="110"/>
      <c r="DDF19" s="110"/>
      <c r="DDG19" s="111"/>
      <c r="DDH19" s="112"/>
      <c r="DDI19" s="113"/>
      <c r="DDJ19" s="110"/>
      <c r="DDK19" s="114"/>
      <c r="DDL19" s="114"/>
      <c r="DDM19" s="110"/>
      <c r="DDN19" s="110"/>
      <c r="DDO19" s="110"/>
      <c r="DDP19" s="110"/>
      <c r="DDQ19" s="111"/>
      <c r="DDR19" s="112"/>
      <c r="DDS19" s="113"/>
      <c r="DDT19" s="110"/>
      <c r="DDU19" s="114"/>
      <c r="DDV19" s="114"/>
      <c r="DDW19" s="110"/>
      <c r="DDX19" s="110"/>
      <c r="DDY19" s="110"/>
      <c r="DDZ19" s="110"/>
      <c r="DEA19" s="111"/>
      <c r="DEB19" s="112"/>
      <c r="DEC19" s="113"/>
      <c r="DED19" s="110"/>
      <c r="DEE19" s="114"/>
      <c r="DEF19" s="114"/>
      <c r="DEG19" s="110"/>
      <c r="DEH19" s="110"/>
      <c r="DEI19" s="110"/>
      <c r="DEJ19" s="110"/>
      <c r="DEK19" s="111"/>
      <c r="DEL19" s="112"/>
      <c r="DEM19" s="113"/>
      <c r="DEN19" s="110"/>
      <c r="DEO19" s="114"/>
      <c r="DEP19" s="114"/>
      <c r="DEQ19" s="110"/>
      <c r="DER19" s="110"/>
      <c r="DES19" s="110"/>
      <c r="DET19" s="110"/>
      <c r="DEU19" s="111"/>
      <c r="DEV19" s="112"/>
      <c r="DEW19" s="113"/>
      <c r="DEX19" s="110"/>
      <c r="DEY19" s="114"/>
      <c r="DEZ19" s="114"/>
      <c r="DFA19" s="110"/>
      <c r="DFB19" s="110"/>
      <c r="DFC19" s="110"/>
      <c r="DFD19" s="110"/>
      <c r="DFE19" s="111"/>
      <c r="DFF19" s="112"/>
      <c r="DFG19" s="113"/>
      <c r="DFH19" s="110"/>
      <c r="DFI19" s="114"/>
      <c r="DFJ19" s="114"/>
      <c r="DFK19" s="110"/>
      <c r="DFL19" s="110"/>
      <c r="DFM19" s="110"/>
      <c r="DFN19" s="110"/>
      <c r="DFO19" s="111"/>
      <c r="DFP19" s="112"/>
      <c r="DFQ19" s="113"/>
      <c r="DFR19" s="110"/>
      <c r="DFS19" s="114"/>
      <c r="DFT19" s="114"/>
      <c r="DFU19" s="110"/>
      <c r="DFV19" s="110"/>
      <c r="DFW19" s="110"/>
      <c r="DFX19" s="110"/>
      <c r="DFY19" s="111"/>
      <c r="DFZ19" s="112"/>
      <c r="DGA19" s="113"/>
      <c r="DGB19" s="110"/>
      <c r="DGC19" s="114"/>
      <c r="DGD19" s="114"/>
      <c r="DGE19" s="110"/>
      <c r="DGF19" s="110"/>
      <c r="DGG19" s="110"/>
      <c r="DGH19" s="110"/>
      <c r="DGI19" s="111"/>
      <c r="DGJ19" s="112"/>
      <c r="DGK19" s="113"/>
      <c r="DGL19" s="110"/>
      <c r="DGM19" s="114"/>
      <c r="DGN19" s="114"/>
      <c r="DGO19" s="110"/>
      <c r="DGP19" s="110"/>
      <c r="DGQ19" s="110"/>
      <c r="DGR19" s="110"/>
      <c r="DGS19" s="111"/>
      <c r="DGT19" s="112"/>
      <c r="DGU19" s="113"/>
      <c r="DGV19" s="110"/>
      <c r="DGW19" s="114"/>
      <c r="DGX19" s="114"/>
      <c r="DGY19" s="110"/>
      <c r="DGZ19" s="110"/>
      <c r="DHA19" s="110"/>
      <c r="DHB19" s="110"/>
      <c r="DHC19" s="111"/>
      <c r="DHD19" s="112"/>
      <c r="DHE19" s="113"/>
      <c r="DHF19" s="110"/>
      <c r="DHG19" s="114"/>
      <c r="DHH19" s="114"/>
      <c r="DHI19" s="110"/>
      <c r="DHJ19" s="110"/>
      <c r="DHK19" s="110"/>
      <c r="DHL19" s="110"/>
      <c r="DHM19" s="111"/>
      <c r="DHN19" s="112"/>
      <c r="DHO19" s="113"/>
      <c r="DHP19" s="110"/>
      <c r="DHQ19" s="114"/>
      <c r="DHR19" s="114"/>
      <c r="DHS19" s="110"/>
      <c r="DHT19" s="110"/>
      <c r="DHU19" s="110"/>
      <c r="DHV19" s="110"/>
      <c r="DHW19" s="111"/>
      <c r="DHX19" s="112"/>
      <c r="DHY19" s="113"/>
      <c r="DHZ19" s="110"/>
      <c r="DIA19" s="114"/>
      <c r="DIB19" s="114"/>
      <c r="DIC19" s="110"/>
      <c r="DID19" s="110"/>
      <c r="DIE19" s="110"/>
      <c r="DIF19" s="110"/>
      <c r="DIG19" s="111"/>
      <c r="DIH19" s="112"/>
      <c r="DII19" s="113"/>
      <c r="DIJ19" s="110"/>
      <c r="DIK19" s="114"/>
      <c r="DIL19" s="114"/>
      <c r="DIM19" s="110"/>
      <c r="DIN19" s="110"/>
      <c r="DIO19" s="110"/>
      <c r="DIP19" s="110"/>
      <c r="DIQ19" s="111"/>
      <c r="DIR19" s="112"/>
      <c r="DIS19" s="113"/>
      <c r="DIT19" s="110"/>
      <c r="DIU19" s="114"/>
      <c r="DIV19" s="114"/>
      <c r="DIW19" s="110"/>
      <c r="DIX19" s="110"/>
      <c r="DIY19" s="110"/>
      <c r="DIZ19" s="110"/>
      <c r="DJA19" s="111"/>
      <c r="DJB19" s="112"/>
      <c r="DJC19" s="113"/>
      <c r="DJD19" s="110"/>
      <c r="DJE19" s="114"/>
      <c r="DJF19" s="114"/>
      <c r="DJG19" s="110"/>
      <c r="DJH19" s="110"/>
      <c r="DJI19" s="110"/>
      <c r="DJJ19" s="110"/>
      <c r="DJK19" s="111"/>
      <c r="DJL19" s="112"/>
      <c r="DJM19" s="113"/>
      <c r="DJN19" s="110"/>
      <c r="DJO19" s="114"/>
      <c r="DJP19" s="114"/>
      <c r="DJQ19" s="110"/>
      <c r="DJR19" s="110"/>
      <c r="DJS19" s="110"/>
      <c r="DJT19" s="110"/>
      <c r="DJU19" s="111"/>
      <c r="DJV19" s="112"/>
      <c r="DJW19" s="113"/>
      <c r="DJX19" s="110"/>
      <c r="DJY19" s="114"/>
      <c r="DJZ19" s="114"/>
      <c r="DKA19" s="110"/>
      <c r="DKB19" s="110"/>
      <c r="DKC19" s="110"/>
      <c r="DKD19" s="110"/>
      <c r="DKE19" s="111"/>
      <c r="DKF19" s="112"/>
      <c r="DKG19" s="113"/>
      <c r="DKH19" s="110"/>
      <c r="DKI19" s="114"/>
      <c r="DKJ19" s="114"/>
      <c r="DKK19" s="110"/>
      <c r="DKL19" s="110"/>
      <c r="DKM19" s="110"/>
      <c r="DKN19" s="110"/>
      <c r="DKO19" s="111"/>
      <c r="DKP19" s="112"/>
      <c r="DKQ19" s="113"/>
      <c r="DKR19" s="110"/>
      <c r="DKS19" s="114"/>
      <c r="DKT19" s="114"/>
      <c r="DKU19" s="110"/>
      <c r="DKV19" s="110"/>
      <c r="DKW19" s="110"/>
      <c r="DKX19" s="110"/>
      <c r="DKY19" s="111"/>
      <c r="DKZ19" s="112"/>
      <c r="DLA19" s="113"/>
      <c r="DLB19" s="110"/>
      <c r="DLC19" s="114"/>
      <c r="DLD19" s="114"/>
      <c r="DLE19" s="110"/>
      <c r="DLF19" s="110"/>
      <c r="DLG19" s="110"/>
      <c r="DLH19" s="110"/>
      <c r="DLI19" s="111"/>
      <c r="DLJ19" s="112"/>
      <c r="DLK19" s="113"/>
      <c r="DLL19" s="110"/>
      <c r="DLM19" s="114"/>
      <c r="DLN19" s="114"/>
      <c r="DLO19" s="110"/>
      <c r="DLP19" s="110"/>
      <c r="DLQ19" s="110"/>
      <c r="DLR19" s="110"/>
      <c r="DLS19" s="111"/>
      <c r="DLT19" s="112"/>
      <c r="DLU19" s="113"/>
      <c r="DLV19" s="110"/>
      <c r="DLW19" s="114"/>
      <c r="DLX19" s="114"/>
      <c r="DLY19" s="110"/>
      <c r="DLZ19" s="110"/>
      <c r="DMA19" s="110"/>
      <c r="DMB19" s="110"/>
      <c r="DMC19" s="111"/>
      <c r="DMD19" s="112"/>
      <c r="DME19" s="113"/>
      <c r="DMF19" s="110"/>
      <c r="DMG19" s="114"/>
      <c r="DMH19" s="114"/>
      <c r="DMI19" s="110"/>
      <c r="DMJ19" s="110"/>
      <c r="DMK19" s="110"/>
      <c r="DML19" s="110"/>
      <c r="DMM19" s="111"/>
      <c r="DMN19" s="112"/>
      <c r="DMO19" s="113"/>
      <c r="DMP19" s="110"/>
      <c r="DMQ19" s="114"/>
      <c r="DMR19" s="114"/>
      <c r="DMS19" s="110"/>
      <c r="DMT19" s="110"/>
      <c r="DMU19" s="110"/>
      <c r="DMV19" s="110"/>
      <c r="DMW19" s="111"/>
      <c r="DMX19" s="112"/>
      <c r="DMY19" s="113"/>
      <c r="DMZ19" s="110"/>
      <c r="DNA19" s="114"/>
      <c r="DNB19" s="114"/>
      <c r="DNC19" s="110"/>
      <c r="DND19" s="110"/>
      <c r="DNE19" s="110"/>
      <c r="DNF19" s="110"/>
      <c r="DNG19" s="111"/>
      <c r="DNH19" s="112"/>
      <c r="DNI19" s="113"/>
      <c r="DNJ19" s="110"/>
      <c r="DNK19" s="114"/>
      <c r="DNL19" s="114"/>
      <c r="DNM19" s="110"/>
      <c r="DNN19" s="110"/>
      <c r="DNO19" s="110"/>
      <c r="DNP19" s="110"/>
      <c r="DNQ19" s="111"/>
      <c r="DNR19" s="112"/>
      <c r="DNS19" s="113"/>
      <c r="DNT19" s="110"/>
      <c r="DNU19" s="114"/>
      <c r="DNV19" s="114"/>
      <c r="DNW19" s="110"/>
      <c r="DNX19" s="110"/>
      <c r="DNY19" s="110"/>
      <c r="DNZ19" s="110"/>
      <c r="DOA19" s="111"/>
      <c r="DOB19" s="112"/>
      <c r="DOC19" s="113"/>
      <c r="DOD19" s="110"/>
      <c r="DOE19" s="114"/>
      <c r="DOF19" s="114"/>
      <c r="DOG19" s="110"/>
      <c r="DOH19" s="110"/>
      <c r="DOI19" s="110"/>
      <c r="DOJ19" s="110"/>
      <c r="DOK19" s="111"/>
      <c r="DOL19" s="112"/>
      <c r="DOM19" s="113"/>
      <c r="DON19" s="110"/>
      <c r="DOO19" s="114"/>
      <c r="DOP19" s="114"/>
      <c r="DOQ19" s="110"/>
      <c r="DOR19" s="110"/>
      <c r="DOS19" s="110"/>
      <c r="DOT19" s="110"/>
      <c r="DOU19" s="111"/>
      <c r="DOV19" s="112"/>
      <c r="DOW19" s="113"/>
      <c r="DOX19" s="110"/>
      <c r="DOY19" s="114"/>
      <c r="DOZ19" s="114"/>
      <c r="DPA19" s="110"/>
      <c r="DPB19" s="110"/>
      <c r="DPC19" s="110"/>
      <c r="DPD19" s="110"/>
      <c r="DPE19" s="111"/>
      <c r="DPF19" s="112"/>
      <c r="DPG19" s="113"/>
      <c r="DPH19" s="110"/>
      <c r="DPI19" s="114"/>
      <c r="DPJ19" s="114"/>
      <c r="DPK19" s="110"/>
      <c r="DPL19" s="110"/>
      <c r="DPM19" s="110"/>
      <c r="DPN19" s="110"/>
      <c r="DPO19" s="111"/>
      <c r="DPP19" s="112"/>
      <c r="DPQ19" s="113"/>
      <c r="DPR19" s="110"/>
      <c r="DPS19" s="114"/>
      <c r="DPT19" s="114"/>
      <c r="DPU19" s="110"/>
      <c r="DPV19" s="110"/>
      <c r="DPW19" s="110"/>
      <c r="DPX19" s="110"/>
      <c r="DPY19" s="111"/>
      <c r="DPZ19" s="112"/>
      <c r="DQA19" s="113"/>
      <c r="DQB19" s="110"/>
      <c r="DQC19" s="114"/>
      <c r="DQD19" s="114"/>
      <c r="DQE19" s="110"/>
      <c r="DQF19" s="110"/>
      <c r="DQG19" s="110"/>
      <c r="DQH19" s="110"/>
      <c r="DQI19" s="111"/>
      <c r="DQJ19" s="112"/>
      <c r="DQK19" s="113"/>
      <c r="DQL19" s="110"/>
      <c r="DQM19" s="114"/>
      <c r="DQN19" s="114"/>
      <c r="DQO19" s="110"/>
      <c r="DQP19" s="110"/>
      <c r="DQQ19" s="110"/>
      <c r="DQR19" s="110"/>
      <c r="DQS19" s="111"/>
      <c r="DQT19" s="112"/>
      <c r="DQU19" s="113"/>
      <c r="DQV19" s="110"/>
      <c r="DQW19" s="114"/>
      <c r="DQX19" s="114"/>
      <c r="DQY19" s="110"/>
      <c r="DQZ19" s="110"/>
      <c r="DRA19" s="110"/>
      <c r="DRB19" s="110"/>
      <c r="DRC19" s="111"/>
      <c r="DRD19" s="112"/>
      <c r="DRE19" s="113"/>
      <c r="DRF19" s="110"/>
      <c r="DRG19" s="114"/>
      <c r="DRH19" s="114"/>
      <c r="DRI19" s="110"/>
      <c r="DRJ19" s="110"/>
      <c r="DRK19" s="110"/>
      <c r="DRL19" s="110"/>
      <c r="DRM19" s="111"/>
      <c r="DRN19" s="112"/>
      <c r="DRO19" s="113"/>
      <c r="DRP19" s="110"/>
      <c r="DRQ19" s="114"/>
      <c r="DRR19" s="114"/>
      <c r="DRS19" s="110"/>
      <c r="DRT19" s="110"/>
      <c r="DRU19" s="110"/>
      <c r="DRV19" s="110"/>
      <c r="DRW19" s="111"/>
      <c r="DRX19" s="112"/>
      <c r="DRY19" s="113"/>
      <c r="DRZ19" s="110"/>
      <c r="DSA19" s="114"/>
      <c r="DSB19" s="114"/>
      <c r="DSC19" s="110"/>
      <c r="DSD19" s="110"/>
      <c r="DSE19" s="110"/>
      <c r="DSF19" s="110"/>
      <c r="DSG19" s="111"/>
      <c r="DSH19" s="112"/>
      <c r="DSI19" s="113"/>
      <c r="DSJ19" s="110"/>
      <c r="DSK19" s="114"/>
      <c r="DSL19" s="114"/>
      <c r="DSM19" s="110"/>
      <c r="DSN19" s="110"/>
      <c r="DSO19" s="110"/>
      <c r="DSP19" s="110"/>
      <c r="DSQ19" s="111"/>
      <c r="DSR19" s="112"/>
      <c r="DSS19" s="113"/>
      <c r="DST19" s="110"/>
      <c r="DSU19" s="114"/>
      <c r="DSV19" s="114"/>
      <c r="DSW19" s="110"/>
      <c r="DSX19" s="110"/>
      <c r="DSY19" s="110"/>
      <c r="DSZ19" s="110"/>
      <c r="DTA19" s="111"/>
      <c r="DTB19" s="112"/>
      <c r="DTC19" s="113"/>
      <c r="DTD19" s="110"/>
      <c r="DTE19" s="114"/>
      <c r="DTF19" s="114"/>
      <c r="DTG19" s="110"/>
      <c r="DTH19" s="110"/>
      <c r="DTI19" s="110"/>
      <c r="DTJ19" s="110"/>
      <c r="DTK19" s="111"/>
      <c r="DTL19" s="112"/>
      <c r="DTM19" s="113"/>
      <c r="DTN19" s="110"/>
      <c r="DTO19" s="114"/>
      <c r="DTP19" s="114"/>
      <c r="DTQ19" s="110"/>
      <c r="DTR19" s="110"/>
      <c r="DTS19" s="110"/>
      <c r="DTT19" s="110"/>
      <c r="DTU19" s="111"/>
      <c r="DTV19" s="112"/>
      <c r="DTW19" s="113"/>
      <c r="DTX19" s="110"/>
      <c r="DTY19" s="114"/>
      <c r="DTZ19" s="114"/>
      <c r="DUA19" s="110"/>
      <c r="DUB19" s="110"/>
      <c r="DUC19" s="110"/>
      <c r="DUD19" s="110"/>
      <c r="DUE19" s="111"/>
      <c r="DUF19" s="112"/>
      <c r="DUG19" s="113"/>
      <c r="DUH19" s="110"/>
      <c r="DUI19" s="114"/>
      <c r="DUJ19" s="114"/>
      <c r="DUK19" s="110"/>
      <c r="DUL19" s="110"/>
      <c r="DUM19" s="110"/>
      <c r="DUN19" s="110"/>
      <c r="DUO19" s="111"/>
      <c r="DUP19" s="112"/>
      <c r="DUQ19" s="113"/>
      <c r="DUR19" s="110"/>
      <c r="DUS19" s="114"/>
      <c r="DUT19" s="114"/>
      <c r="DUU19" s="110"/>
      <c r="DUV19" s="110"/>
      <c r="DUW19" s="110"/>
      <c r="DUX19" s="110"/>
      <c r="DUY19" s="111"/>
      <c r="DUZ19" s="112"/>
      <c r="DVA19" s="113"/>
      <c r="DVB19" s="110"/>
      <c r="DVC19" s="114"/>
      <c r="DVD19" s="114"/>
      <c r="DVE19" s="110"/>
      <c r="DVF19" s="110"/>
      <c r="DVG19" s="110"/>
      <c r="DVH19" s="110"/>
      <c r="DVI19" s="111"/>
      <c r="DVJ19" s="112"/>
      <c r="DVK19" s="113"/>
      <c r="DVL19" s="110"/>
      <c r="DVM19" s="114"/>
      <c r="DVN19" s="114"/>
      <c r="DVO19" s="110"/>
      <c r="DVP19" s="110"/>
      <c r="DVQ19" s="110"/>
      <c r="DVR19" s="110"/>
      <c r="DVS19" s="111"/>
      <c r="DVT19" s="112"/>
      <c r="DVU19" s="113"/>
      <c r="DVV19" s="110"/>
      <c r="DVW19" s="114"/>
      <c r="DVX19" s="114"/>
      <c r="DVY19" s="110"/>
      <c r="DVZ19" s="110"/>
      <c r="DWA19" s="110"/>
      <c r="DWB19" s="110"/>
      <c r="DWC19" s="111"/>
      <c r="DWD19" s="112"/>
      <c r="DWE19" s="113"/>
      <c r="DWF19" s="110"/>
      <c r="DWG19" s="114"/>
      <c r="DWH19" s="114"/>
      <c r="DWI19" s="110"/>
      <c r="DWJ19" s="110"/>
      <c r="DWK19" s="110"/>
      <c r="DWL19" s="110"/>
      <c r="DWM19" s="111"/>
      <c r="DWN19" s="112"/>
      <c r="DWO19" s="113"/>
      <c r="DWP19" s="110"/>
      <c r="DWQ19" s="114"/>
      <c r="DWR19" s="114"/>
      <c r="DWS19" s="110"/>
      <c r="DWT19" s="110"/>
      <c r="DWU19" s="110"/>
      <c r="DWV19" s="110"/>
      <c r="DWW19" s="111"/>
      <c r="DWX19" s="112"/>
      <c r="DWY19" s="113"/>
      <c r="DWZ19" s="110"/>
      <c r="DXA19" s="114"/>
      <c r="DXB19" s="114"/>
      <c r="DXC19" s="110"/>
      <c r="DXD19" s="110"/>
      <c r="DXE19" s="110"/>
      <c r="DXF19" s="110"/>
      <c r="DXG19" s="111"/>
      <c r="DXH19" s="112"/>
      <c r="DXI19" s="113"/>
      <c r="DXJ19" s="110"/>
      <c r="DXK19" s="114"/>
      <c r="DXL19" s="114"/>
      <c r="DXM19" s="110"/>
      <c r="DXN19" s="110"/>
      <c r="DXO19" s="110"/>
      <c r="DXP19" s="110"/>
      <c r="DXQ19" s="111"/>
      <c r="DXR19" s="112"/>
      <c r="DXS19" s="113"/>
      <c r="DXT19" s="110"/>
      <c r="DXU19" s="114"/>
      <c r="DXV19" s="114"/>
      <c r="DXW19" s="110"/>
      <c r="DXX19" s="110"/>
      <c r="DXY19" s="110"/>
      <c r="DXZ19" s="110"/>
      <c r="DYA19" s="111"/>
      <c r="DYB19" s="112"/>
      <c r="DYC19" s="113"/>
      <c r="DYD19" s="110"/>
      <c r="DYE19" s="114"/>
      <c r="DYF19" s="114"/>
      <c r="DYG19" s="110"/>
      <c r="DYH19" s="110"/>
      <c r="DYI19" s="110"/>
      <c r="DYJ19" s="110"/>
      <c r="DYK19" s="111"/>
      <c r="DYL19" s="112"/>
      <c r="DYM19" s="113"/>
      <c r="DYN19" s="110"/>
      <c r="DYO19" s="114"/>
      <c r="DYP19" s="114"/>
      <c r="DYQ19" s="110"/>
      <c r="DYR19" s="110"/>
      <c r="DYS19" s="110"/>
      <c r="DYT19" s="110"/>
      <c r="DYU19" s="111"/>
      <c r="DYV19" s="112"/>
      <c r="DYW19" s="113"/>
      <c r="DYX19" s="110"/>
      <c r="DYY19" s="114"/>
      <c r="DYZ19" s="114"/>
      <c r="DZA19" s="110"/>
      <c r="DZB19" s="110"/>
      <c r="DZC19" s="110"/>
      <c r="DZD19" s="110"/>
      <c r="DZE19" s="111"/>
      <c r="DZF19" s="112"/>
      <c r="DZG19" s="113"/>
      <c r="DZH19" s="110"/>
      <c r="DZI19" s="114"/>
      <c r="DZJ19" s="114"/>
      <c r="DZK19" s="110"/>
      <c r="DZL19" s="110"/>
      <c r="DZM19" s="110"/>
      <c r="DZN19" s="110"/>
      <c r="DZO19" s="111"/>
      <c r="DZP19" s="112"/>
      <c r="DZQ19" s="113"/>
      <c r="DZR19" s="110"/>
      <c r="DZS19" s="114"/>
      <c r="DZT19" s="114"/>
      <c r="DZU19" s="110"/>
      <c r="DZV19" s="110"/>
      <c r="DZW19" s="110"/>
      <c r="DZX19" s="110"/>
      <c r="DZY19" s="111"/>
      <c r="DZZ19" s="112"/>
      <c r="EAA19" s="113"/>
      <c r="EAB19" s="110"/>
      <c r="EAC19" s="114"/>
      <c r="EAD19" s="114"/>
      <c r="EAE19" s="110"/>
      <c r="EAF19" s="110"/>
      <c r="EAG19" s="110"/>
      <c r="EAH19" s="110"/>
      <c r="EAI19" s="111"/>
      <c r="EAJ19" s="112"/>
      <c r="EAK19" s="113"/>
      <c r="EAL19" s="110"/>
      <c r="EAM19" s="114"/>
      <c r="EAN19" s="114"/>
      <c r="EAO19" s="110"/>
      <c r="EAP19" s="110"/>
      <c r="EAQ19" s="110"/>
      <c r="EAR19" s="110"/>
      <c r="EAS19" s="111"/>
      <c r="EAT19" s="112"/>
      <c r="EAU19" s="113"/>
      <c r="EAV19" s="110"/>
      <c r="EAW19" s="114"/>
      <c r="EAX19" s="114"/>
      <c r="EAY19" s="110"/>
      <c r="EAZ19" s="110"/>
      <c r="EBA19" s="110"/>
      <c r="EBB19" s="110"/>
      <c r="EBC19" s="111"/>
      <c r="EBD19" s="112"/>
      <c r="EBE19" s="113"/>
      <c r="EBF19" s="110"/>
      <c r="EBG19" s="114"/>
      <c r="EBH19" s="114"/>
      <c r="EBI19" s="110"/>
      <c r="EBJ19" s="110"/>
      <c r="EBK19" s="110"/>
      <c r="EBL19" s="110"/>
      <c r="EBM19" s="111"/>
      <c r="EBN19" s="112"/>
      <c r="EBO19" s="113"/>
      <c r="EBP19" s="110"/>
      <c r="EBQ19" s="114"/>
      <c r="EBR19" s="114"/>
      <c r="EBS19" s="110"/>
      <c r="EBT19" s="110"/>
      <c r="EBU19" s="110"/>
      <c r="EBV19" s="110"/>
      <c r="EBW19" s="111"/>
      <c r="EBX19" s="112"/>
      <c r="EBY19" s="113"/>
      <c r="EBZ19" s="110"/>
      <c r="ECA19" s="114"/>
      <c r="ECB19" s="114"/>
      <c r="ECC19" s="110"/>
      <c r="ECD19" s="110"/>
      <c r="ECE19" s="110"/>
      <c r="ECF19" s="110"/>
      <c r="ECG19" s="111"/>
      <c r="ECH19" s="112"/>
      <c r="ECI19" s="113"/>
      <c r="ECJ19" s="110"/>
      <c r="ECK19" s="114"/>
      <c r="ECL19" s="114"/>
      <c r="ECM19" s="110"/>
      <c r="ECN19" s="110"/>
      <c r="ECO19" s="110"/>
      <c r="ECP19" s="110"/>
      <c r="ECQ19" s="111"/>
      <c r="ECR19" s="112"/>
      <c r="ECS19" s="113"/>
      <c r="ECT19" s="110"/>
      <c r="ECU19" s="114"/>
      <c r="ECV19" s="114"/>
      <c r="ECW19" s="110"/>
      <c r="ECX19" s="110"/>
      <c r="ECY19" s="110"/>
      <c r="ECZ19" s="110"/>
      <c r="EDA19" s="111"/>
      <c r="EDB19" s="112"/>
      <c r="EDC19" s="113"/>
      <c r="EDD19" s="110"/>
      <c r="EDE19" s="114"/>
      <c r="EDF19" s="114"/>
      <c r="EDG19" s="110"/>
      <c r="EDH19" s="110"/>
      <c r="EDI19" s="110"/>
      <c r="EDJ19" s="110"/>
      <c r="EDK19" s="111"/>
      <c r="EDL19" s="112"/>
      <c r="EDM19" s="113"/>
      <c r="EDN19" s="110"/>
      <c r="EDO19" s="114"/>
      <c r="EDP19" s="114"/>
      <c r="EDQ19" s="110"/>
      <c r="EDR19" s="110"/>
      <c r="EDS19" s="110"/>
      <c r="EDT19" s="110"/>
      <c r="EDU19" s="111"/>
      <c r="EDV19" s="112"/>
      <c r="EDW19" s="113"/>
      <c r="EDX19" s="110"/>
      <c r="EDY19" s="114"/>
      <c r="EDZ19" s="114"/>
      <c r="EEA19" s="110"/>
      <c r="EEB19" s="110"/>
      <c r="EEC19" s="110"/>
      <c r="EED19" s="110"/>
      <c r="EEE19" s="111"/>
      <c r="EEF19" s="112"/>
      <c r="EEG19" s="113"/>
      <c r="EEH19" s="110"/>
      <c r="EEI19" s="114"/>
      <c r="EEJ19" s="114"/>
      <c r="EEK19" s="110"/>
      <c r="EEL19" s="110"/>
      <c r="EEM19" s="110"/>
      <c r="EEN19" s="110"/>
      <c r="EEO19" s="111"/>
      <c r="EEP19" s="112"/>
      <c r="EEQ19" s="113"/>
      <c r="EER19" s="110"/>
      <c r="EES19" s="114"/>
      <c r="EET19" s="114"/>
      <c r="EEU19" s="110"/>
      <c r="EEV19" s="110"/>
      <c r="EEW19" s="110"/>
      <c r="EEX19" s="110"/>
      <c r="EEY19" s="111"/>
      <c r="EEZ19" s="112"/>
      <c r="EFA19" s="113"/>
      <c r="EFB19" s="110"/>
      <c r="EFC19" s="114"/>
      <c r="EFD19" s="114"/>
      <c r="EFE19" s="110"/>
      <c r="EFF19" s="110"/>
      <c r="EFG19" s="110"/>
      <c r="EFH19" s="110"/>
      <c r="EFI19" s="111"/>
      <c r="EFJ19" s="112"/>
      <c r="EFK19" s="113"/>
      <c r="EFL19" s="110"/>
      <c r="EFM19" s="114"/>
      <c r="EFN19" s="114"/>
      <c r="EFO19" s="110"/>
      <c r="EFP19" s="110"/>
      <c r="EFQ19" s="110"/>
      <c r="EFR19" s="110"/>
      <c r="EFS19" s="111"/>
      <c r="EFT19" s="112"/>
      <c r="EFU19" s="113"/>
      <c r="EFV19" s="110"/>
      <c r="EFW19" s="114"/>
      <c r="EFX19" s="114"/>
      <c r="EFY19" s="110"/>
      <c r="EFZ19" s="110"/>
      <c r="EGA19" s="110"/>
      <c r="EGB19" s="110"/>
      <c r="EGC19" s="111"/>
      <c r="EGD19" s="112"/>
      <c r="EGE19" s="113"/>
      <c r="EGF19" s="110"/>
      <c r="EGG19" s="114"/>
      <c r="EGH19" s="114"/>
      <c r="EGI19" s="110"/>
      <c r="EGJ19" s="110"/>
      <c r="EGK19" s="110"/>
      <c r="EGL19" s="110"/>
      <c r="EGM19" s="111"/>
      <c r="EGN19" s="112"/>
      <c r="EGO19" s="113"/>
      <c r="EGP19" s="110"/>
      <c r="EGQ19" s="114"/>
      <c r="EGR19" s="114"/>
      <c r="EGS19" s="110"/>
      <c r="EGT19" s="110"/>
      <c r="EGU19" s="110"/>
      <c r="EGV19" s="110"/>
      <c r="EGW19" s="111"/>
      <c r="EGX19" s="112"/>
      <c r="EGY19" s="113"/>
      <c r="EGZ19" s="110"/>
      <c r="EHA19" s="114"/>
      <c r="EHB19" s="114"/>
      <c r="EHC19" s="110"/>
      <c r="EHD19" s="110"/>
      <c r="EHE19" s="110"/>
      <c r="EHF19" s="110"/>
      <c r="EHG19" s="111"/>
      <c r="EHH19" s="112"/>
      <c r="EHI19" s="113"/>
      <c r="EHJ19" s="110"/>
      <c r="EHK19" s="114"/>
      <c r="EHL19" s="114"/>
      <c r="EHM19" s="110"/>
      <c r="EHN19" s="110"/>
      <c r="EHO19" s="110"/>
      <c r="EHP19" s="110"/>
      <c r="EHQ19" s="111"/>
      <c r="EHR19" s="112"/>
      <c r="EHS19" s="113"/>
      <c r="EHT19" s="110"/>
      <c r="EHU19" s="114"/>
      <c r="EHV19" s="114"/>
      <c r="EHW19" s="110"/>
      <c r="EHX19" s="110"/>
      <c r="EHY19" s="110"/>
      <c r="EHZ19" s="110"/>
      <c r="EIA19" s="111"/>
      <c r="EIB19" s="112"/>
      <c r="EIC19" s="113"/>
      <c r="EID19" s="110"/>
      <c r="EIE19" s="114"/>
      <c r="EIF19" s="114"/>
      <c r="EIG19" s="110"/>
      <c r="EIH19" s="110"/>
      <c r="EII19" s="110"/>
      <c r="EIJ19" s="110"/>
      <c r="EIK19" s="111"/>
      <c r="EIL19" s="112"/>
      <c r="EIM19" s="113"/>
      <c r="EIN19" s="110"/>
      <c r="EIO19" s="114"/>
      <c r="EIP19" s="114"/>
      <c r="EIQ19" s="110"/>
      <c r="EIR19" s="110"/>
      <c r="EIS19" s="110"/>
      <c r="EIT19" s="110"/>
      <c r="EIU19" s="111"/>
      <c r="EIV19" s="112"/>
      <c r="EIW19" s="113"/>
      <c r="EIX19" s="110"/>
      <c r="EIY19" s="114"/>
      <c r="EIZ19" s="114"/>
      <c r="EJA19" s="110"/>
      <c r="EJB19" s="110"/>
      <c r="EJC19" s="110"/>
      <c r="EJD19" s="110"/>
      <c r="EJE19" s="111"/>
      <c r="EJF19" s="112"/>
      <c r="EJG19" s="113"/>
      <c r="EJH19" s="110"/>
      <c r="EJI19" s="114"/>
      <c r="EJJ19" s="114"/>
      <c r="EJK19" s="110"/>
      <c r="EJL19" s="110"/>
      <c r="EJM19" s="110"/>
      <c r="EJN19" s="110"/>
      <c r="EJO19" s="111"/>
      <c r="EJP19" s="112"/>
      <c r="EJQ19" s="113"/>
      <c r="EJR19" s="110"/>
      <c r="EJS19" s="114"/>
      <c r="EJT19" s="114"/>
      <c r="EJU19" s="110"/>
      <c r="EJV19" s="110"/>
      <c r="EJW19" s="110"/>
      <c r="EJX19" s="110"/>
      <c r="EJY19" s="111"/>
      <c r="EJZ19" s="112"/>
      <c r="EKA19" s="113"/>
      <c r="EKB19" s="110"/>
      <c r="EKC19" s="114"/>
      <c r="EKD19" s="114"/>
      <c r="EKE19" s="110"/>
      <c r="EKF19" s="110"/>
      <c r="EKG19" s="110"/>
      <c r="EKH19" s="110"/>
      <c r="EKI19" s="111"/>
      <c r="EKJ19" s="112"/>
      <c r="EKK19" s="113"/>
      <c r="EKL19" s="110"/>
      <c r="EKM19" s="114"/>
      <c r="EKN19" s="114"/>
      <c r="EKO19" s="110"/>
      <c r="EKP19" s="110"/>
      <c r="EKQ19" s="110"/>
      <c r="EKR19" s="110"/>
      <c r="EKS19" s="111"/>
      <c r="EKT19" s="112"/>
      <c r="EKU19" s="113"/>
      <c r="EKV19" s="110"/>
      <c r="EKW19" s="114"/>
      <c r="EKX19" s="114"/>
      <c r="EKY19" s="110"/>
      <c r="EKZ19" s="110"/>
      <c r="ELA19" s="110"/>
      <c r="ELB19" s="110"/>
      <c r="ELC19" s="111"/>
      <c r="ELD19" s="112"/>
      <c r="ELE19" s="113"/>
      <c r="ELF19" s="110"/>
      <c r="ELG19" s="114"/>
      <c r="ELH19" s="114"/>
      <c r="ELI19" s="110"/>
      <c r="ELJ19" s="110"/>
      <c r="ELK19" s="110"/>
      <c r="ELL19" s="110"/>
      <c r="ELM19" s="111"/>
      <c r="ELN19" s="112"/>
      <c r="ELO19" s="113"/>
      <c r="ELP19" s="110"/>
      <c r="ELQ19" s="114"/>
      <c r="ELR19" s="114"/>
      <c r="ELS19" s="110"/>
      <c r="ELT19" s="110"/>
      <c r="ELU19" s="110"/>
      <c r="ELV19" s="110"/>
      <c r="ELW19" s="111"/>
      <c r="ELX19" s="112"/>
      <c r="ELY19" s="113"/>
      <c r="ELZ19" s="110"/>
      <c r="EMA19" s="114"/>
      <c r="EMB19" s="114"/>
      <c r="EMC19" s="110"/>
      <c r="EMD19" s="110"/>
      <c r="EME19" s="110"/>
      <c r="EMF19" s="110"/>
      <c r="EMG19" s="111"/>
      <c r="EMH19" s="112"/>
      <c r="EMI19" s="113"/>
      <c r="EMJ19" s="110"/>
      <c r="EMK19" s="114"/>
      <c r="EML19" s="114"/>
      <c r="EMM19" s="110"/>
      <c r="EMN19" s="110"/>
      <c r="EMO19" s="110"/>
      <c r="EMP19" s="110"/>
      <c r="EMQ19" s="111"/>
      <c r="EMR19" s="112"/>
      <c r="EMS19" s="113"/>
      <c r="EMT19" s="110"/>
      <c r="EMU19" s="114"/>
      <c r="EMV19" s="114"/>
      <c r="EMW19" s="110"/>
      <c r="EMX19" s="110"/>
      <c r="EMY19" s="110"/>
      <c r="EMZ19" s="110"/>
      <c r="ENA19" s="111"/>
      <c r="ENB19" s="112"/>
      <c r="ENC19" s="113"/>
      <c r="END19" s="110"/>
      <c r="ENE19" s="114"/>
      <c r="ENF19" s="114"/>
      <c r="ENG19" s="110"/>
      <c r="ENH19" s="110"/>
      <c r="ENI19" s="110"/>
      <c r="ENJ19" s="110"/>
      <c r="ENK19" s="111"/>
      <c r="ENL19" s="112"/>
      <c r="ENM19" s="113"/>
      <c r="ENN19" s="110"/>
      <c r="ENO19" s="114"/>
      <c r="ENP19" s="114"/>
      <c r="ENQ19" s="110"/>
      <c r="ENR19" s="110"/>
      <c r="ENS19" s="110"/>
      <c r="ENT19" s="110"/>
      <c r="ENU19" s="111"/>
      <c r="ENV19" s="112"/>
      <c r="ENW19" s="113"/>
      <c r="ENX19" s="110"/>
      <c r="ENY19" s="114"/>
      <c r="ENZ19" s="114"/>
      <c r="EOA19" s="110"/>
      <c r="EOB19" s="110"/>
      <c r="EOC19" s="110"/>
      <c r="EOD19" s="110"/>
      <c r="EOE19" s="111"/>
      <c r="EOF19" s="112"/>
      <c r="EOG19" s="113"/>
      <c r="EOH19" s="110"/>
      <c r="EOI19" s="114"/>
      <c r="EOJ19" s="114"/>
      <c r="EOK19" s="110"/>
      <c r="EOL19" s="110"/>
      <c r="EOM19" s="110"/>
      <c r="EON19" s="110"/>
      <c r="EOO19" s="111"/>
      <c r="EOP19" s="112"/>
      <c r="EOQ19" s="113"/>
      <c r="EOR19" s="110"/>
      <c r="EOS19" s="114"/>
      <c r="EOT19" s="114"/>
      <c r="EOU19" s="110"/>
      <c r="EOV19" s="110"/>
      <c r="EOW19" s="110"/>
      <c r="EOX19" s="110"/>
      <c r="EOY19" s="111"/>
      <c r="EOZ19" s="112"/>
      <c r="EPA19" s="113"/>
      <c r="EPB19" s="110"/>
      <c r="EPC19" s="114"/>
      <c r="EPD19" s="114"/>
      <c r="EPE19" s="110"/>
      <c r="EPF19" s="110"/>
      <c r="EPG19" s="110"/>
      <c r="EPH19" s="110"/>
      <c r="EPI19" s="111"/>
      <c r="EPJ19" s="112"/>
      <c r="EPK19" s="113"/>
      <c r="EPL19" s="110"/>
      <c r="EPM19" s="114"/>
      <c r="EPN19" s="114"/>
      <c r="EPO19" s="110"/>
      <c r="EPP19" s="110"/>
      <c r="EPQ19" s="110"/>
      <c r="EPR19" s="110"/>
      <c r="EPS19" s="111"/>
      <c r="EPT19" s="112"/>
      <c r="EPU19" s="113"/>
      <c r="EPV19" s="110"/>
      <c r="EPW19" s="114"/>
      <c r="EPX19" s="114"/>
      <c r="EPY19" s="110"/>
      <c r="EPZ19" s="110"/>
      <c r="EQA19" s="110"/>
      <c r="EQB19" s="110"/>
      <c r="EQC19" s="111"/>
      <c r="EQD19" s="112"/>
      <c r="EQE19" s="113"/>
      <c r="EQF19" s="110"/>
      <c r="EQG19" s="114"/>
      <c r="EQH19" s="114"/>
      <c r="EQI19" s="110"/>
      <c r="EQJ19" s="110"/>
      <c r="EQK19" s="110"/>
      <c r="EQL19" s="110"/>
      <c r="EQM19" s="111"/>
      <c r="EQN19" s="112"/>
      <c r="EQO19" s="113"/>
      <c r="EQP19" s="110"/>
      <c r="EQQ19" s="114"/>
      <c r="EQR19" s="114"/>
      <c r="EQS19" s="110"/>
      <c r="EQT19" s="110"/>
      <c r="EQU19" s="110"/>
      <c r="EQV19" s="110"/>
      <c r="EQW19" s="111"/>
      <c r="EQX19" s="112"/>
      <c r="EQY19" s="113"/>
      <c r="EQZ19" s="110"/>
      <c r="ERA19" s="114"/>
      <c r="ERB19" s="114"/>
      <c r="ERC19" s="110"/>
      <c r="ERD19" s="110"/>
      <c r="ERE19" s="110"/>
      <c r="ERF19" s="110"/>
      <c r="ERG19" s="111"/>
      <c r="ERH19" s="112"/>
      <c r="ERI19" s="113"/>
      <c r="ERJ19" s="110"/>
      <c r="ERK19" s="114"/>
      <c r="ERL19" s="114"/>
      <c r="ERM19" s="110"/>
      <c r="ERN19" s="110"/>
      <c r="ERO19" s="110"/>
      <c r="ERP19" s="110"/>
      <c r="ERQ19" s="111"/>
      <c r="ERR19" s="112"/>
      <c r="ERS19" s="113"/>
      <c r="ERT19" s="110"/>
      <c r="ERU19" s="114"/>
      <c r="ERV19" s="114"/>
      <c r="ERW19" s="110"/>
      <c r="ERX19" s="110"/>
      <c r="ERY19" s="110"/>
      <c r="ERZ19" s="110"/>
      <c r="ESA19" s="111"/>
      <c r="ESB19" s="112"/>
      <c r="ESC19" s="113"/>
      <c r="ESD19" s="110"/>
      <c r="ESE19" s="114"/>
      <c r="ESF19" s="114"/>
      <c r="ESG19" s="110"/>
      <c r="ESH19" s="110"/>
      <c r="ESI19" s="110"/>
      <c r="ESJ19" s="110"/>
      <c r="ESK19" s="111"/>
      <c r="ESL19" s="112"/>
      <c r="ESM19" s="113"/>
      <c r="ESN19" s="110"/>
      <c r="ESO19" s="114"/>
      <c r="ESP19" s="114"/>
      <c r="ESQ19" s="110"/>
      <c r="ESR19" s="110"/>
      <c r="ESS19" s="110"/>
      <c r="EST19" s="110"/>
      <c r="ESU19" s="111"/>
      <c r="ESV19" s="112"/>
      <c r="ESW19" s="113"/>
      <c r="ESX19" s="110"/>
      <c r="ESY19" s="114"/>
      <c r="ESZ19" s="114"/>
      <c r="ETA19" s="110"/>
      <c r="ETB19" s="110"/>
      <c r="ETC19" s="110"/>
      <c r="ETD19" s="110"/>
      <c r="ETE19" s="111"/>
      <c r="ETF19" s="112"/>
      <c r="ETG19" s="113"/>
      <c r="ETH19" s="110"/>
      <c r="ETI19" s="114"/>
      <c r="ETJ19" s="114"/>
      <c r="ETK19" s="110"/>
      <c r="ETL19" s="110"/>
      <c r="ETM19" s="110"/>
      <c r="ETN19" s="110"/>
      <c r="ETO19" s="111"/>
      <c r="ETP19" s="112"/>
      <c r="ETQ19" s="113"/>
      <c r="ETR19" s="110"/>
      <c r="ETS19" s="114"/>
      <c r="ETT19" s="114"/>
      <c r="ETU19" s="110"/>
      <c r="ETV19" s="110"/>
      <c r="ETW19" s="110"/>
      <c r="ETX19" s="110"/>
      <c r="ETY19" s="111"/>
      <c r="ETZ19" s="112"/>
      <c r="EUA19" s="113"/>
      <c r="EUB19" s="110"/>
      <c r="EUC19" s="114"/>
      <c r="EUD19" s="114"/>
      <c r="EUE19" s="110"/>
      <c r="EUF19" s="110"/>
      <c r="EUG19" s="110"/>
      <c r="EUH19" s="110"/>
      <c r="EUI19" s="111"/>
      <c r="EUJ19" s="112"/>
      <c r="EUK19" s="113"/>
      <c r="EUL19" s="110"/>
      <c r="EUM19" s="114"/>
      <c r="EUN19" s="114"/>
      <c r="EUO19" s="110"/>
      <c r="EUP19" s="110"/>
      <c r="EUQ19" s="110"/>
      <c r="EUR19" s="110"/>
      <c r="EUS19" s="111"/>
      <c r="EUT19" s="112"/>
      <c r="EUU19" s="113"/>
      <c r="EUV19" s="110"/>
      <c r="EUW19" s="114"/>
      <c r="EUX19" s="114"/>
      <c r="EUY19" s="110"/>
      <c r="EUZ19" s="110"/>
      <c r="EVA19" s="110"/>
      <c r="EVB19" s="110"/>
      <c r="EVC19" s="111"/>
      <c r="EVD19" s="112"/>
      <c r="EVE19" s="113"/>
      <c r="EVF19" s="110"/>
      <c r="EVG19" s="114"/>
      <c r="EVH19" s="114"/>
      <c r="EVI19" s="110"/>
      <c r="EVJ19" s="110"/>
      <c r="EVK19" s="110"/>
      <c r="EVL19" s="110"/>
      <c r="EVM19" s="111"/>
      <c r="EVN19" s="112"/>
      <c r="EVO19" s="113"/>
      <c r="EVP19" s="110"/>
      <c r="EVQ19" s="114"/>
      <c r="EVR19" s="114"/>
      <c r="EVS19" s="110"/>
      <c r="EVT19" s="110"/>
      <c r="EVU19" s="110"/>
      <c r="EVV19" s="110"/>
      <c r="EVW19" s="111"/>
      <c r="EVX19" s="112"/>
      <c r="EVY19" s="113"/>
      <c r="EVZ19" s="110"/>
      <c r="EWA19" s="114"/>
      <c r="EWB19" s="114"/>
      <c r="EWC19" s="110"/>
      <c r="EWD19" s="110"/>
      <c r="EWE19" s="110"/>
      <c r="EWF19" s="110"/>
      <c r="EWG19" s="111"/>
      <c r="EWH19" s="112"/>
      <c r="EWI19" s="113"/>
      <c r="EWJ19" s="110"/>
      <c r="EWK19" s="114"/>
      <c r="EWL19" s="114"/>
      <c r="EWM19" s="110"/>
      <c r="EWN19" s="110"/>
      <c r="EWO19" s="110"/>
      <c r="EWP19" s="110"/>
      <c r="EWQ19" s="111"/>
      <c r="EWR19" s="112"/>
      <c r="EWS19" s="113"/>
      <c r="EWT19" s="110"/>
      <c r="EWU19" s="114"/>
      <c r="EWV19" s="114"/>
      <c r="EWW19" s="110"/>
      <c r="EWX19" s="110"/>
      <c r="EWY19" s="110"/>
      <c r="EWZ19" s="110"/>
      <c r="EXA19" s="111"/>
      <c r="EXB19" s="112"/>
      <c r="EXC19" s="113"/>
      <c r="EXD19" s="110"/>
      <c r="EXE19" s="114"/>
      <c r="EXF19" s="114"/>
      <c r="EXG19" s="110"/>
      <c r="EXH19" s="110"/>
      <c r="EXI19" s="110"/>
      <c r="EXJ19" s="110"/>
      <c r="EXK19" s="111"/>
      <c r="EXL19" s="112"/>
      <c r="EXM19" s="113"/>
      <c r="EXN19" s="110"/>
      <c r="EXO19" s="114"/>
      <c r="EXP19" s="114"/>
      <c r="EXQ19" s="110"/>
      <c r="EXR19" s="110"/>
      <c r="EXS19" s="110"/>
      <c r="EXT19" s="110"/>
      <c r="EXU19" s="111"/>
      <c r="EXV19" s="112"/>
      <c r="EXW19" s="113"/>
      <c r="EXX19" s="110"/>
      <c r="EXY19" s="114"/>
      <c r="EXZ19" s="114"/>
      <c r="EYA19" s="110"/>
      <c r="EYB19" s="110"/>
      <c r="EYC19" s="110"/>
      <c r="EYD19" s="110"/>
      <c r="EYE19" s="111"/>
      <c r="EYF19" s="112"/>
      <c r="EYG19" s="113"/>
      <c r="EYH19" s="110"/>
      <c r="EYI19" s="114"/>
      <c r="EYJ19" s="114"/>
      <c r="EYK19" s="110"/>
      <c r="EYL19" s="110"/>
      <c r="EYM19" s="110"/>
      <c r="EYN19" s="110"/>
      <c r="EYO19" s="111"/>
      <c r="EYP19" s="112"/>
      <c r="EYQ19" s="113"/>
      <c r="EYR19" s="110"/>
      <c r="EYS19" s="114"/>
      <c r="EYT19" s="114"/>
      <c r="EYU19" s="110"/>
      <c r="EYV19" s="110"/>
      <c r="EYW19" s="110"/>
      <c r="EYX19" s="110"/>
      <c r="EYY19" s="111"/>
      <c r="EYZ19" s="112"/>
      <c r="EZA19" s="113"/>
      <c r="EZB19" s="110"/>
      <c r="EZC19" s="114"/>
      <c r="EZD19" s="114"/>
      <c r="EZE19" s="110"/>
      <c r="EZF19" s="110"/>
      <c r="EZG19" s="110"/>
      <c r="EZH19" s="110"/>
      <c r="EZI19" s="111"/>
      <c r="EZJ19" s="112"/>
      <c r="EZK19" s="113"/>
      <c r="EZL19" s="110"/>
      <c r="EZM19" s="114"/>
      <c r="EZN19" s="114"/>
      <c r="EZO19" s="110"/>
      <c r="EZP19" s="110"/>
      <c r="EZQ19" s="110"/>
      <c r="EZR19" s="110"/>
      <c r="EZS19" s="111"/>
      <c r="EZT19" s="112"/>
      <c r="EZU19" s="113"/>
      <c r="EZV19" s="110"/>
      <c r="EZW19" s="114"/>
      <c r="EZX19" s="114"/>
      <c r="EZY19" s="110"/>
      <c r="EZZ19" s="110"/>
      <c r="FAA19" s="110"/>
      <c r="FAB19" s="110"/>
      <c r="FAC19" s="111"/>
      <c r="FAD19" s="112"/>
      <c r="FAE19" s="113"/>
      <c r="FAF19" s="110"/>
      <c r="FAG19" s="114"/>
      <c r="FAH19" s="114"/>
      <c r="FAI19" s="110"/>
      <c r="FAJ19" s="110"/>
      <c r="FAK19" s="110"/>
      <c r="FAL19" s="110"/>
      <c r="FAM19" s="111"/>
      <c r="FAN19" s="112"/>
      <c r="FAO19" s="113"/>
      <c r="FAP19" s="110"/>
      <c r="FAQ19" s="114"/>
      <c r="FAR19" s="114"/>
      <c r="FAS19" s="110"/>
      <c r="FAT19" s="110"/>
      <c r="FAU19" s="110"/>
      <c r="FAV19" s="110"/>
      <c r="FAW19" s="111"/>
      <c r="FAX19" s="112"/>
      <c r="FAY19" s="113"/>
      <c r="FAZ19" s="110"/>
      <c r="FBA19" s="114"/>
      <c r="FBB19" s="114"/>
      <c r="FBC19" s="110"/>
      <c r="FBD19" s="110"/>
      <c r="FBE19" s="110"/>
      <c r="FBF19" s="110"/>
      <c r="FBG19" s="111"/>
      <c r="FBH19" s="112"/>
      <c r="FBI19" s="113"/>
      <c r="FBJ19" s="110"/>
      <c r="FBK19" s="114"/>
      <c r="FBL19" s="114"/>
      <c r="FBM19" s="110"/>
      <c r="FBN19" s="110"/>
      <c r="FBO19" s="110"/>
      <c r="FBP19" s="110"/>
      <c r="FBQ19" s="111"/>
      <c r="FBR19" s="112"/>
      <c r="FBS19" s="113"/>
      <c r="FBT19" s="110"/>
      <c r="FBU19" s="114"/>
      <c r="FBV19" s="114"/>
      <c r="FBW19" s="110"/>
      <c r="FBX19" s="110"/>
      <c r="FBY19" s="110"/>
      <c r="FBZ19" s="110"/>
      <c r="FCA19" s="111"/>
      <c r="FCB19" s="112"/>
      <c r="FCC19" s="113"/>
      <c r="FCD19" s="110"/>
      <c r="FCE19" s="114"/>
      <c r="FCF19" s="114"/>
      <c r="FCG19" s="110"/>
      <c r="FCH19" s="110"/>
      <c r="FCI19" s="110"/>
      <c r="FCJ19" s="110"/>
      <c r="FCK19" s="111"/>
      <c r="FCL19" s="112"/>
      <c r="FCM19" s="113"/>
      <c r="FCN19" s="110"/>
      <c r="FCO19" s="114"/>
      <c r="FCP19" s="114"/>
      <c r="FCQ19" s="110"/>
      <c r="FCR19" s="110"/>
      <c r="FCS19" s="110"/>
      <c r="FCT19" s="110"/>
      <c r="FCU19" s="111"/>
      <c r="FCV19" s="112"/>
      <c r="FCW19" s="113"/>
      <c r="FCX19" s="110"/>
      <c r="FCY19" s="114"/>
      <c r="FCZ19" s="114"/>
      <c r="FDA19" s="110"/>
      <c r="FDB19" s="110"/>
      <c r="FDC19" s="110"/>
      <c r="FDD19" s="110"/>
      <c r="FDE19" s="111"/>
      <c r="FDF19" s="112"/>
      <c r="FDG19" s="113"/>
      <c r="FDH19" s="110"/>
      <c r="FDI19" s="114"/>
      <c r="FDJ19" s="114"/>
      <c r="FDK19" s="110"/>
      <c r="FDL19" s="110"/>
      <c r="FDM19" s="110"/>
      <c r="FDN19" s="110"/>
      <c r="FDO19" s="111"/>
      <c r="FDP19" s="112"/>
      <c r="FDQ19" s="113"/>
      <c r="FDR19" s="110"/>
      <c r="FDS19" s="114"/>
      <c r="FDT19" s="114"/>
      <c r="FDU19" s="110"/>
      <c r="FDV19" s="110"/>
      <c r="FDW19" s="110"/>
      <c r="FDX19" s="110"/>
      <c r="FDY19" s="111"/>
      <c r="FDZ19" s="112"/>
      <c r="FEA19" s="113"/>
      <c r="FEB19" s="110"/>
      <c r="FEC19" s="114"/>
      <c r="FED19" s="114"/>
      <c r="FEE19" s="110"/>
      <c r="FEF19" s="110"/>
      <c r="FEG19" s="110"/>
      <c r="FEH19" s="110"/>
      <c r="FEI19" s="111"/>
      <c r="FEJ19" s="112"/>
      <c r="FEK19" s="113"/>
      <c r="FEL19" s="110"/>
      <c r="FEM19" s="114"/>
      <c r="FEN19" s="114"/>
      <c r="FEO19" s="110"/>
      <c r="FEP19" s="110"/>
      <c r="FEQ19" s="110"/>
      <c r="FER19" s="110"/>
      <c r="FES19" s="111"/>
      <c r="FET19" s="112"/>
      <c r="FEU19" s="113"/>
      <c r="FEV19" s="110"/>
      <c r="FEW19" s="114"/>
      <c r="FEX19" s="114"/>
      <c r="FEY19" s="110"/>
      <c r="FEZ19" s="110"/>
      <c r="FFA19" s="110"/>
      <c r="FFB19" s="110"/>
      <c r="FFC19" s="111"/>
      <c r="FFD19" s="112"/>
      <c r="FFE19" s="113"/>
      <c r="FFF19" s="110"/>
      <c r="FFG19" s="114"/>
      <c r="FFH19" s="114"/>
      <c r="FFI19" s="110"/>
      <c r="FFJ19" s="110"/>
      <c r="FFK19" s="110"/>
      <c r="FFL19" s="110"/>
      <c r="FFM19" s="111"/>
      <c r="FFN19" s="112"/>
      <c r="FFO19" s="113"/>
      <c r="FFP19" s="110"/>
      <c r="FFQ19" s="114"/>
      <c r="FFR19" s="114"/>
      <c r="FFS19" s="110"/>
      <c r="FFT19" s="110"/>
      <c r="FFU19" s="110"/>
      <c r="FFV19" s="110"/>
      <c r="FFW19" s="111"/>
      <c r="FFX19" s="112"/>
      <c r="FFY19" s="113"/>
      <c r="FFZ19" s="110"/>
      <c r="FGA19" s="114"/>
      <c r="FGB19" s="114"/>
      <c r="FGC19" s="110"/>
      <c r="FGD19" s="110"/>
      <c r="FGE19" s="110"/>
      <c r="FGF19" s="110"/>
      <c r="FGG19" s="111"/>
      <c r="FGH19" s="112"/>
      <c r="FGI19" s="113"/>
      <c r="FGJ19" s="110"/>
      <c r="FGK19" s="114"/>
      <c r="FGL19" s="114"/>
      <c r="FGM19" s="110"/>
      <c r="FGN19" s="110"/>
      <c r="FGO19" s="110"/>
      <c r="FGP19" s="110"/>
      <c r="FGQ19" s="111"/>
      <c r="FGR19" s="112"/>
      <c r="FGS19" s="113"/>
      <c r="FGT19" s="110"/>
      <c r="FGU19" s="114"/>
      <c r="FGV19" s="114"/>
      <c r="FGW19" s="110"/>
      <c r="FGX19" s="110"/>
      <c r="FGY19" s="110"/>
      <c r="FGZ19" s="110"/>
      <c r="FHA19" s="111"/>
      <c r="FHB19" s="112"/>
      <c r="FHC19" s="113"/>
      <c r="FHD19" s="110"/>
      <c r="FHE19" s="114"/>
      <c r="FHF19" s="114"/>
      <c r="FHG19" s="110"/>
      <c r="FHH19" s="110"/>
      <c r="FHI19" s="110"/>
      <c r="FHJ19" s="110"/>
      <c r="FHK19" s="111"/>
      <c r="FHL19" s="112"/>
      <c r="FHM19" s="113"/>
      <c r="FHN19" s="110"/>
      <c r="FHO19" s="114"/>
      <c r="FHP19" s="114"/>
      <c r="FHQ19" s="110"/>
      <c r="FHR19" s="110"/>
      <c r="FHS19" s="110"/>
      <c r="FHT19" s="110"/>
      <c r="FHU19" s="111"/>
      <c r="FHV19" s="112"/>
      <c r="FHW19" s="113"/>
      <c r="FHX19" s="110"/>
      <c r="FHY19" s="114"/>
      <c r="FHZ19" s="114"/>
      <c r="FIA19" s="110"/>
      <c r="FIB19" s="110"/>
      <c r="FIC19" s="110"/>
      <c r="FID19" s="110"/>
      <c r="FIE19" s="111"/>
      <c r="FIF19" s="112"/>
      <c r="FIG19" s="113"/>
      <c r="FIH19" s="110"/>
      <c r="FII19" s="114"/>
      <c r="FIJ19" s="114"/>
      <c r="FIK19" s="110"/>
      <c r="FIL19" s="110"/>
      <c r="FIM19" s="110"/>
      <c r="FIN19" s="110"/>
      <c r="FIO19" s="111"/>
      <c r="FIP19" s="112"/>
      <c r="FIQ19" s="113"/>
      <c r="FIR19" s="110"/>
      <c r="FIS19" s="114"/>
      <c r="FIT19" s="114"/>
      <c r="FIU19" s="110"/>
      <c r="FIV19" s="110"/>
      <c r="FIW19" s="110"/>
      <c r="FIX19" s="110"/>
      <c r="FIY19" s="111"/>
      <c r="FIZ19" s="112"/>
      <c r="FJA19" s="113"/>
      <c r="FJB19" s="110"/>
      <c r="FJC19" s="114"/>
      <c r="FJD19" s="114"/>
      <c r="FJE19" s="110"/>
      <c r="FJF19" s="110"/>
      <c r="FJG19" s="110"/>
      <c r="FJH19" s="110"/>
      <c r="FJI19" s="111"/>
      <c r="FJJ19" s="112"/>
      <c r="FJK19" s="113"/>
      <c r="FJL19" s="110"/>
      <c r="FJM19" s="114"/>
      <c r="FJN19" s="114"/>
      <c r="FJO19" s="110"/>
      <c r="FJP19" s="110"/>
      <c r="FJQ19" s="110"/>
      <c r="FJR19" s="110"/>
      <c r="FJS19" s="111"/>
      <c r="FJT19" s="112"/>
      <c r="FJU19" s="113"/>
      <c r="FJV19" s="110"/>
      <c r="FJW19" s="114"/>
      <c r="FJX19" s="114"/>
      <c r="FJY19" s="110"/>
      <c r="FJZ19" s="110"/>
      <c r="FKA19" s="110"/>
      <c r="FKB19" s="110"/>
      <c r="FKC19" s="111"/>
      <c r="FKD19" s="112"/>
      <c r="FKE19" s="113"/>
      <c r="FKF19" s="110"/>
      <c r="FKG19" s="114"/>
      <c r="FKH19" s="114"/>
      <c r="FKI19" s="110"/>
      <c r="FKJ19" s="110"/>
      <c r="FKK19" s="110"/>
      <c r="FKL19" s="110"/>
      <c r="FKM19" s="111"/>
      <c r="FKN19" s="112"/>
      <c r="FKO19" s="113"/>
      <c r="FKP19" s="110"/>
      <c r="FKQ19" s="114"/>
      <c r="FKR19" s="114"/>
      <c r="FKS19" s="110"/>
      <c r="FKT19" s="110"/>
      <c r="FKU19" s="110"/>
      <c r="FKV19" s="110"/>
      <c r="FKW19" s="111"/>
      <c r="FKX19" s="112"/>
      <c r="FKY19" s="113"/>
      <c r="FKZ19" s="110"/>
      <c r="FLA19" s="114"/>
      <c r="FLB19" s="114"/>
      <c r="FLC19" s="110"/>
      <c r="FLD19" s="110"/>
      <c r="FLE19" s="110"/>
      <c r="FLF19" s="110"/>
      <c r="FLG19" s="111"/>
      <c r="FLH19" s="112"/>
      <c r="FLI19" s="113"/>
      <c r="FLJ19" s="110"/>
      <c r="FLK19" s="114"/>
      <c r="FLL19" s="114"/>
      <c r="FLM19" s="110"/>
      <c r="FLN19" s="110"/>
      <c r="FLO19" s="110"/>
      <c r="FLP19" s="110"/>
      <c r="FLQ19" s="111"/>
      <c r="FLR19" s="112"/>
      <c r="FLS19" s="113"/>
      <c r="FLT19" s="110"/>
      <c r="FLU19" s="114"/>
      <c r="FLV19" s="114"/>
      <c r="FLW19" s="110"/>
      <c r="FLX19" s="110"/>
      <c r="FLY19" s="110"/>
      <c r="FLZ19" s="110"/>
      <c r="FMA19" s="111"/>
      <c r="FMB19" s="112"/>
      <c r="FMC19" s="113"/>
      <c r="FMD19" s="110"/>
      <c r="FME19" s="114"/>
      <c r="FMF19" s="114"/>
      <c r="FMG19" s="110"/>
      <c r="FMH19" s="110"/>
      <c r="FMI19" s="110"/>
      <c r="FMJ19" s="110"/>
      <c r="FMK19" s="111"/>
      <c r="FML19" s="112"/>
      <c r="FMM19" s="113"/>
      <c r="FMN19" s="110"/>
      <c r="FMO19" s="114"/>
      <c r="FMP19" s="114"/>
      <c r="FMQ19" s="110"/>
      <c r="FMR19" s="110"/>
      <c r="FMS19" s="110"/>
      <c r="FMT19" s="110"/>
      <c r="FMU19" s="111"/>
      <c r="FMV19" s="112"/>
      <c r="FMW19" s="113"/>
      <c r="FMX19" s="110"/>
      <c r="FMY19" s="114"/>
      <c r="FMZ19" s="114"/>
      <c r="FNA19" s="110"/>
      <c r="FNB19" s="110"/>
      <c r="FNC19" s="110"/>
      <c r="FND19" s="110"/>
      <c r="FNE19" s="111"/>
      <c r="FNF19" s="112"/>
      <c r="FNG19" s="113"/>
      <c r="FNH19" s="110"/>
      <c r="FNI19" s="114"/>
      <c r="FNJ19" s="114"/>
      <c r="FNK19" s="110"/>
      <c r="FNL19" s="110"/>
      <c r="FNM19" s="110"/>
      <c r="FNN19" s="110"/>
      <c r="FNO19" s="111"/>
      <c r="FNP19" s="112"/>
      <c r="FNQ19" s="113"/>
      <c r="FNR19" s="110"/>
      <c r="FNS19" s="114"/>
      <c r="FNT19" s="114"/>
      <c r="FNU19" s="110"/>
      <c r="FNV19" s="110"/>
      <c r="FNW19" s="110"/>
      <c r="FNX19" s="110"/>
      <c r="FNY19" s="111"/>
      <c r="FNZ19" s="112"/>
      <c r="FOA19" s="113"/>
      <c r="FOB19" s="110"/>
      <c r="FOC19" s="114"/>
      <c r="FOD19" s="114"/>
      <c r="FOE19" s="110"/>
      <c r="FOF19" s="110"/>
      <c r="FOG19" s="110"/>
      <c r="FOH19" s="110"/>
      <c r="FOI19" s="111"/>
      <c r="FOJ19" s="112"/>
      <c r="FOK19" s="113"/>
      <c r="FOL19" s="110"/>
      <c r="FOM19" s="114"/>
      <c r="FON19" s="114"/>
      <c r="FOO19" s="110"/>
      <c r="FOP19" s="110"/>
      <c r="FOQ19" s="110"/>
      <c r="FOR19" s="110"/>
      <c r="FOS19" s="111"/>
      <c r="FOT19" s="112"/>
      <c r="FOU19" s="113"/>
      <c r="FOV19" s="110"/>
      <c r="FOW19" s="114"/>
      <c r="FOX19" s="114"/>
      <c r="FOY19" s="110"/>
      <c r="FOZ19" s="110"/>
      <c r="FPA19" s="110"/>
      <c r="FPB19" s="110"/>
      <c r="FPC19" s="111"/>
      <c r="FPD19" s="112"/>
      <c r="FPE19" s="113"/>
      <c r="FPF19" s="110"/>
      <c r="FPG19" s="114"/>
      <c r="FPH19" s="114"/>
      <c r="FPI19" s="110"/>
      <c r="FPJ19" s="110"/>
      <c r="FPK19" s="110"/>
      <c r="FPL19" s="110"/>
      <c r="FPM19" s="111"/>
      <c r="FPN19" s="112"/>
      <c r="FPO19" s="113"/>
      <c r="FPP19" s="110"/>
      <c r="FPQ19" s="114"/>
      <c r="FPR19" s="114"/>
      <c r="FPS19" s="110"/>
      <c r="FPT19" s="110"/>
      <c r="FPU19" s="110"/>
      <c r="FPV19" s="110"/>
      <c r="FPW19" s="111"/>
      <c r="FPX19" s="112"/>
      <c r="FPY19" s="113"/>
      <c r="FPZ19" s="110"/>
      <c r="FQA19" s="114"/>
      <c r="FQB19" s="114"/>
      <c r="FQC19" s="110"/>
      <c r="FQD19" s="110"/>
      <c r="FQE19" s="110"/>
      <c r="FQF19" s="110"/>
      <c r="FQG19" s="111"/>
      <c r="FQH19" s="112"/>
      <c r="FQI19" s="113"/>
      <c r="FQJ19" s="110"/>
      <c r="FQK19" s="114"/>
      <c r="FQL19" s="114"/>
      <c r="FQM19" s="110"/>
      <c r="FQN19" s="110"/>
      <c r="FQO19" s="110"/>
      <c r="FQP19" s="110"/>
      <c r="FQQ19" s="111"/>
      <c r="FQR19" s="112"/>
      <c r="FQS19" s="113"/>
      <c r="FQT19" s="110"/>
      <c r="FQU19" s="114"/>
      <c r="FQV19" s="114"/>
      <c r="FQW19" s="110"/>
      <c r="FQX19" s="110"/>
      <c r="FQY19" s="110"/>
      <c r="FQZ19" s="110"/>
      <c r="FRA19" s="111"/>
      <c r="FRB19" s="112"/>
      <c r="FRC19" s="113"/>
      <c r="FRD19" s="110"/>
      <c r="FRE19" s="114"/>
      <c r="FRF19" s="114"/>
      <c r="FRG19" s="110"/>
      <c r="FRH19" s="110"/>
      <c r="FRI19" s="110"/>
      <c r="FRJ19" s="110"/>
      <c r="FRK19" s="111"/>
      <c r="FRL19" s="112"/>
      <c r="FRM19" s="113"/>
      <c r="FRN19" s="110"/>
      <c r="FRO19" s="114"/>
      <c r="FRP19" s="114"/>
      <c r="FRQ19" s="110"/>
      <c r="FRR19" s="110"/>
      <c r="FRS19" s="110"/>
      <c r="FRT19" s="110"/>
      <c r="FRU19" s="111"/>
      <c r="FRV19" s="112"/>
      <c r="FRW19" s="113"/>
      <c r="FRX19" s="110"/>
      <c r="FRY19" s="114"/>
      <c r="FRZ19" s="114"/>
      <c r="FSA19" s="110"/>
      <c r="FSB19" s="110"/>
      <c r="FSC19" s="110"/>
      <c r="FSD19" s="110"/>
      <c r="FSE19" s="111"/>
      <c r="FSF19" s="112"/>
      <c r="FSG19" s="113"/>
      <c r="FSH19" s="110"/>
      <c r="FSI19" s="114"/>
      <c r="FSJ19" s="114"/>
      <c r="FSK19" s="110"/>
      <c r="FSL19" s="110"/>
      <c r="FSM19" s="110"/>
      <c r="FSN19" s="110"/>
      <c r="FSO19" s="111"/>
      <c r="FSP19" s="112"/>
      <c r="FSQ19" s="113"/>
      <c r="FSR19" s="110"/>
      <c r="FSS19" s="114"/>
      <c r="FST19" s="114"/>
      <c r="FSU19" s="110"/>
      <c r="FSV19" s="110"/>
      <c r="FSW19" s="110"/>
      <c r="FSX19" s="110"/>
      <c r="FSY19" s="111"/>
      <c r="FSZ19" s="112"/>
      <c r="FTA19" s="113"/>
      <c r="FTB19" s="110"/>
      <c r="FTC19" s="114"/>
      <c r="FTD19" s="114"/>
      <c r="FTE19" s="110"/>
      <c r="FTF19" s="110"/>
      <c r="FTG19" s="110"/>
      <c r="FTH19" s="110"/>
      <c r="FTI19" s="111"/>
      <c r="FTJ19" s="112"/>
      <c r="FTK19" s="113"/>
      <c r="FTL19" s="110"/>
      <c r="FTM19" s="114"/>
      <c r="FTN19" s="114"/>
      <c r="FTO19" s="110"/>
      <c r="FTP19" s="110"/>
      <c r="FTQ19" s="110"/>
      <c r="FTR19" s="110"/>
      <c r="FTS19" s="111"/>
      <c r="FTT19" s="112"/>
      <c r="FTU19" s="113"/>
      <c r="FTV19" s="110"/>
      <c r="FTW19" s="114"/>
      <c r="FTX19" s="114"/>
      <c r="FTY19" s="110"/>
      <c r="FTZ19" s="110"/>
      <c r="FUA19" s="110"/>
      <c r="FUB19" s="110"/>
      <c r="FUC19" s="111"/>
      <c r="FUD19" s="112"/>
      <c r="FUE19" s="113"/>
      <c r="FUF19" s="110"/>
      <c r="FUG19" s="114"/>
      <c r="FUH19" s="114"/>
      <c r="FUI19" s="110"/>
      <c r="FUJ19" s="110"/>
      <c r="FUK19" s="110"/>
      <c r="FUL19" s="110"/>
      <c r="FUM19" s="111"/>
      <c r="FUN19" s="112"/>
      <c r="FUO19" s="113"/>
      <c r="FUP19" s="110"/>
      <c r="FUQ19" s="114"/>
      <c r="FUR19" s="114"/>
      <c r="FUS19" s="110"/>
      <c r="FUT19" s="110"/>
      <c r="FUU19" s="110"/>
      <c r="FUV19" s="110"/>
      <c r="FUW19" s="111"/>
      <c r="FUX19" s="112"/>
      <c r="FUY19" s="113"/>
      <c r="FUZ19" s="110"/>
      <c r="FVA19" s="114"/>
      <c r="FVB19" s="114"/>
      <c r="FVC19" s="110"/>
      <c r="FVD19" s="110"/>
      <c r="FVE19" s="110"/>
      <c r="FVF19" s="110"/>
      <c r="FVG19" s="111"/>
      <c r="FVH19" s="112"/>
      <c r="FVI19" s="113"/>
      <c r="FVJ19" s="110"/>
      <c r="FVK19" s="114"/>
      <c r="FVL19" s="114"/>
      <c r="FVM19" s="110"/>
      <c r="FVN19" s="110"/>
      <c r="FVO19" s="110"/>
      <c r="FVP19" s="110"/>
      <c r="FVQ19" s="111"/>
      <c r="FVR19" s="112"/>
      <c r="FVS19" s="113"/>
      <c r="FVT19" s="110"/>
      <c r="FVU19" s="114"/>
      <c r="FVV19" s="114"/>
      <c r="FVW19" s="110"/>
      <c r="FVX19" s="110"/>
      <c r="FVY19" s="110"/>
      <c r="FVZ19" s="110"/>
      <c r="FWA19" s="111"/>
      <c r="FWB19" s="112"/>
      <c r="FWC19" s="113"/>
      <c r="FWD19" s="110"/>
      <c r="FWE19" s="114"/>
      <c r="FWF19" s="114"/>
      <c r="FWG19" s="110"/>
      <c r="FWH19" s="110"/>
      <c r="FWI19" s="110"/>
      <c r="FWJ19" s="110"/>
      <c r="FWK19" s="111"/>
      <c r="FWL19" s="112"/>
      <c r="FWM19" s="113"/>
      <c r="FWN19" s="110"/>
      <c r="FWO19" s="114"/>
      <c r="FWP19" s="114"/>
      <c r="FWQ19" s="110"/>
      <c r="FWR19" s="110"/>
      <c r="FWS19" s="110"/>
      <c r="FWT19" s="110"/>
      <c r="FWU19" s="111"/>
      <c r="FWV19" s="112"/>
      <c r="FWW19" s="113"/>
      <c r="FWX19" s="110"/>
      <c r="FWY19" s="114"/>
      <c r="FWZ19" s="114"/>
      <c r="FXA19" s="110"/>
      <c r="FXB19" s="110"/>
      <c r="FXC19" s="110"/>
      <c r="FXD19" s="110"/>
      <c r="FXE19" s="111"/>
      <c r="FXF19" s="112"/>
      <c r="FXG19" s="113"/>
      <c r="FXH19" s="110"/>
      <c r="FXI19" s="114"/>
      <c r="FXJ19" s="114"/>
      <c r="FXK19" s="110"/>
      <c r="FXL19" s="110"/>
      <c r="FXM19" s="110"/>
      <c r="FXN19" s="110"/>
      <c r="FXO19" s="111"/>
      <c r="FXP19" s="112"/>
      <c r="FXQ19" s="113"/>
      <c r="FXR19" s="110"/>
      <c r="FXS19" s="114"/>
      <c r="FXT19" s="114"/>
      <c r="FXU19" s="110"/>
      <c r="FXV19" s="110"/>
      <c r="FXW19" s="110"/>
      <c r="FXX19" s="110"/>
      <c r="FXY19" s="111"/>
      <c r="FXZ19" s="112"/>
      <c r="FYA19" s="113"/>
      <c r="FYB19" s="110"/>
      <c r="FYC19" s="114"/>
      <c r="FYD19" s="114"/>
      <c r="FYE19" s="110"/>
      <c r="FYF19" s="110"/>
      <c r="FYG19" s="110"/>
      <c r="FYH19" s="110"/>
      <c r="FYI19" s="111"/>
      <c r="FYJ19" s="112"/>
      <c r="FYK19" s="113"/>
      <c r="FYL19" s="110"/>
      <c r="FYM19" s="114"/>
      <c r="FYN19" s="114"/>
      <c r="FYO19" s="110"/>
      <c r="FYP19" s="110"/>
      <c r="FYQ19" s="110"/>
      <c r="FYR19" s="110"/>
      <c r="FYS19" s="111"/>
      <c r="FYT19" s="112"/>
      <c r="FYU19" s="113"/>
      <c r="FYV19" s="110"/>
      <c r="FYW19" s="114"/>
      <c r="FYX19" s="114"/>
      <c r="FYY19" s="110"/>
      <c r="FYZ19" s="110"/>
      <c r="FZA19" s="110"/>
      <c r="FZB19" s="110"/>
      <c r="FZC19" s="111"/>
      <c r="FZD19" s="112"/>
      <c r="FZE19" s="113"/>
      <c r="FZF19" s="110"/>
      <c r="FZG19" s="114"/>
      <c r="FZH19" s="114"/>
      <c r="FZI19" s="110"/>
      <c r="FZJ19" s="110"/>
      <c r="FZK19" s="110"/>
      <c r="FZL19" s="110"/>
      <c r="FZM19" s="111"/>
      <c r="FZN19" s="112"/>
      <c r="FZO19" s="113"/>
      <c r="FZP19" s="110"/>
      <c r="FZQ19" s="114"/>
      <c r="FZR19" s="114"/>
      <c r="FZS19" s="110"/>
      <c r="FZT19" s="110"/>
      <c r="FZU19" s="110"/>
      <c r="FZV19" s="110"/>
      <c r="FZW19" s="111"/>
      <c r="FZX19" s="112"/>
      <c r="FZY19" s="113"/>
      <c r="FZZ19" s="110"/>
      <c r="GAA19" s="114"/>
      <c r="GAB19" s="114"/>
      <c r="GAC19" s="110"/>
      <c r="GAD19" s="110"/>
      <c r="GAE19" s="110"/>
      <c r="GAF19" s="110"/>
      <c r="GAG19" s="111"/>
      <c r="GAH19" s="112"/>
      <c r="GAI19" s="113"/>
      <c r="GAJ19" s="110"/>
      <c r="GAK19" s="114"/>
      <c r="GAL19" s="114"/>
      <c r="GAM19" s="110"/>
      <c r="GAN19" s="110"/>
      <c r="GAO19" s="110"/>
      <c r="GAP19" s="110"/>
      <c r="GAQ19" s="111"/>
      <c r="GAR19" s="112"/>
      <c r="GAS19" s="113"/>
      <c r="GAT19" s="110"/>
      <c r="GAU19" s="114"/>
      <c r="GAV19" s="114"/>
      <c r="GAW19" s="110"/>
      <c r="GAX19" s="110"/>
      <c r="GAY19" s="110"/>
      <c r="GAZ19" s="110"/>
      <c r="GBA19" s="111"/>
      <c r="GBB19" s="112"/>
      <c r="GBC19" s="113"/>
      <c r="GBD19" s="110"/>
      <c r="GBE19" s="114"/>
      <c r="GBF19" s="114"/>
      <c r="GBG19" s="110"/>
      <c r="GBH19" s="110"/>
      <c r="GBI19" s="110"/>
      <c r="GBJ19" s="110"/>
      <c r="GBK19" s="111"/>
      <c r="GBL19" s="112"/>
      <c r="GBM19" s="113"/>
      <c r="GBN19" s="110"/>
      <c r="GBO19" s="114"/>
      <c r="GBP19" s="114"/>
      <c r="GBQ19" s="110"/>
      <c r="GBR19" s="110"/>
      <c r="GBS19" s="110"/>
      <c r="GBT19" s="110"/>
      <c r="GBU19" s="111"/>
      <c r="GBV19" s="112"/>
      <c r="GBW19" s="113"/>
      <c r="GBX19" s="110"/>
      <c r="GBY19" s="114"/>
      <c r="GBZ19" s="114"/>
      <c r="GCA19" s="110"/>
      <c r="GCB19" s="110"/>
      <c r="GCC19" s="110"/>
      <c r="GCD19" s="110"/>
      <c r="GCE19" s="111"/>
      <c r="GCF19" s="112"/>
      <c r="GCG19" s="113"/>
      <c r="GCH19" s="110"/>
      <c r="GCI19" s="114"/>
      <c r="GCJ19" s="114"/>
      <c r="GCK19" s="110"/>
      <c r="GCL19" s="110"/>
      <c r="GCM19" s="110"/>
      <c r="GCN19" s="110"/>
      <c r="GCO19" s="111"/>
      <c r="GCP19" s="112"/>
      <c r="GCQ19" s="113"/>
      <c r="GCR19" s="110"/>
      <c r="GCS19" s="114"/>
      <c r="GCT19" s="114"/>
      <c r="GCU19" s="110"/>
      <c r="GCV19" s="110"/>
      <c r="GCW19" s="110"/>
      <c r="GCX19" s="110"/>
      <c r="GCY19" s="111"/>
      <c r="GCZ19" s="112"/>
      <c r="GDA19" s="113"/>
      <c r="GDB19" s="110"/>
      <c r="GDC19" s="114"/>
      <c r="GDD19" s="114"/>
      <c r="GDE19" s="110"/>
      <c r="GDF19" s="110"/>
      <c r="GDG19" s="110"/>
      <c r="GDH19" s="110"/>
      <c r="GDI19" s="111"/>
      <c r="GDJ19" s="112"/>
      <c r="GDK19" s="113"/>
      <c r="GDL19" s="110"/>
      <c r="GDM19" s="114"/>
      <c r="GDN19" s="114"/>
      <c r="GDO19" s="110"/>
      <c r="GDP19" s="110"/>
      <c r="GDQ19" s="110"/>
      <c r="GDR19" s="110"/>
      <c r="GDS19" s="111"/>
      <c r="GDT19" s="112"/>
      <c r="GDU19" s="113"/>
      <c r="GDV19" s="110"/>
      <c r="GDW19" s="114"/>
      <c r="GDX19" s="114"/>
      <c r="GDY19" s="110"/>
      <c r="GDZ19" s="110"/>
      <c r="GEA19" s="110"/>
      <c r="GEB19" s="110"/>
      <c r="GEC19" s="111"/>
      <c r="GED19" s="112"/>
      <c r="GEE19" s="113"/>
      <c r="GEF19" s="110"/>
      <c r="GEG19" s="114"/>
      <c r="GEH19" s="114"/>
      <c r="GEI19" s="110"/>
      <c r="GEJ19" s="110"/>
      <c r="GEK19" s="110"/>
      <c r="GEL19" s="110"/>
      <c r="GEM19" s="111"/>
      <c r="GEN19" s="112"/>
      <c r="GEO19" s="113"/>
      <c r="GEP19" s="110"/>
      <c r="GEQ19" s="114"/>
      <c r="GER19" s="114"/>
      <c r="GES19" s="110"/>
      <c r="GET19" s="110"/>
      <c r="GEU19" s="110"/>
      <c r="GEV19" s="110"/>
      <c r="GEW19" s="111"/>
      <c r="GEX19" s="112"/>
      <c r="GEY19" s="113"/>
      <c r="GEZ19" s="110"/>
      <c r="GFA19" s="114"/>
      <c r="GFB19" s="114"/>
      <c r="GFC19" s="110"/>
      <c r="GFD19" s="110"/>
      <c r="GFE19" s="110"/>
      <c r="GFF19" s="110"/>
      <c r="GFG19" s="111"/>
      <c r="GFH19" s="112"/>
      <c r="GFI19" s="113"/>
      <c r="GFJ19" s="110"/>
      <c r="GFK19" s="114"/>
      <c r="GFL19" s="114"/>
      <c r="GFM19" s="110"/>
      <c r="GFN19" s="110"/>
      <c r="GFO19" s="110"/>
      <c r="GFP19" s="110"/>
      <c r="GFQ19" s="111"/>
      <c r="GFR19" s="112"/>
      <c r="GFS19" s="113"/>
      <c r="GFT19" s="110"/>
      <c r="GFU19" s="114"/>
      <c r="GFV19" s="114"/>
      <c r="GFW19" s="110"/>
      <c r="GFX19" s="110"/>
      <c r="GFY19" s="110"/>
      <c r="GFZ19" s="110"/>
      <c r="GGA19" s="111"/>
      <c r="GGB19" s="112"/>
      <c r="GGC19" s="113"/>
      <c r="GGD19" s="110"/>
      <c r="GGE19" s="114"/>
      <c r="GGF19" s="114"/>
      <c r="GGG19" s="110"/>
      <c r="GGH19" s="110"/>
      <c r="GGI19" s="110"/>
      <c r="GGJ19" s="110"/>
      <c r="GGK19" s="111"/>
      <c r="GGL19" s="112"/>
      <c r="GGM19" s="113"/>
      <c r="GGN19" s="110"/>
      <c r="GGO19" s="114"/>
      <c r="GGP19" s="114"/>
      <c r="GGQ19" s="110"/>
      <c r="GGR19" s="110"/>
      <c r="GGS19" s="110"/>
      <c r="GGT19" s="110"/>
      <c r="GGU19" s="111"/>
      <c r="GGV19" s="112"/>
      <c r="GGW19" s="113"/>
      <c r="GGX19" s="110"/>
      <c r="GGY19" s="114"/>
      <c r="GGZ19" s="114"/>
      <c r="GHA19" s="110"/>
      <c r="GHB19" s="110"/>
      <c r="GHC19" s="110"/>
      <c r="GHD19" s="110"/>
      <c r="GHE19" s="111"/>
      <c r="GHF19" s="112"/>
      <c r="GHG19" s="113"/>
      <c r="GHH19" s="110"/>
      <c r="GHI19" s="114"/>
      <c r="GHJ19" s="114"/>
      <c r="GHK19" s="110"/>
      <c r="GHL19" s="110"/>
      <c r="GHM19" s="110"/>
      <c r="GHN19" s="110"/>
      <c r="GHO19" s="111"/>
      <c r="GHP19" s="112"/>
      <c r="GHQ19" s="113"/>
      <c r="GHR19" s="110"/>
      <c r="GHS19" s="114"/>
      <c r="GHT19" s="114"/>
      <c r="GHU19" s="110"/>
      <c r="GHV19" s="110"/>
      <c r="GHW19" s="110"/>
      <c r="GHX19" s="110"/>
      <c r="GHY19" s="111"/>
      <c r="GHZ19" s="112"/>
      <c r="GIA19" s="113"/>
      <c r="GIB19" s="110"/>
      <c r="GIC19" s="114"/>
      <c r="GID19" s="114"/>
      <c r="GIE19" s="110"/>
      <c r="GIF19" s="110"/>
      <c r="GIG19" s="110"/>
      <c r="GIH19" s="110"/>
      <c r="GII19" s="111"/>
      <c r="GIJ19" s="112"/>
      <c r="GIK19" s="113"/>
      <c r="GIL19" s="110"/>
      <c r="GIM19" s="114"/>
      <c r="GIN19" s="114"/>
      <c r="GIO19" s="110"/>
      <c r="GIP19" s="110"/>
      <c r="GIQ19" s="110"/>
      <c r="GIR19" s="110"/>
      <c r="GIS19" s="111"/>
      <c r="GIT19" s="112"/>
      <c r="GIU19" s="113"/>
      <c r="GIV19" s="110"/>
      <c r="GIW19" s="114"/>
      <c r="GIX19" s="114"/>
      <c r="GIY19" s="110"/>
      <c r="GIZ19" s="110"/>
      <c r="GJA19" s="110"/>
      <c r="GJB19" s="110"/>
      <c r="GJC19" s="111"/>
      <c r="GJD19" s="112"/>
      <c r="GJE19" s="113"/>
      <c r="GJF19" s="110"/>
      <c r="GJG19" s="114"/>
      <c r="GJH19" s="114"/>
      <c r="GJI19" s="110"/>
      <c r="GJJ19" s="110"/>
      <c r="GJK19" s="110"/>
      <c r="GJL19" s="110"/>
      <c r="GJM19" s="111"/>
      <c r="GJN19" s="112"/>
      <c r="GJO19" s="113"/>
      <c r="GJP19" s="110"/>
      <c r="GJQ19" s="114"/>
      <c r="GJR19" s="114"/>
      <c r="GJS19" s="110"/>
      <c r="GJT19" s="110"/>
      <c r="GJU19" s="110"/>
      <c r="GJV19" s="110"/>
      <c r="GJW19" s="111"/>
      <c r="GJX19" s="112"/>
      <c r="GJY19" s="113"/>
      <c r="GJZ19" s="110"/>
      <c r="GKA19" s="114"/>
      <c r="GKB19" s="114"/>
      <c r="GKC19" s="110"/>
      <c r="GKD19" s="110"/>
      <c r="GKE19" s="110"/>
      <c r="GKF19" s="110"/>
      <c r="GKG19" s="111"/>
      <c r="GKH19" s="112"/>
      <c r="GKI19" s="113"/>
      <c r="GKJ19" s="110"/>
      <c r="GKK19" s="114"/>
      <c r="GKL19" s="114"/>
      <c r="GKM19" s="110"/>
      <c r="GKN19" s="110"/>
      <c r="GKO19" s="110"/>
      <c r="GKP19" s="110"/>
      <c r="GKQ19" s="111"/>
      <c r="GKR19" s="112"/>
      <c r="GKS19" s="113"/>
      <c r="GKT19" s="110"/>
      <c r="GKU19" s="114"/>
      <c r="GKV19" s="114"/>
      <c r="GKW19" s="110"/>
      <c r="GKX19" s="110"/>
      <c r="GKY19" s="110"/>
      <c r="GKZ19" s="110"/>
      <c r="GLA19" s="111"/>
      <c r="GLB19" s="112"/>
      <c r="GLC19" s="113"/>
      <c r="GLD19" s="110"/>
      <c r="GLE19" s="114"/>
      <c r="GLF19" s="114"/>
      <c r="GLG19" s="110"/>
      <c r="GLH19" s="110"/>
      <c r="GLI19" s="110"/>
      <c r="GLJ19" s="110"/>
      <c r="GLK19" s="111"/>
      <c r="GLL19" s="112"/>
      <c r="GLM19" s="113"/>
      <c r="GLN19" s="110"/>
      <c r="GLO19" s="114"/>
      <c r="GLP19" s="114"/>
      <c r="GLQ19" s="110"/>
      <c r="GLR19" s="110"/>
      <c r="GLS19" s="110"/>
      <c r="GLT19" s="110"/>
      <c r="GLU19" s="111"/>
      <c r="GLV19" s="112"/>
      <c r="GLW19" s="113"/>
      <c r="GLX19" s="110"/>
      <c r="GLY19" s="114"/>
      <c r="GLZ19" s="114"/>
      <c r="GMA19" s="110"/>
      <c r="GMB19" s="110"/>
      <c r="GMC19" s="110"/>
      <c r="GMD19" s="110"/>
      <c r="GME19" s="111"/>
      <c r="GMF19" s="112"/>
      <c r="GMG19" s="113"/>
      <c r="GMH19" s="110"/>
      <c r="GMI19" s="114"/>
      <c r="GMJ19" s="114"/>
      <c r="GMK19" s="110"/>
      <c r="GML19" s="110"/>
      <c r="GMM19" s="110"/>
      <c r="GMN19" s="110"/>
      <c r="GMO19" s="111"/>
      <c r="GMP19" s="112"/>
      <c r="GMQ19" s="113"/>
      <c r="GMR19" s="110"/>
      <c r="GMS19" s="114"/>
      <c r="GMT19" s="114"/>
      <c r="GMU19" s="110"/>
      <c r="GMV19" s="110"/>
      <c r="GMW19" s="110"/>
      <c r="GMX19" s="110"/>
      <c r="GMY19" s="111"/>
      <c r="GMZ19" s="112"/>
      <c r="GNA19" s="113"/>
      <c r="GNB19" s="110"/>
      <c r="GNC19" s="114"/>
      <c r="GND19" s="114"/>
      <c r="GNE19" s="110"/>
      <c r="GNF19" s="110"/>
      <c r="GNG19" s="110"/>
      <c r="GNH19" s="110"/>
      <c r="GNI19" s="111"/>
      <c r="GNJ19" s="112"/>
      <c r="GNK19" s="113"/>
      <c r="GNL19" s="110"/>
      <c r="GNM19" s="114"/>
      <c r="GNN19" s="114"/>
      <c r="GNO19" s="110"/>
      <c r="GNP19" s="110"/>
      <c r="GNQ19" s="110"/>
      <c r="GNR19" s="110"/>
      <c r="GNS19" s="111"/>
      <c r="GNT19" s="112"/>
      <c r="GNU19" s="113"/>
      <c r="GNV19" s="110"/>
      <c r="GNW19" s="114"/>
      <c r="GNX19" s="114"/>
      <c r="GNY19" s="110"/>
      <c r="GNZ19" s="110"/>
      <c r="GOA19" s="110"/>
      <c r="GOB19" s="110"/>
      <c r="GOC19" s="111"/>
      <c r="GOD19" s="112"/>
      <c r="GOE19" s="113"/>
      <c r="GOF19" s="110"/>
      <c r="GOG19" s="114"/>
      <c r="GOH19" s="114"/>
      <c r="GOI19" s="110"/>
      <c r="GOJ19" s="110"/>
      <c r="GOK19" s="110"/>
      <c r="GOL19" s="110"/>
      <c r="GOM19" s="111"/>
      <c r="GON19" s="112"/>
      <c r="GOO19" s="113"/>
      <c r="GOP19" s="110"/>
      <c r="GOQ19" s="114"/>
      <c r="GOR19" s="114"/>
      <c r="GOS19" s="110"/>
      <c r="GOT19" s="110"/>
      <c r="GOU19" s="110"/>
      <c r="GOV19" s="110"/>
      <c r="GOW19" s="111"/>
      <c r="GOX19" s="112"/>
      <c r="GOY19" s="113"/>
      <c r="GOZ19" s="110"/>
      <c r="GPA19" s="114"/>
      <c r="GPB19" s="114"/>
      <c r="GPC19" s="110"/>
      <c r="GPD19" s="110"/>
      <c r="GPE19" s="110"/>
      <c r="GPF19" s="110"/>
      <c r="GPG19" s="111"/>
      <c r="GPH19" s="112"/>
      <c r="GPI19" s="113"/>
      <c r="GPJ19" s="110"/>
      <c r="GPK19" s="114"/>
      <c r="GPL19" s="114"/>
      <c r="GPM19" s="110"/>
      <c r="GPN19" s="110"/>
      <c r="GPO19" s="110"/>
      <c r="GPP19" s="110"/>
      <c r="GPQ19" s="111"/>
      <c r="GPR19" s="112"/>
      <c r="GPS19" s="113"/>
      <c r="GPT19" s="110"/>
      <c r="GPU19" s="114"/>
      <c r="GPV19" s="114"/>
      <c r="GPW19" s="110"/>
      <c r="GPX19" s="110"/>
      <c r="GPY19" s="110"/>
      <c r="GPZ19" s="110"/>
      <c r="GQA19" s="111"/>
      <c r="GQB19" s="112"/>
      <c r="GQC19" s="113"/>
      <c r="GQD19" s="110"/>
      <c r="GQE19" s="114"/>
      <c r="GQF19" s="114"/>
      <c r="GQG19" s="110"/>
      <c r="GQH19" s="110"/>
      <c r="GQI19" s="110"/>
      <c r="GQJ19" s="110"/>
      <c r="GQK19" s="111"/>
      <c r="GQL19" s="112"/>
      <c r="GQM19" s="113"/>
      <c r="GQN19" s="110"/>
      <c r="GQO19" s="114"/>
      <c r="GQP19" s="114"/>
      <c r="GQQ19" s="110"/>
      <c r="GQR19" s="110"/>
      <c r="GQS19" s="110"/>
      <c r="GQT19" s="110"/>
      <c r="GQU19" s="111"/>
      <c r="GQV19" s="112"/>
      <c r="GQW19" s="113"/>
      <c r="GQX19" s="110"/>
      <c r="GQY19" s="114"/>
      <c r="GQZ19" s="114"/>
      <c r="GRA19" s="110"/>
      <c r="GRB19" s="110"/>
      <c r="GRC19" s="110"/>
      <c r="GRD19" s="110"/>
      <c r="GRE19" s="111"/>
      <c r="GRF19" s="112"/>
      <c r="GRG19" s="113"/>
      <c r="GRH19" s="110"/>
      <c r="GRI19" s="114"/>
      <c r="GRJ19" s="114"/>
      <c r="GRK19" s="110"/>
      <c r="GRL19" s="110"/>
      <c r="GRM19" s="110"/>
      <c r="GRN19" s="110"/>
      <c r="GRO19" s="111"/>
      <c r="GRP19" s="112"/>
      <c r="GRQ19" s="113"/>
      <c r="GRR19" s="110"/>
      <c r="GRS19" s="114"/>
      <c r="GRT19" s="114"/>
      <c r="GRU19" s="110"/>
      <c r="GRV19" s="110"/>
      <c r="GRW19" s="110"/>
      <c r="GRX19" s="110"/>
      <c r="GRY19" s="111"/>
      <c r="GRZ19" s="112"/>
      <c r="GSA19" s="113"/>
      <c r="GSB19" s="110"/>
      <c r="GSC19" s="114"/>
      <c r="GSD19" s="114"/>
      <c r="GSE19" s="110"/>
      <c r="GSF19" s="110"/>
      <c r="GSG19" s="110"/>
      <c r="GSH19" s="110"/>
      <c r="GSI19" s="111"/>
      <c r="GSJ19" s="112"/>
      <c r="GSK19" s="113"/>
      <c r="GSL19" s="110"/>
      <c r="GSM19" s="114"/>
      <c r="GSN19" s="114"/>
      <c r="GSO19" s="110"/>
      <c r="GSP19" s="110"/>
      <c r="GSQ19" s="110"/>
      <c r="GSR19" s="110"/>
      <c r="GSS19" s="111"/>
      <c r="GST19" s="112"/>
      <c r="GSU19" s="113"/>
      <c r="GSV19" s="110"/>
      <c r="GSW19" s="114"/>
      <c r="GSX19" s="114"/>
      <c r="GSY19" s="110"/>
      <c r="GSZ19" s="110"/>
      <c r="GTA19" s="110"/>
      <c r="GTB19" s="110"/>
      <c r="GTC19" s="111"/>
      <c r="GTD19" s="112"/>
      <c r="GTE19" s="113"/>
      <c r="GTF19" s="110"/>
      <c r="GTG19" s="114"/>
      <c r="GTH19" s="114"/>
      <c r="GTI19" s="110"/>
      <c r="GTJ19" s="110"/>
      <c r="GTK19" s="110"/>
      <c r="GTL19" s="110"/>
      <c r="GTM19" s="111"/>
      <c r="GTN19" s="112"/>
      <c r="GTO19" s="113"/>
      <c r="GTP19" s="110"/>
      <c r="GTQ19" s="114"/>
      <c r="GTR19" s="114"/>
      <c r="GTS19" s="110"/>
      <c r="GTT19" s="110"/>
      <c r="GTU19" s="110"/>
      <c r="GTV19" s="110"/>
      <c r="GTW19" s="111"/>
      <c r="GTX19" s="112"/>
      <c r="GTY19" s="113"/>
      <c r="GTZ19" s="110"/>
      <c r="GUA19" s="114"/>
      <c r="GUB19" s="114"/>
      <c r="GUC19" s="110"/>
      <c r="GUD19" s="110"/>
      <c r="GUE19" s="110"/>
      <c r="GUF19" s="110"/>
      <c r="GUG19" s="111"/>
      <c r="GUH19" s="112"/>
      <c r="GUI19" s="113"/>
      <c r="GUJ19" s="110"/>
      <c r="GUK19" s="114"/>
      <c r="GUL19" s="114"/>
      <c r="GUM19" s="110"/>
      <c r="GUN19" s="110"/>
      <c r="GUO19" s="110"/>
      <c r="GUP19" s="110"/>
      <c r="GUQ19" s="111"/>
      <c r="GUR19" s="112"/>
      <c r="GUS19" s="113"/>
      <c r="GUT19" s="110"/>
      <c r="GUU19" s="114"/>
      <c r="GUV19" s="114"/>
      <c r="GUW19" s="110"/>
      <c r="GUX19" s="110"/>
      <c r="GUY19" s="110"/>
      <c r="GUZ19" s="110"/>
      <c r="GVA19" s="111"/>
      <c r="GVB19" s="112"/>
      <c r="GVC19" s="113"/>
      <c r="GVD19" s="110"/>
      <c r="GVE19" s="114"/>
      <c r="GVF19" s="114"/>
      <c r="GVG19" s="110"/>
      <c r="GVH19" s="110"/>
      <c r="GVI19" s="110"/>
      <c r="GVJ19" s="110"/>
      <c r="GVK19" s="111"/>
      <c r="GVL19" s="112"/>
      <c r="GVM19" s="113"/>
      <c r="GVN19" s="110"/>
      <c r="GVO19" s="114"/>
      <c r="GVP19" s="114"/>
      <c r="GVQ19" s="110"/>
      <c r="GVR19" s="110"/>
      <c r="GVS19" s="110"/>
      <c r="GVT19" s="110"/>
      <c r="GVU19" s="111"/>
      <c r="GVV19" s="112"/>
      <c r="GVW19" s="113"/>
      <c r="GVX19" s="110"/>
      <c r="GVY19" s="114"/>
      <c r="GVZ19" s="114"/>
      <c r="GWA19" s="110"/>
      <c r="GWB19" s="110"/>
      <c r="GWC19" s="110"/>
      <c r="GWD19" s="110"/>
      <c r="GWE19" s="111"/>
      <c r="GWF19" s="112"/>
      <c r="GWG19" s="113"/>
      <c r="GWH19" s="110"/>
      <c r="GWI19" s="114"/>
      <c r="GWJ19" s="114"/>
      <c r="GWK19" s="110"/>
      <c r="GWL19" s="110"/>
      <c r="GWM19" s="110"/>
      <c r="GWN19" s="110"/>
      <c r="GWO19" s="111"/>
      <c r="GWP19" s="112"/>
      <c r="GWQ19" s="113"/>
      <c r="GWR19" s="110"/>
      <c r="GWS19" s="114"/>
      <c r="GWT19" s="114"/>
      <c r="GWU19" s="110"/>
      <c r="GWV19" s="110"/>
      <c r="GWW19" s="110"/>
      <c r="GWX19" s="110"/>
      <c r="GWY19" s="111"/>
      <c r="GWZ19" s="112"/>
      <c r="GXA19" s="113"/>
      <c r="GXB19" s="110"/>
      <c r="GXC19" s="114"/>
      <c r="GXD19" s="114"/>
      <c r="GXE19" s="110"/>
      <c r="GXF19" s="110"/>
      <c r="GXG19" s="110"/>
      <c r="GXH19" s="110"/>
      <c r="GXI19" s="111"/>
      <c r="GXJ19" s="112"/>
      <c r="GXK19" s="113"/>
      <c r="GXL19" s="110"/>
      <c r="GXM19" s="114"/>
      <c r="GXN19" s="114"/>
      <c r="GXO19" s="110"/>
      <c r="GXP19" s="110"/>
      <c r="GXQ19" s="110"/>
      <c r="GXR19" s="110"/>
      <c r="GXS19" s="111"/>
      <c r="GXT19" s="112"/>
      <c r="GXU19" s="113"/>
      <c r="GXV19" s="110"/>
      <c r="GXW19" s="114"/>
      <c r="GXX19" s="114"/>
      <c r="GXY19" s="110"/>
      <c r="GXZ19" s="110"/>
      <c r="GYA19" s="110"/>
      <c r="GYB19" s="110"/>
      <c r="GYC19" s="111"/>
      <c r="GYD19" s="112"/>
      <c r="GYE19" s="113"/>
      <c r="GYF19" s="110"/>
      <c r="GYG19" s="114"/>
      <c r="GYH19" s="114"/>
      <c r="GYI19" s="110"/>
      <c r="GYJ19" s="110"/>
      <c r="GYK19" s="110"/>
      <c r="GYL19" s="110"/>
      <c r="GYM19" s="111"/>
      <c r="GYN19" s="112"/>
      <c r="GYO19" s="113"/>
      <c r="GYP19" s="110"/>
      <c r="GYQ19" s="114"/>
      <c r="GYR19" s="114"/>
      <c r="GYS19" s="110"/>
      <c r="GYT19" s="110"/>
      <c r="GYU19" s="110"/>
      <c r="GYV19" s="110"/>
      <c r="GYW19" s="111"/>
      <c r="GYX19" s="112"/>
      <c r="GYY19" s="113"/>
      <c r="GYZ19" s="110"/>
      <c r="GZA19" s="114"/>
      <c r="GZB19" s="114"/>
      <c r="GZC19" s="110"/>
      <c r="GZD19" s="110"/>
      <c r="GZE19" s="110"/>
      <c r="GZF19" s="110"/>
      <c r="GZG19" s="111"/>
      <c r="GZH19" s="112"/>
      <c r="GZI19" s="113"/>
      <c r="GZJ19" s="110"/>
      <c r="GZK19" s="114"/>
      <c r="GZL19" s="114"/>
      <c r="GZM19" s="110"/>
      <c r="GZN19" s="110"/>
      <c r="GZO19" s="110"/>
      <c r="GZP19" s="110"/>
      <c r="GZQ19" s="111"/>
      <c r="GZR19" s="112"/>
      <c r="GZS19" s="113"/>
      <c r="GZT19" s="110"/>
      <c r="GZU19" s="114"/>
      <c r="GZV19" s="114"/>
      <c r="GZW19" s="110"/>
      <c r="GZX19" s="110"/>
      <c r="GZY19" s="110"/>
      <c r="GZZ19" s="110"/>
      <c r="HAA19" s="111"/>
      <c r="HAB19" s="112"/>
      <c r="HAC19" s="113"/>
      <c r="HAD19" s="110"/>
      <c r="HAE19" s="114"/>
      <c r="HAF19" s="114"/>
      <c r="HAG19" s="110"/>
      <c r="HAH19" s="110"/>
      <c r="HAI19" s="110"/>
      <c r="HAJ19" s="110"/>
      <c r="HAK19" s="111"/>
      <c r="HAL19" s="112"/>
      <c r="HAM19" s="113"/>
      <c r="HAN19" s="110"/>
      <c r="HAO19" s="114"/>
      <c r="HAP19" s="114"/>
      <c r="HAQ19" s="110"/>
      <c r="HAR19" s="110"/>
      <c r="HAS19" s="110"/>
      <c r="HAT19" s="110"/>
      <c r="HAU19" s="111"/>
      <c r="HAV19" s="112"/>
      <c r="HAW19" s="113"/>
      <c r="HAX19" s="110"/>
      <c r="HAY19" s="114"/>
      <c r="HAZ19" s="114"/>
      <c r="HBA19" s="110"/>
      <c r="HBB19" s="110"/>
      <c r="HBC19" s="110"/>
      <c r="HBD19" s="110"/>
      <c r="HBE19" s="111"/>
      <c r="HBF19" s="112"/>
      <c r="HBG19" s="113"/>
      <c r="HBH19" s="110"/>
      <c r="HBI19" s="114"/>
      <c r="HBJ19" s="114"/>
      <c r="HBK19" s="110"/>
      <c r="HBL19" s="110"/>
      <c r="HBM19" s="110"/>
      <c r="HBN19" s="110"/>
      <c r="HBO19" s="111"/>
      <c r="HBP19" s="112"/>
      <c r="HBQ19" s="113"/>
      <c r="HBR19" s="110"/>
      <c r="HBS19" s="114"/>
      <c r="HBT19" s="114"/>
      <c r="HBU19" s="110"/>
      <c r="HBV19" s="110"/>
      <c r="HBW19" s="110"/>
      <c r="HBX19" s="110"/>
      <c r="HBY19" s="111"/>
      <c r="HBZ19" s="112"/>
      <c r="HCA19" s="113"/>
      <c r="HCB19" s="110"/>
      <c r="HCC19" s="114"/>
      <c r="HCD19" s="114"/>
      <c r="HCE19" s="110"/>
      <c r="HCF19" s="110"/>
      <c r="HCG19" s="110"/>
      <c r="HCH19" s="110"/>
      <c r="HCI19" s="111"/>
      <c r="HCJ19" s="112"/>
      <c r="HCK19" s="113"/>
      <c r="HCL19" s="110"/>
      <c r="HCM19" s="114"/>
      <c r="HCN19" s="114"/>
      <c r="HCO19" s="110"/>
      <c r="HCP19" s="110"/>
      <c r="HCQ19" s="110"/>
      <c r="HCR19" s="110"/>
      <c r="HCS19" s="111"/>
      <c r="HCT19" s="112"/>
      <c r="HCU19" s="113"/>
      <c r="HCV19" s="110"/>
      <c r="HCW19" s="114"/>
      <c r="HCX19" s="114"/>
      <c r="HCY19" s="110"/>
      <c r="HCZ19" s="110"/>
      <c r="HDA19" s="110"/>
      <c r="HDB19" s="110"/>
      <c r="HDC19" s="111"/>
      <c r="HDD19" s="112"/>
      <c r="HDE19" s="113"/>
      <c r="HDF19" s="110"/>
      <c r="HDG19" s="114"/>
      <c r="HDH19" s="114"/>
      <c r="HDI19" s="110"/>
      <c r="HDJ19" s="110"/>
      <c r="HDK19" s="110"/>
      <c r="HDL19" s="110"/>
      <c r="HDM19" s="111"/>
      <c r="HDN19" s="112"/>
      <c r="HDO19" s="113"/>
      <c r="HDP19" s="110"/>
      <c r="HDQ19" s="114"/>
      <c r="HDR19" s="114"/>
      <c r="HDS19" s="110"/>
      <c r="HDT19" s="110"/>
      <c r="HDU19" s="110"/>
      <c r="HDV19" s="110"/>
      <c r="HDW19" s="111"/>
      <c r="HDX19" s="112"/>
      <c r="HDY19" s="113"/>
      <c r="HDZ19" s="110"/>
      <c r="HEA19" s="114"/>
      <c r="HEB19" s="114"/>
      <c r="HEC19" s="110"/>
      <c r="HED19" s="110"/>
      <c r="HEE19" s="110"/>
      <c r="HEF19" s="110"/>
      <c r="HEG19" s="111"/>
      <c r="HEH19" s="112"/>
      <c r="HEI19" s="113"/>
      <c r="HEJ19" s="110"/>
      <c r="HEK19" s="114"/>
      <c r="HEL19" s="114"/>
      <c r="HEM19" s="110"/>
      <c r="HEN19" s="110"/>
      <c r="HEO19" s="110"/>
      <c r="HEP19" s="110"/>
      <c r="HEQ19" s="111"/>
      <c r="HER19" s="112"/>
      <c r="HES19" s="113"/>
      <c r="HET19" s="110"/>
      <c r="HEU19" s="114"/>
      <c r="HEV19" s="114"/>
      <c r="HEW19" s="110"/>
      <c r="HEX19" s="110"/>
      <c r="HEY19" s="110"/>
      <c r="HEZ19" s="110"/>
      <c r="HFA19" s="111"/>
      <c r="HFB19" s="112"/>
      <c r="HFC19" s="113"/>
      <c r="HFD19" s="110"/>
      <c r="HFE19" s="114"/>
      <c r="HFF19" s="114"/>
      <c r="HFG19" s="110"/>
      <c r="HFH19" s="110"/>
      <c r="HFI19" s="110"/>
      <c r="HFJ19" s="110"/>
      <c r="HFK19" s="111"/>
      <c r="HFL19" s="112"/>
      <c r="HFM19" s="113"/>
      <c r="HFN19" s="110"/>
      <c r="HFO19" s="114"/>
      <c r="HFP19" s="114"/>
      <c r="HFQ19" s="110"/>
      <c r="HFR19" s="110"/>
      <c r="HFS19" s="110"/>
      <c r="HFT19" s="110"/>
      <c r="HFU19" s="111"/>
      <c r="HFV19" s="112"/>
      <c r="HFW19" s="113"/>
      <c r="HFX19" s="110"/>
      <c r="HFY19" s="114"/>
      <c r="HFZ19" s="114"/>
      <c r="HGA19" s="110"/>
      <c r="HGB19" s="110"/>
      <c r="HGC19" s="110"/>
      <c r="HGD19" s="110"/>
      <c r="HGE19" s="111"/>
      <c r="HGF19" s="112"/>
      <c r="HGG19" s="113"/>
      <c r="HGH19" s="110"/>
      <c r="HGI19" s="114"/>
      <c r="HGJ19" s="114"/>
      <c r="HGK19" s="110"/>
      <c r="HGL19" s="110"/>
      <c r="HGM19" s="110"/>
      <c r="HGN19" s="110"/>
      <c r="HGO19" s="111"/>
      <c r="HGP19" s="112"/>
      <c r="HGQ19" s="113"/>
      <c r="HGR19" s="110"/>
      <c r="HGS19" s="114"/>
      <c r="HGT19" s="114"/>
      <c r="HGU19" s="110"/>
      <c r="HGV19" s="110"/>
      <c r="HGW19" s="110"/>
      <c r="HGX19" s="110"/>
      <c r="HGY19" s="111"/>
      <c r="HGZ19" s="112"/>
      <c r="HHA19" s="113"/>
      <c r="HHB19" s="110"/>
      <c r="HHC19" s="114"/>
      <c r="HHD19" s="114"/>
      <c r="HHE19" s="110"/>
      <c r="HHF19" s="110"/>
      <c r="HHG19" s="110"/>
      <c r="HHH19" s="110"/>
      <c r="HHI19" s="111"/>
      <c r="HHJ19" s="112"/>
      <c r="HHK19" s="113"/>
      <c r="HHL19" s="110"/>
      <c r="HHM19" s="114"/>
      <c r="HHN19" s="114"/>
      <c r="HHO19" s="110"/>
      <c r="HHP19" s="110"/>
      <c r="HHQ19" s="110"/>
      <c r="HHR19" s="110"/>
      <c r="HHS19" s="111"/>
      <c r="HHT19" s="112"/>
      <c r="HHU19" s="113"/>
      <c r="HHV19" s="110"/>
      <c r="HHW19" s="114"/>
      <c r="HHX19" s="114"/>
      <c r="HHY19" s="110"/>
      <c r="HHZ19" s="110"/>
      <c r="HIA19" s="110"/>
      <c r="HIB19" s="110"/>
      <c r="HIC19" s="111"/>
      <c r="HID19" s="112"/>
      <c r="HIE19" s="113"/>
      <c r="HIF19" s="110"/>
      <c r="HIG19" s="114"/>
      <c r="HIH19" s="114"/>
      <c r="HII19" s="110"/>
      <c r="HIJ19" s="110"/>
      <c r="HIK19" s="110"/>
      <c r="HIL19" s="110"/>
      <c r="HIM19" s="111"/>
      <c r="HIN19" s="112"/>
      <c r="HIO19" s="113"/>
      <c r="HIP19" s="110"/>
      <c r="HIQ19" s="114"/>
      <c r="HIR19" s="114"/>
      <c r="HIS19" s="110"/>
      <c r="HIT19" s="110"/>
      <c r="HIU19" s="110"/>
      <c r="HIV19" s="110"/>
      <c r="HIW19" s="111"/>
      <c r="HIX19" s="112"/>
      <c r="HIY19" s="113"/>
      <c r="HIZ19" s="110"/>
      <c r="HJA19" s="114"/>
      <c r="HJB19" s="114"/>
      <c r="HJC19" s="110"/>
      <c r="HJD19" s="110"/>
      <c r="HJE19" s="110"/>
      <c r="HJF19" s="110"/>
      <c r="HJG19" s="111"/>
      <c r="HJH19" s="112"/>
      <c r="HJI19" s="113"/>
      <c r="HJJ19" s="110"/>
      <c r="HJK19" s="114"/>
      <c r="HJL19" s="114"/>
      <c r="HJM19" s="110"/>
      <c r="HJN19" s="110"/>
      <c r="HJO19" s="110"/>
      <c r="HJP19" s="110"/>
      <c r="HJQ19" s="111"/>
      <c r="HJR19" s="112"/>
      <c r="HJS19" s="113"/>
      <c r="HJT19" s="110"/>
      <c r="HJU19" s="114"/>
      <c r="HJV19" s="114"/>
      <c r="HJW19" s="110"/>
      <c r="HJX19" s="110"/>
      <c r="HJY19" s="110"/>
      <c r="HJZ19" s="110"/>
      <c r="HKA19" s="111"/>
      <c r="HKB19" s="112"/>
      <c r="HKC19" s="113"/>
      <c r="HKD19" s="110"/>
      <c r="HKE19" s="114"/>
      <c r="HKF19" s="114"/>
      <c r="HKG19" s="110"/>
      <c r="HKH19" s="110"/>
      <c r="HKI19" s="110"/>
      <c r="HKJ19" s="110"/>
      <c r="HKK19" s="111"/>
      <c r="HKL19" s="112"/>
      <c r="HKM19" s="113"/>
      <c r="HKN19" s="110"/>
      <c r="HKO19" s="114"/>
      <c r="HKP19" s="114"/>
      <c r="HKQ19" s="110"/>
      <c r="HKR19" s="110"/>
      <c r="HKS19" s="110"/>
      <c r="HKT19" s="110"/>
      <c r="HKU19" s="111"/>
      <c r="HKV19" s="112"/>
      <c r="HKW19" s="113"/>
      <c r="HKX19" s="110"/>
      <c r="HKY19" s="114"/>
      <c r="HKZ19" s="114"/>
      <c r="HLA19" s="110"/>
      <c r="HLB19" s="110"/>
      <c r="HLC19" s="110"/>
      <c r="HLD19" s="110"/>
      <c r="HLE19" s="111"/>
      <c r="HLF19" s="112"/>
      <c r="HLG19" s="113"/>
      <c r="HLH19" s="110"/>
      <c r="HLI19" s="114"/>
      <c r="HLJ19" s="114"/>
      <c r="HLK19" s="110"/>
      <c r="HLL19" s="110"/>
      <c r="HLM19" s="110"/>
      <c r="HLN19" s="110"/>
      <c r="HLO19" s="111"/>
      <c r="HLP19" s="112"/>
      <c r="HLQ19" s="113"/>
      <c r="HLR19" s="110"/>
      <c r="HLS19" s="114"/>
      <c r="HLT19" s="114"/>
      <c r="HLU19" s="110"/>
      <c r="HLV19" s="110"/>
      <c r="HLW19" s="110"/>
      <c r="HLX19" s="110"/>
      <c r="HLY19" s="111"/>
      <c r="HLZ19" s="112"/>
      <c r="HMA19" s="113"/>
      <c r="HMB19" s="110"/>
      <c r="HMC19" s="114"/>
      <c r="HMD19" s="114"/>
      <c r="HME19" s="110"/>
      <c r="HMF19" s="110"/>
      <c r="HMG19" s="110"/>
      <c r="HMH19" s="110"/>
      <c r="HMI19" s="111"/>
      <c r="HMJ19" s="112"/>
      <c r="HMK19" s="113"/>
      <c r="HML19" s="110"/>
      <c r="HMM19" s="114"/>
      <c r="HMN19" s="114"/>
      <c r="HMO19" s="110"/>
      <c r="HMP19" s="110"/>
      <c r="HMQ19" s="110"/>
      <c r="HMR19" s="110"/>
      <c r="HMS19" s="111"/>
      <c r="HMT19" s="112"/>
      <c r="HMU19" s="113"/>
      <c r="HMV19" s="110"/>
      <c r="HMW19" s="114"/>
      <c r="HMX19" s="114"/>
      <c r="HMY19" s="110"/>
      <c r="HMZ19" s="110"/>
      <c r="HNA19" s="110"/>
      <c r="HNB19" s="110"/>
      <c r="HNC19" s="111"/>
      <c r="HND19" s="112"/>
      <c r="HNE19" s="113"/>
      <c r="HNF19" s="110"/>
      <c r="HNG19" s="114"/>
      <c r="HNH19" s="114"/>
      <c r="HNI19" s="110"/>
      <c r="HNJ19" s="110"/>
      <c r="HNK19" s="110"/>
      <c r="HNL19" s="110"/>
      <c r="HNM19" s="111"/>
      <c r="HNN19" s="112"/>
      <c r="HNO19" s="113"/>
      <c r="HNP19" s="110"/>
      <c r="HNQ19" s="114"/>
      <c r="HNR19" s="114"/>
      <c r="HNS19" s="110"/>
      <c r="HNT19" s="110"/>
      <c r="HNU19" s="110"/>
      <c r="HNV19" s="110"/>
      <c r="HNW19" s="111"/>
      <c r="HNX19" s="112"/>
      <c r="HNY19" s="113"/>
      <c r="HNZ19" s="110"/>
      <c r="HOA19" s="114"/>
      <c r="HOB19" s="114"/>
      <c r="HOC19" s="110"/>
      <c r="HOD19" s="110"/>
      <c r="HOE19" s="110"/>
      <c r="HOF19" s="110"/>
      <c r="HOG19" s="111"/>
      <c r="HOH19" s="112"/>
      <c r="HOI19" s="113"/>
      <c r="HOJ19" s="110"/>
      <c r="HOK19" s="114"/>
      <c r="HOL19" s="114"/>
      <c r="HOM19" s="110"/>
      <c r="HON19" s="110"/>
      <c r="HOO19" s="110"/>
      <c r="HOP19" s="110"/>
      <c r="HOQ19" s="111"/>
      <c r="HOR19" s="112"/>
      <c r="HOS19" s="113"/>
      <c r="HOT19" s="110"/>
      <c r="HOU19" s="114"/>
      <c r="HOV19" s="114"/>
      <c r="HOW19" s="110"/>
      <c r="HOX19" s="110"/>
      <c r="HOY19" s="110"/>
      <c r="HOZ19" s="110"/>
      <c r="HPA19" s="111"/>
      <c r="HPB19" s="112"/>
      <c r="HPC19" s="113"/>
      <c r="HPD19" s="110"/>
      <c r="HPE19" s="114"/>
      <c r="HPF19" s="114"/>
      <c r="HPG19" s="110"/>
      <c r="HPH19" s="110"/>
      <c r="HPI19" s="110"/>
      <c r="HPJ19" s="110"/>
      <c r="HPK19" s="111"/>
      <c r="HPL19" s="112"/>
      <c r="HPM19" s="113"/>
      <c r="HPN19" s="110"/>
      <c r="HPO19" s="114"/>
      <c r="HPP19" s="114"/>
      <c r="HPQ19" s="110"/>
      <c r="HPR19" s="110"/>
      <c r="HPS19" s="110"/>
      <c r="HPT19" s="110"/>
      <c r="HPU19" s="111"/>
      <c r="HPV19" s="112"/>
      <c r="HPW19" s="113"/>
      <c r="HPX19" s="110"/>
      <c r="HPY19" s="114"/>
      <c r="HPZ19" s="114"/>
      <c r="HQA19" s="110"/>
      <c r="HQB19" s="110"/>
      <c r="HQC19" s="110"/>
      <c r="HQD19" s="110"/>
      <c r="HQE19" s="111"/>
      <c r="HQF19" s="112"/>
      <c r="HQG19" s="113"/>
      <c r="HQH19" s="110"/>
      <c r="HQI19" s="114"/>
      <c r="HQJ19" s="114"/>
      <c r="HQK19" s="110"/>
      <c r="HQL19" s="110"/>
      <c r="HQM19" s="110"/>
      <c r="HQN19" s="110"/>
      <c r="HQO19" s="111"/>
      <c r="HQP19" s="112"/>
      <c r="HQQ19" s="113"/>
      <c r="HQR19" s="110"/>
      <c r="HQS19" s="114"/>
      <c r="HQT19" s="114"/>
      <c r="HQU19" s="110"/>
      <c r="HQV19" s="110"/>
      <c r="HQW19" s="110"/>
      <c r="HQX19" s="110"/>
      <c r="HQY19" s="111"/>
      <c r="HQZ19" s="112"/>
      <c r="HRA19" s="113"/>
      <c r="HRB19" s="110"/>
      <c r="HRC19" s="114"/>
      <c r="HRD19" s="114"/>
      <c r="HRE19" s="110"/>
      <c r="HRF19" s="110"/>
      <c r="HRG19" s="110"/>
      <c r="HRH19" s="110"/>
      <c r="HRI19" s="111"/>
      <c r="HRJ19" s="112"/>
      <c r="HRK19" s="113"/>
      <c r="HRL19" s="110"/>
      <c r="HRM19" s="114"/>
      <c r="HRN19" s="114"/>
      <c r="HRO19" s="110"/>
      <c r="HRP19" s="110"/>
      <c r="HRQ19" s="110"/>
      <c r="HRR19" s="110"/>
      <c r="HRS19" s="111"/>
      <c r="HRT19" s="112"/>
      <c r="HRU19" s="113"/>
      <c r="HRV19" s="110"/>
      <c r="HRW19" s="114"/>
      <c r="HRX19" s="114"/>
      <c r="HRY19" s="110"/>
      <c r="HRZ19" s="110"/>
      <c r="HSA19" s="110"/>
      <c r="HSB19" s="110"/>
      <c r="HSC19" s="111"/>
      <c r="HSD19" s="112"/>
      <c r="HSE19" s="113"/>
      <c r="HSF19" s="110"/>
      <c r="HSG19" s="114"/>
      <c r="HSH19" s="114"/>
      <c r="HSI19" s="110"/>
      <c r="HSJ19" s="110"/>
      <c r="HSK19" s="110"/>
      <c r="HSL19" s="110"/>
      <c r="HSM19" s="111"/>
      <c r="HSN19" s="112"/>
      <c r="HSO19" s="113"/>
      <c r="HSP19" s="110"/>
      <c r="HSQ19" s="114"/>
      <c r="HSR19" s="114"/>
      <c r="HSS19" s="110"/>
      <c r="HST19" s="110"/>
      <c r="HSU19" s="110"/>
      <c r="HSV19" s="110"/>
      <c r="HSW19" s="111"/>
      <c r="HSX19" s="112"/>
      <c r="HSY19" s="113"/>
      <c r="HSZ19" s="110"/>
      <c r="HTA19" s="114"/>
      <c r="HTB19" s="114"/>
      <c r="HTC19" s="110"/>
      <c r="HTD19" s="110"/>
      <c r="HTE19" s="110"/>
      <c r="HTF19" s="110"/>
      <c r="HTG19" s="111"/>
      <c r="HTH19" s="112"/>
      <c r="HTI19" s="113"/>
      <c r="HTJ19" s="110"/>
      <c r="HTK19" s="114"/>
      <c r="HTL19" s="114"/>
      <c r="HTM19" s="110"/>
      <c r="HTN19" s="110"/>
      <c r="HTO19" s="110"/>
      <c r="HTP19" s="110"/>
      <c r="HTQ19" s="111"/>
      <c r="HTR19" s="112"/>
      <c r="HTS19" s="113"/>
      <c r="HTT19" s="110"/>
      <c r="HTU19" s="114"/>
      <c r="HTV19" s="114"/>
      <c r="HTW19" s="110"/>
      <c r="HTX19" s="110"/>
      <c r="HTY19" s="110"/>
      <c r="HTZ19" s="110"/>
      <c r="HUA19" s="111"/>
      <c r="HUB19" s="112"/>
      <c r="HUC19" s="113"/>
      <c r="HUD19" s="110"/>
      <c r="HUE19" s="114"/>
      <c r="HUF19" s="114"/>
      <c r="HUG19" s="110"/>
      <c r="HUH19" s="110"/>
      <c r="HUI19" s="110"/>
      <c r="HUJ19" s="110"/>
      <c r="HUK19" s="111"/>
      <c r="HUL19" s="112"/>
      <c r="HUM19" s="113"/>
      <c r="HUN19" s="110"/>
      <c r="HUO19" s="114"/>
      <c r="HUP19" s="114"/>
      <c r="HUQ19" s="110"/>
      <c r="HUR19" s="110"/>
      <c r="HUS19" s="110"/>
      <c r="HUT19" s="110"/>
      <c r="HUU19" s="111"/>
      <c r="HUV19" s="112"/>
      <c r="HUW19" s="113"/>
      <c r="HUX19" s="110"/>
      <c r="HUY19" s="114"/>
      <c r="HUZ19" s="114"/>
      <c r="HVA19" s="110"/>
      <c r="HVB19" s="110"/>
      <c r="HVC19" s="110"/>
      <c r="HVD19" s="110"/>
      <c r="HVE19" s="111"/>
      <c r="HVF19" s="112"/>
      <c r="HVG19" s="113"/>
      <c r="HVH19" s="110"/>
      <c r="HVI19" s="114"/>
      <c r="HVJ19" s="114"/>
      <c r="HVK19" s="110"/>
      <c r="HVL19" s="110"/>
      <c r="HVM19" s="110"/>
      <c r="HVN19" s="110"/>
      <c r="HVO19" s="111"/>
      <c r="HVP19" s="112"/>
      <c r="HVQ19" s="113"/>
      <c r="HVR19" s="110"/>
      <c r="HVS19" s="114"/>
      <c r="HVT19" s="114"/>
      <c r="HVU19" s="110"/>
      <c r="HVV19" s="110"/>
      <c r="HVW19" s="110"/>
      <c r="HVX19" s="110"/>
      <c r="HVY19" s="111"/>
      <c r="HVZ19" s="112"/>
      <c r="HWA19" s="113"/>
      <c r="HWB19" s="110"/>
      <c r="HWC19" s="114"/>
      <c r="HWD19" s="114"/>
      <c r="HWE19" s="110"/>
      <c r="HWF19" s="110"/>
      <c r="HWG19" s="110"/>
      <c r="HWH19" s="110"/>
      <c r="HWI19" s="111"/>
      <c r="HWJ19" s="112"/>
      <c r="HWK19" s="113"/>
      <c r="HWL19" s="110"/>
      <c r="HWM19" s="114"/>
      <c r="HWN19" s="114"/>
      <c r="HWO19" s="110"/>
      <c r="HWP19" s="110"/>
      <c r="HWQ19" s="110"/>
      <c r="HWR19" s="110"/>
      <c r="HWS19" s="111"/>
      <c r="HWT19" s="112"/>
      <c r="HWU19" s="113"/>
      <c r="HWV19" s="110"/>
      <c r="HWW19" s="114"/>
      <c r="HWX19" s="114"/>
      <c r="HWY19" s="110"/>
      <c r="HWZ19" s="110"/>
      <c r="HXA19" s="110"/>
      <c r="HXB19" s="110"/>
      <c r="HXC19" s="111"/>
      <c r="HXD19" s="112"/>
      <c r="HXE19" s="113"/>
      <c r="HXF19" s="110"/>
      <c r="HXG19" s="114"/>
      <c r="HXH19" s="114"/>
      <c r="HXI19" s="110"/>
      <c r="HXJ19" s="110"/>
      <c r="HXK19" s="110"/>
      <c r="HXL19" s="110"/>
      <c r="HXM19" s="111"/>
      <c r="HXN19" s="112"/>
      <c r="HXO19" s="113"/>
      <c r="HXP19" s="110"/>
      <c r="HXQ19" s="114"/>
      <c r="HXR19" s="114"/>
      <c r="HXS19" s="110"/>
      <c r="HXT19" s="110"/>
      <c r="HXU19" s="110"/>
      <c r="HXV19" s="110"/>
      <c r="HXW19" s="111"/>
      <c r="HXX19" s="112"/>
      <c r="HXY19" s="113"/>
      <c r="HXZ19" s="110"/>
      <c r="HYA19" s="114"/>
      <c r="HYB19" s="114"/>
      <c r="HYC19" s="110"/>
      <c r="HYD19" s="110"/>
      <c r="HYE19" s="110"/>
      <c r="HYF19" s="110"/>
      <c r="HYG19" s="111"/>
      <c r="HYH19" s="112"/>
      <c r="HYI19" s="113"/>
      <c r="HYJ19" s="110"/>
      <c r="HYK19" s="114"/>
      <c r="HYL19" s="114"/>
      <c r="HYM19" s="110"/>
      <c r="HYN19" s="110"/>
      <c r="HYO19" s="110"/>
      <c r="HYP19" s="110"/>
      <c r="HYQ19" s="111"/>
      <c r="HYR19" s="112"/>
      <c r="HYS19" s="113"/>
      <c r="HYT19" s="110"/>
      <c r="HYU19" s="114"/>
      <c r="HYV19" s="114"/>
      <c r="HYW19" s="110"/>
      <c r="HYX19" s="110"/>
      <c r="HYY19" s="110"/>
      <c r="HYZ19" s="110"/>
      <c r="HZA19" s="111"/>
      <c r="HZB19" s="112"/>
      <c r="HZC19" s="113"/>
      <c r="HZD19" s="110"/>
      <c r="HZE19" s="114"/>
      <c r="HZF19" s="114"/>
      <c r="HZG19" s="110"/>
      <c r="HZH19" s="110"/>
      <c r="HZI19" s="110"/>
      <c r="HZJ19" s="110"/>
      <c r="HZK19" s="111"/>
      <c r="HZL19" s="112"/>
      <c r="HZM19" s="113"/>
      <c r="HZN19" s="110"/>
      <c r="HZO19" s="114"/>
      <c r="HZP19" s="114"/>
      <c r="HZQ19" s="110"/>
      <c r="HZR19" s="110"/>
      <c r="HZS19" s="110"/>
      <c r="HZT19" s="110"/>
      <c r="HZU19" s="111"/>
      <c r="HZV19" s="112"/>
      <c r="HZW19" s="113"/>
      <c r="HZX19" s="110"/>
      <c r="HZY19" s="114"/>
      <c r="HZZ19" s="114"/>
      <c r="IAA19" s="110"/>
      <c r="IAB19" s="110"/>
      <c r="IAC19" s="110"/>
      <c r="IAD19" s="110"/>
      <c r="IAE19" s="111"/>
      <c r="IAF19" s="112"/>
      <c r="IAG19" s="113"/>
      <c r="IAH19" s="110"/>
      <c r="IAI19" s="114"/>
      <c r="IAJ19" s="114"/>
      <c r="IAK19" s="110"/>
      <c r="IAL19" s="110"/>
      <c r="IAM19" s="110"/>
      <c r="IAN19" s="110"/>
      <c r="IAO19" s="111"/>
      <c r="IAP19" s="112"/>
      <c r="IAQ19" s="113"/>
      <c r="IAR19" s="110"/>
      <c r="IAS19" s="114"/>
      <c r="IAT19" s="114"/>
      <c r="IAU19" s="110"/>
      <c r="IAV19" s="110"/>
      <c r="IAW19" s="110"/>
      <c r="IAX19" s="110"/>
      <c r="IAY19" s="111"/>
      <c r="IAZ19" s="112"/>
      <c r="IBA19" s="113"/>
      <c r="IBB19" s="110"/>
      <c r="IBC19" s="114"/>
      <c r="IBD19" s="114"/>
      <c r="IBE19" s="110"/>
      <c r="IBF19" s="110"/>
      <c r="IBG19" s="110"/>
      <c r="IBH19" s="110"/>
      <c r="IBI19" s="111"/>
      <c r="IBJ19" s="112"/>
      <c r="IBK19" s="113"/>
      <c r="IBL19" s="110"/>
      <c r="IBM19" s="114"/>
      <c r="IBN19" s="114"/>
      <c r="IBO19" s="110"/>
      <c r="IBP19" s="110"/>
      <c r="IBQ19" s="110"/>
      <c r="IBR19" s="110"/>
      <c r="IBS19" s="111"/>
      <c r="IBT19" s="112"/>
      <c r="IBU19" s="113"/>
      <c r="IBV19" s="110"/>
      <c r="IBW19" s="114"/>
      <c r="IBX19" s="114"/>
      <c r="IBY19" s="110"/>
      <c r="IBZ19" s="110"/>
      <c r="ICA19" s="110"/>
      <c r="ICB19" s="110"/>
      <c r="ICC19" s="111"/>
      <c r="ICD19" s="112"/>
      <c r="ICE19" s="113"/>
      <c r="ICF19" s="110"/>
      <c r="ICG19" s="114"/>
      <c r="ICH19" s="114"/>
      <c r="ICI19" s="110"/>
      <c r="ICJ19" s="110"/>
      <c r="ICK19" s="110"/>
      <c r="ICL19" s="110"/>
      <c r="ICM19" s="111"/>
      <c r="ICN19" s="112"/>
      <c r="ICO19" s="113"/>
      <c r="ICP19" s="110"/>
      <c r="ICQ19" s="114"/>
      <c r="ICR19" s="114"/>
      <c r="ICS19" s="110"/>
      <c r="ICT19" s="110"/>
      <c r="ICU19" s="110"/>
      <c r="ICV19" s="110"/>
      <c r="ICW19" s="111"/>
      <c r="ICX19" s="112"/>
      <c r="ICY19" s="113"/>
      <c r="ICZ19" s="110"/>
      <c r="IDA19" s="114"/>
      <c r="IDB19" s="114"/>
      <c r="IDC19" s="110"/>
      <c r="IDD19" s="110"/>
      <c r="IDE19" s="110"/>
      <c r="IDF19" s="110"/>
      <c r="IDG19" s="111"/>
      <c r="IDH19" s="112"/>
      <c r="IDI19" s="113"/>
      <c r="IDJ19" s="110"/>
      <c r="IDK19" s="114"/>
      <c r="IDL19" s="114"/>
      <c r="IDM19" s="110"/>
      <c r="IDN19" s="110"/>
      <c r="IDO19" s="110"/>
      <c r="IDP19" s="110"/>
      <c r="IDQ19" s="111"/>
      <c r="IDR19" s="112"/>
      <c r="IDS19" s="113"/>
      <c r="IDT19" s="110"/>
      <c r="IDU19" s="114"/>
      <c r="IDV19" s="114"/>
      <c r="IDW19" s="110"/>
      <c r="IDX19" s="110"/>
      <c r="IDY19" s="110"/>
      <c r="IDZ19" s="110"/>
      <c r="IEA19" s="111"/>
      <c r="IEB19" s="112"/>
      <c r="IEC19" s="113"/>
      <c r="IED19" s="110"/>
      <c r="IEE19" s="114"/>
      <c r="IEF19" s="114"/>
      <c r="IEG19" s="110"/>
      <c r="IEH19" s="110"/>
      <c r="IEI19" s="110"/>
      <c r="IEJ19" s="110"/>
      <c r="IEK19" s="111"/>
      <c r="IEL19" s="112"/>
      <c r="IEM19" s="113"/>
      <c r="IEN19" s="110"/>
      <c r="IEO19" s="114"/>
      <c r="IEP19" s="114"/>
      <c r="IEQ19" s="110"/>
      <c r="IER19" s="110"/>
      <c r="IES19" s="110"/>
      <c r="IET19" s="110"/>
      <c r="IEU19" s="111"/>
      <c r="IEV19" s="112"/>
      <c r="IEW19" s="113"/>
      <c r="IEX19" s="110"/>
      <c r="IEY19" s="114"/>
      <c r="IEZ19" s="114"/>
      <c r="IFA19" s="110"/>
      <c r="IFB19" s="110"/>
      <c r="IFC19" s="110"/>
      <c r="IFD19" s="110"/>
      <c r="IFE19" s="111"/>
      <c r="IFF19" s="112"/>
      <c r="IFG19" s="113"/>
      <c r="IFH19" s="110"/>
      <c r="IFI19" s="114"/>
      <c r="IFJ19" s="114"/>
      <c r="IFK19" s="110"/>
      <c r="IFL19" s="110"/>
      <c r="IFM19" s="110"/>
      <c r="IFN19" s="110"/>
      <c r="IFO19" s="111"/>
      <c r="IFP19" s="112"/>
      <c r="IFQ19" s="113"/>
      <c r="IFR19" s="110"/>
      <c r="IFS19" s="114"/>
      <c r="IFT19" s="114"/>
      <c r="IFU19" s="110"/>
      <c r="IFV19" s="110"/>
      <c r="IFW19" s="110"/>
      <c r="IFX19" s="110"/>
      <c r="IFY19" s="111"/>
      <c r="IFZ19" s="112"/>
      <c r="IGA19" s="113"/>
      <c r="IGB19" s="110"/>
      <c r="IGC19" s="114"/>
      <c r="IGD19" s="114"/>
      <c r="IGE19" s="110"/>
      <c r="IGF19" s="110"/>
      <c r="IGG19" s="110"/>
      <c r="IGH19" s="110"/>
      <c r="IGI19" s="111"/>
      <c r="IGJ19" s="112"/>
      <c r="IGK19" s="113"/>
      <c r="IGL19" s="110"/>
      <c r="IGM19" s="114"/>
      <c r="IGN19" s="114"/>
      <c r="IGO19" s="110"/>
      <c r="IGP19" s="110"/>
      <c r="IGQ19" s="110"/>
      <c r="IGR19" s="110"/>
      <c r="IGS19" s="111"/>
      <c r="IGT19" s="112"/>
      <c r="IGU19" s="113"/>
      <c r="IGV19" s="110"/>
      <c r="IGW19" s="114"/>
      <c r="IGX19" s="114"/>
      <c r="IGY19" s="110"/>
      <c r="IGZ19" s="110"/>
      <c r="IHA19" s="110"/>
      <c r="IHB19" s="110"/>
      <c r="IHC19" s="111"/>
      <c r="IHD19" s="112"/>
      <c r="IHE19" s="113"/>
      <c r="IHF19" s="110"/>
      <c r="IHG19" s="114"/>
      <c r="IHH19" s="114"/>
      <c r="IHI19" s="110"/>
      <c r="IHJ19" s="110"/>
      <c r="IHK19" s="110"/>
      <c r="IHL19" s="110"/>
      <c r="IHM19" s="111"/>
      <c r="IHN19" s="112"/>
      <c r="IHO19" s="113"/>
      <c r="IHP19" s="110"/>
      <c r="IHQ19" s="114"/>
      <c r="IHR19" s="114"/>
      <c r="IHS19" s="110"/>
      <c r="IHT19" s="110"/>
      <c r="IHU19" s="110"/>
      <c r="IHV19" s="110"/>
      <c r="IHW19" s="111"/>
      <c r="IHX19" s="112"/>
      <c r="IHY19" s="113"/>
      <c r="IHZ19" s="110"/>
      <c r="IIA19" s="114"/>
      <c r="IIB19" s="114"/>
      <c r="IIC19" s="110"/>
      <c r="IID19" s="110"/>
      <c r="IIE19" s="110"/>
      <c r="IIF19" s="110"/>
      <c r="IIG19" s="111"/>
      <c r="IIH19" s="112"/>
      <c r="III19" s="113"/>
      <c r="IIJ19" s="110"/>
      <c r="IIK19" s="114"/>
      <c r="IIL19" s="114"/>
      <c r="IIM19" s="110"/>
      <c r="IIN19" s="110"/>
      <c r="IIO19" s="110"/>
      <c r="IIP19" s="110"/>
      <c r="IIQ19" s="111"/>
      <c r="IIR19" s="112"/>
      <c r="IIS19" s="113"/>
      <c r="IIT19" s="110"/>
      <c r="IIU19" s="114"/>
      <c r="IIV19" s="114"/>
      <c r="IIW19" s="110"/>
      <c r="IIX19" s="110"/>
      <c r="IIY19" s="110"/>
      <c r="IIZ19" s="110"/>
      <c r="IJA19" s="111"/>
      <c r="IJB19" s="112"/>
      <c r="IJC19" s="113"/>
      <c r="IJD19" s="110"/>
      <c r="IJE19" s="114"/>
      <c r="IJF19" s="114"/>
      <c r="IJG19" s="110"/>
      <c r="IJH19" s="110"/>
      <c r="IJI19" s="110"/>
      <c r="IJJ19" s="110"/>
      <c r="IJK19" s="111"/>
      <c r="IJL19" s="112"/>
      <c r="IJM19" s="113"/>
      <c r="IJN19" s="110"/>
      <c r="IJO19" s="114"/>
      <c r="IJP19" s="114"/>
      <c r="IJQ19" s="110"/>
      <c r="IJR19" s="110"/>
      <c r="IJS19" s="110"/>
      <c r="IJT19" s="110"/>
      <c r="IJU19" s="111"/>
      <c r="IJV19" s="112"/>
      <c r="IJW19" s="113"/>
      <c r="IJX19" s="110"/>
      <c r="IJY19" s="114"/>
      <c r="IJZ19" s="114"/>
      <c r="IKA19" s="110"/>
      <c r="IKB19" s="110"/>
      <c r="IKC19" s="110"/>
      <c r="IKD19" s="110"/>
      <c r="IKE19" s="111"/>
      <c r="IKF19" s="112"/>
      <c r="IKG19" s="113"/>
      <c r="IKH19" s="110"/>
      <c r="IKI19" s="114"/>
      <c r="IKJ19" s="114"/>
      <c r="IKK19" s="110"/>
      <c r="IKL19" s="110"/>
      <c r="IKM19" s="110"/>
      <c r="IKN19" s="110"/>
      <c r="IKO19" s="111"/>
      <c r="IKP19" s="112"/>
      <c r="IKQ19" s="113"/>
      <c r="IKR19" s="110"/>
      <c r="IKS19" s="114"/>
      <c r="IKT19" s="114"/>
      <c r="IKU19" s="110"/>
      <c r="IKV19" s="110"/>
      <c r="IKW19" s="110"/>
      <c r="IKX19" s="110"/>
      <c r="IKY19" s="111"/>
      <c r="IKZ19" s="112"/>
      <c r="ILA19" s="113"/>
      <c r="ILB19" s="110"/>
      <c r="ILC19" s="114"/>
      <c r="ILD19" s="114"/>
      <c r="ILE19" s="110"/>
      <c r="ILF19" s="110"/>
      <c r="ILG19" s="110"/>
      <c r="ILH19" s="110"/>
      <c r="ILI19" s="111"/>
      <c r="ILJ19" s="112"/>
      <c r="ILK19" s="113"/>
      <c r="ILL19" s="110"/>
      <c r="ILM19" s="114"/>
      <c r="ILN19" s="114"/>
      <c r="ILO19" s="110"/>
      <c r="ILP19" s="110"/>
      <c r="ILQ19" s="110"/>
      <c r="ILR19" s="110"/>
      <c r="ILS19" s="111"/>
      <c r="ILT19" s="112"/>
      <c r="ILU19" s="113"/>
      <c r="ILV19" s="110"/>
      <c r="ILW19" s="114"/>
      <c r="ILX19" s="114"/>
      <c r="ILY19" s="110"/>
      <c r="ILZ19" s="110"/>
      <c r="IMA19" s="110"/>
      <c r="IMB19" s="110"/>
      <c r="IMC19" s="111"/>
      <c r="IMD19" s="112"/>
      <c r="IME19" s="113"/>
      <c r="IMF19" s="110"/>
      <c r="IMG19" s="114"/>
      <c r="IMH19" s="114"/>
      <c r="IMI19" s="110"/>
      <c r="IMJ19" s="110"/>
      <c r="IMK19" s="110"/>
      <c r="IML19" s="110"/>
      <c r="IMM19" s="111"/>
      <c r="IMN19" s="112"/>
      <c r="IMO19" s="113"/>
      <c r="IMP19" s="110"/>
      <c r="IMQ19" s="114"/>
      <c r="IMR19" s="114"/>
      <c r="IMS19" s="110"/>
      <c r="IMT19" s="110"/>
      <c r="IMU19" s="110"/>
      <c r="IMV19" s="110"/>
      <c r="IMW19" s="111"/>
      <c r="IMX19" s="112"/>
      <c r="IMY19" s="113"/>
      <c r="IMZ19" s="110"/>
      <c r="INA19" s="114"/>
      <c r="INB19" s="114"/>
      <c r="INC19" s="110"/>
      <c r="IND19" s="110"/>
      <c r="INE19" s="110"/>
      <c r="INF19" s="110"/>
      <c r="ING19" s="111"/>
      <c r="INH19" s="112"/>
      <c r="INI19" s="113"/>
      <c r="INJ19" s="110"/>
      <c r="INK19" s="114"/>
      <c r="INL19" s="114"/>
      <c r="INM19" s="110"/>
      <c r="INN19" s="110"/>
      <c r="INO19" s="110"/>
      <c r="INP19" s="110"/>
      <c r="INQ19" s="111"/>
      <c r="INR19" s="112"/>
      <c r="INS19" s="113"/>
      <c r="INT19" s="110"/>
      <c r="INU19" s="114"/>
      <c r="INV19" s="114"/>
      <c r="INW19" s="110"/>
      <c r="INX19" s="110"/>
      <c r="INY19" s="110"/>
      <c r="INZ19" s="110"/>
      <c r="IOA19" s="111"/>
      <c r="IOB19" s="112"/>
      <c r="IOC19" s="113"/>
      <c r="IOD19" s="110"/>
      <c r="IOE19" s="114"/>
      <c r="IOF19" s="114"/>
      <c r="IOG19" s="110"/>
      <c r="IOH19" s="110"/>
      <c r="IOI19" s="110"/>
      <c r="IOJ19" s="110"/>
      <c r="IOK19" s="111"/>
      <c r="IOL19" s="112"/>
      <c r="IOM19" s="113"/>
      <c r="ION19" s="110"/>
      <c r="IOO19" s="114"/>
      <c r="IOP19" s="114"/>
      <c r="IOQ19" s="110"/>
      <c r="IOR19" s="110"/>
      <c r="IOS19" s="110"/>
      <c r="IOT19" s="110"/>
      <c r="IOU19" s="111"/>
      <c r="IOV19" s="112"/>
      <c r="IOW19" s="113"/>
      <c r="IOX19" s="110"/>
      <c r="IOY19" s="114"/>
      <c r="IOZ19" s="114"/>
      <c r="IPA19" s="110"/>
      <c r="IPB19" s="110"/>
      <c r="IPC19" s="110"/>
      <c r="IPD19" s="110"/>
      <c r="IPE19" s="111"/>
      <c r="IPF19" s="112"/>
      <c r="IPG19" s="113"/>
      <c r="IPH19" s="110"/>
      <c r="IPI19" s="114"/>
      <c r="IPJ19" s="114"/>
      <c r="IPK19" s="110"/>
      <c r="IPL19" s="110"/>
      <c r="IPM19" s="110"/>
      <c r="IPN19" s="110"/>
      <c r="IPO19" s="111"/>
      <c r="IPP19" s="112"/>
      <c r="IPQ19" s="113"/>
      <c r="IPR19" s="110"/>
      <c r="IPS19" s="114"/>
      <c r="IPT19" s="114"/>
      <c r="IPU19" s="110"/>
      <c r="IPV19" s="110"/>
      <c r="IPW19" s="110"/>
      <c r="IPX19" s="110"/>
      <c r="IPY19" s="111"/>
      <c r="IPZ19" s="112"/>
      <c r="IQA19" s="113"/>
      <c r="IQB19" s="110"/>
      <c r="IQC19" s="114"/>
      <c r="IQD19" s="114"/>
      <c r="IQE19" s="110"/>
      <c r="IQF19" s="110"/>
      <c r="IQG19" s="110"/>
      <c r="IQH19" s="110"/>
      <c r="IQI19" s="111"/>
      <c r="IQJ19" s="112"/>
      <c r="IQK19" s="113"/>
      <c r="IQL19" s="110"/>
      <c r="IQM19" s="114"/>
      <c r="IQN19" s="114"/>
      <c r="IQO19" s="110"/>
      <c r="IQP19" s="110"/>
      <c r="IQQ19" s="110"/>
      <c r="IQR19" s="110"/>
      <c r="IQS19" s="111"/>
      <c r="IQT19" s="112"/>
      <c r="IQU19" s="113"/>
      <c r="IQV19" s="110"/>
      <c r="IQW19" s="114"/>
      <c r="IQX19" s="114"/>
      <c r="IQY19" s="110"/>
      <c r="IQZ19" s="110"/>
      <c r="IRA19" s="110"/>
      <c r="IRB19" s="110"/>
      <c r="IRC19" s="111"/>
      <c r="IRD19" s="112"/>
      <c r="IRE19" s="113"/>
      <c r="IRF19" s="110"/>
      <c r="IRG19" s="114"/>
      <c r="IRH19" s="114"/>
      <c r="IRI19" s="110"/>
      <c r="IRJ19" s="110"/>
      <c r="IRK19" s="110"/>
      <c r="IRL19" s="110"/>
      <c r="IRM19" s="111"/>
      <c r="IRN19" s="112"/>
      <c r="IRO19" s="113"/>
      <c r="IRP19" s="110"/>
      <c r="IRQ19" s="114"/>
      <c r="IRR19" s="114"/>
      <c r="IRS19" s="110"/>
      <c r="IRT19" s="110"/>
      <c r="IRU19" s="110"/>
      <c r="IRV19" s="110"/>
      <c r="IRW19" s="111"/>
      <c r="IRX19" s="112"/>
      <c r="IRY19" s="113"/>
      <c r="IRZ19" s="110"/>
      <c r="ISA19" s="114"/>
      <c r="ISB19" s="114"/>
      <c r="ISC19" s="110"/>
      <c r="ISD19" s="110"/>
      <c r="ISE19" s="110"/>
      <c r="ISF19" s="110"/>
      <c r="ISG19" s="111"/>
      <c r="ISH19" s="112"/>
      <c r="ISI19" s="113"/>
      <c r="ISJ19" s="110"/>
      <c r="ISK19" s="114"/>
      <c r="ISL19" s="114"/>
      <c r="ISM19" s="110"/>
      <c r="ISN19" s="110"/>
      <c r="ISO19" s="110"/>
      <c r="ISP19" s="110"/>
      <c r="ISQ19" s="111"/>
      <c r="ISR19" s="112"/>
      <c r="ISS19" s="113"/>
      <c r="IST19" s="110"/>
      <c r="ISU19" s="114"/>
      <c r="ISV19" s="114"/>
      <c r="ISW19" s="110"/>
      <c r="ISX19" s="110"/>
      <c r="ISY19" s="110"/>
      <c r="ISZ19" s="110"/>
      <c r="ITA19" s="111"/>
      <c r="ITB19" s="112"/>
      <c r="ITC19" s="113"/>
      <c r="ITD19" s="110"/>
      <c r="ITE19" s="114"/>
      <c r="ITF19" s="114"/>
      <c r="ITG19" s="110"/>
      <c r="ITH19" s="110"/>
      <c r="ITI19" s="110"/>
      <c r="ITJ19" s="110"/>
      <c r="ITK19" s="111"/>
      <c r="ITL19" s="112"/>
      <c r="ITM19" s="113"/>
      <c r="ITN19" s="110"/>
      <c r="ITO19" s="114"/>
      <c r="ITP19" s="114"/>
      <c r="ITQ19" s="110"/>
      <c r="ITR19" s="110"/>
      <c r="ITS19" s="110"/>
      <c r="ITT19" s="110"/>
      <c r="ITU19" s="111"/>
      <c r="ITV19" s="112"/>
      <c r="ITW19" s="113"/>
      <c r="ITX19" s="110"/>
      <c r="ITY19" s="114"/>
      <c r="ITZ19" s="114"/>
      <c r="IUA19" s="110"/>
      <c r="IUB19" s="110"/>
      <c r="IUC19" s="110"/>
      <c r="IUD19" s="110"/>
      <c r="IUE19" s="111"/>
      <c r="IUF19" s="112"/>
      <c r="IUG19" s="113"/>
      <c r="IUH19" s="110"/>
      <c r="IUI19" s="114"/>
      <c r="IUJ19" s="114"/>
      <c r="IUK19" s="110"/>
      <c r="IUL19" s="110"/>
      <c r="IUM19" s="110"/>
      <c r="IUN19" s="110"/>
      <c r="IUO19" s="111"/>
      <c r="IUP19" s="112"/>
      <c r="IUQ19" s="113"/>
      <c r="IUR19" s="110"/>
      <c r="IUS19" s="114"/>
      <c r="IUT19" s="114"/>
      <c r="IUU19" s="110"/>
      <c r="IUV19" s="110"/>
      <c r="IUW19" s="110"/>
      <c r="IUX19" s="110"/>
      <c r="IUY19" s="111"/>
      <c r="IUZ19" s="112"/>
      <c r="IVA19" s="113"/>
      <c r="IVB19" s="110"/>
      <c r="IVC19" s="114"/>
      <c r="IVD19" s="114"/>
      <c r="IVE19" s="110"/>
      <c r="IVF19" s="110"/>
      <c r="IVG19" s="110"/>
      <c r="IVH19" s="110"/>
      <c r="IVI19" s="111"/>
      <c r="IVJ19" s="112"/>
      <c r="IVK19" s="113"/>
      <c r="IVL19" s="110"/>
      <c r="IVM19" s="114"/>
      <c r="IVN19" s="114"/>
      <c r="IVO19" s="110"/>
      <c r="IVP19" s="110"/>
      <c r="IVQ19" s="110"/>
      <c r="IVR19" s="110"/>
      <c r="IVS19" s="111"/>
      <c r="IVT19" s="112"/>
      <c r="IVU19" s="113"/>
      <c r="IVV19" s="110"/>
      <c r="IVW19" s="114"/>
      <c r="IVX19" s="114"/>
      <c r="IVY19" s="110"/>
      <c r="IVZ19" s="110"/>
      <c r="IWA19" s="110"/>
      <c r="IWB19" s="110"/>
      <c r="IWC19" s="111"/>
      <c r="IWD19" s="112"/>
      <c r="IWE19" s="113"/>
      <c r="IWF19" s="110"/>
      <c r="IWG19" s="114"/>
      <c r="IWH19" s="114"/>
      <c r="IWI19" s="110"/>
      <c r="IWJ19" s="110"/>
      <c r="IWK19" s="110"/>
      <c r="IWL19" s="110"/>
      <c r="IWM19" s="111"/>
      <c r="IWN19" s="112"/>
      <c r="IWO19" s="113"/>
      <c r="IWP19" s="110"/>
      <c r="IWQ19" s="114"/>
      <c r="IWR19" s="114"/>
      <c r="IWS19" s="110"/>
      <c r="IWT19" s="110"/>
      <c r="IWU19" s="110"/>
      <c r="IWV19" s="110"/>
      <c r="IWW19" s="111"/>
      <c r="IWX19" s="112"/>
      <c r="IWY19" s="113"/>
      <c r="IWZ19" s="110"/>
      <c r="IXA19" s="114"/>
      <c r="IXB19" s="114"/>
      <c r="IXC19" s="110"/>
      <c r="IXD19" s="110"/>
      <c r="IXE19" s="110"/>
      <c r="IXF19" s="110"/>
      <c r="IXG19" s="111"/>
      <c r="IXH19" s="112"/>
      <c r="IXI19" s="113"/>
      <c r="IXJ19" s="110"/>
      <c r="IXK19" s="114"/>
      <c r="IXL19" s="114"/>
      <c r="IXM19" s="110"/>
      <c r="IXN19" s="110"/>
      <c r="IXO19" s="110"/>
      <c r="IXP19" s="110"/>
      <c r="IXQ19" s="111"/>
      <c r="IXR19" s="112"/>
      <c r="IXS19" s="113"/>
      <c r="IXT19" s="110"/>
      <c r="IXU19" s="114"/>
      <c r="IXV19" s="114"/>
      <c r="IXW19" s="110"/>
      <c r="IXX19" s="110"/>
      <c r="IXY19" s="110"/>
      <c r="IXZ19" s="110"/>
      <c r="IYA19" s="111"/>
      <c r="IYB19" s="112"/>
      <c r="IYC19" s="113"/>
      <c r="IYD19" s="110"/>
      <c r="IYE19" s="114"/>
      <c r="IYF19" s="114"/>
      <c r="IYG19" s="110"/>
      <c r="IYH19" s="110"/>
      <c r="IYI19" s="110"/>
      <c r="IYJ19" s="110"/>
      <c r="IYK19" s="111"/>
      <c r="IYL19" s="112"/>
      <c r="IYM19" s="113"/>
      <c r="IYN19" s="110"/>
      <c r="IYO19" s="114"/>
      <c r="IYP19" s="114"/>
      <c r="IYQ19" s="110"/>
      <c r="IYR19" s="110"/>
      <c r="IYS19" s="110"/>
      <c r="IYT19" s="110"/>
      <c r="IYU19" s="111"/>
      <c r="IYV19" s="112"/>
      <c r="IYW19" s="113"/>
      <c r="IYX19" s="110"/>
      <c r="IYY19" s="114"/>
      <c r="IYZ19" s="114"/>
      <c r="IZA19" s="110"/>
      <c r="IZB19" s="110"/>
      <c r="IZC19" s="110"/>
      <c r="IZD19" s="110"/>
      <c r="IZE19" s="111"/>
      <c r="IZF19" s="112"/>
      <c r="IZG19" s="113"/>
      <c r="IZH19" s="110"/>
      <c r="IZI19" s="114"/>
      <c r="IZJ19" s="114"/>
      <c r="IZK19" s="110"/>
      <c r="IZL19" s="110"/>
      <c r="IZM19" s="110"/>
      <c r="IZN19" s="110"/>
      <c r="IZO19" s="111"/>
      <c r="IZP19" s="112"/>
      <c r="IZQ19" s="113"/>
      <c r="IZR19" s="110"/>
      <c r="IZS19" s="114"/>
      <c r="IZT19" s="114"/>
      <c r="IZU19" s="110"/>
      <c r="IZV19" s="110"/>
      <c r="IZW19" s="110"/>
      <c r="IZX19" s="110"/>
      <c r="IZY19" s="111"/>
      <c r="IZZ19" s="112"/>
      <c r="JAA19" s="113"/>
      <c r="JAB19" s="110"/>
      <c r="JAC19" s="114"/>
      <c r="JAD19" s="114"/>
      <c r="JAE19" s="110"/>
      <c r="JAF19" s="110"/>
      <c r="JAG19" s="110"/>
      <c r="JAH19" s="110"/>
      <c r="JAI19" s="111"/>
      <c r="JAJ19" s="112"/>
      <c r="JAK19" s="113"/>
      <c r="JAL19" s="110"/>
      <c r="JAM19" s="114"/>
      <c r="JAN19" s="114"/>
      <c r="JAO19" s="110"/>
      <c r="JAP19" s="110"/>
      <c r="JAQ19" s="110"/>
      <c r="JAR19" s="110"/>
      <c r="JAS19" s="111"/>
      <c r="JAT19" s="112"/>
      <c r="JAU19" s="113"/>
      <c r="JAV19" s="110"/>
      <c r="JAW19" s="114"/>
      <c r="JAX19" s="114"/>
      <c r="JAY19" s="110"/>
      <c r="JAZ19" s="110"/>
      <c r="JBA19" s="110"/>
      <c r="JBB19" s="110"/>
      <c r="JBC19" s="111"/>
      <c r="JBD19" s="112"/>
      <c r="JBE19" s="113"/>
      <c r="JBF19" s="110"/>
      <c r="JBG19" s="114"/>
      <c r="JBH19" s="114"/>
      <c r="JBI19" s="110"/>
      <c r="JBJ19" s="110"/>
      <c r="JBK19" s="110"/>
      <c r="JBL19" s="110"/>
      <c r="JBM19" s="111"/>
      <c r="JBN19" s="112"/>
      <c r="JBO19" s="113"/>
      <c r="JBP19" s="110"/>
      <c r="JBQ19" s="114"/>
      <c r="JBR19" s="114"/>
      <c r="JBS19" s="110"/>
      <c r="JBT19" s="110"/>
      <c r="JBU19" s="110"/>
      <c r="JBV19" s="110"/>
      <c r="JBW19" s="111"/>
      <c r="JBX19" s="112"/>
      <c r="JBY19" s="113"/>
      <c r="JBZ19" s="110"/>
      <c r="JCA19" s="114"/>
      <c r="JCB19" s="114"/>
      <c r="JCC19" s="110"/>
      <c r="JCD19" s="110"/>
      <c r="JCE19" s="110"/>
      <c r="JCF19" s="110"/>
      <c r="JCG19" s="111"/>
      <c r="JCH19" s="112"/>
      <c r="JCI19" s="113"/>
      <c r="JCJ19" s="110"/>
      <c r="JCK19" s="114"/>
      <c r="JCL19" s="114"/>
      <c r="JCM19" s="110"/>
      <c r="JCN19" s="110"/>
      <c r="JCO19" s="110"/>
      <c r="JCP19" s="110"/>
      <c r="JCQ19" s="111"/>
      <c r="JCR19" s="112"/>
      <c r="JCS19" s="113"/>
      <c r="JCT19" s="110"/>
      <c r="JCU19" s="114"/>
      <c r="JCV19" s="114"/>
      <c r="JCW19" s="110"/>
      <c r="JCX19" s="110"/>
      <c r="JCY19" s="110"/>
      <c r="JCZ19" s="110"/>
      <c r="JDA19" s="111"/>
      <c r="JDB19" s="112"/>
      <c r="JDC19" s="113"/>
      <c r="JDD19" s="110"/>
      <c r="JDE19" s="114"/>
      <c r="JDF19" s="114"/>
      <c r="JDG19" s="110"/>
      <c r="JDH19" s="110"/>
      <c r="JDI19" s="110"/>
      <c r="JDJ19" s="110"/>
      <c r="JDK19" s="111"/>
      <c r="JDL19" s="112"/>
      <c r="JDM19" s="113"/>
      <c r="JDN19" s="110"/>
      <c r="JDO19" s="114"/>
      <c r="JDP19" s="114"/>
      <c r="JDQ19" s="110"/>
      <c r="JDR19" s="110"/>
      <c r="JDS19" s="110"/>
      <c r="JDT19" s="110"/>
      <c r="JDU19" s="111"/>
      <c r="JDV19" s="112"/>
      <c r="JDW19" s="113"/>
      <c r="JDX19" s="110"/>
      <c r="JDY19" s="114"/>
      <c r="JDZ19" s="114"/>
      <c r="JEA19" s="110"/>
      <c r="JEB19" s="110"/>
      <c r="JEC19" s="110"/>
      <c r="JED19" s="110"/>
      <c r="JEE19" s="111"/>
      <c r="JEF19" s="112"/>
      <c r="JEG19" s="113"/>
      <c r="JEH19" s="110"/>
      <c r="JEI19" s="114"/>
      <c r="JEJ19" s="114"/>
      <c r="JEK19" s="110"/>
      <c r="JEL19" s="110"/>
      <c r="JEM19" s="110"/>
      <c r="JEN19" s="110"/>
      <c r="JEO19" s="111"/>
      <c r="JEP19" s="112"/>
      <c r="JEQ19" s="113"/>
      <c r="JER19" s="110"/>
      <c r="JES19" s="114"/>
      <c r="JET19" s="114"/>
      <c r="JEU19" s="110"/>
      <c r="JEV19" s="110"/>
      <c r="JEW19" s="110"/>
      <c r="JEX19" s="110"/>
      <c r="JEY19" s="111"/>
      <c r="JEZ19" s="112"/>
      <c r="JFA19" s="113"/>
      <c r="JFB19" s="110"/>
      <c r="JFC19" s="114"/>
      <c r="JFD19" s="114"/>
      <c r="JFE19" s="110"/>
      <c r="JFF19" s="110"/>
      <c r="JFG19" s="110"/>
      <c r="JFH19" s="110"/>
      <c r="JFI19" s="111"/>
      <c r="JFJ19" s="112"/>
      <c r="JFK19" s="113"/>
      <c r="JFL19" s="110"/>
      <c r="JFM19" s="114"/>
      <c r="JFN19" s="114"/>
      <c r="JFO19" s="110"/>
      <c r="JFP19" s="110"/>
      <c r="JFQ19" s="110"/>
      <c r="JFR19" s="110"/>
      <c r="JFS19" s="111"/>
      <c r="JFT19" s="112"/>
      <c r="JFU19" s="113"/>
      <c r="JFV19" s="110"/>
      <c r="JFW19" s="114"/>
      <c r="JFX19" s="114"/>
      <c r="JFY19" s="110"/>
      <c r="JFZ19" s="110"/>
      <c r="JGA19" s="110"/>
      <c r="JGB19" s="110"/>
      <c r="JGC19" s="111"/>
      <c r="JGD19" s="112"/>
      <c r="JGE19" s="113"/>
      <c r="JGF19" s="110"/>
      <c r="JGG19" s="114"/>
      <c r="JGH19" s="114"/>
      <c r="JGI19" s="110"/>
      <c r="JGJ19" s="110"/>
      <c r="JGK19" s="110"/>
      <c r="JGL19" s="110"/>
      <c r="JGM19" s="111"/>
      <c r="JGN19" s="112"/>
      <c r="JGO19" s="113"/>
      <c r="JGP19" s="110"/>
      <c r="JGQ19" s="114"/>
      <c r="JGR19" s="114"/>
      <c r="JGS19" s="110"/>
      <c r="JGT19" s="110"/>
      <c r="JGU19" s="110"/>
      <c r="JGV19" s="110"/>
      <c r="JGW19" s="111"/>
      <c r="JGX19" s="112"/>
      <c r="JGY19" s="113"/>
      <c r="JGZ19" s="110"/>
      <c r="JHA19" s="114"/>
      <c r="JHB19" s="114"/>
      <c r="JHC19" s="110"/>
      <c r="JHD19" s="110"/>
      <c r="JHE19" s="110"/>
      <c r="JHF19" s="110"/>
      <c r="JHG19" s="111"/>
      <c r="JHH19" s="112"/>
      <c r="JHI19" s="113"/>
      <c r="JHJ19" s="110"/>
      <c r="JHK19" s="114"/>
      <c r="JHL19" s="114"/>
      <c r="JHM19" s="110"/>
      <c r="JHN19" s="110"/>
      <c r="JHO19" s="110"/>
      <c r="JHP19" s="110"/>
      <c r="JHQ19" s="111"/>
      <c r="JHR19" s="112"/>
      <c r="JHS19" s="113"/>
      <c r="JHT19" s="110"/>
      <c r="JHU19" s="114"/>
      <c r="JHV19" s="114"/>
      <c r="JHW19" s="110"/>
      <c r="JHX19" s="110"/>
      <c r="JHY19" s="110"/>
      <c r="JHZ19" s="110"/>
      <c r="JIA19" s="111"/>
      <c r="JIB19" s="112"/>
      <c r="JIC19" s="113"/>
      <c r="JID19" s="110"/>
      <c r="JIE19" s="114"/>
      <c r="JIF19" s="114"/>
      <c r="JIG19" s="110"/>
      <c r="JIH19" s="110"/>
      <c r="JII19" s="110"/>
      <c r="JIJ19" s="110"/>
      <c r="JIK19" s="111"/>
      <c r="JIL19" s="112"/>
      <c r="JIM19" s="113"/>
      <c r="JIN19" s="110"/>
      <c r="JIO19" s="114"/>
      <c r="JIP19" s="114"/>
      <c r="JIQ19" s="110"/>
      <c r="JIR19" s="110"/>
      <c r="JIS19" s="110"/>
      <c r="JIT19" s="110"/>
      <c r="JIU19" s="111"/>
      <c r="JIV19" s="112"/>
      <c r="JIW19" s="113"/>
      <c r="JIX19" s="110"/>
      <c r="JIY19" s="114"/>
      <c r="JIZ19" s="114"/>
      <c r="JJA19" s="110"/>
      <c r="JJB19" s="110"/>
      <c r="JJC19" s="110"/>
      <c r="JJD19" s="110"/>
      <c r="JJE19" s="111"/>
      <c r="JJF19" s="112"/>
      <c r="JJG19" s="113"/>
      <c r="JJH19" s="110"/>
      <c r="JJI19" s="114"/>
      <c r="JJJ19" s="114"/>
      <c r="JJK19" s="110"/>
      <c r="JJL19" s="110"/>
      <c r="JJM19" s="110"/>
      <c r="JJN19" s="110"/>
      <c r="JJO19" s="111"/>
      <c r="JJP19" s="112"/>
      <c r="JJQ19" s="113"/>
      <c r="JJR19" s="110"/>
      <c r="JJS19" s="114"/>
      <c r="JJT19" s="114"/>
      <c r="JJU19" s="110"/>
      <c r="JJV19" s="110"/>
      <c r="JJW19" s="110"/>
      <c r="JJX19" s="110"/>
      <c r="JJY19" s="111"/>
      <c r="JJZ19" s="112"/>
      <c r="JKA19" s="113"/>
      <c r="JKB19" s="110"/>
      <c r="JKC19" s="114"/>
      <c r="JKD19" s="114"/>
      <c r="JKE19" s="110"/>
      <c r="JKF19" s="110"/>
      <c r="JKG19" s="110"/>
      <c r="JKH19" s="110"/>
      <c r="JKI19" s="111"/>
      <c r="JKJ19" s="112"/>
      <c r="JKK19" s="113"/>
      <c r="JKL19" s="110"/>
      <c r="JKM19" s="114"/>
      <c r="JKN19" s="114"/>
      <c r="JKO19" s="110"/>
      <c r="JKP19" s="110"/>
      <c r="JKQ19" s="110"/>
      <c r="JKR19" s="110"/>
      <c r="JKS19" s="111"/>
      <c r="JKT19" s="112"/>
      <c r="JKU19" s="113"/>
      <c r="JKV19" s="110"/>
      <c r="JKW19" s="114"/>
      <c r="JKX19" s="114"/>
      <c r="JKY19" s="110"/>
      <c r="JKZ19" s="110"/>
      <c r="JLA19" s="110"/>
      <c r="JLB19" s="110"/>
      <c r="JLC19" s="111"/>
      <c r="JLD19" s="112"/>
      <c r="JLE19" s="113"/>
      <c r="JLF19" s="110"/>
      <c r="JLG19" s="114"/>
      <c r="JLH19" s="114"/>
      <c r="JLI19" s="110"/>
      <c r="JLJ19" s="110"/>
      <c r="JLK19" s="110"/>
      <c r="JLL19" s="110"/>
      <c r="JLM19" s="111"/>
      <c r="JLN19" s="112"/>
      <c r="JLO19" s="113"/>
      <c r="JLP19" s="110"/>
      <c r="JLQ19" s="114"/>
      <c r="JLR19" s="114"/>
      <c r="JLS19" s="110"/>
      <c r="JLT19" s="110"/>
      <c r="JLU19" s="110"/>
      <c r="JLV19" s="110"/>
      <c r="JLW19" s="111"/>
      <c r="JLX19" s="112"/>
      <c r="JLY19" s="113"/>
      <c r="JLZ19" s="110"/>
      <c r="JMA19" s="114"/>
      <c r="JMB19" s="114"/>
      <c r="JMC19" s="110"/>
      <c r="JMD19" s="110"/>
      <c r="JME19" s="110"/>
      <c r="JMF19" s="110"/>
      <c r="JMG19" s="111"/>
      <c r="JMH19" s="112"/>
      <c r="JMI19" s="113"/>
      <c r="JMJ19" s="110"/>
      <c r="JMK19" s="114"/>
      <c r="JML19" s="114"/>
      <c r="JMM19" s="110"/>
      <c r="JMN19" s="110"/>
      <c r="JMO19" s="110"/>
      <c r="JMP19" s="110"/>
      <c r="JMQ19" s="111"/>
      <c r="JMR19" s="112"/>
      <c r="JMS19" s="113"/>
      <c r="JMT19" s="110"/>
      <c r="JMU19" s="114"/>
      <c r="JMV19" s="114"/>
      <c r="JMW19" s="110"/>
      <c r="JMX19" s="110"/>
      <c r="JMY19" s="110"/>
      <c r="JMZ19" s="110"/>
      <c r="JNA19" s="111"/>
      <c r="JNB19" s="112"/>
      <c r="JNC19" s="113"/>
      <c r="JND19" s="110"/>
      <c r="JNE19" s="114"/>
      <c r="JNF19" s="114"/>
      <c r="JNG19" s="110"/>
      <c r="JNH19" s="110"/>
      <c r="JNI19" s="110"/>
      <c r="JNJ19" s="110"/>
      <c r="JNK19" s="111"/>
      <c r="JNL19" s="112"/>
      <c r="JNM19" s="113"/>
      <c r="JNN19" s="110"/>
      <c r="JNO19" s="114"/>
      <c r="JNP19" s="114"/>
      <c r="JNQ19" s="110"/>
      <c r="JNR19" s="110"/>
      <c r="JNS19" s="110"/>
      <c r="JNT19" s="110"/>
      <c r="JNU19" s="111"/>
      <c r="JNV19" s="112"/>
      <c r="JNW19" s="113"/>
      <c r="JNX19" s="110"/>
      <c r="JNY19" s="114"/>
      <c r="JNZ19" s="114"/>
      <c r="JOA19" s="110"/>
      <c r="JOB19" s="110"/>
      <c r="JOC19" s="110"/>
      <c r="JOD19" s="110"/>
      <c r="JOE19" s="111"/>
      <c r="JOF19" s="112"/>
      <c r="JOG19" s="113"/>
      <c r="JOH19" s="110"/>
      <c r="JOI19" s="114"/>
      <c r="JOJ19" s="114"/>
      <c r="JOK19" s="110"/>
      <c r="JOL19" s="110"/>
      <c r="JOM19" s="110"/>
      <c r="JON19" s="110"/>
      <c r="JOO19" s="111"/>
      <c r="JOP19" s="112"/>
      <c r="JOQ19" s="113"/>
      <c r="JOR19" s="110"/>
      <c r="JOS19" s="114"/>
      <c r="JOT19" s="114"/>
      <c r="JOU19" s="110"/>
      <c r="JOV19" s="110"/>
      <c r="JOW19" s="110"/>
      <c r="JOX19" s="110"/>
      <c r="JOY19" s="111"/>
      <c r="JOZ19" s="112"/>
      <c r="JPA19" s="113"/>
      <c r="JPB19" s="110"/>
      <c r="JPC19" s="114"/>
      <c r="JPD19" s="114"/>
      <c r="JPE19" s="110"/>
      <c r="JPF19" s="110"/>
      <c r="JPG19" s="110"/>
      <c r="JPH19" s="110"/>
      <c r="JPI19" s="111"/>
      <c r="JPJ19" s="112"/>
      <c r="JPK19" s="113"/>
      <c r="JPL19" s="110"/>
      <c r="JPM19" s="114"/>
      <c r="JPN19" s="114"/>
      <c r="JPO19" s="110"/>
      <c r="JPP19" s="110"/>
      <c r="JPQ19" s="110"/>
      <c r="JPR19" s="110"/>
      <c r="JPS19" s="111"/>
      <c r="JPT19" s="112"/>
      <c r="JPU19" s="113"/>
      <c r="JPV19" s="110"/>
      <c r="JPW19" s="114"/>
      <c r="JPX19" s="114"/>
      <c r="JPY19" s="110"/>
      <c r="JPZ19" s="110"/>
      <c r="JQA19" s="110"/>
      <c r="JQB19" s="110"/>
      <c r="JQC19" s="111"/>
      <c r="JQD19" s="112"/>
      <c r="JQE19" s="113"/>
      <c r="JQF19" s="110"/>
      <c r="JQG19" s="114"/>
      <c r="JQH19" s="114"/>
      <c r="JQI19" s="110"/>
      <c r="JQJ19" s="110"/>
      <c r="JQK19" s="110"/>
      <c r="JQL19" s="110"/>
      <c r="JQM19" s="111"/>
      <c r="JQN19" s="112"/>
      <c r="JQO19" s="113"/>
      <c r="JQP19" s="110"/>
      <c r="JQQ19" s="114"/>
      <c r="JQR19" s="114"/>
      <c r="JQS19" s="110"/>
      <c r="JQT19" s="110"/>
      <c r="JQU19" s="110"/>
      <c r="JQV19" s="110"/>
      <c r="JQW19" s="111"/>
      <c r="JQX19" s="112"/>
      <c r="JQY19" s="113"/>
      <c r="JQZ19" s="110"/>
      <c r="JRA19" s="114"/>
      <c r="JRB19" s="114"/>
      <c r="JRC19" s="110"/>
      <c r="JRD19" s="110"/>
      <c r="JRE19" s="110"/>
      <c r="JRF19" s="110"/>
      <c r="JRG19" s="111"/>
      <c r="JRH19" s="112"/>
      <c r="JRI19" s="113"/>
      <c r="JRJ19" s="110"/>
      <c r="JRK19" s="114"/>
      <c r="JRL19" s="114"/>
      <c r="JRM19" s="110"/>
      <c r="JRN19" s="110"/>
      <c r="JRO19" s="110"/>
      <c r="JRP19" s="110"/>
      <c r="JRQ19" s="111"/>
      <c r="JRR19" s="112"/>
      <c r="JRS19" s="113"/>
      <c r="JRT19" s="110"/>
      <c r="JRU19" s="114"/>
      <c r="JRV19" s="114"/>
      <c r="JRW19" s="110"/>
      <c r="JRX19" s="110"/>
      <c r="JRY19" s="110"/>
      <c r="JRZ19" s="110"/>
      <c r="JSA19" s="111"/>
      <c r="JSB19" s="112"/>
      <c r="JSC19" s="113"/>
      <c r="JSD19" s="110"/>
      <c r="JSE19" s="114"/>
      <c r="JSF19" s="114"/>
      <c r="JSG19" s="110"/>
      <c r="JSH19" s="110"/>
      <c r="JSI19" s="110"/>
      <c r="JSJ19" s="110"/>
      <c r="JSK19" s="111"/>
      <c r="JSL19" s="112"/>
      <c r="JSM19" s="113"/>
      <c r="JSN19" s="110"/>
      <c r="JSO19" s="114"/>
      <c r="JSP19" s="114"/>
      <c r="JSQ19" s="110"/>
      <c r="JSR19" s="110"/>
      <c r="JSS19" s="110"/>
      <c r="JST19" s="110"/>
      <c r="JSU19" s="111"/>
      <c r="JSV19" s="112"/>
      <c r="JSW19" s="113"/>
      <c r="JSX19" s="110"/>
      <c r="JSY19" s="114"/>
      <c r="JSZ19" s="114"/>
      <c r="JTA19" s="110"/>
      <c r="JTB19" s="110"/>
      <c r="JTC19" s="110"/>
      <c r="JTD19" s="110"/>
      <c r="JTE19" s="111"/>
      <c r="JTF19" s="112"/>
      <c r="JTG19" s="113"/>
      <c r="JTH19" s="110"/>
      <c r="JTI19" s="114"/>
      <c r="JTJ19" s="114"/>
      <c r="JTK19" s="110"/>
      <c r="JTL19" s="110"/>
      <c r="JTM19" s="110"/>
      <c r="JTN19" s="110"/>
      <c r="JTO19" s="111"/>
      <c r="JTP19" s="112"/>
      <c r="JTQ19" s="113"/>
      <c r="JTR19" s="110"/>
      <c r="JTS19" s="114"/>
      <c r="JTT19" s="114"/>
      <c r="JTU19" s="110"/>
      <c r="JTV19" s="110"/>
      <c r="JTW19" s="110"/>
      <c r="JTX19" s="110"/>
      <c r="JTY19" s="111"/>
      <c r="JTZ19" s="112"/>
      <c r="JUA19" s="113"/>
      <c r="JUB19" s="110"/>
      <c r="JUC19" s="114"/>
      <c r="JUD19" s="114"/>
      <c r="JUE19" s="110"/>
      <c r="JUF19" s="110"/>
      <c r="JUG19" s="110"/>
      <c r="JUH19" s="110"/>
      <c r="JUI19" s="111"/>
      <c r="JUJ19" s="112"/>
      <c r="JUK19" s="113"/>
      <c r="JUL19" s="110"/>
      <c r="JUM19" s="114"/>
      <c r="JUN19" s="114"/>
      <c r="JUO19" s="110"/>
      <c r="JUP19" s="110"/>
      <c r="JUQ19" s="110"/>
      <c r="JUR19" s="110"/>
      <c r="JUS19" s="111"/>
      <c r="JUT19" s="112"/>
      <c r="JUU19" s="113"/>
      <c r="JUV19" s="110"/>
      <c r="JUW19" s="114"/>
      <c r="JUX19" s="114"/>
      <c r="JUY19" s="110"/>
      <c r="JUZ19" s="110"/>
      <c r="JVA19" s="110"/>
      <c r="JVB19" s="110"/>
      <c r="JVC19" s="111"/>
      <c r="JVD19" s="112"/>
      <c r="JVE19" s="113"/>
      <c r="JVF19" s="110"/>
      <c r="JVG19" s="114"/>
      <c r="JVH19" s="114"/>
      <c r="JVI19" s="110"/>
      <c r="JVJ19" s="110"/>
      <c r="JVK19" s="110"/>
      <c r="JVL19" s="110"/>
      <c r="JVM19" s="111"/>
      <c r="JVN19" s="112"/>
      <c r="JVO19" s="113"/>
      <c r="JVP19" s="110"/>
      <c r="JVQ19" s="114"/>
      <c r="JVR19" s="114"/>
      <c r="JVS19" s="110"/>
      <c r="JVT19" s="110"/>
      <c r="JVU19" s="110"/>
      <c r="JVV19" s="110"/>
      <c r="JVW19" s="111"/>
      <c r="JVX19" s="112"/>
      <c r="JVY19" s="113"/>
      <c r="JVZ19" s="110"/>
      <c r="JWA19" s="114"/>
      <c r="JWB19" s="114"/>
      <c r="JWC19" s="110"/>
      <c r="JWD19" s="110"/>
      <c r="JWE19" s="110"/>
      <c r="JWF19" s="110"/>
      <c r="JWG19" s="111"/>
      <c r="JWH19" s="112"/>
      <c r="JWI19" s="113"/>
      <c r="JWJ19" s="110"/>
      <c r="JWK19" s="114"/>
      <c r="JWL19" s="114"/>
      <c r="JWM19" s="110"/>
      <c r="JWN19" s="110"/>
      <c r="JWO19" s="110"/>
      <c r="JWP19" s="110"/>
      <c r="JWQ19" s="111"/>
      <c r="JWR19" s="112"/>
      <c r="JWS19" s="113"/>
      <c r="JWT19" s="110"/>
      <c r="JWU19" s="114"/>
      <c r="JWV19" s="114"/>
      <c r="JWW19" s="110"/>
      <c r="JWX19" s="110"/>
      <c r="JWY19" s="110"/>
      <c r="JWZ19" s="110"/>
      <c r="JXA19" s="111"/>
      <c r="JXB19" s="112"/>
      <c r="JXC19" s="113"/>
      <c r="JXD19" s="110"/>
      <c r="JXE19" s="114"/>
      <c r="JXF19" s="114"/>
      <c r="JXG19" s="110"/>
      <c r="JXH19" s="110"/>
      <c r="JXI19" s="110"/>
      <c r="JXJ19" s="110"/>
      <c r="JXK19" s="111"/>
      <c r="JXL19" s="112"/>
      <c r="JXM19" s="113"/>
      <c r="JXN19" s="110"/>
      <c r="JXO19" s="114"/>
      <c r="JXP19" s="114"/>
      <c r="JXQ19" s="110"/>
      <c r="JXR19" s="110"/>
      <c r="JXS19" s="110"/>
      <c r="JXT19" s="110"/>
      <c r="JXU19" s="111"/>
      <c r="JXV19" s="112"/>
      <c r="JXW19" s="113"/>
      <c r="JXX19" s="110"/>
      <c r="JXY19" s="114"/>
      <c r="JXZ19" s="114"/>
      <c r="JYA19" s="110"/>
      <c r="JYB19" s="110"/>
      <c r="JYC19" s="110"/>
      <c r="JYD19" s="110"/>
      <c r="JYE19" s="111"/>
      <c r="JYF19" s="112"/>
      <c r="JYG19" s="113"/>
      <c r="JYH19" s="110"/>
      <c r="JYI19" s="114"/>
      <c r="JYJ19" s="114"/>
      <c r="JYK19" s="110"/>
      <c r="JYL19" s="110"/>
      <c r="JYM19" s="110"/>
      <c r="JYN19" s="110"/>
      <c r="JYO19" s="111"/>
      <c r="JYP19" s="112"/>
      <c r="JYQ19" s="113"/>
      <c r="JYR19" s="110"/>
      <c r="JYS19" s="114"/>
      <c r="JYT19" s="114"/>
      <c r="JYU19" s="110"/>
      <c r="JYV19" s="110"/>
      <c r="JYW19" s="110"/>
      <c r="JYX19" s="110"/>
      <c r="JYY19" s="111"/>
      <c r="JYZ19" s="112"/>
      <c r="JZA19" s="113"/>
      <c r="JZB19" s="110"/>
      <c r="JZC19" s="114"/>
      <c r="JZD19" s="114"/>
      <c r="JZE19" s="110"/>
      <c r="JZF19" s="110"/>
      <c r="JZG19" s="110"/>
      <c r="JZH19" s="110"/>
      <c r="JZI19" s="111"/>
      <c r="JZJ19" s="112"/>
      <c r="JZK19" s="113"/>
      <c r="JZL19" s="110"/>
      <c r="JZM19" s="114"/>
      <c r="JZN19" s="114"/>
      <c r="JZO19" s="110"/>
      <c r="JZP19" s="110"/>
      <c r="JZQ19" s="110"/>
      <c r="JZR19" s="110"/>
      <c r="JZS19" s="111"/>
      <c r="JZT19" s="112"/>
      <c r="JZU19" s="113"/>
      <c r="JZV19" s="110"/>
      <c r="JZW19" s="114"/>
      <c r="JZX19" s="114"/>
      <c r="JZY19" s="110"/>
      <c r="JZZ19" s="110"/>
      <c r="KAA19" s="110"/>
      <c r="KAB19" s="110"/>
      <c r="KAC19" s="111"/>
      <c r="KAD19" s="112"/>
      <c r="KAE19" s="113"/>
      <c r="KAF19" s="110"/>
      <c r="KAG19" s="114"/>
      <c r="KAH19" s="114"/>
      <c r="KAI19" s="110"/>
      <c r="KAJ19" s="110"/>
      <c r="KAK19" s="110"/>
      <c r="KAL19" s="110"/>
      <c r="KAM19" s="111"/>
      <c r="KAN19" s="112"/>
      <c r="KAO19" s="113"/>
      <c r="KAP19" s="110"/>
      <c r="KAQ19" s="114"/>
      <c r="KAR19" s="114"/>
      <c r="KAS19" s="110"/>
      <c r="KAT19" s="110"/>
      <c r="KAU19" s="110"/>
      <c r="KAV19" s="110"/>
      <c r="KAW19" s="111"/>
      <c r="KAX19" s="112"/>
      <c r="KAY19" s="113"/>
      <c r="KAZ19" s="110"/>
      <c r="KBA19" s="114"/>
      <c r="KBB19" s="114"/>
      <c r="KBC19" s="110"/>
      <c r="KBD19" s="110"/>
      <c r="KBE19" s="110"/>
      <c r="KBF19" s="110"/>
      <c r="KBG19" s="111"/>
      <c r="KBH19" s="112"/>
      <c r="KBI19" s="113"/>
      <c r="KBJ19" s="110"/>
      <c r="KBK19" s="114"/>
      <c r="KBL19" s="114"/>
      <c r="KBM19" s="110"/>
      <c r="KBN19" s="110"/>
      <c r="KBO19" s="110"/>
      <c r="KBP19" s="110"/>
      <c r="KBQ19" s="111"/>
      <c r="KBR19" s="112"/>
      <c r="KBS19" s="113"/>
      <c r="KBT19" s="110"/>
      <c r="KBU19" s="114"/>
      <c r="KBV19" s="114"/>
      <c r="KBW19" s="110"/>
      <c r="KBX19" s="110"/>
      <c r="KBY19" s="110"/>
      <c r="KBZ19" s="110"/>
      <c r="KCA19" s="111"/>
      <c r="KCB19" s="112"/>
      <c r="KCC19" s="113"/>
      <c r="KCD19" s="110"/>
      <c r="KCE19" s="114"/>
      <c r="KCF19" s="114"/>
      <c r="KCG19" s="110"/>
      <c r="KCH19" s="110"/>
      <c r="KCI19" s="110"/>
      <c r="KCJ19" s="110"/>
      <c r="KCK19" s="111"/>
      <c r="KCL19" s="112"/>
      <c r="KCM19" s="113"/>
      <c r="KCN19" s="110"/>
      <c r="KCO19" s="114"/>
      <c r="KCP19" s="114"/>
      <c r="KCQ19" s="110"/>
      <c r="KCR19" s="110"/>
      <c r="KCS19" s="110"/>
      <c r="KCT19" s="110"/>
      <c r="KCU19" s="111"/>
      <c r="KCV19" s="112"/>
      <c r="KCW19" s="113"/>
      <c r="KCX19" s="110"/>
      <c r="KCY19" s="114"/>
      <c r="KCZ19" s="114"/>
      <c r="KDA19" s="110"/>
      <c r="KDB19" s="110"/>
      <c r="KDC19" s="110"/>
      <c r="KDD19" s="110"/>
      <c r="KDE19" s="111"/>
      <c r="KDF19" s="112"/>
      <c r="KDG19" s="113"/>
      <c r="KDH19" s="110"/>
      <c r="KDI19" s="114"/>
      <c r="KDJ19" s="114"/>
      <c r="KDK19" s="110"/>
      <c r="KDL19" s="110"/>
      <c r="KDM19" s="110"/>
      <c r="KDN19" s="110"/>
      <c r="KDO19" s="111"/>
      <c r="KDP19" s="112"/>
      <c r="KDQ19" s="113"/>
      <c r="KDR19" s="110"/>
      <c r="KDS19" s="114"/>
      <c r="KDT19" s="114"/>
      <c r="KDU19" s="110"/>
      <c r="KDV19" s="110"/>
      <c r="KDW19" s="110"/>
      <c r="KDX19" s="110"/>
      <c r="KDY19" s="111"/>
      <c r="KDZ19" s="112"/>
      <c r="KEA19" s="113"/>
      <c r="KEB19" s="110"/>
      <c r="KEC19" s="114"/>
      <c r="KED19" s="114"/>
      <c r="KEE19" s="110"/>
      <c r="KEF19" s="110"/>
      <c r="KEG19" s="110"/>
      <c r="KEH19" s="110"/>
      <c r="KEI19" s="111"/>
      <c r="KEJ19" s="112"/>
      <c r="KEK19" s="113"/>
      <c r="KEL19" s="110"/>
      <c r="KEM19" s="114"/>
      <c r="KEN19" s="114"/>
      <c r="KEO19" s="110"/>
      <c r="KEP19" s="110"/>
      <c r="KEQ19" s="110"/>
      <c r="KER19" s="110"/>
      <c r="KES19" s="111"/>
      <c r="KET19" s="112"/>
      <c r="KEU19" s="113"/>
      <c r="KEV19" s="110"/>
      <c r="KEW19" s="114"/>
      <c r="KEX19" s="114"/>
      <c r="KEY19" s="110"/>
      <c r="KEZ19" s="110"/>
      <c r="KFA19" s="110"/>
      <c r="KFB19" s="110"/>
      <c r="KFC19" s="111"/>
      <c r="KFD19" s="112"/>
      <c r="KFE19" s="113"/>
      <c r="KFF19" s="110"/>
      <c r="KFG19" s="114"/>
      <c r="KFH19" s="114"/>
      <c r="KFI19" s="110"/>
      <c r="KFJ19" s="110"/>
      <c r="KFK19" s="110"/>
      <c r="KFL19" s="110"/>
      <c r="KFM19" s="111"/>
      <c r="KFN19" s="112"/>
      <c r="KFO19" s="113"/>
      <c r="KFP19" s="110"/>
      <c r="KFQ19" s="114"/>
      <c r="KFR19" s="114"/>
      <c r="KFS19" s="110"/>
      <c r="KFT19" s="110"/>
      <c r="KFU19" s="110"/>
      <c r="KFV19" s="110"/>
      <c r="KFW19" s="111"/>
      <c r="KFX19" s="112"/>
      <c r="KFY19" s="113"/>
      <c r="KFZ19" s="110"/>
      <c r="KGA19" s="114"/>
      <c r="KGB19" s="114"/>
      <c r="KGC19" s="110"/>
      <c r="KGD19" s="110"/>
      <c r="KGE19" s="110"/>
      <c r="KGF19" s="110"/>
      <c r="KGG19" s="111"/>
      <c r="KGH19" s="112"/>
      <c r="KGI19" s="113"/>
      <c r="KGJ19" s="110"/>
      <c r="KGK19" s="114"/>
      <c r="KGL19" s="114"/>
      <c r="KGM19" s="110"/>
      <c r="KGN19" s="110"/>
      <c r="KGO19" s="110"/>
      <c r="KGP19" s="110"/>
      <c r="KGQ19" s="111"/>
      <c r="KGR19" s="112"/>
      <c r="KGS19" s="113"/>
      <c r="KGT19" s="110"/>
      <c r="KGU19" s="114"/>
      <c r="KGV19" s="114"/>
      <c r="KGW19" s="110"/>
      <c r="KGX19" s="110"/>
      <c r="KGY19" s="110"/>
      <c r="KGZ19" s="110"/>
      <c r="KHA19" s="111"/>
      <c r="KHB19" s="112"/>
      <c r="KHC19" s="113"/>
      <c r="KHD19" s="110"/>
      <c r="KHE19" s="114"/>
      <c r="KHF19" s="114"/>
      <c r="KHG19" s="110"/>
      <c r="KHH19" s="110"/>
      <c r="KHI19" s="110"/>
      <c r="KHJ19" s="110"/>
      <c r="KHK19" s="111"/>
      <c r="KHL19" s="112"/>
      <c r="KHM19" s="113"/>
      <c r="KHN19" s="110"/>
      <c r="KHO19" s="114"/>
      <c r="KHP19" s="114"/>
      <c r="KHQ19" s="110"/>
      <c r="KHR19" s="110"/>
      <c r="KHS19" s="110"/>
      <c r="KHT19" s="110"/>
      <c r="KHU19" s="111"/>
      <c r="KHV19" s="112"/>
      <c r="KHW19" s="113"/>
      <c r="KHX19" s="110"/>
      <c r="KHY19" s="114"/>
      <c r="KHZ19" s="114"/>
      <c r="KIA19" s="110"/>
      <c r="KIB19" s="110"/>
      <c r="KIC19" s="110"/>
      <c r="KID19" s="110"/>
      <c r="KIE19" s="111"/>
      <c r="KIF19" s="112"/>
      <c r="KIG19" s="113"/>
      <c r="KIH19" s="110"/>
      <c r="KII19" s="114"/>
      <c r="KIJ19" s="114"/>
      <c r="KIK19" s="110"/>
      <c r="KIL19" s="110"/>
      <c r="KIM19" s="110"/>
      <c r="KIN19" s="110"/>
      <c r="KIO19" s="111"/>
      <c r="KIP19" s="112"/>
      <c r="KIQ19" s="113"/>
      <c r="KIR19" s="110"/>
      <c r="KIS19" s="114"/>
      <c r="KIT19" s="114"/>
      <c r="KIU19" s="110"/>
      <c r="KIV19" s="110"/>
      <c r="KIW19" s="110"/>
      <c r="KIX19" s="110"/>
      <c r="KIY19" s="111"/>
      <c r="KIZ19" s="112"/>
      <c r="KJA19" s="113"/>
      <c r="KJB19" s="110"/>
      <c r="KJC19" s="114"/>
      <c r="KJD19" s="114"/>
      <c r="KJE19" s="110"/>
      <c r="KJF19" s="110"/>
      <c r="KJG19" s="110"/>
      <c r="KJH19" s="110"/>
      <c r="KJI19" s="111"/>
      <c r="KJJ19" s="112"/>
      <c r="KJK19" s="113"/>
      <c r="KJL19" s="110"/>
      <c r="KJM19" s="114"/>
      <c r="KJN19" s="114"/>
      <c r="KJO19" s="110"/>
      <c r="KJP19" s="110"/>
      <c r="KJQ19" s="110"/>
      <c r="KJR19" s="110"/>
      <c r="KJS19" s="111"/>
      <c r="KJT19" s="112"/>
      <c r="KJU19" s="113"/>
      <c r="KJV19" s="110"/>
      <c r="KJW19" s="114"/>
      <c r="KJX19" s="114"/>
      <c r="KJY19" s="110"/>
      <c r="KJZ19" s="110"/>
      <c r="KKA19" s="110"/>
      <c r="KKB19" s="110"/>
      <c r="KKC19" s="111"/>
      <c r="KKD19" s="112"/>
      <c r="KKE19" s="113"/>
      <c r="KKF19" s="110"/>
      <c r="KKG19" s="114"/>
      <c r="KKH19" s="114"/>
      <c r="KKI19" s="110"/>
      <c r="KKJ19" s="110"/>
      <c r="KKK19" s="110"/>
      <c r="KKL19" s="110"/>
      <c r="KKM19" s="111"/>
      <c r="KKN19" s="112"/>
      <c r="KKO19" s="113"/>
      <c r="KKP19" s="110"/>
      <c r="KKQ19" s="114"/>
      <c r="KKR19" s="114"/>
      <c r="KKS19" s="110"/>
      <c r="KKT19" s="110"/>
      <c r="KKU19" s="110"/>
      <c r="KKV19" s="110"/>
      <c r="KKW19" s="111"/>
      <c r="KKX19" s="112"/>
      <c r="KKY19" s="113"/>
      <c r="KKZ19" s="110"/>
      <c r="KLA19" s="114"/>
      <c r="KLB19" s="114"/>
      <c r="KLC19" s="110"/>
      <c r="KLD19" s="110"/>
      <c r="KLE19" s="110"/>
      <c r="KLF19" s="110"/>
      <c r="KLG19" s="111"/>
      <c r="KLH19" s="112"/>
      <c r="KLI19" s="113"/>
      <c r="KLJ19" s="110"/>
      <c r="KLK19" s="114"/>
      <c r="KLL19" s="114"/>
      <c r="KLM19" s="110"/>
      <c r="KLN19" s="110"/>
      <c r="KLO19" s="110"/>
      <c r="KLP19" s="110"/>
      <c r="KLQ19" s="111"/>
      <c r="KLR19" s="112"/>
      <c r="KLS19" s="113"/>
      <c r="KLT19" s="110"/>
      <c r="KLU19" s="114"/>
      <c r="KLV19" s="114"/>
      <c r="KLW19" s="110"/>
      <c r="KLX19" s="110"/>
      <c r="KLY19" s="110"/>
      <c r="KLZ19" s="110"/>
      <c r="KMA19" s="111"/>
      <c r="KMB19" s="112"/>
      <c r="KMC19" s="113"/>
      <c r="KMD19" s="110"/>
      <c r="KME19" s="114"/>
      <c r="KMF19" s="114"/>
      <c r="KMG19" s="110"/>
      <c r="KMH19" s="110"/>
      <c r="KMI19" s="110"/>
      <c r="KMJ19" s="110"/>
      <c r="KMK19" s="111"/>
      <c r="KML19" s="112"/>
      <c r="KMM19" s="113"/>
      <c r="KMN19" s="110"/>
      <c r="KMO19" s="114"/>
      <c r="KMP19" s="114"/>
      <c r="KMQ19" s="110"/>
      <c r="KMR19" s="110"/>
      <c r="KMS19" s="110"/>
      <c r="KMT19" s="110"/>
      <c r="KMU19" s="111"/>
      <c r="KMV19" s="112"/>
      <c r="KMW19" s="113"/>
      <c r="KMX19" s="110"/>
      <c r="KMY19" s="114"/>
      <c r="KMZ19" s="114"/>
      <c r="KNA19" s="110"/>
      <c r="KNB19" s="110"/>
      <c r="KNC19" s="110"/>
      <c r="KND19" s="110"/>
      <c r="KNE19" s="111"/>
      <c r="KNF19" s="112"/>
      <c r="KNG19" s="113"/>
      <c r="KNH19" s="110"/>
      <c r="KNI19" s="114"/>
      <c r="KNJ19" s="114"/>
      <c r="KNK19" s="110"/>
      <c r="KNL19" s="110"/>
      <c r="KNM19" s="110"/>
      <c r="KNN19" s="110"/>
      <c r="KNO19" s="111"/>
      <c r="KNP19" s="112"/>
      <c r="KNQ19" s="113"/>
      <c r="KNR19" s="110"/>
      <c r="KNS19" s="114"/>
      <c r="KNT19" s="114"/>
      <c r="KNU19" s="110"/>
      <c r="KNV19" s="110"/>
      <c r="KNW19" s="110"/>
      <c r="KNX19" s="110"/>
      <c r="KNY19" s="111"/>
      <c r="KNZ19" s="112"/>
      <c r="KOA19" s="113"/>
      <c r="KOB19" s="110"/>
      <c r="KOC19" s="114"/>
      <c r="KOD19" s="114"/>
      <c r="KOE19" s="110"/>
      <c r="KOF19" s="110"/>
      <c r="KOG19" s="110"/>
      <c r="KOH19" s="110"/>
      <c r="KOI19" s="111"/>
      <c r="KOJ19" s="112"/>
      <c r="KOK19" s="113"/>
      <c r="KOL19" s="110"/>
      <c r="KOM19" s="114"/>
      <c r="KON19" s="114"/>
      <c r="KOO19" s="110"/>
      <c r="KOP19" s="110"/>
      <c r="KOQ19" s="110"/>
      <c r="KOR19" s="110"/>
      <c r="KOS19" s="111"/>
      <c r="KOT19" s="112"/>
      <c r="KOU19" s="113"/>
      <c r="KOV19" s="110"/>
      <c r="KOW19" s="114"/>
      <c r="KOX19" s="114"/>
      <c r="KOY19" s="110"/>
      <c r="KOZ19" s="110"/>
      <c r="KPA19" s="110"/>
      <c r="KPB19" s="110"/>
      <c r="KPC19" s="111"/>
      <c r="KPD19" s="112"/>
      <c r="KPE19" s="113"/>
      <c r="KPF19" s="110"/>
      <c r="KPG19" s="114"/>
      <c r="KPH19" s="114"/>
      <c r="KPI19" s="110"/>
      <c r="KPJ19" s="110"/>
      <c r="KPK19" s="110"/>
      <c r="KPL19" s="110"/>
      <c r="KPM19" s="111"/>
      <c r="KPN19" s="112"/>
      <c r="KPO19" s="113"/>
      <c r="KPP19" s="110"/>
      <c r="KPQ19" s="114"/>
      <c r="KPR19" s="114"/>
      <c r="KPS19" s="110"/>
      <c r="KPT19" s="110"/>
      <c r="KPU19" s="110"/>
      <c r="KPV19" s="110"/>
      <c r="KPW19" s="111"/>
      <c r="KPX19" s="112"/>
      <c r="KPY19" s="113"/>
      <c r="KPZ19" s="110"/>
      <c r="KQA19" s="114"/>
      <c r="KQB19" s="114"/>
      <c r="KQC19" s="110"/>
      <c r="KQD19" s="110"/>
      <c r="KQE19" s="110"/>
      <c r="KQF19" s="110"/>
      <c r="KQG19" s="111"/>
      <c r="KQH19" s="112"/>
      <c r="KQI19" s="113"/>
      <c r="KQJ19" s="110"/>
      <c r="KQK19" s="114"/>
      <c r="KQL19" s="114"/>
      <c r="KQM19" s="110"/>
      <c r="KQN19" s="110"/>
      <c r="KQO19" s="110"/>
      <c r="KQP19" s="110"/>
      <c r="KQQ19" s="111"/>
      <c r="KQR19" s="112"/>
      <c r="KQS19" s="113"/>
      <c r="KQT19" s="110"/>
      <c r="KQU19" s="114"/>
      <c r="KQV19" s="114"/>
      <c r="KQW19" s="110"/>
      <c r="KQX19" s="110"/>
      <c r="KQY19" s="110"/>
      <c r="KQZ19" s="110"/>
      <c r="KRA19" s="111"/>
      <c r="KRB19" s="112"/>
      <c r="KRC19" s="113"/>
      <c r="KRD19" s="110"/>
      <c r="KRE19" s="114"/>
      <c r="KRF19" s="114"/>
      <c r="KRG19" s="110"/>
      <c r="KRH19" s="110"/>
      <c r="KRI19" s="110"/>
      <c r="KRJ19" s="110"/>
      <c r="KRK19" s="111"/>
      <c r="KRL19" s="112"/>
      <c r="KRM19" s="113"/>
      <c r="KRN19" s="110"/>
      <c r="KRO19" s="114"/>
      <c r="KRP19" s="114"/>
      <c r="KRQ19" s="110"/>
      <c r="KRR19" s="110"/>
      <c r="KRS19" s="110"/>
      <c r="KRT19" s="110"/>
      <c r="KRU19" s="111"/>
      <c r="KRV19" s="112"/>
      <c r="KRW19" s="113"/>
      <c r="KRX19" s="110"/>
      <c r="KRY19" s="114"/>
      <c r="KRZ19" s="114"/>
      <c r="KSA19" s="110"/>
      <c r="KSB19" s="110"/>
      <c r="KSC19" s="110"/>
      <c r="KSD19" s="110"/>
      <c r="KSE19" s="111"/>
      <c r="KSF19" s="112"/>
      <c r="KSG19" s="113"/>
      <c r="KSH19" s="110"/>
      <c r="KSI19" s="114"/>
      <c r="KSJ19" s="114"/>
      <c r="KSK19" s="110"/>
      <c r="KSL19" s="110"/>
      <c r="KSM19" s="110"/>
      <c r="KSN19" s="110"/>
      <c r="KSO19" s="111"/>
      <c r="KSP19" s="112"/>
      <c r="KSQ19" s="113"/>
      <c r="KSR19" s="110"/>
      <c r="KSS19" s="114"/>
      <c r="KST19" s="114"/>
      <c r="KSU19" s="110"/>
      <c r="KSV19" s="110"/>
      <c r="KSW19" s="110"/>
      <c r="KSX19" s="110"/>
      <c r="KSY19" s="111"/>
      <c r="KSZ19" s="112"/>
      <c r="KTA19" s="113"/>
      <c r="KTB19" s="110"/>
      <c r="KTC19" s="114"/>
      <c r="KTD19" s="114"/>
      <c r="KTE19" s="110"/>
      <c r="KTF19" s="110"/>
      <c r="KTG19" s="110"/>
      <c r="KTH19" s="110"/>
      <c r="KTI19" s="111"/>
      <c r="KTJ19" s="112"/>
      <c r="KTK19" s="113"/>
      <c r="KTL19" s="110"/>
      <c r="KTM19" s="114"/>
      <c r="KTN19" s="114"/>
      <c r="KTO19" s="110"/>
      <c r="KTP19" s="110"/>
      <c r="KTQ19" s="110"/>
      <c r="KTR19" s="110"/>
      <c r="KTS19" s="111"/>
      <c r="KTT19" s="112"/>
      <c r="KTU19" s="113"/>
      <c r="KTV19" s="110"/>
      <c r="KTW19" s="114"/>
      <c r="KTX19" s="114"/>
      <c r="KTY19" s="110"/>
      <c r="KTZ19" s="110"/>
      <c r="KUA19" s="110"/>
      <c r="KUB19" s="110"/>
      <c r="KUC19" s="111"/>
      <c r="KUD19" s="112"/>
      <c r="KUE19" s="113"/>
      <c r="KUF19" s="110"/>
      <c r="KUG19" s="114"/>
      <c r="KUH19" s="114"/>
      <c r="KUI19" s="110"/>
      <c r="KUJ19" s="110"/>
      <c r="KUK19" s="110"/>
      <c r="KUL19" s="110"/>
      <c r="KUM19" s="111"/>
      <c r="KUN19" s="112"/>
      <c r="KUO19" s="113"/>
      <c r="KUP19" s="110"/>
      <c r="KUQ19" s="114"/>
      <c r="KUR19" s="114"/>
      <c r="KUS19" s="110"/>
      <c r="KUT19" s="110"/>
      <c r="KUU19" s="110"/>
      <c r="KUV19" s="110"/>
      <c r="KUW19" s="111"/>
      <c r="KUX19" s="112"/>
      <c r="KUY19" s="113"/>
      <c r="KUZ19" s="110"/>
      <c r="KVA19" s="114"/>
      <c r="KVB19" s="114"/>
      <c r="KVC19" s="110"/>
      <c r="KVD19" s="110"/>
      <c r="KVE19" s="110"/>
      <c r="KVF19" s="110"/>
      <c r="KVG19" s="111"/>
      <c r="KVH19" s="112"/>
      <c r="KVI19" s="113"/>
      <c r="KVJ19" s="110"/>
      <c r="KVK19" s="114"/>
      <c r="KVL19" s="114"/>
      <c r="KVM19" s="110"/>
      <c r="KVN19" s="110"/>
      <c r="KVO19" s="110"/>
      <c r="KVP19" s="110"/>
      <c r="KVQ19" s="111"/>
      <c r="KVR19" s="112"/>
      <c r="KVS19" s="113"/>
      <c r="KVT19" s="110"/>
      <c r="KVU19" s="114"/>
      <c r="KVV19" s="114"/>
      <c r="KVW19" s="110"/>
      <c r="KVX19" s="110"/>
      <c r="KVY19" s="110"/>
      <c r="KVZ19" s="110"/>
      <c r="KWA19" s="111"/>
      <c r="KWB19" s="112"/>
      <c r="KWC19" s="113"/>
      <c r="KWD19" s="110"/>
      <c r="KWE19" s="114"/>
      <c r="KWF19" s="114"/>
      <c r="KWG19" s="110"/>
      <c r="KWH19" s="110"/>
      <c r="KWI19" s="110"/>
      <c r="KWJ19" s="110"/>
      <c r="KWK19" s="111"/>
      <c r="KWL19" s="112"/>
      <c r="KWM19" s="113"/>
      <c r="KWN19" s="110"/>
      <c r="KWO19" s="114"/>
      <c r="KWP19" s="114"/>
      <c r="KWQ19" s="110"/>
      <c r="KWR19" s="110"/>
      <c r="KWS19" s="110"/>
      <c r="KWT19" s="110"/>
      <c r="KWU19" s="111"/>
      <c r="KWV19" s="112"/>
      <c r="KWW19" s="113"/>
      <c r="KWX19" s="110"/>
      <c r="KWY19" s="114"/>
      <c r="KWZ19" s="114"/>
      <c r="KXA19" s="110"/>
      <c r="KXB19" s="110"/>
      <c r="KXC19" s="110"/>
      <c r="KXD19" s="110"/>
      <c r="KXE19" s="111"/>
      <c r="KXF19" s="112"/>
      <c r="KXG19" s="113"/>
      <c r="KXH19" s="110"/>
      <c r="KXI19" s="114"/>
      <c r="KXJ19" s="114"/>
      <c r="KXK19" s="110"/>
      <c r="KXL19" s="110"/>
      <c r="KXM19" s="110"/>
      <c r="KXN19" s="110"/>
      <c r="KXO19" s="111"/>
      <c r="KXP19" s="112"/>
      <c r="KXQ19" s="113"/>
      <c r="KXR19" s="110"/>
      <c r="KXS19" s="114"/>
      <c r="KXT19" s="114"/>
      <c r="KXU19" s="110"/>
      <c r="KXV19" s="110"/>
      <c r="KXW19" s="110"/>
      <c r="KXX19" s="110"/>
      <c r="KXY19" s="111"/>
      <c r="KXZ19" s="112"/>
      <c r="KYA19" s="113"/>
      <c r="KYB19" s="110"/>
      <c r="KYC19" s="114"/>
      <c r="KYD19" s="114"/>
      <c r="KYE19" s="110"/>
      <c r="KYF19" s="110"/>
      <c r="KYG19" s="110"/>
      <c r="KYH19" s="110"/>
      <c r="KYI19" s="111"/>
      <c r="KYJ19" s="112"/>
      <c r="KYK19" s="113"/>
      <c r="KYL19" s="110"/>
      <c r="KYM19" s="114"/>
      <c r="KYN19" s="114"/>
      <c r="KYO19" s="110"/>
      <c r="KYP19" s="110"/>
      <c r="KYQ19" s="110"/>
      <c r="KYR19" s="110"/>
      <c r="KYS19" s="111"/>
      <c r="KYT19" s="112"/>
      <c r="KYU19" s="113"/>
      <c r="KYV19" s="110"/>
      <c r="KYW19" s="114"/>
      <c r="KYX19" s="114"/>
      <c r="KYY19" s="110"/>
      <c r="KYZ19" s="110"/>
      <c r="KZA19" s="110"/>
      <c r="KZB19" s="110"/>
      <c r="KZC19" s="111"/>
      <c r="KZD19" s="112"/>
      <c r="KZE19" s="113"/>
      <c r="KZF19" s="110"/>
      <c r="KZG19" s="114"/>
      <c r="KZH19" s="114"/>
      <c r="KZI19" s="110"/>
      <c r="KZJ19" s="110"/>
      <c r="KZK19" s="110"/>
      <c r="KZL19" s="110"/>
      <c r="KZM19" s="111"/>
      <c r="KZN19" s="112"/>
      <c r="KZO19" s="113"/>
      <c r="KZP19" s="110"/>
      <c r="KZQ19" s="114"/>
      <c r="KZR19" s="114"/>
      <c r="KZS19" s="110"/>
      <c r="KZT19" s="110"/>
      <c r="KZU19" s="110"/>
      <c r="KZV19" s="110"/>
      <c r="KZW19" s="111"/>
      <c r="KZX19" s="112"/>
      <c r="KZY19" s="113"/>
      <c r="KZZ19" s="110"/>
      <c r="LAA19" s="114"/>
      <c r="LAB19" s="114"/>
      <c r="LAC19" s="110"/>
      <c r="LAD19" s="110"/>
      <c r="LAE19" s="110"/>
      <c r="LAF19" s="110"/>
      <c r="LAG19" s="111"/>
      <c r="LAH19" s="112"/>
      <c r="LAI19" s="113"/>
      <c r="LAJ19" s="110"/>
      <c r="LAK19" s="114"/>
      <c r="LAL19" s="114"/>
      <c r="LAM19" s="110"/>
      <c r="LAN19" s="110"/>
      <c r="LAO19" s="110"/>
      <c r="LAP19" s="110"/>
      <c r="LAQ19" s="111"/>
      <c r="LAR19" s="112"/>
      <c r="LAS19" s="113"/>
      <c r="LAT19" s="110"/>
      <c r="LAU19" s="114"/>
      <c r="LAV19" s="114"/>
      <c r="LAW19" s="110"/>
      <c r="LAX19" s="110"/>
      <c r="LAY19" s="110"/>
      <c r="LAZ19" s="110"/>
      <c r="LBA19" s="111"/>
      <c r="LBB19" s="112"/>
      <c r="LBC19" s="113"/>
      <c r="LBD19" s="110"/>
      <c r="LBE19" s="114"/>
      <c r="LBF19" s="114"/>
      <c r="LBG19" s="110"/>
      <c r="LBH19" s="110"/>
      <c r="LBI19" s="110"/>
      <c r="LBJ19" s="110"/>
      <c r="LBK19" s="111"/>
      <c r="LBL19" s="112"/>
      <c r="LBM19" s="113"/>
      <c r="LBN19" s="110"/>
      <c r="LBO19" s="114"/>
      <c r="LBP19" s="114"/>
      <c r="LBQ19" s="110"/>
      <c r="LBR19" s="110"/>
      <c r="LBS19" s="110"/>
      <c r="LBT19" s="110"/>
      <c r="LBU19" s="111"/>
      <c r="LBV19" s="112"/>
      <c r="LBW19" s="113"/>
      <c r="LBX19" s="110"/>
      <c r="LBY19" s="114"/>
      <c r="LBZ19" s="114"/>
      <c r="LCA19" s="110"/>
      <c r="LCB19" s="110"/>
      <c r="LCC19" s="110"/>
      <c r="LCD19" s="110"/>
      <c r="LCE19" s="111"/>
      <c r="LCF19" s="112"/>
      <c r="LCG19" s="113"/>
      <c r="LCH19" s="110"/>
      <c r="LCI19" s="114"/>
      <c r="LCJ19" s="114"/>
      <c r="LCK19" s="110"/>
      <c r="LCL19" s="110"/>
      <c r="LCM19" s="110"/>
      <c r="LCN19" s="110"/>
      <c r="LCO19" s="111"/>
      <c r="LCP19" s="112"/>
      <c r="LCQ19" s="113"/>
      <c r="LCR19" s="110"/>
      <c r="LCS19" s="114"/>
      <c r="LCT19" s="114"/>
      <c r="LCU19" s="110"/>
      <c r="LCV19" s="110"/>
      <c r="LCW19" s="110"/>
      <c r="LCX19" s="110"/>
      <c r="LCY19" s="111"/>
      <c r="LCZ19" s="112"/>
      <c r="LDA19" s="113"/>
      <c r="LDB19" s="110"/>
      <c r="LDC19" s="114"/>
      <c r="LDD19" s="114"/>
      <c r="LDE19" s="110"/>
      <c r="LDF19" s="110"/>
      <c r="LDG19" s="110"/>
      <c r="LDH19" s="110"/>
      <c r="LDI19" s="111"/>
      <c r="LDJ19" s="112"/>
      <c r="LDK19" s="113"/>
      <c r="LDL19" s="110"/>
      <c r="LDM19" s="114"/>
      <c r="LDN19" s="114"/>
      <c r="LDO19" s="110"/>
      <c r="LDP19" s="110"/>
      <c r="LDQ19" s="110"/>
      <c r="LDR19" s="110"/>
      <c r="LDS19" s="111"/>
      <c r="LDT19" s="112"/>
      <c r="LDU19" s="113"/>
      <c r="LDV19" s="110"/>
      <c r="LDW19" s="114"/>
      <c r="LDX19" s="114"/>
      <c r="LDY19" s="110"/>
      <c r="LDZ19" s="110"/>
      <c r="LEA19" s="110"/>
      <c r="LEB19" s="110"/>
      <c r="LEC19" s="111"/>
      <c r="LED19" s="112"/>
      <c r="LEE19" s="113"/>
      <c r="LEF19" s="110"/>
      <c r="LEG19" s="114"/>
      <c r="LEH19" s="114"/>
      <c r="LEI19" s="110"/>
      <c r="LEJ19" s="110"/>
      <c r="LEK19" s="110"/>
      <c r="LEL19" s="110"/>
      <c r="LEM19" s="111"/>
      <c r="LEN19" s="112"/>
      <c r="LEO19" s="113"/>
      <c r="LEP19" s="110"/>
      <c r="LEQ19" s="114"/>
      <c r="LER19" s="114"/>
      <c r="LES19" s="110"/>
      <c r="LET19" s="110"/>
      <c r="LEU19" s="110"/>
      <c r="LEV19" s="110"/>
      <c r="LEW19" s="111"/>
      <c r="LEX19" s="112"/>
      <c r="LEY19" s="113"/>
      <c r="LEZ19" s="110"/>
      <c r="LFA19" s="114"/>
      <c r="LFB19" s="114"/>
      <c r="LFC19" s="110"/>
      <c r="LFD19" s="110"/>
      <c r="LFE19" s="110"/>
      <c r="LFF19" s="110"/>
      <c r="LFG19" s="111"/>
      <c r="LFH19" s="112"/>
      <c r="LFI19" s="113"/>
      <c r="LFJ19" s="110"/>
      <c r="LFK19" s="114"/>
      <c r="LFL19" s="114"/>
      <c r="LFM19" s="110"/>
      <c r="LFN19" s="110"/>
      <c r="LFO19" s="110"/>
      <c r="LFP19" s="110"/>
      <c r="LFQ19" s="111"/>
      <c r="LFR19" s="112"/>
      <c r="LFS19" s="113"/>
      <c r="LFT19" s="110"/>
      <c r="LFU19" s="114"/>
      <c r="LFV19" s="114"/>
      <c r="LFW19" s="110"/>
      <c r="LFX19" s="110"/>
      <c r="LFY19" s="110"/>
      <c r="LFZ19" s="110"/>
      <c r="LGA19" s="111"/>
      <c r="LGB19" s="112"/>
      <c r="LGC19" s="113"/>
      <c r="LGD19" s="110"/>
      <c r="LGE19" s="114"/>
      <c r="LGF19" s="114"/>
      <c r="LGG19" s="110"/>
      <c r="LGH19" s="110"/>
      <c r="LGI19" s="110"/>
      <c r="LGJ19" s="110"/>
      <c r="LGK19" s="111"/>
      <c r="LGL19" s="112"/>
      <c r="LGM19" s="113"/>
      <c r="LGN19" s="110"/>
      <c r="LGO19" s="114"/>
      <c r="LGP19" s="114"/>
      <c r="LGQ19" s="110"/>
      <c r="LGR19" s="110"/>
      <c r="LGS19" s="110"/>
      <c r="LGT19" s="110"/>
      <c r="LGU19" s="111"/>
      <c r="LGV19" s="112"/>
      <c r="LGW19" s="113"/>
      <c r="LGX19" s="110"/>
      <c r="LGY19" s="114"/>
      <c r="LGZ19" s="114"/>
      <c r="LHA19" s="110"/>
      <c r="LHB19" s="110"/>
      <c r="LHC19" s="110"/>
      <c r="LHD19" s="110"/>
      <c r="LHE19" s="111"/>
      <c r="LHF19" s="112"/>
      <c r="LHG19" s="113"/>
      <c r="LHH19" s="110"/>
      <c r="LHI19" s="114"/>
      <c r="LHJ19" s="114"/>
      <c r="LHK19" s="110"/>
      <c r="LHL19" s="110"/>
      <c r="LHM19" s="110"/>
      <c r="LHN19" s="110"/>
      <c r="LHO19" s="111"/>
      <c r="LHP19" s="112"/>
      <c r="LHQ19" s="113"/>
      <c r="LHR19" s="110"/>
      <c r="LHS19" s="114"/>
      <c r="LHT19" s="114"/>
      <c r="LHU19" s="110"/>
      <c r="LHV19" s="110"/>
      <c r="LHW19" s="110"/>
      <c r="LHX19" s="110"/>
      <c r="LHY19" s="111"/>
      <c r="LHZ19" s="112"/>
      <c r="LIA19" s="113"/>
      <c r="LIB19" s="110"/>
      <c r="LIC19" s="114"/>
      <c r="LID19" s="114"/>
      <c r="LIE19" s="110"/>
      <c r="LIF19" s="110"/>
      <c r="LIG19" s="110"/>
      <c r="LIH19" s="110"/>
      <c r="LII19" s="111"/>
      <c r="LIJ19" s="112"/>
      <c r="LIK19" s="113"/>
      <c r="LIL19" s="110"/>
      <c r="LIM19" s="114"/>
      <c r="LIN19" s="114"/>
      <c r="LIO19" s="110"/>
      <c r="LIP19" s="110"/>
      <c r="LIQ19" s="110"/>
      <c r="LIR19" s="110"/>
      <c r="LIS19" s="111"/>
      <c r="LIT19" s="112"/>
      <c r="LIU19" s="113"/>
      <c r="LIV19" s="110"/>
      <c r="LIW19" s="114"/>
      <c r="LIX19" s="114"/>
      <c r="LIY19" s="110"/>
      <c r="LIZ19" s="110"/>
      <c r="LJA19" s="110"/>
      <c r="LJB19" s="110"/>
      <c r="LJC19" s="111"/>
      <c r="LJD19" s="112"/>
      <c r="LJE19" s="113"/>
      <c r="LJF19" s="110"/>
      <c r="LJG19" s="114"/>
      <c r="LJH19" s="114"/>
      <c r="LJI19" s="110"/>
      <c r="LJJ19" s="110"/>
      <c r="LJK19" s="110"/>
      <c r="LJL19" s="110"/>
      <c r="LJM19" s="111"/>
      <c r="LJN19" s="112"/>
      <c r="LJO19" s="113"/>
      <c r="LJP19" s="110"/>
      <c r="LJQ19" s="114"/>
      <c r="LJR19" s="114"/>
      <c r="LJS19" s="110"/>
      <c r="LJT19" s="110"/>
      <c r="LJU19" s="110"/>
      <c r="LJV19" s="110"/>
      <c r="LJW19" s="111"/>
      <c r="LJX19" s="112"/>
      <c r="LJY19" s="113"/>
      <c r="LJZ19" s="110"/>
      <c r="LKA19" s="114"/>
      <c r="LKB19" s="114"/>
      <c r="LKC19" s="110"/>
      <c r="LKD19" s="110"/>
      <c r="LKE19" s="110"/>
      <c r="LKF19" s="110"/>
      <c r="LKG19" s="111"/>
      <c r="LKH19" s="112"/>
      <c r="LKI19" s="113"/>
      <c r="LKJ19" s="110"/>
      <c r="LKK19" s="114"/>
      <c r="LKL19" s="114"/>
      <c r="LKM19" s="110"/>
      <c r="LKN19" s="110"/>
      <c r="LKO19" s="110"/>
      <c r="LKP19" s="110"/>
      <c r="LKQ19" s="111"/>
      <c r="LKR19" s="112"/>
      <c r="LKS19" s="113"/>
      <c r="LKT19" s="110"/>
      <c r="LKU19" s="114"/>
      <c r="LKV19" s="114"/>
      <c r="LKW19" s="110"/>
      <c r="LKX19" s="110"/>
      <c r="LKY19" s="110"/>
      <c r="LKZ19" s="110"/>
      <c r="LLA19" s="111"/>
      <c r="LLB19" s="112"/>
      <c r="LLC19" s="113"/>
      <c r="LLD19" s="110"/>
      <c r="LLE19" s="114"/>
      <c r="LLF19" s="114"/>
      <c r="LLG19" s="110"/>
      <c r="LLH19" s="110"/>
      <c r="LLI19" s="110"/>
      <c r="LLJ19" s="110"/>
      <c r="LLK19" s="111"/>
      <c r="LLL19" s="112"/>
      <c r="LLM19" s="113"/>
      <c r="LLN19" s="110"/>
      <c r="LLO19" s="114"/>
      <c r="LLP19" s="114"/>
      <c r="LLQ19" s="110"/>
      <c r="LLR19" s="110"/>
      <c r="LLS19" s="110"/>
      <c r="LLT19" s="110"/>
      <c r="LLU19" s="111"/>
      <c r="LLV19" s="112"/>
      <c r="LLW19" s="113"/>
      <c r="LLX19" s="110"/>
      <c r="LLY19" s="114"/>
      <c r="LLZ19" s="114"/>
      <c r="LMA19" s="110"/>
      <c r="LMB19" s="110"/>
      <c r="LMC19" s="110"/>
      <c r="LMD19" s="110"/>
      <c r="LME19" s="111"/>
      <c r="LMF19" s="112"/>
      <c r="LMG19" s="113"/>
      <c r="LMH19" s="110"/>
      <c r="LMI19" s="114"/>
      <c r="LMJ19" s="114"/>
      <c r="LMK19" s="110"/>
      <c r="LML19" s="110"/>
      <c r="LMM19" s="110"/>
      <c r="LMN19" s="110"/>
      <c r="LMO19" s="111"/>
      <c r="LMP19" s="112"/>
      <c r="LMQ19" s="113"/>
      <c r="LMR19" s="110"/>
      <c r="LMS19" s="114"/>
      <c r="LMT19" s="114"/>
      <c r="LMU19" s="110"/>
      <c r="LMV19" s="110"/>
      <c r="LMW19" s="110"/>
      <c r="LMX19" s="110"/>
      <c r="LMY19" s="111"/>
      <c r="LMZ19" s="112"/>
      <c r="LNA19" s="113"/>
      <c r="LNB19" s="110"/>
      <c r="LNC19" s="114"/>
      <c r="LND19" s="114"/>
      <c r="LNE19" s="110"/>
      <c r="LNF19" s="110"/>
      <c r="LNG19" s="110"/>
      <c r="LNH19" s="110"/>
      <c r="LNI19" s="111"/>
      <c r="LNJ19" s="112"/>
      <c r="LNK19" s="113"/>
      <c r="LNL19" s="110"/>
      <c r="LNM19" s="114"/>
      <c r="LNN19" s="114"/>
      <c r="LNO19" s="110"/>
      <c r="LNP19" s="110"/>
      <c r="LNQ19" s="110"/>
      <c r="LNR19" s="110"/>
      <c r="LNS19" s="111"/>
      <c r="LNT19" s="112"/>
      <c r="LNU19" s="113"/>
      <c r="LNV19" s="110"/>
      <c r="LNW19" s="114"/>
      <c r="LNX19" s="114"/>
      <c r="LNY19" s="110"/>
      <c r="LNZ19" s="110"/>
      <c r="LOA19" s="110"/>
      <c r="LOB19" s="110"/>
      <c r="LOC19" s="111"/>
      <c r="LOD19" s="112"/>
      <c r="LOE19" s="113"/>
      <c r="LOF19" s="110"/>
      <c r="LOG19" s="114"/>
      <c r="LOH19" s="114"/>
      <c r="LOI19" s="110"/>
      <c r="LOJ19" s="110"/>
      <c r="LOK19" s="110"/>
      <c r="LOL19" s="110"/>
      <c r="LOM19" s="111"/>
      <c r="LON19" s="112"/>
      <c r="LOO19" s="113"/>
      <c r="LOP19" s="110"/>
      <c r="LOQ19" s="114"/>
      <c r="LOR19" s="114"/>
      <c r="LOS19" s="110"/>
      <c r="LOT19" s="110"/>
      <c r="LOU19" s="110"/>
      <c r="LOV19" s="110"/>
      <c r="LOW19" s="111"/>
      <c r="LOX19" s="112"/>
      <c r="LOY19" s="113"/>
      <c r="LOZ19" s="110"/>
      <c r="LPA19" s="114"/>
      <c r="LPB19" s="114"/>
      <c r="LPC19" s="110"/>
      <c r="LPD19" s="110"/>
      <c r="LPE19" s="110"/>
      <c r="LPF19" s="110"/>
      <c r="LPG19" s="111"/>
      <c r="LPH19" s="112"/>
      <c r="LPI19" s="113"/>
      <c r="LPJ19" s="110"/>
      <c r="LPK19" s="114"/>
      <c r="LPL19" s="114"/>
      <c r="LPM19" s="110"/>
      <c r="LPN19" s="110"/>
      <c r="LPO19" s="110"/>
      <c r="LPP19" s="110"/>
      <c r="LPQ19" s="111"/>
      <c r="LPR19" s="112"/>
      <c r="LPS19" s="113"/>
      <c r="LPT19" s="110"/>
      <c r="LPU19" s="114"/>
      <c r="LPV19" s="114"/>
      <c r="LPW19" s="110"/>
      <c r="LPX19" s="110"/>
      <c r="LPY19" s="110"/>
      <c r="LPZ19" s="110"/>
      <c r="LQA19" s="111"/>
      <c r="LQB19" s="112"/>
      <c r="LQC19" s="113"/>
      <c r="LQD19" s="110"/>
      <c r="LQE19" s="114"/>
      <c r="LQF19" s="114"/>
      <c r="LQG19" s="110"/>
      <c r="LQH19" s="110"/>
      <c r="LQI19" s="110"/>
      <c r="LQJ19" s="110"/>
      <c r="LQK19" s="111"/>
      <c r="LQL19" s="112"/>
      <c r="LQM19" s="113"/>
      <c r="LQN19" s="110"/>
      <c r="LQO19" s="114"/>
      <c r="LQP19" s="114"/>
      <c r="LQQ19" s="110"/>
      <c r="LQR19" s="110"/>
      <c r="LQS19" s="110"/>
      <c r="LQT19" s="110"/>
      <c r="LQU19" s="111"/>
      <c r="LQV19" s="112"/>
      <c r="LQW19" s="113"/>
      <c r="LQX19" s="110"/>
      <c r="LQY19" s="114"/>
      <c r="LQZ19" s="114"/>
      <c r="LRA19" s="110"/>
      <c r="LRB19" s="110"/>
      <c r="LRC19" s="110"/>
      <c r="LRD19" s="110"/>
      <c r="LRE19" s="111"/>
      <c r="LRF19" s="112"/>
      <c r="LRG19" s="113"/>
      <c r="LRH19" s="110"/>
      <c r="LRI19" s="114"/>
      <c r="LRJ19" s="114"/>
      <c r="LRK19" s="110"/>
      <c r="LRL19" s="110"/>
      <c r="LRM19" s="110"/>
      <c r="LRN19" s="110"/>
      <c r="LRO19" s="111"/>
      <c r="LRP19" s="112"/>
      <c r="LRQ19" s="113"/>
      <c r="LRR19" s="110"/>
      <c r="LRS19" s="114"/>
      <c r="LRT19" s="114"/>
      <c r="LRU19" s="110"/>
      <c r="LRV19" s="110"/>
      <c r="LRW19" s="110"/>
      <c r="LRX19" s="110"/>
      <c r="LRY19" s="111"/>
      <c r="LRZ19" s="112"/>
      <c r="LSA19" s="113"/>
      <c r="LSB19" s="110"/>
      <c r="LSC19" s="114"/>
      <c r="LSD19" s="114"/>
      <c r="LSE19" s="110"/>
      <c r="LSF19" s="110"/>
      <c r="LSG19" s="110"/>
      <c r="LSH19" s="110"/>
      <c r="LSI19" s="111"/>
      <c r="LSJ19" s="112"/>
      <c r="LSK19" s="113"/>
      <c r="LSL19" s="110"/>
      <c r="LSM19" s="114"/>
      <c r="LSN19" s="114"/>
      <c r="LSO19" s="110"/>
      <c r="LSP19" s="110"/>
      <c r="LSQ19" s="110"/>
      <c r="LSR19" s="110"/>
      <c r="LSS19" s="111"/>
      <c r="LST19" s="112"/>
      <c r="LSU19" s="113"/>
      <c r="LSV19" s="110"/>
      <c r="LSW19" s="114"/>
      <c r="LSX19" s="114"/>
      <c r="LSY19" s="110"/>
      <c r="LSZ19" s="110"/>
      <c r="LTA19" s="110"/>
      <c r="LTB19" s="110"/>
      <c r="LTC19" s="111"/>
      <c r="LTD19" s="112"/>
      <c r="LTE19" s="113"/>
      <c r="LTF19" s="110"/>
      <c r="LTG19" s="114"/>
      <c r="LTH19" s="114"/>
      <c r="LTI19" s="110"/>
      <c r="LTJ19" s="110"/>
      <c r="LTK19" s="110"/>
      <c r="LTL19" s="110"/>
      <c r="LTM19" s="111"/>
      <c r="LTN19" s="112"/>
      <c r="LTO19" s="113"/>
      <c r="LTP19" s="110"/>
      <c r="LTQ19" s="114"/>
      <c r="LTR19" s="114"/>
      <c r="LTS19" s="110"/>
      <c r="LTT19" s="110"/>
      <c r="LTU19" s="110"/>
      <c r="LTV19" s="110"/>
      <c r="LTW19" s="111"/>
      <c r="LTX19" s="112"/>
      <c r="LTY19" s="113"/>
      <c r="LTZ19" s="110"/>
      <c r="LUA19" s="114"/>
      <c r="LUB19" s="114"/>
      <c r="LUC19" s="110"/>
      <c r="LUD19" s="110"/>
      <c r="LUE19" s="110"/>
      <c r="LUF19" s="110"/>
      <c r="LUG19" s="111"/>
      <c r="LUH19" s="112"/>
      <c r="LUI19" s="113"/>
      <c r="LUJ19" s="110"/>
      <c r="LUK19" s="114"/>
      <c r="LUL19" s="114"/>
      <c r="LUM19" s="110"/>
      <c r="LUN19" s="110"/>
      <c r="LUO19" s="110"/>
      <c r="LUP19" s="110"/>
      <c r="LUQ19" s="111"/>
      <c r="LUR19" s="112"/>
      <c r="LUS19" s="113"/>
      <c r="LUT19" s="110"/>
      <c r="LUU19" s="114"/>
      <c r="LUV19" s="114"/>
      <c r="LUW19" s="110"/>
      <c r="LUX19" s="110"/>
      <c r="LUY19" s="110"/>
      <c r="LUZ19" s="110"/>
      <c r="LVA19" s="111"/>
      <c r="LVB19" s="112"/>
      <c r="LVC19" s="113"/>
      <c r="LVD19" s="110"/>
      <c r="LVE19" s="114"/>
      <c r="LVF19" s="114"/>
      <c r="LVG19" s="110"/>
      <c r="LVH19" s="110"/>
      <c r="LVI19" s="110"/>
      <c r="LVJ19" s="110"/>
      <c r="LVK19" s="111"/>
      <c r="LVL19" s="112"/>
      <c r="LVM19" s="113"/>
      <c r="LVN19" s="110"/>
      <c r="LVO19" s="114"/>
      <c r="LVP19" s="114"/>
      <c r="LVQ19" s="110"/>
      <c r="LVR19" s="110"/>
      <c r="LVS19" s="110"/>
      <c r="LVT19" s="110"/>
      <c r="LVU19" s="111"/>
      <c r="LVV19" s="112"/>
      <c r="LVW19" s="113"/>
      <c r="LVX19" s="110"/>
      <c r="LVY19" s="114"/>
      <c r="LVZ19" s="114"/>
      <c r="LWA19" s="110"/>
      <c r="LWB19" s="110"/>
      <c r="LWC19" s="110"/>
      <c r="LWD19" s="110"/>
      <c r="LWE19" s="111"/>
      <c r="LWF19" s="112"/>
      <c r="LWG19" s="113"/>
      <c r="LWH19" s="110"/>
      <c r="LWI19" s="114"/>
      <c r="LWJ19" s="114"/>
      <c r="LWK19" s="110"/>
      <c r="LWL19" s="110"/>
      <c r="LWM19" s="110"/>
      <c r="LWN19" s="110"/>
      <c r="LWO19" s="111"/>
      <c r="LWP19" s="112"/>
      <c r="LWQ19" s="113"/>
      <c r="LWR19" s="110"/>
      <c r="LWS19" s="114"/>
      <c r="LWT19" s="114"/>
      <c r="LWU19" s="110"/>
      <c r="LWV19" s="110"/>
      <c r="LWW19" s="110"/>
      <c r="LWX19" s="110"/>
      <c r="LWY19" s="111"/>
      <c r="LWZ19" s="112"/>
      <c r="LXA19" s="113"/>
      <c r="LXB19" s="110"/>
      <c r="LXC19" s="114"/>
      <c r="LXD19" s="114"/>
      <c r="LXE19" s="110"/>
      <c r="LXF19" s="110"/>
      <c r="LXG19" s="110"/>
      <c r="LXH19" s="110"/>
      <c r="LXI19" s="111"/>
      <c r="LXJ19" s="112"/>
      <c r="LXK19" s="113"/>
      <c r="LXL19" s="110"/>
      <c r="LXM19" s="114"/>
      <c r="LXN19" s="114"/>
      <c r="LXO19" s="110"/>
      <c r="LXP19" s="110"/>
      <c r="LXQ19" s="110"/>
      <c r="LXR19" s="110"/>
      <c r="LXS19" s="111"/>
      <c r="LXT19" s="112"/>
      <c r="LXU19" s="113"/>
      <c r="LXV19" s="110"/>
      <c r="LXW19" s="114"/>
      <c r="LXX19" s="114"/>
      <c r="LXY19" s="110"/>
      <c r="LXZ19" s="110"/>
      <c r="LYA19" s="110"/>
      <c r="LYB19" s="110"/>
      <c r="LYC19" s="111"/>
      <c r="LYD19" s="112"/>
      <c r="LYE19" s="113"/>
      <c r="LYF19" s="110"/>
      <c r="LYG19" s="114"/>
      <c r="LYH19" s="114"/>
      <c r="LYI19" s="110"/>
      <c r="LYJ19" s="110"/>
      <c r="LYK19" s="110"/>
      <c r="LYL19" s="110"/>
      <c r="LYM19" s="111"/>
      <c r="LYN19" s="112"/>
      <c r="LYO19" s="113"/>
      <c r="LYP19" s="110"/>
      <c r="LYQ19" s="114"/>
      <c r="LYR19" s="114"/>
      <c r="LYS19" s="110"/>
      <c r="LYT19" s="110"/>
      <c r="LYU19" s="110"/>
      <c r="LYV19" s="110"/>
      <c r="LYW19" s="111"/>
      <c r="LYX19" s="112"/>
      <c r="LYY19" s="113"/>
      <c r="LYZ19" s="110"/>
      <c r="LZA19" s="114"/>
      <c r="LZB19" s="114"/>
      <c r="LZC19" s="110"/>
      <c r="LZD19" s="110"/>
      <c r="LZE19" s="110"/>
      <c r="LZF19" s="110"/>
      <c r="LZG19" s="111"/>
      <c r="LZH19" s="112"/>
      <c r="LZI19" s="113"/>
      <c r="LZJ19" s="110"/>
      <c r="LZK19" s="114"/>
      <c r="LZL19" s="114"/>
      <c r="LZM19" s="110"/>
      <c r="LZN19" s="110"/>
      <c r="LZO19" s="110"/>
      <c r="LZP19" s="110"/>
      <c r="LZQ19" s="111"/>
      <c r="LZR19" s="112"/>
      <c r="LZS19" s="113"/>
      <c r="LZT19" s="110"/>
      <c r="LZU19" s="114"/>
      <c r="LZV19" s="114"/>
      <c r="LZW19" s="110"/>
      <c r="LZX19" s="110"/>
      <c r="LZY19" s="110"/>
      <c r="LZZ19" s="110"/>
      <c r="MAA19" s="111"/>
      <c r="MAB19" s="112"/>
      <c r="MAC19" s="113"/>
      <c r="MAD19" s="110"/>
      <c r="MAE19" s="114"/>
      <c r="MAF19" s="114"/>
      <c r="MAG19" s="110"/>
      <c r="MAH19" s="110"/>
      <c r="MAI19" s="110"/>
      <c r="MAJ19" s="110"/>
      <c r="MAK19" s="111"/>
      <c r="MAL19" s="112"/>
      <c r="MAM19" s="113"/>
      <c r="MAN19" s="110"/>
      <c r="MAO19" s="114"/>
      <c r="MAP19" s="114"/>
      <c r="MAQ19" s="110"/>
      <c r="MAR19" s="110"/>
      <c r="MAS19" s="110"/>
      <c r="MAT19" s="110"/>
      <c r="MAU19" s="111"/>
      <c r="MAV19" s="112"/>
      <c r="MAW19" s="113"/>
      <c r="MAX19" s="110"/>
      <c r="MAY19" s="114"/>
      <c r="MAZ19" s="114"/>
      <c r="MBA19" s="110"/>
      <c r="MBB19" s="110"/>
      <c r="MBC19" s="110"/>
      <c r="MBD19" s="110"/>
      <c r="MBE19" s="111"/>
      <c r="MBF19" s="112"/>
      <c r="MBG19" s="113"/>
      <c r="MBH19" s="110"/>
      <c r="MBI19" s="114"/>
      <c r="MBJ19" s="114"/>
      <c r="MBK19" s="110"/>
      <c r="MBL19" s="110"/>
      <c r="MBM19" s="110"/>
      <c r="MBN19" s="110"/>
      <c r="MBO19" s="111"/>
      <c r="MBP19" s="112"/>
      <c r="MBQ19" s="113"/>
      <c r="MBR19" s="110"/>
      <c r="MBS19" s="114"/>
      <c r="MBT19" s="114"/>
      <c r="MBU19" s="110"/>
      <c r="MBV19" s="110"/>
      <c r="MBW19" s="110"/>
      <c r="MBX19" s="110"/>
      <c r="MBY19" s="111"/>
      <c r="MBZ19" s="112"/>
      <c r="MCA19" s="113"/>
      <c r="MCB19" s="110"/>
      <c r="MCC19" s="114"/>
      <c r="MCD19" s="114"/>
      <c r="MCE19" s="110"/>
      <c r="MCF19" s="110"/>
      <c r="MCG19" s="110"/>
      <c r="MCH19" s="110"/>
      <c r="MCI19" s="111"/>
      <c r="MCJ19" s="112"/>
      <c r="MCK19" s="113"/>
      <c r="MCL19" s="110"/>
      <c r="MCM19" s="114"/>
      <c r="MCN19" s="114"/>
      <c r="MCO19" s="110"/>
      <c r="MCP19" s="110"/>
      <c r="MCQ19" s="110"/>
      <c r="MCR19" s="110"/>
      <c r="MCS19" s="111"/>
      <c r="MCT19" s="112"/>
      <c r="MCU19" s="113"/>
      <c r="MCV19" s="110"/>
      <c r="MCW19" s="114"/>
      <c r="MCX19" s="114"/>
      <c r="MCY19" s="110"/>
      <c r="MCZ19" s="110"/>
      <c r="MDA19" s="110"/>
      <c r="MDB19" s="110"/>
      <c r="MDC19" s="111"/>
      <c r="MDD19" s="112"/>
      <c r="MDE19" s="113"/>
      <c r="MDF19" s="110"/>
      <c r="MDG19" s="114"/>
      <c r="MDH19" s="114"/>
      <c r="MDI19" s="110"/>
      <c r="MDJ19" s="110"/>
      <c r="MDK19" s="110"/>
      <c r="MDL19" s="110"/>
      <c r="MDM19" s="111"/>
      <c r="MDN19" s="112"/>
      <c r="MDO19" s="113"/>
      <c r="MDP19" s="110"/>
      <c r="MDQ19" s="114"/>
      <c r="MDR19" s="114"/>
      <c r="MDS19" s="110"/>
      <c r="MDT19" s="110"/>
      <c r="MDU19" s="110"/>
      <c r="MDV19" s="110"/>
      <c r="MDW19" s="111"/>
      <c r="MDX19" s="112"/>
      <c r="MDY19" s="113"/>
      <c r="MDZ19" s="110"/>
      <c r="MEA19" s="114"/>
      <c r="MEB19" s="114"/>
      <c r="MEC19" s="110"/>
      <c r="MED19" s="110"/>
      <c r="MEE19" s="110"/>
      <c r="MEF19" s="110"/>
      <c r="MEG19" s="111"/>
      <c r="MEH19" s="112"/>
      <c r="MEI19" s="113"/>
      <c r="MEJ19" s="110"/>
      <c r="MEK19" s="114"/>
      <c r="MEL19" s="114"/>
      <c r="MEM19" s="110"/>
      <c r="MEN19" s="110"/>
      <c r="MEO19" s="110"/>
      <c r="MEP19" s="110"/>
      <c r="MEQ19" s="111"/>
      <c r="MER19" s="112"/>
      <c r="MES19" s="113"/>
      <c r="MET19" s="110"/>
      <c r="MEU19" s="114"/>
      <c r="MEV19" s="114"/>
      <c r="MEW19" s="110"/>
      <c r="MEX19" s="110"/>
      <c r="MEY19" s="110"/>
      <c r="MEZ19" s="110"/>
      <c r="MFA19" s="111"/>
      <c r="MFB19" s="112"/>
      <c r="MFC19" s="113"/>
      <c r="MFD19" s="110"/>
      <c r="MFE19" s="114"/>
      <c r="MFF19" s="114"/>
      <c r="MFG19" s="110"/>
      <c r="MFH19" s="110"/>
      <c r="MFI19" s="110"/>
      <c r="MFJ19" s="110"/>
      <c r="MFK19" s="111"/>
      <c r="MFL19" s="112"/>
      <c r="MFM19" s="113"/>
      <c r="MFN19" s="110"/>
      <c r="MFO19" s="114"/>
      <c r="MFP19" s="114"/>
      <c r="MFQ19" s="110"/>
      <c r="MFR19" s="110"/>
      <c r="MFS19" s="110"/>
      <c r="MFT19" s="110"/>
      <c r="MFU19" s="111"/>
      <c r="MFV19" s="112"/>
      <c r="MFW19" s="113"/>
      <c r="MFX19" s="110"/>
      <c r="MFY19" s="114"/>
      <c r="MFZ19" s="114"/>
      <c r="MGA19" s="110"/>
      <c r="MGB19" s="110"/>
      <c r="MGC19" s="110"/>
      <c r="MGD19" s="110"/>
      <c r="MGE19" s="111"/>
      <c r="MGF19" s="112"/>
      <c r="MGG19" s="113"/>
      <c r="MGH19" s="110"/>
      <c r="MGI19" s="114"/>
      <c r="MGJ19" s="114"/>
      <c r="MGK19" s="110"/>
      <c r="MGL19" s="110"/>
      <c r="MGM19" s="110"/>
      <c r="MGN19" s="110"/>
      <c r="MGO19" s="111"/>
      <c r="MGP19" s="112"/>
      <c r="MGQ19" s="113"/>
      <c r="MGR19" s="110"/>
      <c r="MGS19" s="114"/>
      <c r="MGT19" s="114"/>
      <c r="MGU19" s="110"/>
      <c r="MGV19" s="110"/>
      <c r="MGW19" s="110"/>
      <c r="MGX19" s="110"/>
      <c r="MGY19" s="111"/>
      <c r="MGZ19" s="112"/>
      <c r="MHA19" s="113"/>
      <c r="MHB19" s="110"/>
      <c r="MHC19" s="114"/>
      <c r="MHD19" s="114"/>
      <c r="MHE19" s="110"/>
      <c r="MHF19" s="110"/>
      <c r="MHG19" s="110"/>
      <c r="MHH19" s="110"/>
      <c r="MHI19" s="111"/>
      <c r="MHJ19" s="112"/>
      <c r="MHK19" s="113"/>
      <c r="MHL19" s="110"/>
      <c r="MHM19" s="114"/>
      <c r="MHN19" s="114"/>
      <c r="MHO19" s="110"/>
      <c r="MHP19" s="110"/>
      <c r="MHQ19" s="110"/>
      <c r="MHR19" s="110"/>
      <c r="MHS19" s="111"/>
      <c r="MHT19" s="112"/>
      <c r="MHU19" s="113"/>
      <c r="MHV19" s="110"/>
      <c r="MHW19" s="114"/>
      <c r="MHX19" s="114"/>
      <c r="MHY19" s="110"/>
      <c r="MHZ19" s="110"/>
      <c r="MIA19" s="110"/>
      <c r="MIB19" s="110"/>
      <c r="MIC19" s="111"/>
      <c r="MID19" s="112"/>
      <c r="MIE19" s="113"/>
      <c r="MIF19" s="110"/>
      <c r="MIG19" s="114"/>
      <c r="MIH19" s="114"/>
      <c r="MII19" s="110"/>
      <c r="MIJ19" s="110"/>
      <c r="MIK19" s="110"/>
      <c r="MIL19" s="110"/>
      <c r="MIM19" s="111"/>
      <c r="MIN19" s="112"/>
      <c r="MIO19" s="113"/>
      <c r="MIP19" s="110"/>
      <c r="MIQ19" s="114"/>
      <c r="MIR19" s="114"/>
      <c r="MIS19" s="110"/>
      <c r="MIT19" s="110"/>
      <c r="MIU19" s="110"/>
      <c r="MIV19" s="110"/>
      <c r="MIW19" s="111"/>
      <c r="MIX19" s="112"/>
      <c r="MIY19" s="113"/>
      <c r="MIZ19" s="110"/>
      <c r="MJA19" s="114"/>
      <c r="MJB19" s="114"/>
      <c r="MJC19" s="110"/>
      <c r="MJD19" s="110"/>
      <c r="MJE19" s="110"/>
      <c r="MJF19" s="110"/>
      <c r="MJG19" s="111"/>
      <c r="MJH19" s="112"/>
      <c r="MJI19" s="113"/>
      <c r="MJJ19" s="110"/>
      <c r="MJK19" s="114"/>
      <c r="MJL19" s="114"/>
      <c r="MJM19" s="110"/>
      <c r="MJN19" s="110"/>
      <c r="MJO19" s="110"/>
      <c r="MJP19" s="110"/>
      <c r="MJQ19" s="111"/>
      <c r="MJR19" s="112"/>
      <c r="MJS19" s="113"/>
      <c r="MJT19" s="110"/>
      <c r="MJU19" s="114"/>
      <c r="MJV19" s="114"/>
      <c r="MJW19" s="110"/>
      <c r="MJX19" s="110"/>
      <c r="MJY19" s="110"/>
      <c r="MJZ19" s="110"/>
      <c r="MKA19" s="111"/>
      <c r="MKB19" s="112"/>
      <c r="MKC19" s="113"/>
      <c r="MKD19" s="110"/>
      <c r="MKE19" s="114"/>
      <c r="MKF19" s="114"/>
      <c r="MKG19" s="110"/>
      <c r="MKH19" s="110"/>
      <c r="MKI19" s="110"/>
      <c r="MKJ19" s="110"/>
      <c r="MKK19" s="111"/>
      <c r="MKL19" s="112"/>
      <c r="MKM19" s="113"/>
      <c r="MKN19" s="110"/>
      <c r="MKO19" s="114"/>
      <c r="MKP19" s="114"/>
      <c r="MKQ19" s="110"/>
      <c r="MKR19" s="110"/>
      <c r="MKS19" s="110"/>
      <c r="MKT19" s="110"/>
      <c r="MKU19" s="111"/>
      <c r="MKV19" s="112"/>
      <c r="MKW19" s="113"/>
      <c r="MKX19" s="110"/>
      <c r="MKY19" s="114"/>
      <c r="MKZ19" s="114"/>
      <c r="MLA19" s="110"/>
      <c r="MLB19" s="110"/>
      <c r="MLC19" s="110"/>
      <c r="MLD19" s="110"/>
      <c r="MLE19" s="111"/>
      <c r="MLF19" s="112"/>
      <c r="MLG19" s="113"/>
      <c r="MLH19" s="110"/>
      <c r="MLI19" s="114"/>
      <c r="MLJ19" s="114"/>
      <c r="MLK19" s="110"/>
      <c r="MLL19" s="110"/>
      <c r="MLM19" s="110"/>
      <c r="MLN19" s="110"/>
      <c r="MLO19" s="111"/>
      <c r="MLP19" s="112"/>
      <c r="MLQ19" s="113"/>
      <c r="MLR19" s="110"/>
      <c r="MLS19" s="114"/>
      <c r="MLT19" s="114"/>
      <c r="MLU19" s="110"/>
      <c r="MLV19" s="110"/>
      <c r="MLW19" s="110"/>
      <c r="MLX19" s="110"/>
      <c r="MLY19" s="111"/>
      <c r="MLZ19" s="112"/>
      <c r="MMA19" s="113"/>
      <c r="MMB19" s="110"/>
      <c r="MMC19" s="114"/>
      <c r="MMD19" s="114"/>
      <c r="MME19" s="110"/>
      <c r="MMF19" s="110"/>
      <c r="MMG19" s="110"/>
      <c r="MMH19" s="110"/>
      <c r="MMI19" s="111"/>
      <c r="MMJ19" s="112"/>
      <c r="MMK19" s="113"/>
      <c r="MML19" s="110"/>
      <c r="MMM19" s="114"/>
      <c r="MMN19" s="114"/>
      <c r="MMO19" s="110"/>
      <c r="MMP19" s="110"/>
      <c r="MMQ19" s="110"/>
      <c r="MMR19" s="110"/>
      <c r="MMS19" s="111"/>
      <c r="MMT19" s="112"/>
      <c r="MMU19" s="113"/>
      <c r="MMV19" s="110"/>
      <c r="MMW19" s="114"/>
      <c r="MMX19" s="114"/>
      <c r="MMY19" s="110"/>
      <c r="MMZ19" s="110"/>
      <c r="MNA19" s="110"/>
      <c r="MNB19" s="110"/>
      <c r="MNC19" s="111"/>
      <c r="MND19" s="112"/>
      <c r="MNE19" s="113"/>
      <c r="MNF19" s="110"/>
      <c r="MNG19" s="114"/>
      <c r="MNH19" s="114"/>
      <c r="MNI19" s="110"/>
      <c r="MNJ19" s="110"/>
      <c r="MNK19" s="110"/>
      <c r="MNL19" s="110"/>
      <c r="MNM19" s="111"/>
      <c r="MNN19" s="112"/>
      <c r="MNO19" s="113"/>
      <c r="MNP19" s="110"/>
      <c r="MNQ19" s="114"/>
      <c r="MNR19" s="114"/>
      <c r="MNS19" s="110"/>
      <c r="MNT19" s="110"/>
      <c r="MNU19" s="110"/>
      <c r="MNV19" s="110"/>
      <c r="MNW19" s="111"/>
      <c r="MNX19" s="112"/>
      <c r="MNY19" s="113"/>
      <c r="MNZ19" s="110"/>
      <c r="MOA19" s="114"/>
      <c r="MOB19" s="114"/>
      <c r="MOC19" s="110"/>
      <c r="MOD19" s="110"/>
      <c r="MOE19" s="110"/>
      <c r="MOF19" s="110"/>
      <c r="MOG19" s="111"/>
      <c r="MOH19" s="112"/>
      <c r="MOI19" s="113"/>
      <c r="MOJ19" s="110"/>
      <c r="MOK19" s="114"/>
      <c r="MOL19" s="114"/>
      <c r="MOM19" s="110"/>
      <c r="MON19" s="110"/>
      <c r="MOO19" s="110"/>
      <c r="MOP19" s="110"/>
      <c r="MOQ19" s="111"/>
      <c r="MOR19" s="112"/>
      <c r="MOS19" s="113"/>
      <c r="MOT19" s="110"/>
      <c r="MOU19" s="114"/>
      <c r="MOV19" s="114"/>
      <c r="MOW19" s="110"/>
      <c r="MOX19" s="110"/>
      <c r="MOY19" s="110"/>
      <c r="MOZ19" s="110"/>
      <c r="MPA19" s="111"/>
      <c r="MPB19" s="112"/>
      <c r="MPC19" s="113"/>
      <c r="MPD19" s="110"/>
      <c r="MPE19" s="114"/>
      <c r="MPF19" s="114"/>
      <c r="MPG19" s="110"/>
      <c r="MPH19" s="110"/>
      <c r="MPI19" s="110"/>
      <c r="MPJ19" s="110"/>
      <c r="MPK19" s="111"/>
      <c r="MPL19" s="112"/>
      <c r="MPM19" s="113"/>
      <c r="MPN19" s="110"/>
      <c r="MPO19" s="114"/>
      <c r="MPP19" s="114"/>
      <c r="MPQ19" s="110"/>
      <c r="MPR19" s="110"/>
      <c r="MPS19" s="110"/>
      <c r="MPT19" s="110"/>
      <c r="MPU19" s="111"/>
      <c r="MPV19" s="112"/>
      <c r="MPW19" s="113"/>
      <c r="MPX19" s="110"/>
      <c r="MPY19" s="114"/>
      <c r="MPZ19" s="114"/>
      <c r="MQA19" s="110"/>
      <c r="MQB19" s="110"/>
      <c r="MQC19" s="110"/>
      <c r="MQD19" s="110"/>
      <c r="MQE19" s="111"/>
      <c r="MQF19" s="112"/>
      <c r="MQG19" s="113"/>
      <c r="MQH19" s="110"/>
      <c r="MQI19" s="114"/>
      <c r="MQJ19" s="114"/>
      <c r="MQK19" s="110"/>
      <c r="MQL19" s="110"/>
      <c r="MQM19" s="110"/>
      <c r="MQN19" s="110"/>
      <c r="MQO19" s="111"/>
      <c r="MQP19" s="112"/>
      <c r="MQQ19" s="113"/>
      <c r="MQR19" s="110"/>
      <c r="MQS19" s="114"/>
      <c r="MQT19" s="114"/>
      <c r="MQU19" s="110"/>
      <c r="MQV19" s="110"/>
      <c r="MQW19" s="110"/>
      <c r="MQX19" s="110"/>
      <c r="MQY19" s="111"/>
      <c r="MQZ19" s="112"/>
      <c r="MRA19" s="113"/>
      <c r="MRB19" s="110"/>
      <c r="MRC19" s="114"/>
      <c r="MRD19" s="114"/>
      <c r="MRE19" s="110"/>
      <c r="MRF19" s="110"/>
      <c r="MRG19" s="110"/>
      <c r="MRH19" s="110"/>
      <c r="MRI19" s="111"/>
      <c r="MRJ19" s="112"/>
      <c r="MRK19" s="113"/>
      <c r="MRL19" s="110"/>
      <c r="MRM19" s="114"/>
      <c r="MRN19" s="114"/>
      <c r="MRO19" s="110"/>
      <c r="MRP19" s="110"/>
      <c r="MRQ19" s="110"/>
      <c r="MRR19" s="110"/>
      <c r="MRS19" s="111"/>
      <c r="MRT19" s="112"/>
      <c r="MRU19" s="113"/>
      <c r="MRV19" s="110"/>
      <c r="MRW19" s="114"/>
      <c r="MRX19" s="114"/>
      <c r="MRY19" s="110"/>
      <c r="MRZ19" s="110"/>
      <c r="MSA19" s="110"/>
      <c r="MSB19" s="110"/>
      <c r="MSC19" s="111"/>
      <c r="MSD19" s="112"/>
      <c r="MSE19" s="113"/>
      <c r="MSF19" s="110"/>
      <c r="MSG19" s="114"/>
      <c r="MSH19" s="114"/>
      <c r="MSI19" s="110"/>
      <c r="MSJ19" s="110"/>
      <c r="MSK19" s="110"/>
      <c r="MSL19" s="110"/>
      <c r="MSM19" s="111"/>
      <c r="MSN19" s="112"/>
      <c r="MSO19" s="113"/>
      <c r="MSP19" s="110"/>
      <c r="MSQ19" s="114"/>
      <c r="MSR19" s="114"/>
      <c r="MSS19" s="110"/>
      <c r="MST19" s="110"/>
      <c r="MSU19" s="110"/>
      <c r="MSV19" s="110"/>
      <c r="MSW19" s="111"/>
      <c r="MSX19" s="112"/>
      <c r="MSY19" s="113"/>
      <c r="MSZ19" s="110"/>
      <c r="MTA19" s="114"/>
      <c r="MTB19" s="114"/>
      <c r="MTC19" s="110"/>
      <c r="MTD19" s="110"/>
      <c r="MTE19" s="110"/>
      <c r="MTF19" s="110"/>
      <c r="MTG19" s="111"/>
      <c r="MTH19" s="112"/>
      <c r="MTI19" s="113"/>
      <c r="MTJ19" s="110"/>
      <c r="MTK19" s="114"/>
      <c r="MTL19" s="114"/>
      <c r="MTM19" s="110"/>
      <c r="MTN19" s="110"/>
      <c r="MTO19" s="110"/>
      <c r="MTP19" s="110"/>
      <c r="MTQ19" s="111"/>
      <c r="MTR19" s="112"/>
      <c r="MTS19" s="113"/>
      <c r="MTT19" s="110"/>
      <c r="MTU19" s="114"/>
      <c r="MTV19" s="114"/>
      <c r="MTW19" s="110"/>
      <c r="MTX19" s="110"/>
      <c r="MTY19" s="110"/>
      <c r="MTZ19" s="110"/>
      <c r="MUA19" s="111"/>
      <c r="MUB19" s="112"/>
      <c r="MUC19" s="113"/>
      <c r="MUD19" s="110"/>
      <c r="MUE19" s="114"/>
      <c r="MUF19" s="114"/>
      <c r="MUG19" s="110"/>
      <c r="MUH19" s="110"/>
      <c r="MUI19" s="110"/>
      <c r="MUJ19" s="110"/>
      <c r="MUK19" s="111"/>
      <c r="MUL19" s="112"/>
      <c r="MUM19" s="113"/>
      <c r="MUN19" s="110"/>
      <c r="MUO19" s="114"/>
      <c r="MUP19" s="114"/>
      <c r="MUQ19" s="110"/>
      <c r="MUR19" s="110"/>
      <c r="MUS19" s="110"/>
      <c r="MUT19" s="110"/>
      <c r="MUU19" s="111"/>
      <c r="MUV19" s="112"/>
      <c r="MUW19" s="113"/>
      <c r="MUX19" s="110"/>
      <c r="MUY19" s="114"/>
      <c r="MUZ19" s="114"/>
      <c r="MVA19" s="110"/>
      <c r="MVB19" s="110"/>
      <c r="MVC19" s="110"/>
      <c r="MVD19" s="110"/>
      <c r="MVE19" s="111"/>
      <c r="MVF19" s="112"/>
      <c r="MVG19" s="113"/>
      <c r="MVH19" s="110"/>
      <c r="MVI19" s="114"/>
      <c r="MVJ19" s="114"/>
      <c r="MVK19" s="110"/>
      <c r="MVL19" s="110"/>
      <c r="MVM19" s="110"/>
      <c r="MVN19" s="110"/>
      <c r="MVO19" s="111"/>
      <c r="MVP19" s="112"/>
      <c r="MVQ19" s="113"/>
      <c r="MVR19" s="110"/>
      <c r="MVS19" s="114"/>
      <c r="MVT19" s="114"/>
      <c r="MVU19" s="110"/>
      <c r="MVV19" s="110"/>
      <c r="MVW19" s="110"/>
      <c r="MVX19" s="110"/>
      <c r="MVY19" s="111"/>
      <c r="MVZ19" s="112"/>
      <c r="MWA19" s="113"/>
      <c r="MWB19" s="110"/>
      <c r="MWC19" s="114"/>
      <c r="MWD19" s="114"/>
      <c r="MWE19" s="110"/>
      <c r="MWF19" s="110"/>
      <c r="MWG19" s="110"/>
      <c r="MWH19" s="110"/>
      <c r="MWI19" s="111"/>
      <c r="MWJ19" s="112"/>
      <c r="MWK19" s="113"/>
      <c r="MWL19" s="110"/>
      <c r="MWM19" s="114"/>
      <c r="MWN19" s="114"/>
      <c r="MWO19" s="110"/>
      <c r="MWP19" s="110"/>
      <c r="MWQ19" s="110"/>
      <c r="MWR19" s="110"/>
      <c r="MWS19" s="111"/>
      <c r="MWT19" s="112"/>
      <c r="MWU19" s="113"/>
      <c r="MWV19" s="110"/>
      <c r="MWW19" s="114"/>
      <c r="MWX19" s="114"/>
      <c r="MWY19" s="110"/>
      <c r="MWZ19" s="110"/>
      <c r="MXA19" s="110"/>
      <c r="MXB19" s="110"/>
      <c r="MXC19" s="111"/>
      <c r="MXD19" s="112"/>
      <c r="MXE19" s="113"/>
      <c r="MXF19" s="110"/>
      <c r="MXG19" s="114"/>
      <c r="MXH19" s="114"/>
      <c r="MXI19" s="110"/>
      <c r="MXJ19" s="110"/>
      <c r="MXK19" s="110"/>
      <c r="MXL19" s="110"/>
      <c r="MXM19" s="111"/>
      <c r="MXN19" s="112"/>
      <c r="MXO19" s="113"/>
      <c r="MXP19" s="110"/>
      <c r="MXQ19" s="114"/>
      <c r="MXR19" s="114"/>
      <c r="MXS19" s="110"/>
      <c r="MXT19" s="110"/>
      <c r="MXU19" s="110"/>
      <c r="MXV19" s="110"/>
      <c r="MXW19" s="111"/>
      <c r="MXX19" s="112"/>
      <c r="MXY19" s="113"/>
      <c r="MXZ19" s="110"/>
      <c r="MYA19" s="114"/>
      <c r="MYB19" s="114"/>
      <c r="MYC19" s="110"/>
      <c r="MYD19" s="110"/>
      <c r="MYE19" s="110"/>
      <c r="MYF19" s="110"/>
      <c r="MYG19" s="111"/>
      <c r="MYH19" s="112"/>
      <c r="MYI19" s="113"/>
      <c r="MYJ19" s="110"/>
      <c r="MYK19" s="114"/>
      <c r="MYL19" s="114"/>
      <c r="MYM19" s="110"/>
      <c r="MYN19" s="110"/>
      <c r="MYO19" s="110"/>
      <c r="MYP19" s="110"/>
      <c r="MYQ19" s="111"/>
      <c r="MYR19" s="112"/>
      <c r="MYS19" s="113"/>
      <c r="MYT19" s="110"/>
      <c r="MYU19" s="114"/>
      <c r="MYV19" s="114"/>
      <c r="MYW19" s="110"/>
      <c r="MYX19" s="110"/>
      <c r="MYY19" s="110"/>
      <c r="MYZ19" s="110"/>
      <c r="MZA19" s="111"/>
      <c r="MZB19" s="112"/>
      <c r="MZC19" s="113"/>
      <c r="MZD19" s="110"/>
      <c r="MZE19" s="114"/>
      <c r="MZF19" s="114"/>
      <c r="MZG19" s="110"/>
      <c r="MZH19" s="110"/>
      <c r="MZI19" s="110"/>
      <c r="MZJ19" s="110"/>
      <c r="MZK19" s="111"/>
      <c r="MZL19" s="112"/>
      <c r="MZM19" s="113"/>
      <c r="MZN19" s="110"/>
      <c r="MZO19" s="114"/>
      <c r="MZP19" s="114"/>
      <c r="MZQ19" s="110"/>
      <c r="MZR19" s="110"/>
      <c r="MZS19" s="110"/>
      <c r="MZT19" s="110"/>
      <c r="MZU19" s="111"/>
      <c r="MZV19" s="112"/>
      <c r="MZW19" s="113"/>
      <c r="MZX19" s="110"/>
      <c r="MZY19" s="114"/>
      <c r="MZZ19" s="114"/>
      <c r="NAA19" s="110"/>
      <c r="NAB19" s="110"/>
      <c r="NAC19" s="110"/>
      <c r="NAD19" s="110"/>
      <c r="NAE19" s="111"/>
      <c r="NAF19" s="112"/>
      <c r="NAG19" s="113"/>
      <c r="NAH19" s="110"/>
      <c r="NAI19" s="114"/>
      <c r="NAJ19" s="114"/>
      <c r="NAK19" s="110"/>
      <c r="NAL19" s="110"/>
      <c r="NAM19" s="110"/>
      <c r="NAN19" s="110"/>
      <c r="NAO19" s="111"/>
      <c r="NAP19" s="112"/>
      <c r="NAQ19" s="113"/>
      <c r="NAR19" s="110"/>
      <c r="NAS19" s="114"/>
      <c r="NAT19" s="114"/>
      <c r="NAU19" s="110"/>
      <c r="NAV19" s="110"/>
      <c r="NAW19" s="110"/>
      <c r="NAX19" s="110"/>
      <c r="NAY19" s="111"/>
      <c r="NAZ19" s="112"/>
      <c r="NBA19" s="113"/>
      <c r="NBB19" s="110"/>
      <c r="NBC19" s="114"/>
      <c r="NBD19" s="114"/>
      <c r="NBE19" s="110"/>
      <c r="NBF19" s="110"/>
      <c r="NBG19" s="110"/>
      <c r="NBH19" s="110"/>
      <c r="NBI19" s="111"/>
      <c r="NBJ19" s="112"/>
      <c r="NBK19" s="113"/>
      <c r="NBL19" s="110"/>
      <c r="NBM19" s="114"/>
      <c r="NBN19" s="114"/>
      <c r="NBO19" s="110"/>
      <c r="NBP19" s="110"/>
      <c r="NBQ19" s="110"/>
      <c r="NBR19" s="110"/>
      <c r="NBS19" s="111"/>
      <c r="NBT19" s="112"/>
      <c r="NBU19" s="113"/>
      <c r="NBV19" s="110"/>
      <c r="NBW19" s="114"/>
      <c r="NBX19" s="114"/>
      <c r="NBY19" s="110"/>
      <c r="NBZ19" s="110"/>
      <c r="NCA19" s="110"/>
      <c r="NCB19" s="110"/>
      <c r="NCC19" s="111"/>
      <c r="NCD19" s="112"/>
      <c r="NCE19" s="113"/>
      <c r="NCF19" s="110"/>
      <c r="NCG19" s="114"/>
      <c r="NCH19" s="114"/>
      <c r="NCI19" s="110"/>
      <c r="NCJ19" s="110"/>
      <c r="NCK19" s="110"/>
      <c r="NCL19" s="110"/>
      <c r="NCM19" s="111"/>
      <c r="NCN19" s="112"/>
      <c r="NCO19" s="113"/>
      <c r="NCP19" s="110"/>
      <c r="NCQ19" s="114"/>
      <c r="NCR19" s="114"/>
      <c r="NCS19" s="110"/>
      <c r="NCT19" s="110"/>
      <c r="NCU19" s="110"/>
      <c r="NCV19" s="110"/>
      <c r="NCW19" s="111"/>
      <c r="NCX19" s="112"/>
      <c r="NCY19" s="113"/>
      <c r="NCZ19" s="110"/>
      <c r="NDA19" s="114"/>
      <c r="NDB19" s="114"/>
      <c r="NDC19" s="110"/>
      <c r="NDD19" s="110"/>
      <c r="NDE19" s="110"/>
      <c r="NDF19" s="110"/>
      <c r="NDG19" s="111"/>
      <c r="NDH19" s="112"/>
      <c r="NDI19" s="113"/>
      <c r="NDJ19" s="110"/>
      <c r="NDK19" s="114"/>
      <c r="NDL19" s="114"/>
      <c r="NDM19" s="110"/>
      <c r="NDN19" s="110"/>
      <c r="NDO19" s="110"/>
      <c r="NDP19" s="110"/>
      <c r="NDQ19" s="111"/>
      <c r="NDR19" s="112"/>
      <c r="NDS19" s="113"/>
      <c r="NDT19" s="110"/>
      <c r="NDU19" s="114"/>
      <c r="NDV19" s="114"/>
      <c r="NDW19" s="110"/>
      <c r="NDX19" s="110"/>
      <c r="NDY19" s="110"/>
      <c r="NDZ19" s="110"/>
      <c r="NEA19" s="111"/>
      <c r="NEB19" s="112"/>
      <c r="NEC19" s="113"/>
      <c r="NED19" s="110"/>
      <c r="NEE19" s="114"/>
      <c r="NEF19" s="114"/>
      <c r="NEG19" s="110"/>
      <c r="NEH19" s="110"/>
      <c r="NEI19" s="110"/>
      <c r="NEJ19" s="110"/>
      <c r="NEK19" s="111"/>
      <c r="NEL19" s="112"/>
      <c r="NEM19" s="113"/>
      <c r="NEN19" s="110"/>
      <c r="NEO19" s="114"/>
      <c r="NEP19" s="114"/>
      <c r="NEQ19" s="110"/>
      <c r="NER19" s="110"/>
      <c r="NES19" s="110"/>
      <c r="NET19" s="110"/>
      <c r="NEU19" s="111"/>
      <c r="NEV19" s="112"/>
      <c r="NEW19" s="113"/>
      <c r="NEX19" s="110"/>
      <c r="NEY19" s="114"/>
      <c r="NEZ19" s="114"/>
      <c r="NFA19" s="110"/>
      <c r="NFB19" s="110"/>
      <c r="NFC19" s="110"/>
      <c r="NFD19" s="110"/>
      <c r="NFE19" s="111"/>
      <c r="NFF19" s="112"/>
      <c r="NFG19" s="113"/>
      <c r="NFH19" s="110"/>
      <c r="NFI19" s="114"/>
      <c r="NFJ19" s="114"/>
      <c r="NFK19" s="110"/>
      <c r="NFL19" s="110"/>
      <c r="NFM19" s="110"/>
      <c r="NFN19" s="110"/>
      <c r="NFO19" s="111"/>
      <c r="NFP19" s="112"/>
      <c r="NFQ19" s="113"/>
      <c r="NFR19" s="110"/>
      <c r="NFS19" s="114"/>
      <c r="NFT19" s="114"/>
      <c r="NFU19" s="110"/>
      <c r="NFV19" s="110"/>
      <c r="NFW19" s="110"/>
      <c r="NFX19" s="110"/>
      <c r="NFY19" s="111"/>
      <c r="NFZ19" s="112"/>
      <c r="NGA19" s="113"/>
      <c r="NGB19" s="110"/>
      <c r="NGC19" s="114"/>
      <c r="NGD19" s="114"/>
      <c r="NGE19" s="110"/>
      <c r="NGF19" s="110"/>
      <c r="NGG19" s="110"/>
      <c r="NGH19" s="110"/>
      <c r="NGI19" s="111"/>
      <c r="NGJ19" s="112"/>
      <c r="NGK19" s="113"/>
      <c r="NGL19" s="110"/>
      <c r="NGM19" s="114"/>
      <c r="NGN19" s="114"/>
      <c r="NGO19" s="110"/>
      <c r="NGP19" s="110"/>
      <c r="NGQ19" s="110"/>
      <c r="NGR19" s="110"/>
      <c r="NGS19" s="111"/>
      <c r="NGT19" s="112"/>
      <c r="NGU19" s="113"/>
      <c r="NGV19" s="110"/>
      <c r="NGW19" s="114"/>
      <c r="NGX19" s="114"/>
      <c r="NGY19" s="110"/>
      <c r="NGZ19" s="110"/>
      <c r="NHA19" s="110"/>
      <c r="NHB19" s="110"/>
      <c r="NHC19" s="111"/>
      <c r="NHD19" s="112"/>
      <c r="NHE19" s="113"/>
      <c r="NHF19" s="110"/>
      <c r="NHG19" s="114"/>
      <c r="NHH19" s="114"/>
      <c r="NHI19" s="110"/>
      <c r="NHJ19" s="110"/>
      <c r="NHK19" s="110"/>
      <c r="NHL19" s="110"/>
      <c r="NHM19" s="111"/>
      <c r="NHN19" s="112"/>
      <c r="NHO19" s="113"/>
      <c r="NHP19" s="110"/>
      <c r="NHQ19" s="114"/>
      <c r="NHR19" s="114"/>
      <c r="NHS19" s="110"/>
      <c r="NHT19" s="110"/>
      <c r="NHU19" s="110"/>
      <c r="NHV19" s="110"/>
      <c r="NHW19" s="111"/>
      <c r="NHX19" s="112"/>
      <c r="NHY19" s="113"/>
      <c r="NHZ19" s="110"/>
      <c r="NIA19" s="114"/>
      <c r="NIB19" s="114"/>
      <c r="NIC19" s="110"/>
      <c r="NID19" s="110"/>
      <c r="NIE19" s="110"/>
      <c r="NIF19" s="110"/>
      <c r="NIG19" s="111"/>
      <c r="NIH19" s="112"/>
      <c r="NII19" s="113"/>
      <c r="NIJ19" s="110"/>
      <c r="NIK19" s="114"/>
      <c r="NIL19" s="114"/>
      <c r="NIM19" s="110"/>
      <c r="NIN19" s="110"/>
      <c r="NIO19" s="110"/>
      <c r="NIP19" s="110"/>
      <c r="NIQ19" s="111"/>
      <c r="NIR19" s="112"/>
      <c r="NIS19" s="113"/>
      <c r="NIT19" s="110"/>
      <c r="NIU19" s="114"/>
      <c r="NIV19" s="114"/>
      <c r="NIW19" s="110"/>
      <c r="NIX19" s="110"/>
      <c r="NIY19" s="110"/>
      <c r="NIZ19" s="110"/>
      <c r="NJA19" s="111"/>
      <c r="NJB19" s="112"/>
      <c r="NJC19" s="113"/>
      <c r="NJD19" s="110"/>
      <c r="NJE19" s="114"/>
      <c r="NJF19" s="114"/>
      <c r="NJG19" s="110"/>
      <c r="NJH19" s="110"/>
      <c r="NJI19" s="110"/>
      <c r="NJJ19" s="110"/>
      <c r="NJK19" s="111"/>
      <c r="NJL19" s="112"/>
      <c r="NJM19" s="113"/>
      <c r="NJN19" s="110"/>
      <c r="NJO19" s="114"/>
      <c r="NJP19" s="114"/>
      <c r="NJQ19" s="110"/>
      <c r="NJR19" s="110"/>
      <c r="NJS19" s="110"/>
      <c r="NJT19" s="110"/>
      <c r="NJU19" s="111"/>
      <c r="NJV19" s="112"/>
      <c r="NJW19" s="113"/>
      <c r="NJX19" s="110"/>
      <c r="NJY19" s="114"/>
      <c r="NJZ19" s="114"/>
      <c r="NKA19" s="110"/>
      <c r="NKB19" s="110"/>
      <c r="NKC19" s="110"/>
      <c r="NKD19" s="110"/>
      <c r="NKE19" s="111"/>
      <c r="NKF19" s="112"/>
      <c r="NKG19" s="113"/>
      <c r="NKH19" s="110"/>
      <c r="NKI19" s="114"/>
      <c r="NKJ19" s="114"/>
      <c r="NKK19" s="110"/>
      <c r="NKL19" s="110"/>
      <c r="NKM19" s="110"/>
      <c r="NKN19" s="110"/>
      <c r="NKO19" s="111"/>
      <c r="NKP19" s="112"/>
      <c r="NKQ19" s="113"/>
      <c r="NKR19" s="110"/>
      <c r="NKS19" s="114"/>
      <c r="NKT19" s="114"/>
      <c r="NKU19" s="110"/>
      <c r="NKV19" s="110"/>
      <c r="NKW19" s="110"/>
      <c r="NKX19" s="110"/>
      <c r="NKY19" s="111"/>
      <c r="NKZ19" s="112"/>
      <c r="NLA19" s="113"/>
      <c r="NLB19" s="110"/>
      <c r="NLC19" s="114"/>
      <c r="NLD19" s="114"/>
      <c r="NLE19" s="110"/>
      <c r="NLF19" s="110"/>
      <c r="NLG19" s="110"/>
      <c r="NLH19" s="110"/>
      <c r="NLI19" s="111"/>
      <c r="NLJ19" s="112"/>
      <c r="NLK19" s="113"/>
      <c r="NLL19" s="110"/>
      <c r="NLM19" s="114"/>
      <c r="NLN19" s="114"/>
      <c r="NLO19" s="110"/>
      <c r="NLP19" s="110"/>
      <c r="NLQ19" s="110"/>
      <c r="NLR19" s="110"/>
      <c r="NLS19" s="111"/>
      <c r="NLT19" s="112"/>
      <c r="NLU19" s="113"/>
      <c r="NLV19" s="110"/>
      <c r="NLW19" s="114"/>
      <c r="NLX19" s="114"/>
      <c r="NLY19" s="110"/>
      <c r="NLZ19" s="110"/>
      <c r="NMA19" s="110"/>
      <c r="NMB19" s="110"/>
      <c r="NMC19" s="111"/>
      <c r="NMD19" s="112"/>
      <c r="NME19" s="113"/>
      <c r="NMF19" s="110"/>
      <c r="NMG19" s="114"/>
      <c r="NMH19" s="114"/>
      <c r="NMI19" s="110"/>
      <c r="NMJ19" s="110"/>
      <c r="NMK19" s="110"/>
      <c r="NML19" s="110"/>
      <c r="NMM19" s="111"/>
      <c r="NMN19" s="112"/>
      <c r="NMO19" s="113"/>
      <c r="NMP19" s="110"/>
      <c r="NMQ19" s="114"/>
      <c r="NMR19" s="114"/>
      <c r="NMS19" s="110"/>
      <c r="NMT19" s="110"/>
      <c r="NMU19" s="110"/>
      <c r="NMV19" s="110"/>
      <c r="NMW19" s="111"/>
      <c r="NMX19" s="112"/>
      <c r="NMY19" s="113"/>
      <c r="NMZ19" s="110"/>
      <c r="NNA19" s="114"/>
      <c r="NNB19" s="114"/>
      <c r="NNC19" s="110"/>
      <c r="NND19" s="110"/>
      <c r="NNE19" s="110"/>
      <c r="NNF19" s="110"/>
      <c r="NNG19" s="111"/>
      <c r="NNH19" s="112"/>
      <c r="NNI19" s="113"/>
      <c r="NNJ19" s="110"/>
      <c r="NNK19" s="114"/>
      <c r="NNL19" s="114"/>
      <c r="NNM19" s="110"/>
      <c r="NNN19" s="110"/>
      <c r="NNO19" s="110"/>
      <c r="NNP19" s="110"/>
      <c r="NNQ19" s="111"/>
      <c r="NNR19" s="112"/>
      <c r="NNS19" s="113"/>
      <c r="NNT19" s="110"/>
      <c r="NNU19" s="114"/>
      <c r="NNV19" s="114"/>
      <c r="NNW19" s="110"/>
      <c r="NNX19" s="110"/>
      <c r="NNY19" s="110"/>
      <c r="NNZ19" s="110"/>
      <c r="NOA19" s="111"/>
      <c r="NOB19" s="112"/>
      <c r="NOC19" s="113"/>
      <c r="NOD19" s="110"/>
      <c r="NOE19" s="114"/>
      <c r="NOF19" s="114"/>
      <c r="NOG19" s="110"/>
      <c r="NOH19" s="110"/>
      <c r="NOI19" s="110"/>
      <c r="NOJ19" s="110"/>
      <c r="NOK19" s="111"/>
      <c r="NOL19" s="112"/>
      <c r="NOM19" s="113"/>
      <c r="NON19" s="110"/>
      <c r="NOO19" s="114"/>
      <c r="NOP19" s="114"/>
      <c r="NOQ19" s="110"/>
      <c r="NOR19" s="110"/>
      <c r="NOS19" s="110"/>
      <c r="NOT19" s="110"/>
      <c r="NOU19" s="111"/>
      <c r="NOV19" s="112"/>
      <c r="NOW19" s="113"/>
      <c r="NOX19" s="110"/>
      <c r="NOY19" s="114"/>
      <c r="NOZ19" s="114"/>
      <c r="NPA19" s="110"/>
      <c r="NPB19" s="110"/>
      <c r="NPC19" s="110"/>
      <c r="NPD19" s="110"/>
      <c r="NPE19" s="111"/>
      <c r="NPF19" s="112"/>
      <c r="NPG19" s="113"/>
      <c r="NPH19" s="110"/>
      <c r="NPI19" s="114"/>
      <c r="NPJ19" s="114"/>
      <c r="NPK19" s="110"/>
      <c r="NPL19" s="110"/>
      <c r="NPM19" s="110"/>
      <c r="NPN19" s="110"/>
      <c r="NPO19" s="111"/>
      <c r="NPP19" s="112"/>
      <c r="NPQ19" s="113"/>
      <c r="NPR19" s="110"/>
      <c r="NPS19" s="114"/>
      <c r="NPT19" s="114"/>
      <c r="NPU19" s="110"/>
      <c r="NPV19" s="110"/>
      <c r="NPW19" s="110"/>
      <c r="NPX19" s="110"/>
      <c r="NPY19" s="111"/>
      <c r="NPZ19" s="112"/>
      <c r="NQA19" s="113"/>
      <c r="NQB19" s="110"/>
      <c r="NQC19" s="114"/>
      <c r="NQD19" s="114"/>
      <c r="NQE19" s="110"/>
      <c r="NQF19" s="110"/>
      <c r="NQG19" s="110"/>
      <c r="NQH19" s="110"/>
      <c r="NQI19" s="111"/>
      <c r="NQJ19" s="112"/>
      <c r="NQK19" s="113"/>
      <c r="NQL19" s="110"/>
      <c r="NQM19" s="114"/>
      <c r="NQN19" s="114"/>
      <c r="NQO19" s="110"/>
      <c r="NQP19" s="110"/>
      <c r="NQQ19" s="110"/>
      <c r="NQR19" s="110"/>
      <c r="NQS19" s="111"/>
      <c r="NQT19" s="112"/>
      <c r="NQU19" s="113"/>
      <c r="NQV19" s="110"/>
      <c r="NQW19" s="114"/>
      <c r="NQX19" s="114"/>
      <c r="NQY19" s="110"/>
      <c r="NQZ19" s="110"/>
      <c r="NRA19" s="110"/>
      <c r="NRB19" s="110"/>
      <c r="NRC19" s="111"/>
      <c r="NRD19" s="112"/>
      <c r="NRE19" s="113"/>
      <c r="NRF19" s="110"/>
      <c r="NRG19" s="114"/>
      <c r="NRH19" s="114"/>
      <c r="NRI19" s="110"/>
      <c r="NRJ19" s="110"/>
      <c r="NRK19" s="110"/>
      <c r="NRL19" s="110"/>
      <c r="NRM19" s="111"/>
      <c r="NRN19" s="112"/>
      <c r="NRO19" s="113"/>
      <c r="NRP19" s="110"/>
      <c r="NRQ19" s="114"/>
      <c r="NRR19" s="114"/>
      <c r="NRS19" s="110"/>
      <c r="NRT19" s="110"/>
      <c r="NRU19" s="110"/>
      <c r="NRV19" s="110"/>
      <c r="NRW19" s="111"/>
      <c r="NRX19" s="112"/>
      <c r="NRY19" s="113"/>
      <c r="NRZ19" s="110"/>
      <c r="NSA19" s="114"/>
      <c r="NSB19" s="114"/>
      <c r="NSC19" s="110"/>
      <c r="NSD19" s="110"/>
      <c r="NSE19" s="110"/>
      <c r="NSF19" s="110"/>
      <c r="NSG19" s="111"/>
      <c r="NSH19" s="112"/>
      <c r="NSI19" s="113"/>
      <c r="NSJ19" s="110"/>
      <c r="NSK19" s="114"/>
      <c r="NSL19" s="114"/>
      <c r="NSM19" s="110"/>
      <c r="NSN19" s="110"/>
      <c r="NSO19" s="110"/>
      <c r="NSP19" s="110"/>
      <c r="NSQ19" s="111"/>
      <c r="NSR19" s="112"/>
      <c r="NSS19" s="113"/>
      <c r="NST19" s="110"/>
      <c r="NSU19" s="114"/>
      <c r="NSV19" s="114"/>
      <c r="NSW19" s="110"/>
      <c r="NSX19" s="110"/>
      <c r="NSY19" s="110"/>
      <c r="NSZ19" s="110"/>
      <c r="NTA19" s="111"/>
      <c r="NTB19" s="112"/>
      <c r="NTC19" s="113"/>
      <c r="NTD19" s="110"/>
      <c r="NTE19" s="114"/>
      <c r="NTF19" s="114"/>
      <c r="NTG19" s="110"/>
      <c r="NTH19" s="110"/>
      <c r="NTI19" s="110"/>
      <c r="NTJ19" s="110"/>
      <c r="NTK19" s="111"/>
      <c r="NTL19" s="112"/>
      <c r="NTM19" s="113"/>
      <c r="NTN19" s="110"/>
      <c r="NTO19" s="114"/>
      <c r="NTP19" s="114"/>
      <c r="NTQ19" s="110"/>
      <c r="NTR19" s="110"/>
      <c r="NTS19" s="110"/>
      <c r="NTT19" s="110"/>
      <c r="NTU19" s="111"/>
      <c r="NTV19" s="112"/>
      <c r="NTW19" s="113"/>
      <c r="NTX19" s="110"/>
      <c r="NTY19" s="114"/>
      <c r="NTZ19" s="114"/>
      <c r="NUA19" s="110"/>
      <c r="NUB19" s="110"/>
      <c r="NUC19" s="110"/>
      <c r="NUD19" s="110"/>
      <c r="NUE19" s="111"/>
      <c r="NUF19" s="112"/>
      <c r="NUG19" s="113"/>
      <c r="NUH19" s="110"/>
      <c r="NUI19" s="114"/>
      <c r="NUJ19" s="114"/>
      <c r="NUK19" s="110"/>
      <c r="NUL19" s="110"/>
      <c r="NUM19" s="110"/>
      <c r="NUN19" s="110"/>
      <c r="NUO19" s="111"/>
      <c r="NUP19" s="112"/>
      <c r="NUQ19" s="113"/>
      <c r="NUR19" s="110"/>
      <c r="NUS19" s="114"/>
      <c r="NUT19" s="114"/>
      <c r="NUU19" s="110"/>
      <c r="NUV19" s="110"/>
      <c r="NUW19" s="110"/>
      <c r="NUX19" s="110"/>
      <c r="NUY19" s="111"/>
      <c r="NUZ19" s="112"/>
      <c r="NVA19" s="113"/>
      <c r="NVB19" s="110"/>
      <c r="NVC19" s="114"/>
      <c r="NVD19" s="114"/>
      <c r="NVE19" s="110"/>
      <c r="NVF19" s="110"/>
      <c r="NVG19" s="110"/>
      <c r="NVH19" s="110"/>
      <c r="NVI19" s="111"/>
      <c r="NVJ19" s="112"/>
      <c r="NVK19" s="113"/>
      <c r="NVL19" s="110"/>
      <c r="NVM19" s="114"/>
      <c r="NVN19" s="114"/>
      <c r="NVO19" s="110"/>
      <c r="NVP19" s="110"/>
      <c r="NVQ19" s="110"/>
      <c r="NVR19" s="110"/>
      <c r="NVS19" s="111"/>
      <c r="NVT19" s="112"/>
      <c r="NVU19" s="113"/>
      <c r="NVV19" s="110"/>
      <c r="NVW19" s="114"/>
      <c r="NVX19" s="114"/>
      <c r="NVY19" s="110"/>
      <c r="NVZ19" s="110"/>
      <c r="NWA19" s="110"/>
      <c r="NWB19" s="110"/>
      <c r="NWC19" s="111"/>
      <c r="NWD19" s="112"/>
      <c r="NWE19" s="113"/>
      <c r="NWF19" s="110"/>
      <c r="NWG19" s="114"/>
      <c r="NWH19" s="114"/>
      <c r="NWI19" s="110"/>
      <c r="NWJ19" s="110"/>
      <c r="NWK19" s="110"/>
      <c r="NWL19" s="110"/>
      <c r="NWM19" s="111"/>
      <c r="NWN19" s="112"/>
      <c r="NWO19" s="113"/>
      <c r="NWP19" s="110"/>
      <c r="NWQ19" s="114"/>
      <c r="NWR19" s="114"/>
      <c r="NWS19" s="110"/>
      <c r="NWT19" s="110"/>
      <c r="NWU19" s="110"/>
      <c r="NWV19" s="110"/>
      <c r="NWW19" s="111"/>
      <c r="NWX19" s="112"/>
      <c r="NWY19" s="113"/>
      <c r="NWZ19" s="110"/>
      <c r="NXA19" s="114"/>
      <c r="NXB19" s="114"/>
      <c r="NXC19" s="110"/>
      <c r="NXD19" s="110"/>
      <c r="NXE19" s="110"/>
      <c r="NXF19" s="110"/>
      <c r="NXG19" s="111"/>
      <c r="NXH19" s="112"/>
      <c r="NXI19" s="113"/>
      <c r="NXJ19" s="110"/>
      <c r="NXK19" s="114"/>
      <c r="NXL19" s="114"/>
      <c r="NXM19" s="110"/>
      <c r="NXN19" s="110"/>
      <c r="NXO19" s="110"/>
      <c r="NXP19" s="110"/>
      <c r="NXQ19" s="111"/>
      <c r="NXR19" s="112"/>
      <c r="NXS19" s="113"/>
      <c r="NXT19" s="110"/>
      <c r="NXU19" s="114"/>
      <c r="NXV19" s="114"/>
      <c r="NXW19" s="110"/>
      <c r="NXX19" s="110"/>
      <c r="NXY19" s="110"/>
      <c r="NXZ19" s="110"/>
      <c r="NYA19" s="111"/>
      <c r="NYB19" s="112"/>
      <c r="NYC19" s="113"/>
      <c r="NYD19" s="110"/>
      <c r="NYE19" s="114"/>
      <c r="NYF19" s="114"/>
      <c r="NYG19" s="110"/>
      <c r="NYH19" s="110"/>
      <c r="NYI19" s="110"/>
      <c r="NYJ19" s="110"/>
      <c r="NYK19" s="111"/>
      <c r="NYL19" s="112"/>
      <c r="NYM19" s="113"/>
      <c r="NYN19" s="110"/>
      <c r="NYO19" s="114"/>
      <c r="NYP19" s="114"/>
      <c r="NYQ19" s="110"/>
      <c r="NYR19" s="110"/>
      <c r="NYS19" s="110"/>
      <c r="NYT19" s="110"/>
      <c r="NYU19" s="111"/>
      <c r="NYV19" s="112"/>
      <c r="NYW19" s="113"/>
      <c r="NYX19" s="110"/>
      <c r="NYY19" s="114"/>
      <c r="NYZ19" s="114"/>
      <c r="NZA19" s="110"/>
      <c r="NZB19" s="110"/>
      <c r="NZC19" s="110"/>
      <c r="NZD19" s="110"/>
      <c r="NZE19" s="111"/>
      <c r="NZF19" s="112"/>
      <c r="NZG19" s="113"/>
      <c r="NZH19" s="110"/>
      <c r="NZI19" s="114"/>
      <c r="NZJ19" s="114"/>
      <c r="NZK19" s="110"/>
      <c r="NZL19" s="110"/>
      <c r="NZM19" s="110"/>
      <c r="NZN19" s="110"/>
      <c r="NZO19" s="111"/>
      <c r="NZP19" s="112"/>
      <c r="NZQ19" s="113"/>
      <c r="NZR19" s="110"/>
      <c r="NZS19" s="114"/>
      <c r="NZT19" s="114"/>
      <c r="NZU19" s="110"/>
      <c r="NZV19" s="110"/>
      <c r="NZW19" s="110"/>
      <c r="NZX19" s="110"/>
      <c r="NZY19" s="111"/>
      <c r="NZZ19" s="112"/>
      <c r="OAA19" s="113"/>
      <c r="OAB19" s="110"/>
      <c r="OAC19" s="114"/>
      <c r="OAD19" s="114"/>
      <c r="OAE19" s="110"/>
      <c r="OAF19" s="110"/>
      <c r="OAG19" s="110"/>
      <c r="OAH19" s="110"/>
      <c r="OAI19" s="111"/>
      <c r="OAJ19" s="112"/>
      <c r="OAK19" s="113"/>
      <c r="OAL19" s="110"/>
      <c r="OAM19" s="114"/>
      <c r="OAN19" s="114"/>
      <c r="OAO19" s="110"/>
      <c r="OAP19" s="110"/>
      <c r="OAQ19" s="110"/>
      <c r="OAR19" s="110"/>
      <c r="OAS19" s="111"/>
      <c r="OAT19" s="112"/>
      <c r="OAU19" s="113"/>
      <c r="OAV19" s="110"/>
      <c r="OAW19" s="114"/>
      <c r="OAX19" s="114"/>
      <c r="OAY19" s="110"/>
      <c r="OAZ19" s="110"/>
      <c r="OBA19" s="110"/>
      <c r="OBB19" s="110"/>
      <c r="OBC19" s="111"/>
      <c r="OBD19" s="112"/>
      <c r="OBE19" s="113"/>
      <c r="OBF19" s="110"/>
      <c r="OBG19" s="114"/>
      <c r="OBH19" s="114"/>
      <c r="OBI19" s="110"/>
      <c r="OBJ19" s="110"/>
      <c r="OBK19" s="110"/>
      <c r="OBL19" s="110"/>
      <c r="OBM19" s="111"/>
      <c r="OBN19" s="112"/>
      <c r="OBO19" s="113"/>
      <c r="OBP19" s="110"/>
      <c r="OBQ19" s="114"/>
      <c r="OBR19" s="114"/>
      <c r="OBS19" s="110"/>
      <c r="OBT19" s="110"/>
      <c r="OBU19" s="110"/>
      <c r="OBV19" s="110"/>
      <c r="OBW19" s="111"/>
      <c r="OBX19" s="112"/>
      <c r="OBY19" s="113"/>
      <c r="OBZ19" s="110"/>
      <c r="OCA19" s="114"/>
      <c r="OCB19" s="114"/>
      <c r="OCC19" s="110"/>
      <c r="OCD19" s="110"/>
      <c r="OCE19" s="110"/>
      <c r="OCF19" s="110"/>
      <c r="OCG19" s="111"/>
      <c r="OCH19" s="112"/>
      <c r="OCI19" s="113"/>
      <c r="OCJ19" s="110"/>
      <c r="OCK19" s="114"/>
      <c r="OCL19" s="114"/>
      <c r="OCM19" s="110"/>
      <c r="OCN19" s="110"/>
      <c r="OCO19" s="110"/>
      <c r="OCP19" s="110"/>
      <c r="OCQ19" s="111"/>
      <c r="OCR19" s="112"/>
      <c r="OCS19" s="113"/>
      <c r="OCT19" s="110"/>
      <c r="OCU19" s="114"/>
      <c r="OCV19" s="114"/>
      <c r="OCW19" s="110"/>
      <c r="OCX19" s="110"/>
      <c r="OCY19" s="110"/>
      <c r="OCZ19" s="110"/>
      <c r="ODA19" s="111"/>
      <c r="ODB19" s="112"/>
      <c r="ODC19" s="113"/>
      <c r="ODD19" s="110"/>
      <c r="ODE19" s="114"/>
      <c r="ODF19" s="114"/>
      <c r="ODG19" s="110"/>
      <c r="ODH19" s="110"/>
      <c r="ODI19" s="110"/>
      <c r="ODJ19" s="110"/>
      <c r="ODK19" s="111"/>
      <c r="ODL19" s="112"/>
      <c r="ODM19" s="113"/>
      <c r="ODN19" s="110"/>
      <c r="ODO19" s="114"/>
      <c r="ODP19" s="114"/>
      <c r="ODQ19" s="110"/>
      <c r="ODR19" s="110"/>
      <c r="ODS19" s="110"/>
      <c r="ODT19" s="110"/>
      <c r="ODU19" s="111"/>
      <c r="ODV19" s="112"/>
      <c r="ODW19" s="113"/>
      <c r="ODX19" s="110"/>
      <c r="ODY19" s="114"/>
      <c r="ODZ19" s="114"/>
      <c r="OEA19" s="110"/>
      <c r="OEB19" s="110"/>
      <c r="OEC19" s="110"/>
      <c r="OED19" s="110"/>
      <c r="OEE19" s="111"/>
      <c r="OEF19" s="112"/>
      <c r="OEG19" s="113"/>
      <c r="OEH19" s="110"/>
      <c r="OEI19" s="114"/>
      <c r="OEJ19" s="114"/>
      <c r="OEK19" s="110"/>
      <c r="OEL19" s="110"/>
      <c r="OEM19" s="110"/>
      <c r="OEN19" s="110"/>
      <c r="OEO19" s="111"/>
      <c r="OEP19" s="112"/>
      <c r="OEQ19" s="113"/>
      <c r="OER19" s="110"/>
      <c r="OES19" s="114"/>
      <c r="OET19" s="114"/>
      <c r="OEU19" s="110"/>
      <c r="OEV19" s="110"/>
      <c r="OEW19" s="110"/>
      <c r="OEX19" s="110"/>
      <c r="OEY19" s="111"/>
      <c r="OEZ19" s="112"/>
      <c r="OFA19" s="113"/>
      <c r="OFB19" s="110"/>
      <c r="OFC19" s="114"/>
      <c r="OFD19" s="114"/>
      <c r="OFE19" s="110"/>
      <c r="OFF19" s="110"/>
      <c r="OFG19" s="110"/>
      <c r="OFH19" s="110"/>
      <c r="OFI19" s="111"/>
      <c r="OFJ19" s="112"/>
      <c r="OFK19" s="113"/>
      <c r="OFL19" s="110"/>
      <c r="OFM19" s="114"/>
      <c r="OFN19" s="114"/>
      <c r="OFO19" s="110"/>
      <c r="OFP19" s="110"/>
      <c r="OFQ19" s="110"/>
      <c r="OFR19" s="110"/>
      <c r="OFS19" s="111"/>
      <c r="OFT19" s="112"/>
      <c r="OFU19" s="113"/>
      <c r="OFV19" s="110"/>
      <c r="OFW19" s="114"/>
      <c r="OFX19" s="114"/>
      <c r="OFY19" s="110"/>
      <c r="OFZ19" s="110"/>
      <c r="OGA19" s="110"/>
      <c r="OGB19" s="110"/>
      <c r="OGC19" s="111"/>
      <c r="OGD19" s="112"/>
      <c r="OGE19" s="113"/>
      <c r="OGF19" s="110"/>
      <c r="OGG19" s="114"/>
      <c r="OGH19" s="114"/>
      <c r="OGI19" s="110"/>
      <c r="OGJ19" s="110"/>
      <c r="OGK19" s="110"/>
      <c r="OGL19" s="110"/>
      <c r="OGM19" s="111"/>
      <c r="OGN19" s="112"/>
      <c r="OGO19" s="113"/>
      <c r="OGP19" s="110"/>
      <c r="OGQ19" s="114"/>
      <c r="OGR19" s="114"/>
      <c r="OGS19" s="110"/>
      <c r="OGT19" s="110"/>
      <c r="OGU19" s="110"/>
      <c r="OGV19" s="110"/>
      <c r="OGW19" s="111"/>
      <c r="OGX19" s="112"/>
      <c r="OGY19" s="113"/>
      <c r="OGZ19" s="110"/>
      <c r="OHA19" s="114"/>
      <c r="OHB19" s="114"/>
      <c r="OHC19" s="110"/>
      <c r="OHD19" s="110"/>
      <c r="OHE19" s="110"/>
      <c r="OHF19" s="110"/>
      <c r="OHG19" s="111"/>
      <c r="OHH19" s="112"/>
      <c r="OHI19" s="113"/>
      <c r="OHJ19" s="110"/>
      <c r="OHK19" s="114"/>
      <c r="OHL19" s="114"/>
      <c r="OHM19" s="110"/>
      <c r="OHN19" s="110"/>
      <c r="OHO19" s="110"/>
      <c r="OHP19" s="110"/>
      <c r="OHQ19" s="111"/>
      <c r="OHR19" s="112"/>
      <c r="OHS19" s="113"/>
      <c r="OHT19" s="110"/>
      <c r="OHU19" s="114"/>
      <c r="OHV19" s="114"/>
      <c r="OHW19" s="110"/>
      <c r="OHX19" s="110"/>
      <c r="OHY19" s="110"/>
      <c r="OHZ19" s="110"/>
      <c r="OIA19" s="111"/>
      <c r="OIB19" s="112"/>
      <c r="OIC19" s="113"/>
      <c r="OID19" s="110"/>
      <c r="OIE19" s="114"/>
      <c r="OIF19" s="114"/>
      <c r="OIG19" s="110"/>
      <c r="OIH19" s="110"/>
      <c r="OII19" s="110"/>
      <c r="OIJ19" s="110"/>
      <c r="OIK19" s="111"/>
      <c r="OIL19" s="112"/>
      <c r="OIM19" s="113"/>
      <c r="OIN19" s="110"/>
      <c r="OIO19" s="114"/>
      <c r="OIP19" s="114"/>
      <c r="OIQ19" s="110"/>
      <c r="OIR19" s="110"/>
      <c r="OIS19" s="110"/>
      <c r="OIT19" s="110"/>
      <c r="OIU19" s="111"/>
      <c r="OIV19" s="112"/>
      <c r="OIW19" s="113"/>
      <c r="OIX19" s="110"/>
      <c r="OIY19" s="114"/>
      <c r="OIZ19" s="114"/>
      <c r="OJA19" s="110"/>
      <c r="OJB19" s="110"/>
      <c r="OJC19" s="110"/>
      <c r="OJD19" s="110"/>
      <c r="OJE19" s="111"/>
      <c r="OJF19" s="112"/>
      <c r="OJG19" s="113"/>
      <c r="OJH19" s="110"/>
      <c r="OJI19" s="114"/>
      <c r="OJJ19" s="114"/>
      <c r="OJK19" s="110"/>
      <c r="OJL19" s="110"/>
      <c r="OJM19" s="110"/>
      <c r="OJN19" s="110"/>
      <c r="OJO19" s="111"/>
      <c r="OJP19" s="112"/>
      <c r="OJQ19" s="113"/>
      <c r="OJR19" s="110"/>
      <c r="OJS19" s="114"/>
      <c r="OJT19" s="114"/>
      <c r="OJU19" s="110"/>
      <c r="OJV19" s="110"/>
      <c r="OJW19" s="110"/>
      <c r="OJX19" s="110"/>
      <c r="OJY19" s="111"/>
      <c r="OJZ19" s="112"/>
      <c r="OKA19" s="113"/>
      <c r="OKB19" s="110"/>
      <c r="OKC19" s="114"/>
      <c r="OKD19" s="114"/>
      <c r="OKE19" s="110"/>
      <c r="OKF19" s="110"/>
      <c r="OKG19" s="110"/>
      <c r="OKH19" s="110"/>
      <c r="OKI19" s="111"/>
      <c r="OKJ19" s="112"/>
      <c r="OKK19" s="113"/>
      <c r="OKL19" s="110"/>
      <c r="OKM19" s="114"/>
      <c r="OKN19" s="114"/>
      <c r="OKO19" s="110"/>
      <c r="OKP19" s="110"/>
      <c r="OKQ19" s="110"/>
      <c r="OKR19" s="110"/>
      <c r="OKS19" s="111"/>
      <c r="OKT19" s="112"/>
      <c r="OKU19" s="113"/>
      <c r="OKV19" s="110"/>
      <c r="OKW19" s="114"/>
      <c r="OKX19" s="114"/>
      <c r="OKY19" s="110"/>
      <c r="OKZ19" s="110"/>
      <c r="OLA19" s="110"/>
      <c r="OLB19" s="110"/>
      <c r="OLC19" s="111"/>
      <c r="OLD19" s="112"/>
      <c r="OLE19" s="113"/>
      <c r="OLF19" s="110"/>
      <c r="OLG19" s="114"/>
      <c r="OLH19" s="114"/>
      <c r="OLI19" s="110"/>
      <c r="OLJ19" s="110"/>
      <c r="OLK19" s="110"/>
      <c r="OLL19" s="110"/>
      <c r="OLM19" s="111"/>
      <c r="OLN19" s="112"/>
      <c r="OLO19" s="113"/>
      <c r="OLP19" s="110"/>
      <c r="OLQ19" s="114"/>
      <c r="OLR19" s="114"/>
      <c r="OLS19" s="110"/>
      <c r="OLT19" s="110"/>
      <c r="OLU19" s="110"/>
      <c r="OLV19" s="110"/>
      <c r="OLW19" s="111"/>
      <c r="OLX19" s="112"/>
      <c r="OLY19" s="113"/>
      <c r="OLZ19" s="110"/>
      <c r="OMA19" s="114"/>
      <c r="OMB19" s="114"/>
      <c r="OMC19" s="110"/>
      <c r="OMD19" s="110"/>
      <c r="OME19" s="110"/>
      <c r="OMF19" s="110"/>
      <c r="OMG19" s="111"/>
      <c r="OMH19" s="112"/>
      <c r="OMI19" s="113"/>
      <c r="OMJ19" s="110"/>
      <c r="OMK19" s="114"/>
      <c r="OML19" s="114"/>
      <c r="OMM19" s="110"/>
      <c r="OMN19" s="110"/>
      <c r="OMO19" s="110"/>
      <c r="OMP19" s="110"/>
      <c r="OMQ19" s="111"/>
      <c r="OMR19" s="112"/>
      <c r="OMS19" s="113"/>
      <c r="OMT19" s="110"/>
      <c r="OMU19" s="114"/>
      <c r="OMV19" s="114"/>
      <c r="OMW19" s="110"/>
      <c r="OMX19" s="110"/>
      <c r="OMY19" s="110"/>
      <c r="OMZ19" s="110"/>
      <c r="ONA19" s="111"/>
      <c r="ONB19" s="112"/>
      <c r="ONC19" s="113"/>
      <c r="OND19" s="110"/>
      <c r="ONE19" s="114"/>
      <c r="ONF19" s="114"/>
      <c r="ONG19" s="110"/>
      <c r="ONH19" s="110"/>
      <c r="ONI19" s="110"/>
      <c r="ONJ19" s="110"/>
      <c r="ONK19" s="111"/>
      <c r="ONL19" s="112"/>
      <c r="ONM19" s="113"/>
      <c r="ONN19" s="110"/>
      <c r="ONO19" s="114"/>
      <c r="ONP19" s="114"/>
      <c r="ONQ19" s="110"/>
      <c r="ONR19" s="110"/>
      <c r="ONS19" s="110"/>
      <c r="ONT19" s="110"/>
      <c r="ONU19" s="111"/>
      <c r="ONV19" s="112"/>
      <c r="ONW19" s="113"/>
      <c r="ONX19" s="110"/>
      <c r="ONY19" s="114"/>
      <c r="ONZ19" s="114"/>
      <c r="OOA19" s="110"/>
      <c r="OOB19" s="110"/>
      <c r="OOC19" s="110"/>
      <c r="OOD19" s="110"/>
      <c r="OOE19" s="111"/>
      <c r="OOF19" s="112"/>
      <c r="OOG19" s="113"/>
      <c r="OOH19" s="110"/>
      <c r="OOI19" s="114"/>
      <c r="OOJ19" s="114"/>
      <c r="OOK19" s="110"/>
      <c r="OOL19" s="110"/>
      <c r="OOM19" s="110"/>
      <c r="OON19" s="110"/>
      <c r="OOO19" s="111"/>
      <c r="OOP19" s="112"/>
      <c r="OOQ19" s="113"/>
      <c r="OOR19" s="110"/>
      <c r="OOS19" s="114"/>
      <c r="OOT19" s="114"/>
      <c r="OOU19" s="110"/>
      <c r="OOV19" s="110"/>
      <c r="OOW19" s="110"/>
      <c r="OOX19" s="110"/>
      <c r="OOY19" s="111"/>
      <c r="OOZ19" s="112"/>
      <c r="OPA19" s="113"/>
      <c r="OPB19" s="110"/>
      <c r="OPC19" s="114"/>
      <c r="OPD19" s="114"/>
      <c r="OPE19" s="110"/>
      <c r="OPF19" s="110"/>
      <c r="OPG19" s="110"/>
      <c r="OPH19" s="110"/>
      <c r="OPI19" s="111"/>
      <c r="OPJ19" s="112"/>
      <c r="OPK19" s="113"/>
      <c r="OPL19" s="110"/>
      <c r="OPM19" s="114"/>
      <c r="OPN19" s="114"/>
      <c r="OPO19" s="110"/>
      <c r="OPP19" s="110"/>
      <c r="OPQ19" s="110"/>
      <c r="OPR19" s="110"/>
      <c r="OPS19" s="111"/>
      <c r="OPT19" s="112"/>
      <c r="OPU19" s="113"/>
      <c r="OPV19" s="110"/>
      <c r="OPW19" s="114"/>
      <c r="OPX19" s="114"/>
      <c r="OPY19" s="110"/>
      <c r="OPZ19" s="110"/>
      <c r="OQA19" s="110"/>
      <c r="OQB19" s="110"/>
      <c r="OQC19" s="111"/>
      <c r="OQD19" s="112"/>
      <c r="OQE19" s="113"/>
      <c r="OQF19" s="110"/>
      <c r="OQG19" s="114"/>
      <c r="OQH19" s="114"/>
      <c r="OQI19" s="110"/>
      <c r="OQJ19" s="110"/>
      <c r="OQK19" s="110"/>
      <c r="OQL19" s="110"/>
      <c r="OQM19" s="111"/>
      <c r="OQN19" s="112"/>
      <c r="OQO19" s="113"/>
      <c r="OQP19" s="110"/>
      <c r="OQQ19" s="114"/>
      <c r="OQR19" s="114"/>
      <c r="OQS19" s="110"/>
      <c r="OQT19" s="110"/>
      <c r="OQU19" s="110"/>
      <c r="OQV19" s="110"/>
      <c r="OQW19" s="111"/>
      <c r="OQX19" s="112"/>
      <c r="OQY19" s="113"/>
      <c r="OQZ19" s="110"/>
      <c r="ORA19" s="114"/>
      <c r="ORB19" s="114"/>
      <c r="ORC19" s="110"/>
      <c r="ORD19" s="110"/>
      <c r="ORE19" s="110"/>
      <c r="ORF19" s="110"/>
      <c r="ORG19" s="111"/>
      <c r="ORH19" s="112"/>
      <c r="ORI19" s="113"/>
      <c r="ORJ19" s="110"/>
      <c r="ORK19" s="114"/>
      <c r="ORL19" s="114"/>
      <c r="ORM19" s="110"/>
      <c r="ORN19" s="110"/>
      <c r="ORO19" s="110"/>
      <c r="ORP19" s="110"/>
      <c r="ORQ19" s="111"/>
      <c r="ORR19" s="112"/>
      <c r="ORS19" s="113"/>
      <c r="ORT19" s="110"/>
      <c r="ORU19" s="114"/>
      <c r="ORV19" s="114"/>
      <c r="ORW19" s="110"/>
      <c r="ORX19" s="110"/>
      <c r="ORY19" s="110"/>
      <c r="ORZ19" s="110"/>
      <c r="OSA19" s="111"/>
      <c r="OSB19" s="112"/>
      <c r="OSC19" s="113"/>
      <c r="OSD19" s="110"/>
      <c r="OSE19" s="114"/>
      <c r="OSF19" s="114"/>
      <c r="OSG19" s="110"/>
      <c r="OSH19" s="110"/>
      <c r="OSI19" s="110"/>
      <c r="OSJ19" s="110"/>
      <c r="OSK19" s="111"/>
      <c r="OSL19" s="112"/>
      <c r="OSM19" s="113"/>
      <c r="OSN19" s="110"/>
      <c r="OSO19" s="114"/>
      <c r="OSP19" s="114"/>
      <c r="OSQ19" s="110"/>
      <c r="OSR19" s="110"/>
      <c r="OSS19" s="110"/>
      <c r="OST19" s="110"/>
      <c r="OSU19" s="111"/>
      <c r="OSV19" s="112"/>
      <c r="OSW19" s="113"/>
      <c r="OSX19" s="110"/>
      <c r="OSY19" s="114"/>
      <c r="OSZ19" s="114"/>
      <c r="OTA19" s="110"/>
      <c r="OTB19" s="110"/>
      <c r="OTC19" s="110"/>
      <c r="OTD19" s="110"/>
      <c r="OTE19" s="111"/>
      <c r="OTF19" s="112"/>
      <c r="OTG19" s="113"/>
      <c r="OTH19" s="110"/>
      <c r="OTI19" s="114"/>
      <c r="OTJ19" s="114"/>
      <c r="OTK19" s="110"/>
      <c r="OTL19" s="110"/>
      <c r="OTM19" s="110"/>
      <c r="OTN19" s="110"/>
      <c r="OTO19" s="111"/>
      <c r="OTP19" s="112"/>
      <c r="OTQ19" s="113"/>
      <c r="OTR19" s="110"/>
      <c r="OTS19" s="114"/>
      <c r="OTT19" s="114"/>
      <c r="OTU19" s="110"/>
      <c r="OTV19" s="110"/>
      <c r="OTW19" s="110"/>
      <c r="OTX19" s="110"/>
      <c r="OTY19" s="111"/>
      <c r="OTZ19" s="112"/>
      <c r="OUA19" s="113"/>
      <c r="OUB19" s="110"/>
      <c r="OUC19" s="114"/>
      <c r="OUD19" s="114"/>
      <c r="OUE19" s="110"/>
      <c r="OUF19" s="110"/>
      <c r="OUG19" s="110"/>
      <c r="OUH19" s="110"/>
      <c r="OUI19" s="111"/>
      <c r="OUJ19" s="112"/>
      <c r="OUK19" s="113"/>
      <c r="OUL19" s="110"/>
      <c r="OUM19" s="114"/>
      <c r="OUN19" s="114"/>
      <c r="OUO19" s="110"/>
      <c r="OUP19" s="110"/>
      <c r="OUQ19" s="110"/>
      <c r="OUR19" s="110"/>
      <c r="OUS19" s="111"/>
      <c r="OUT19" s="112"/>
      <c r="OUU19" s="113"/>
      <c r="OUV19" s="110"/>
      <c r="OUW19" s="114"/>
      <c r="OUX19" s="114"/>
      <c r="OUY19" s="110"/>
      <c r="OUZ19" s="110"/>
      <c r="OVA19" s="110"/>
      <c r="OVB19" s="110"/>
      <c r="OVC19" s="111"/>
      <c r="OVD19" s="112"/>
      <c r="OVE19" s="113"/>
      <c r="OVF19" s="110"/>
      <c r="OVG19" s="114"/>
      <c r="OVH19" s="114"/>
      <c r="OVI19" s="110"/>
      <c r="OVJ19" s="110"/>
      <c r="OVK19" s="110"/>
      <c r="OVL19" s="110"/>
      <c r="OVM19" s="111"/>
      <c r="OVN19" s="112"/>
      <c r="OVO19" s="113"/>
      <c r="OVP19" s="110"/>
      <c r="OVQ19" s="114"/>
      <c r="OVR19" s="114"/>
      <c r="OVS19" s="110"/>
      <c r="OVT19" s="110"/>
      <c r="OVU19" s="110"/>
      <c r="OVV19" s="110"/>
      <c r="OVW19" s="111"/>
      <c r="OVX19" s="112"/>
      <c r="OVY19" s="113"/>
      <c r="OVZ19" s="110"/>
      <c r="OWA19" s="114"/>
      <c r="OWB19" s="114"/>
      <c r="OWC19" s="110"/>
      <c r="OWD19" s="110"/>
      <c r="OWE19" s="110"/>
      <c r="OWF19" s="110"/>
      <c r="OWG19" s="111"/>
      <c r="OWH19" s="112"/>
      <c r="OWI19" s="113"/>
      <c r="OWJ19" s="110"/>
      <c r="OWK19" s="114"/>
      <c r="OWL19" s="114"/>
      <c r="OWM19" s="110"/>
      <c r="OWN19" s="110"/>
      <c r="OWO19" s="110"/>
      <c r="OWP19" s="110"/>
      <c r="OWQ19" s="111"/>
      <c r="OWR19" s="112"/>
      <c r="OWS19" s="113"/>
      <c r="OWT19" s="110"/>
      <c r="OWU19" s="114"/>
      <c r="OWV19" s="114"/>
      <c r="OWW19" s="110"/>
      <c r="OWX19" s="110"/>
      <c r="OWY19" s="110"/>
      <c r="OWZ19" s="110"/>
      <c r="OXA19" s="111"/>
      <c r="OXB19" s="112"/>
      <c r="OXC19" s="113"/>
      <c r="OXD19" s="110"/>
      <c r="OXE19" s="114"/>
      <c r="OXF19" s="114"/>
      <c r="OXG19" s="110"/>
      <c r="OXH19" s="110"/>
      <c r="OXI19" s="110"/>
      <c r="OXJ19" s="110"/>
      <c r="OXK19" s="111"/>
      <c r="OXL19" s="112"/>
      <c r="OXM19" s="113"/>
      <c r="OXN19" s="110"/>
      <c r="OXO19" s="114"/>
      <c r="OXP19" s="114"/>
      <c r="OXQ19" s="110"/>
      <c r="OXR19" s="110"/>
      <c r="OXS19" s="110"/>
      <c r="OXT19" s="110"/>
      <c r="OXU19" s="111"/>
      <c r="OXV19" s="112"/>
      <c r="OXW19" s="113"/>
      <c r="OXX19" s="110"/>
      <c r="OXY19" s="114"/>
      <c r="OXZ19" s="114"/>
      <c r="OYA19" s="110"/>
      <c r="OYB19" s="110"/>
      <c r="OYC19" s="110"/>
      <c r="OYD19" s="110"/>
      <c r="OYE19" s="111"/>
      <c r="OYF19" s="112"/>
      <c r="OYG19" s="113"/>
      <c r="OYH19" s="110"/>
      <c r="OYI19" s="114"/>
      <c r="OYJ19" s="114"/>
      <c r="OYK19" s="110"/>
      <c r="OYL19" s="110"/>
      <c r="OYM19" s="110"/>
      <c r="OYN19" s="110"/>
      <c r="OYO19" s="111"/>
      <c r="OYP19" s="112"/>
      <c r="OYQ19" s="113"/>
      <c r="OYR19" s="110"/>
      <c r="OYS19" s="114"/>
      <c r="OYT19" s="114"/>
      <c r="OYU19" s="110"/>
      <c r="OYV19" s="110"/>
      <c r="OYW19" s="110"/>
      <c r="OYX19" s="110"/>
      <c r="OYY19" s="111"/>
      <c r="OYZ19" s="112"/>
      <c r="OZA19" s="113"/>
      <c r="OZB19" s="110"/>
      <c r="OZC19" s="114"/>
      <c r="OZD19" s="114"/>
      <c r="OZE19" s="110"/>
      <c r="OZF19" s="110"/>
      <c r="OZG19" s="110"/>
      <c r="OZH19" s="110"/>
      <c r="OZI19" s="111"/>
      <c r="OZJ19" s="112"/>
      <c r="OZK19" s="113"/>
      <c r="OZL19" s="110"/>
      <c r="OZM19" s="114"/>
      <c r="OZN19" s="114"/>
      <c r="OZO19" s="110"/>
      <c r="OZP19" s="110"/>
      <c r="OZQ19" s="110"/>
      <c r="OZR19" s="110"/>
      <c r="OZS19" s="111"/>
      <c r="OZT19" s="112"/>
      <c r="OZU19" s="113"/>
      <c r="OZV19" s="110"/>
      <c r="OZW19" s="114"/>
      <c r="OZX19" s="114"/>
      <c r="OZY19" s="110"/>
      <c r="OZZ19" s="110"/>
      <c r="PAA19" s="110"/>
      <c r="PAB19" s="110"/>
      <c r="PAC19" s="111"/>
      <c r="PAD19" s="112"/>
      <c r="PAE19" s="113"/>
      <c r="PAF19" s="110"/>
      <c r="PAG19" s="114"/>
      <c r="PAH19" s="114"/>
      <c r="PAI19" s="110"/>
      <c r="PAJ19" s="110"/>
      <c r="PAK19" s="110"/>
      <c r="PAL19" s="110"/>
      <c r="PAM19" s="111"/>
      <c r="PAN19" s="112"/>
      <c r="PAO19" s="113"/>
      <c r="PAP19" s="110"/>
      <c r="PAQ19" s="114"/>
      <c r="PAR19" s="114"/>
      <c r="PAS19" s="110"/>
      <c r="PAT19" s="110"/>
      <c r="PAU19" s="110"/>
      <c r="PAV19" s="110"/>
      <c r="PAW19" s="111"/>
      <c r="PAX19" s="112"/>
      <c r="PAY19" s="113"/>
      <c r="PAZ19" s="110"/>
      <c r="PBA19" s="114"/>
      <c r="PBB19" s="114"/>
      <c r="PBC19" s="110"/>
      <c r="PBD19" s="110"/>
      <c r="PBE19" s="110"/>
      <c r="PBF19" s="110"/>
      <c r="PBG19" s="111"/>
      <c r="PBH19" s="112"/>
      <c r="PBI19" s="113"/>
      <c r="PBJ19" s="110"/>
      <c r="PBK19" s="114"/>
      <c r="PBL19" s="114"/>
      <c r="PBM19" s="110"/>
      <c r="PBN19" s="110"/>
      <c r="PBO19" s="110"/>
      <c r="PBP19" s="110"/>
      <c r="PBQ19" s="111"/>
      <c r="PBR19" s="112"/>
      <c r="PBS19" s="113"/>
      <c r="PBT19" s="110"/>
      <c r="PBU19" s="114"/>
      <c r="PBV19" s="114"/>
      <c r="PBW19" s="110"/>
      <c r="PBX19" s="110"/>
      <c r="PBY19" s="110"/>
      <c r="PBZ19" s="110"/>
      <c r="PCA19" s="111"/>
      <c r="PCB19" s="112"/>
      <c r="PCC19" s="113"/>
      <c r="PCD19" s="110"/>
      <c r="PCE19" s="114"/>
      <c r="PCF19" s="114"/>
      <c r="PCG19" s="110"/>
      <c r="PCH19" s="110"/>
      <c r="PCI19" s="110"/>
      <c r="PCJ19" s="110"/>
      <c r="PCK19" s="111"/>
      <c r="PCL19" s="112"/>
      <c r="PCM19" s="113"/>
      <c r="PCN19" s="110"/>
      <c r="PCO19" s="114"/>
      <c r="PCP19" s="114"/>
      <c r="PCQ19" s="110"/>
      <c r="PCR19" s="110"/>
      <c r="PCS19" s="110"/>
      <c r="PCT19" s="110"/>
      <c r="PCU19" s="111"/>
      <c r="PCV19" s="112"/>
      <c r="PCW19" s="113"/>
      <c r="PCX19" s="110"/>
      <c r="PCY19" s="114"/>
      <c r="PCZ19" s="114"/>
      <c r="PDA19" s="110"/>
      <c r="PDB19" s="110"/>
      <c r="PDC19" s="110"/>
      <c r="PDD19" s="110"/>
      <c r="PDE19" s="111"/>
      <c r="PDF19" s="112"/>
      <c r="PDG19" s="113"/>
      <c r="PDH19" s="110"/>
      <c r="PDI19" s="114"/>
      <c r="PDJ19" s="114"/>
      <c r="PDK19" s="110"/>
      <c r="PDL19" s="110"/>
      <c r="PDM19" s="110"/>
      <c r="PDN19" s="110"/>
      <c r="PDO19" s="111"/>
      <c r="PDP19" s="112"/>
      <c r="PDQ19" s="113"/>
      <c r="PDR19" s="110"/>
      <c r="PDS19" s="114"/>
      <c r="PDT19" s="114"/>
      <c r="PDU19" s="110"/>
      <c r="PDV19" s="110"/>
      <c r="PDW19" s="110"/>
      <c r="PDX19" s="110"/>
      <c r="PDY19" s="111"/>
      <c r="PDZ19" s="112"/>
      <c r="PEA19" s="113"/>
      <c r="PEB19" s="110"/>
      <c r="PEC19" s="114"/>
      <c r="PED19" s="114"/>
      <c r="PEE19" s="110"/>
      <c r="PEF19" s="110"/>
      <c r="PEG19" s="110"/>
      <c r="PEH19" s="110"/>
      <c r="PEI19" s="111"/>
      <c r="PEJ19" s="112"/>
      <c r="PEK19" s="113"/>
      <c r="PEL19" s="110"/>
      <c r="PEM19" s="114"/>
      <c r="PEN19" s="114"/>
      <c r="PEO19" s="110"/>
      <c r="PEP19" s="110"/>
      <c r="PEQ19" s="110"/>
      <c r="PER19" s="110"/>
      <c r="PES19" s="111"/>
      <c r="PET19" s="112"/>
      <c r="PEU19" s="113"/>
      <c r="PEV19" s="110"/>
      <c r="PEW19" s="114"/>
      <c r="PEX19" s="114"/>
      <c r="PEY19" s="110"/>
      <c r="PEZ19" s="110"/>
      <c r="PFA19" s="110"/>
      <c r="PFB19" s="110"/>
      <c r="PFC19" s="111"/>
      <c r="PFD19" s="112"/>
      <c r="PFE19" s="113"/>
      <c r="PFF19" s="110"/>
      <c r="PFG19" s="114"/>
      <c r="PFH19" s="114"/>
      <c r="PFI19" s="110"/>
      <c r="PFJ19" s="110"/>
      <c r="PFK19" s="110"/>
      <c r="PFL19" s="110"/>
      <c r="PFM19" s="111"/>
      <c r="PFN19" s="112"/>
      <c r="PFO19" s="113"/>
      <c r="PFP19" s="110"/>
      <c r="PFQ19" s="114"/>
      <c r="PFR19" s="114"/>
      <c r="PFS19" s="110"/>
      <c r="PFT19" s="110"/>
      <c r="PFU19" s="110"/>
      <c r="PFV19" s="110"/>
      <c r="PFW19" s="111"/>
      <c r="PFX19" s="112"/>
      <c r="PFY19" s="113"/>
      <c r="PFZ19" s="110"/>
      <c r="PGA19" s="114"/>
      <c r="PGB19" s="114"/>
      <c r="PGC19" s="110"/>
      <c r="PGD19" s="110"/>
      <c r="PGE19" s="110"/>
      <c r="PGF19" s="110"/>
      <c r="PGG19" s="111"/>
      <c r="PGH19" s="112"/>
      <c r="PGI19" s="113"/>
      <c r="PGJ19" s="110"/>
      <c r="PGK19" s="114"/>
      <c r="PGL19" s="114"/>
      <c r="PGM19" s="110"/>
      <c r="PGN19" s="110"/>
      <c r="PGO19" s="110"/>
      <c r="PGP19" s="110"/>
      <c r="PGQ19" s="111"/>
      <c r="PGR19" s="112"/>
      <c r="PGS19" s="113"/>
      <c r="PGT19" s="110"/>
      <c r="PGU19" s="114"/>
      <c r="PGV19" s="114"/>
      <c r="PGW19" s="110"/>
      <c r="PGX19" s="110"/>
      <c r="PGY19" s="110"/>
      <c r="PGZ19" s="110"/>
      <c r="PHA19" s="111"/>
      <c r="PHB19" s="112"/>
      <c r="PHC19" s="113"/>
      <c r="PHD19" s="110"/>
      <c r="PHE19" s="114"/>
      <c r="PHF19" s="114"/>
      <c r="PHG19" s="110"/>
      <c r="PHH19" s="110"/>
      <c r="PHI19" s="110"/>
      <c r="PHJ19" s="110"/>
      <c r="PHK19" s="111"/>
      <c r="PHL19" s="112"/>
      <c r="PHM19" s="113"/>
      <c r="PHN19" s="110"/>
      <c r="PHO19" s="114"/>
      <c r="PHP19" s="114"/>
      <c r="PHQ19" s="110"/>
      <c r="PHR19" s="110"/>
      <c r="PHS19" s="110"/>
      <c r="PHT19" s="110"/>
      <c r="PHU19" s="111"/>
      <c r="PHV19" s="112"/>
      <c r="PHW19" s="113"/>
      <c r="PHX19" s="110"/>
      <c r="PHY19" s="114"/>
      <c r="PHZ19" s="114"/>
      <c r="PIA19" s="110"/>
      <c r="PIB19" s="110"/>
      <c r="PIC19" s="110"/>
      <c r="PID19" s="110"/>
      <c r="PIE19" s="111"/>
      <c r="PIF19" s="112"/>
      <c r="PIG19" s="113"/>
      <c r="PIH19" s="110"/>
      <c r="PII19" s="114"/>
      <c r="PIJ19" s="114"/>
      <c r="PIK19" s="110"/>
      <c r="PIL19" s="110"/>
      <c r="PIM19" s="110"/>
      <c r="PIN19" s="110"/>
      <c r="PIO19" s="111"/>
      <c r="PIP19" s="112"/>
      <c r="PIQ19" s="113"/>
      <c r="PIR19" s="110"/>
      <c r="PIS19" s="114"/>
      <c r="PIT19" s="114"/>
      <c r="PIU19" s="110"/>
      <c r="PIV19" s="110"/>
      <c r="PIW19" s="110"/>
      <c r="PIX19" s="110"/>
      <c r="PIY19" s="111"/>
      <c r="PIZ19" s="112"/>
      <c r="PJA19" s="113"/>
      <c r="PJB19" s="110"/>
      <c r="PJC19" s="114"/>
      <c r="PJD19" s="114"/>
      <c r="PJE19" s="110"/>
      <c r="PJF19" s="110"/>
      <c r="PJG19" s="110"/>
      <c r="PJH19" s="110"/>
      <c r="PJI19" s="111"/>
      <c r="PJJ19" s="112"/>
      <c r="PJK19" s="113"/>
      <c r="PJL19" s="110"/>
      <c r="PJM19" s="114"/>
      <c r="PJN19" s="114"/>
      <c r="PJO19" s="110"/>
      <c r="PJP19" s="110"/>
      <c r="PJQ19" s="110"/>
      <c r="PJR19" s="110"/>
      <c r="PJS19" s="111"/>
      <c r="PJT19" s="112"/>
      <c r="PJU19" s="113"/>
      <c r="PJV19" s="110"/>
      <c r="PJW19" s="114"/>
      <c r="PJX19" s="114"/>
      <c r="PJY19" s="110"/>
      <c r="PJZ19" s="110"/>
      <c r="PKA19" s="110"/>
      <c r="PKB19" s="110"/>
      <c r="PKC19" s="111"/>
      <c r="PKD19" s="112"/>
      <c r="PKE19" s="113"/>
      <c r="PKF19" s="110"/>
      <c r="PKG19" s="114"/>
      <c r="PKH19" s="114"/>
      <c r="PKI19" s="110"/>
      <c r="PKJ19" s="110"/>
      <c r="PKK19" s="110"/>
      <c r="PKL19" s="110"/>
      <c r="PKM19" s="111"/>
      <c r="PKN19" s="112"/>
      <c r="PKO19" s="113"/>
      <c r="PKP19" s="110"/>
      <c r="PKQ19" s="114"/>
      <c r="PKR19" s="114"/>
      <c r="PKS19" s="110"/>
      <c r="PKT19" s="110"/>
      <c r="PKU19" s="110"/>
      <c r="PKV19" s="110"/>
      <c r="PKW19" s="111"/>
      <c r="PKX19" s="112"/>
      <c r="PKY19" s="113"/>
      <c r="PKZ19" s="110"/>
      <c r="PLA19" s="114"/>
      <c r="PLB19" s="114"/>
      <c r="PLC19" s="110"/>
      <c r="PLD19" s="110"/>
      <c r="PLE19" s="110"/>
      <c r="PLF19" s="110"/>
      <c r="PLG19" s="111"/>
      <c r="PLH19" s="112"/>
      <c r="PLI19" s="113"/>
      <c r="PLJ19" s="110"/>
      <c r="PLK19" s="114"/>
      <c r="PLL19" s="114"/>
      <c r="PLM19" s="110"/>
      <c r="PLN19" s="110"/>
      <c r="PLO19" s="110"/>
      <c r="PLP19" s="110"/>
      <c r="PLQ19" s="111"/>
      <c r="PLR19" s="112"/>
      <c r="PLS19" s="113"/>
      <c r="PLT19" s="110"/>
      <c r="PLU19" s="114"/>
      <c r="PLV19" s="114"/>
      <c r="PLW19" s="110"/>
      <c r="PLX19" s="110"/>
      <c r="PLY19" s="110"/>
      <c r="PLZ19" s="110"/>
      <c r="PMA19" s="111"/>
      <c r="PMB19" s="112"/>
      <c r="PMC19" s="113"/>
      <c r="PMD19" s="110"/>
      <c r="PME19" s="114"/>
      <c r="PMF19" s="114"/>
      <c r="PMG19" s="110"/>
      <c r="PMH19" s="110"/>
      <c r="PMI19" s="110"/>
      <c r="PMJ19" s="110"/>
      <c r="PMK19" s="111"/>
      <c r="PML19" s="112"/>
      <c r="PMM19" s="113"/>
      <c r="PMN19" s="110"/>
      <c r="PMO19" s="114"/>
      <c r="PMP19" s="114"/>
      <c r="PMQ19" s="110"/>
      <c r="PMR19" s="110"/>
      <c r="PMS19" s="110"/>
      <c r="PMT19" s="110"/>
      <c r="PMU19" s="111"/>
      <c r="PMV19" s="112"/>
      <c r="PMW19" s="113"/>
      <c r="PMX19" s="110"/>
      <c r="PMY19" s="114"/>
      <c r="PMZ19" s="114"/>
      <c r="PNA19" s="110"/>
      <c r="PNB19" s="110"/>
      <c r="PNC19" s="110"/>
      <c r="PND19" s="110"/>
      <c r="PNE19" s="111"/>
      <c r="PNF19" s="112"/>
      <c r="PNG19" s="113"/>
      <c r="PNH19" s="110"/>
      <c r="PNI19" s="114"/>
      <c r="PNJ19" s="114"/>
      <c r="PNK19" s="110"/>
      <c r="PNL19" s="110"/>
      <c r="PNM19" s="110"/>
      <c r="PNN19" s="110"/>
      <c r="PNO19" s="111"/>
      <c r="PNP19" s="112"/>
      <c r="PNQ19" s="113"/>
      <c r="PNR19" s="110"/>
      <c r="PNS19" s="114"/>
      <c r="PNT19" s="114"/>
      <c r="PNU19" s="110"/>
      <c r="PNV19" s="110"/>
      <c r="PNW19" s="110"/>
      <c r="PNX19" s="110"/>
      <c r="PNY19" s="111"/>
      <c r="PNZ19" s="112"/>
      <c r="POA19" s="113"/>
      <c r="POB19" s="110"/>
      <c r="POC19" s="114"/>
      <c r="POD19" s="114"/>
      <c r="POE19" s="110"/>
      <c r="POF19" s="110"/>
      <c r="POG19" s="110"/>
      <c r="POH19" s="110"/>
      <c r="POI19" s="111"/>
      <c r="POJ19" s="112"/>
      <c r="POK19" s="113"/>
      <c r="POL19" s="110"/>
      <c r="POM19" s="114"/>
      <c r="PON19" s="114"/>
      <c r="POO19" s="110"/>
      <c r="POP19" s="110"/>
      <c r="POQ19" s="110"/>
      <c r="POR19" s="110"/>
      <c r="POS19" s="111"/>
      <c r="POT19" s="112"/>
      <c r="POU19" s="113"/>
      <c r="POV19" s="110"/>
      <c r="POW19" s="114"/>
      <c r="POX19" s="114"/>
      <c r="POY19" s="110"/>
      <c r="POZ19" s="110"/>
      <c r="PPA19" s="110"/>
      <c r="PPB19" s="110"/>
      <c r="PPC19" s="111"/>
      <c r="PPD19" s="112"/>
      <c r="PPE19" s="113"/>
      <c r="PPF19" s="110"/>
      <c r="PPG19" s="114"/>
      <c r="PPH19" s="114"/>
      <c r="PPI19" s="110"/>
      <c r="PPJ19" s="110"/>
      <c r="PPK19" s="110"/>
      <c r="PPL19" s="110"/>
      <c r="PPM19" s="111"/>
      <c r="PPN19" s="112"/>
      <c r="PPO19" s="113"/>
      <c r="PPP19" s="110"/>
      <c r="PPQ19" s="114"/>
      <c r="PPR19" s="114"/>
      <c r="PPS19" s="110"/>
      <c r="PPT19" s="110"/>
      <c r="PPU19" s="110"/>
      <c r="PPV19" s="110"/>
      <c r="PPW19" s="111"/>
      <c r="PPX19" s="112"/>
      <c r="PPY19" s="113"/>
      <c r="PPZ19" s="110"/>
      <c r="PQA19" s="114"/>
      <c r="PQB19" s="114"/>
      <c r="PQC19" s="110"/>
      <c r="PQD19" s="110"/>
      <c r="PQE19" s="110"/>
      <c r="PQF19" s="110"/>
      <c r="PQG19" s="111"/>
      <c r="PQH19" s="112"/>
      <c r="PQI19" s="113"/>
      <c r="PQJ19" s="110"/>
      <c r="PQK19" s="114"/>
      <c r="PQL19" s="114"/>
      <c r="PQM19" s="110"/>
      <c r="PQN19" s="110"/>
      <c r="PQO19" s="110"/>
      <c r="PQP19" s="110"/>
      <c r="PQQ19" s="111"/>
      <c r="PQR19" s="112"/>
      <c r="PQS19" s="113"/>
      <c r="PQT19" s="110"/>
      <c r="PQU19" s="114"/>
      <c r="PQV19" s="114"/>
      <c r="PQW19" s="110"/>
      <c r="PQX19" s="110"/>
      <c r="PQY19" s="110"/>
      <c r="PQZ19" s="110"/>
      <c r="PRA19" s="111"/>
      <c r="PRB19" s="112"/>
      <c r="PRC19" s="113"/>
      <c r="PRD19" s="110"/>
      <c r="PRE19" s="114"/>
      <c r="PRF19" s="114"/>
      <c r="PRG19" s="110"/>
      <c r="PRH19" s="110"/>
      <c r="PRI19" s="110"/>
      <c r="PRJ19" s="110"/>
      <c r="PRK19" s="111"/>
      <c r="PRL19" s="112"/>
      <c r="PRM19" s="113"/>
      <c r="PRN19" s="110"/>
      <c r="PRO19" s="114"/>
      <c r="PRP19" s="114"/>
      <c r="PRQ19" s="110"/>
      <c r="PRR19" s="110"/>
      <c r="PRS19" s="110"/>
      <c r="PRT19" s="110"/>
      <c r="PRU19" s="111"/>
      <c r="PRV19" s="112"/>
      <c r="PRW19" s="113"/>
      <c r="PRX19" s="110"/>
      <c r="PRY19" s="114"/>
      <c r="PRZ19" s="114"/>
      <c r="PSA19" s="110"/>
      <c r="PSB19" s="110"/>
      <c r="PSC19" s="110"/>
      <c r="PSD19" s="110"/>
      <c r="PSE19" s="111"/>
      <c r="PSF19" s="112"/>
      <c r="PSG19" s="113"/>
      <c r="PSH19" s="110"/>
      <c r="PSI19" s="114"/>
      <c r="PSJ19" s="114"/>
      <c r="PSK19" s="110"/>
      <c r="PSL19" s="110"/>
      <c r="PSM19" s="110"/>
      <c r="PSN19" s="110"/>
      <c r="PSO19" s="111"/>
      <c r="PSP19" s="112"/>
      <c r="PSQ19" s="113"/>
      <c r="PSR19" s="110"/>
      <c r="PSS19" s="114"/>
      <c r="PST19" s="114"/>
      <c r="PSU19" s="110"/>
      <c r="PSV19" s="110"/>
      <c r="PSW19" s="110"/>
      <c r="PSX19" s="110"/>
      <c r="PSY19" s="111"/>
      <c r="PSZ19" s="112"/>
      <c r="PTA19" s="113"/>
      <c r="PTB19" s="110"/>
      <c r="PTC19" s="114"/>
      <c r="PTD19" s="114"/>
      <c r="PTE19" s="110"/>
      <c r="PTF19" s="110"/>
      <c r="PTG19" s="110"/>
      <c r="PTH19" s="110"/>
      <c r="PTI19" s="111"/>
      <c r="PTJ19" s="112"/>
      <c r="PTK19" s="113"/>
      <c r="PTL19" s="110"/>
      <c r="PTM19" s="114"/>
      <c r="PTN19" s="114"/>
      <c r="PTO19" s="110"/>
      <c r="PTP19" s="110"/>
      <c r="PTQ19" s="110"/>
      <c r="PTR19" s="110"/>
      <c r="PTS19" s="111"/>
      <c r="PTT19" s="112"/>
      <c r="PTU19" s="113"/>
      <c r="PTV19" s="110"/>
      <c r="PTW19" s="114"/>
      <c r="PTX19" s="114"/>
      <c r="PTY19" s="110"/>
      <c r="PTZ19" s="110"/>
      <c r="PUA19" s="110"/>
      <c r="PUB19" s="110"/>
      <c r="PUC19" s="111"/>
      <c r="PUD19" s="112"/>
      <c r="PUE19" s="113"/>
      <c r="PUF19" s="110"/>
      <c r="PUG19" s="114"/>
      <c r="PUH19" s="114"/>
      <c r="PUI19" s="110"/>
      <c r="PUJ19" s="110"/>
      <c r="PUK19" s="110"/>
      <c r="PUL19" s="110"/>
      <c r="PUM19" s="111"/>
      <c r="PUN19" s="112"/>
      <c r="PUO19" s="113"/>
      <c r="PUP19" s="110"/>
      <c r="PUQ19" s="114"/>
      <c r="PUR19" s="114"/>
      <c r="PUS19" s="110"/>
      <c r="PUT19" s="110"/>
      <c r="PUU19" s="110"/>
      <c r="PUV19" s="110"/>
      <c r="PUW19" s="111"/>
      <c r="PUX19" s="112"/>
      <c r="PUY19" s="113"/>
      <c r="PUZ19" s="110"/>
      <c r="PVA19" s="114"/>
      <c r="PVB19" s="114"/>
      <c r="PVC19" s="110"/>
      <c r="PVD19" s="110"/>
      <c r="PVE19" s="110"/>
      <c r="PVF19" s="110"/>
      <c r="PVG19" s="111"/>
      <c r="PVH19" s="112"/>
      <c r="PVI19" s="113"/>
      <c r="PVJ19" s="110"/>
      <c r="PVK19" s="114"/>
      <c r="PVL19" s="114"/>
      <c r="PVM19" s="110"/>
      <c r="PVN19" s="110"/>
      <c r="PVO19" s="110"/>
      <c r="PVP19" s="110"/>
      <c r="PVQ19" s="111"/>
      <c r="PVR19" s="112"/>
      <c r="PVS19" s="113"/>
      <c r="PVT19" s="110"/>
      <c r="PVU19" s="114"/>
      <c r="PVV19" s="114"/>
      <c r="PVW19" s="110"/>
      <c r="PVX19" s="110"/>
      <c r="PVY19" s="110"/>
      <c r="PVZ19" s="110"/>
      <c r="PWA19" s="111"/>
      <c r="PWB19" s="112"/>
      <c r="PWC19" s="113"/>
      <c r="PWD19" s="110"/>
      <c r="PWE19" s="114"/>
      <c r="PWF19" s="114"/>
      <c r="PWG19" s="110"/>
      <c r="PWH19" s="110"/>
      <c r="PWI19" s="110"/>
      <c r="PWJ19" s="110"/>
      <c r="PWK19" s="111"/>
      <c r="PWL19" s="112"/>
      <c r="PWM19" s="113"/>
      <c r="PWN19" s="110"/>
      <c r="PWO19" s="114"/>
      <c r="PWP19" s="114"/>
      <c r="PWQ19" s="110"/>
      <c r="PWR19" s="110"/>
      <c r="PWS19" s="110"/>
      <c r="PWT19" s="110"/>
      <c r="PWU19" s="111"/>
      <c r="PWV19" s="112"/>
      <c r="PWW19" s="113"/>
      <c r="PWX19" s="110"/>
      <c r="PWY19" s="114"/>
      <c r="PWZ19" s="114"/>
      <c r="PXA19" s="110"/>
      <c r="PXB19" s="110"/>
      <c r="PXC19" s="110"/>
      <c r="PXD19" s="110"/>
      <c r="PXE19" s="111"/>
      <c r="PXF19" s="112"/>
      <c r="PXG19" s="113"/>
      <c r="PXH19" s="110"/>
      <c r="PXI19" s="114"/>
      <c r="PXJ19" s="114"/>
      <c r="PXK19" s="110"/>
      <c r="PXL19" s="110"/>
      <c r="PXM19" s="110"/>
      <c r="PXN19" s="110"/>
      <c r="PXO19" s="111"/>
      <c r="PXP19" s="112"/>
      <c r="PXQ19" s="113"/>
      <c r="PXR19" s="110"/>
      <c r="PXS19" s="114"/>
      <c r="PXT19" s="114"/>
      <c r="PXU19" s="110"/>
      <c r="PXV19" s="110"/>
      <c r="PXW19" s="110"/>
      <c r="PXX19" s="110"/>
      <c r="PXY19" s="111"/>
      <c r="PXZ19" s="112"/>
      <c r="PYA19" s="113"/>
      <c r="PYB19" s="110"/>
      <c r="PYC19" s="114"/>
      <c r="PYD19" s="114"/>
      <c r="PYE19" s="110"/>
      <c r="PYF19" s="110"/>
      <c r="PYG19" s="110"/>
      <c r="PYH19" s="110"/>
      <c r="PYI19" s="111"/>
      <c r="PYJ19" s="112"/>
      <c r="PYK19" s="113"/>
      <c r="PYL19" s="110"/>
      <c r="PYM19" s="114"/>
      <c r="PYN19" s="114"/>
      <c r="PYO19" s="110"/>
      <c r="PYP19" s="110"/>
      <c r="PYQ19" s="110"/>
      <c r="PYR19" s="110"/>
      <c r="PYS19" s="111"/>
      <c r="PYT19" s="112"/>
      <c r="PYU19" s="113"/>
      <c r="PYV19" s="110"/>
      <c r="PYW19" s="114"/>
      <c r="PYX19" s="114"/>
      <c r="PYY19" s="110"/>
      <c r="PYZ19" s="110"/>
      <c r="PZA19" s="110"/>
      <c r="PZB19" s="110"/>
      <c r="PZC19" s="111"/>
      <c r="PZD19" s="112"/>
      <c r="PZE19" s="113"/>
      <c r="PZF19" s="110"/>
      <c r="PZG19" s="114"/>
      <c r="PZH19" s="114"/>
      <c r="PZI19" s="110"/>
      <c r="PZJ19" s="110"/>
      <c r="PZK19" s="110"/>
      <c r="PZL19" s="110"/>
      <c r="PZM19" s="111"/>
      <c r="PZN19" s="112"/>
      <c r="PZO19" s="113"/>
      <c r="PZP19" s="110"/>
      <c r="PZQ19" s="114"/>
      <c r="PZR19" s="114"/>
      <c r="PZS19" s="110"/>
      <c r="PZT19" s="110"/>
      <c r="PZU19" s="110"/>
      <c r="PZV19" s="110"/>
      <c r="PZW19" s="111"/>
      <c r="PZX19" s="112"/>
      <c r="PZY19" s="113"/>
      <c r="PZZ19" s="110"/>
      <c r="QAA19" s="114"/>
      <c r="QAB19" s="114"/>
      <c r="QAC19" s="110"/>
      <c r="QAD19" s="110"/>
      <c r="QAE19" s="110"/>
      <c r="QAF19" s="110"/>
      <c r="QAG19" s="111"/>
      <c r="QAH19" s="112"/>
      <c r="QAI19" s="113"/>
      <c r="QAJ19" s="110"/>
      <c r="QAK19" s="114"/>
      <c r="QAL19" s="114"/>
      <c r="QAM19" s="110"/>
      <c r="QAN19" s="110"/>
      <c r="QAO19" s="110"/>
      <c r="QAP19" s="110"/>
      <c r="QAQ19" s="111"/>
      <c r="QAR19" s="112"/>
      <c r="QAS19" s="113"/>
      <c r="QAT19" s="110"/>
      <c r="QAU19" s="114"/>
      <c r="QAV19" s="114"/>
      <c r="QAW19" s="110"/>
      <c r="QAX19" s="110"/>
      <c r="QAY19" s="110"/>
      <c r="QAZ19" s="110"/>
      <c r="QBA19" s="111"/>
      <c r="QBB19" s="112"/>
      <c r="QBC19" s="113"/>
      <c r="QBD19" s="110"/>
      <c r="QBE19" s="114"/>
      <c r="QBF19" s="114"/>
      <c r="QBG19" s="110"/>
      <c r="QBH19" s="110"/>
      <c r="QBI19" s="110"/>
      <c r="QBJ19" s="110"/>
      <c r="QBK19" s="111"/>
      <c r="QBL19" s="112"/>
      <c r="QBM19" s="113"/>
      <c r="QBN19" s="110"/>
      <c r="QBO19" s="114"/>
      <c r="QBP19" s="114"/>
      <c r="QBQ19" s="110"/>
      <c r="QBR19" s="110"/>
      <c r="QBS19" s="110"/>
      <c r="QBT19" s="110"/>
      <c r="QBU19" s="111"/>
      <c r="QBV19" s="112"/>
      <c r="QBW19" s="113"/>
      <c r="QBX19" s="110"/>
      <c r="QBY19" s="114"/>
      <c r="QBZ19" s="114"/>
      <c r="QCA19" s="110"/>
      <c r="QCB19" s="110"/>
      <c r="QCC19" s="110"/>
      <c r="QCD19" s="110"/>
      <c r="QCE19" s="111"/>
      <c r="QCF19" s="112"/>
      <c r="QCG19" s="113"/>
      <c r="QCH19" s="110"/>
      <c r="QCI19" s="114"/>
      <c r="QCJ19" s="114"/>
      <c r="QCK19" s="110"/>
      <c r="QCL19" s="110"/>
      <c r="QCM19" s="110"/>
      <c r="QCN19" s="110"/>
      <c r="QCO19" s="111"/>
      <c r="QCP19" s="112"/>
      <c r="QCQ19" s="113"/>
      <c r="QCR19" s="110"/>
      <c r="QCS19" s="114"/>
      <c r="QCT19" s="114"/>
      <c r="QCU19" s="110"/>
      <c r="QCV19" s="110"/>
      <c r="QCW19" s="110"/>
      <c r="QCX19" s="110"/>
      <c r="QCY19" s="111"/>
      <c r="QCZ19" s="112"/>
      <c r="QDA19" s="113"/>
      <c r="QDB19" s="110"/>
      <c r="QDC19" s="114"/>
      <c r="QDD19" s="114"/>
      <c r="QDE19" s="110"/>
      <c r="QDF19" s="110"/>
      <c r="QDG19" s="110"/>
      <c r="QDH19" s="110"/>
      <c r="QDI19" s="111"/>
      <c r="QDJ19" s="112"/>
      <c r="QDK19" s="113"/>
      <c r="QDL19" s="110"/>
      <c r="QDM19" s="114"/>
      <c r="QDN19" s="114"/>
      <c r="QDO19" s="110"/>
      <c r="QDP19" s="110"/>
      <c r="QDQ19" s="110"/>
      <c r="QDR19" s="110"/>
      <c r="QDS19" s="111"/>
      <c r="QDT19" s="112"/>
      <c r="QDU19" s="113"/>
      <c r="QDV19" s="110"/>
      <c r="QDW19" s="114"/>
      <c r="QDX19" s="114"/>
      <c r="QDY19" s="110"/>
      <c r="QDZ19" s="110"/>
      <c r="QEA19" s="110"/>
      <c r="QEB19" s="110"/>
      <c r="QEC19" s="111"/>
      <c r="QED19" s="112"/>
      <c r="QEE19" s="113"/>
      <c r="QEF19" s="110"/>
      <c r="QEG19" s="114"/>
      <c r="QEH19" s="114"/>
      <c r="QEI19" s="110"/>
      <c r="QEJ19" s="110"/>
      <c r="QEK19" s="110"/>
      <c r="QEL19" s="110"/>
      <c r="QEM19" s="111"/>
      <c r="QEN19" s="112"/>
      <c r="QEO19" s="113"/>
      <c r="QEP19" s="110"/>
      <c r="QEQ19" s="114"/>
      <c r="QER19" s="114"/>
      <c r="QES19" s="110"/>
      <c r="QET19" s="110"/>
      <c r="QEU19" s="110"/>
      <c r="QEV19" s="110"/>
      <c r="QEW19" s="111"/>
      <c r="QEX19" s="112"/>
      <c r="QEY19" s="113"/>
      <c r="QEZ19" s="110"/>
      <c r="QFA19" s="114"/>
      <c r="QFB19" s="114"/>
      <c r="QFC19" s="110"/>
      <c r="QFD19" s="110"/>
      <c r="QFE19" s="110"/>
      <c r="QFF19" s="110"/>
      <c r="QFG19" s="111"/>
      <c r="QFH19" s="112"/>
      <c r="QFI19" s="113"/>
      <c r="QFJ19" s="110"/>
      <c r="QFK19" s="114"/>
      <c r="QFL19" s="114"/>
      <c r="QFM19" s="110"/>
      <c r="QFN19" s="110"/>
      <c r="QFO19" s="110"/>
      <c r="QFP19" s="110"/>
      <c r="QFQ19" s="111"/>
      <c r="QFR19" s="112"/>
      <c r="QFS19" s="113"/>
      <c r="QFT19" s="110"/>
      <c r="QFU19" s="114"/>
      <c r="QFV19" s="114"/>
      <c r="QFW19" s="110"/>
      <c r="QFX19" s="110"/>
      <c r="QFY19" s="110"/>
      <c r="QFZ19" s="110"/>
      <c r="QGA19" s="111"/>
      <c r="QGB19" s="112"/>
      <c r="QGC19" s="113"/>
      <c r="QGD19" s="110"/>
      <c r="QGE19" s="114"/>
      <c r="QGF19" s="114"/>
      <c r="QGG19" s="110"/>
      <c r="QGH19" s="110"/>
      <c r="QGI19" s="110"/>
      <c r="QGJ19" s="110"/>
      <c r="QGK19" s="111"/>
      <c r="QGL19" s="112"/>
      <c r="QGM19" s="113"/>
      <c r="QGN19" s="110"/>
      <c r="QGO19" s="114"/>
      <c r="QGP19" s="114"/>
      <c r="QGQ19" s="110"/>
      <c r="QGR19" s="110"/>
      <c r="QGS19" s="110"/>
      <c r="QGT19" s="110"/>
      <c r="QGU19" s="111"/>
      <c r="QGV19" s="112"/>
      <c r="QGW19" s="113"/>
      <c r="QGX19" s="110"/>
      <c r="QGY19" s="114"/>
      <c r="QGZ19" s="114"/>
      <c r="QHA19" s="110"/>
      <c r="QHB19" s="110"/>
      <c r="QHC19" s="110"/>
      <c r="QHD19" s="110"/>
      <c r="QHE19" s="111"/>
      <c r="QHF19" s="112"/>
      <c r="QHG19" s="113"/>
      <c r="QHH19" s="110"/>
      <c r="QHI19" s="114"/>
      <c r="QHJ19" s="114"/>
      <c r="QHK19" s="110"/>
      <c r="QHL19" s="110"/>
      <c r="QHM19" s="110"/>
      <c r="QHN19" s="110"/>
      <c r="QHO19" s="111"/>
      <c r="QHP19" s="112"/>
      <c r="QHQ19" s="113"/>
      <c r="QHR19" s="110"/>
      <c r="QHS19" s="114"/>
      <c r="QHT19" s="114"/>
      <c r="QHU19" s="110"/>
      <c r="QHV19" s="110"/>
      <c r="QHW19" s="110"/>
      <c r="QHX19" s="110"/>
      <c r="QHY19" s="111"/>
      <c r="QHZ19" s="112"/>
      <c r="QIA19" s="113"/>
      <c r="QIB19" s="110"/>
      <c r="QIC19" s="114"/>
      <c r="QID19" s="114"/>
      <c r="QIE19" s="110"/>
      <c r="QIF19" s="110"/>
      <c r="QIG19" s="110"/>
      <c r="QIH19" s="110"/>
      <c r="QII19" s="111"/>
      <c r="QIJ19" s="112"/>
      <c r="QIK19" s="113"/>
      <c r="QIL19" s="110"/>
      <c r="QIM19" s="114"/>
      <c r="QIN19" s="114"/>
      <c r="QIO19" s="110"/>
      <c r="QIP19" s="110"/>
      <c r="QIQ19" s="110"/>
      <c r="QIR19" s="110"/>
      <c r="QIS19" s="111"/>
      <c r="QIT19" s="112"/>
      <c r="QIU19" s="113"/>
      <c r="QIV19" s="110"/>
      <c r="QIW19" s="114"/>
      <c r="QIX19" s="114"/>
      <c r="QIY19" s="110"/>
      <c r="QIZ19" s="110"/>
      <c r="QJA19" s="110"/>
      <c r="QJB19" s="110"/>
      <c r="QJC19" s="111"/>
      <c r="QJD19" s="112"/>
      <c r="QJE19" s="113"/>
      <c r="QJF19" s="110"/>
      <c r="QJG19" s="114"/>
      <c r="QJH19" s="114"/>
      <c r="QJI19" s="110"/>
      <c r="QJJ19" s="110"/>
      <c r="QJK19" s="110"/>
      <c r="QJL19" s="110"/>
      <c r="QJM19" s="111"/>
      <c r="QJN19" s="112"/>
      <c r="QJO19" s="113"/>
      <c r="QJP19" s="110"/>
      <c r="QJQ19" s="114"/>
      <c r="QJR19" s="114"/>
      <c r="QJS19" s="110"/>
      <c r="QJT19" s="110"/>
      <c r="QJU19" s="110"/>
      <c r="QJV19" s="110"/>
      <c r="QJW19" s="111"/>
      <c r="QJX19" s="112"/>
      <c r="QJY19" s="113"/>
      <c r="QJZ19" s="110"/>
      <c r="QKA19" s="114"/>
      <c r="QKB19" s="114"/>
      <c r="QKC19" s="110"/>
      <c r="QKD19" s="110"/>
      <c r="QKE19" s="110"/>
      <c r="QKF19" s="110"/>
      <c r="QKG19" s="111"/>
      <c r="QKH19" s="112"/>
      <c r="QKI19" s="113"/>
      <c r="QKJ19" s="110"/>
      <c r="QKK19" s="114"/>
      <c r="QKL19" s="114"/>
      <c r="QKM19" s="110"/>
      <c r="QKN19" s="110"/>
      <c r="QKO19" s="110"/>
      <c r="QKP19" s="110"/>
      <c r="QKQ19" s="111"/>
      <c r="QKR19" s="112"/>
      <c r="QKS19" s="113"/>
      <c r="QKT19" s="110"/>
      <c r="QKU19" s="114"/>
      <c r="QKV19" s="114"/>
      <c r="QKW19" s="110"/>
      <c r="QKX19" s="110"/>
      <c r="QKY19" s="110"/>
      <c r="QKZ19" s="110"/>
      <c r="QLA19" s="111"/>
      <c r="QLB19" s="112"/>
      <c r="QLC19" s="113"/>
      <c r="QLD19" s="110"/>
      <c r="QLE19" s="114"/>
      <c r="QLF19" s="114"/>
      <c r="QLG19" s="110"/>
      <c r="QLH19" s="110"/>
      <c r="QLI19" s="110"/>
      <c r="QLJ19" s="110"/>
      <c r="QLK19" s="111"/>
      <c r="QLL19" s="112"/>
      <c r="QLM19" s="113"/>
      <c r="QLN19" s="110"/>
      <c r="QLO19" s="114"/>
      <c r="QLP19" s="114"/>
      <c r="QLQ19" s="110"/>
      <c r="QLR19" s="110"/>
      <c r="QLS19" s="110"/>
      <c r="QLT19" s="110"/>
      <c r="QLU19" s="111"/>
      <c r="QLV19" s="112"/>
      <c r="QLW19" s="113"/>
      <c r="QLX19" s="110"/>
      <c r="QLY19" s="114"/>
      <c r="QLZ19" s="114"/>
      <c r="QMA19" s="110"/>
      <c r="QMB19" s="110"/>
      <c r="QMC19" s="110"/>
      <c r="QMD19" s="110"/>
      <c r="QME19" s="111"/>
      <c r="QMF19" s="112"/>
      <c r="QMG19" s="113"/>
      <c r="QMH19" s="110"/>
      <c r="QMI19" s="114"/>
      <c r="QMJ19" s="114"/>
      <c r="QMK19" s="110"/>
      <c r="QML19" s="110"/>
      <c r="QMM19" s="110"/>
      <c r="QMN19" s="110"/>
      <c r="QMO19" s="111"/>
      <c r="QMP19" s="112"/>
      <c r="QMQ19" s="113"/>
      <c r="QMR19" s="110"/>
      <c r="QMS19" s="114"/>
      <c r="QMT19" s="114"/>
      <c r="QMU19" s="110"/>
      <c r="QMV19" s="110"/>
      <c r="QMW19" s="110"/>
      <c r="QMX19" s="110"/>
      <c r="QMY19" s="111"/>
      <c r="QMZ19" s="112"/>
      <c r="QNA19" s="113"/>
      <c r="QNB19" s="110"/>
      <c r="QNC19" s="114"/>
      <c r="QND19" s="114"/>
      <c r="QNE19" s="110"/>
      <c r="QNF19" s="110"/>
      <c r="QNG19" s="110"/>
      <c r="QNH19" s="110"/>
      <c r="QNI19" s="111"/>
      <c r="QNJ19" s="112"/>
      <c r="QNK19" s="113"/>
      <c r="QNL19" s="110"/>
      <c r="QNM19" s="114"/>
      <c r="QNN19" s="114"/>
      <c r="QNO19" s="110"/>
      <c r="QNP19" s="110"/>
      <c r="QNQ19" s="110"/>
      <c r="QNR19" s="110"/>
      <c r="QNS19" s="111"/>
      <c r="QNT19" s="112"/>
      <c r="QNU19" s="113"/>
      <c r="QNV19" s="110"/>
      <c r="QNW19" s="114"/>
      <c r="QNX19" s="114"/>
      <c r="QNY19" s="110"/>
      <c r="QNZ19" s="110"/>
      <c r="QOA19" s="110"/>
      <c r="QOB19" s="110"/>
      <c r="QOC19" s="111"/>
      <c r="QOD19" s="112"/>
      <c r="QOE19" s="113"/>
      <c r="QOF19" s="110"/>
      <c r="QOG19" s="114"/>
      <c r="QOH19" s="114"/>
      <c r="QOI19" s="110"/>
      <c r="QOJ19" s="110"/>
      <c r="QOK19" s="110"/>
      <c r="QOL19" s="110"/>
      <c r="QOM19" s="111"/>
      <c r="QON19" s="112"/>
      <c r="QOO19" s="113"/>
      <c r="QOP19" s="110"/>
      <c r="QOQ19" s="114"/>
      <c r="QOR19" s="114"/>
      <c r="QOS19" s="110"/>
      <c r="QOT19" s="110"/>
      <c r="QOU19" s="110"/>
      <c r="QOV19" s="110"/>
      <c r="QOW19" s="111"/>
      <c r="QOX19" s="112"/>
      <c r="QOY19" s="113"/>
      <c r="QOZ19" s="110"/>
      <c r="QPA19" s="114"/>
      <c r="QPB19" s="114"/>
      <c r="QPC19" s="110"/>
      <c r="QPD19" s="110"/>
      <c r="QPE19" s="110"/>
      <c r="QPF19" s="110"/>
      <c r="QPG19" s="111"/>
      <c r="QPH19" s="112"/>
      <c r="QPI19" s="113"/>
      <c r="QPJ19" s="110"/>
      <c r="QPK19" s="114"/>
      <c r="QPL19" s="114"/>
      <c r="QPM19" s="110"/>
      <c r="QPN19" s="110"/>
      <c r="QPO19" s="110"/>
      <c r="QPP19" s="110"/>
      <c r="QPQ19" s="111"/>
      <c r="QPR19" s="112"/>
      <c r="QPS19" s="113"/>
      <c r="QPT19" s="110"/>
      <c r="QPU19" s="114"/>
      <c r="QPV19" s="114"/>
      <c r="QPW19" s="110"/>
      <c r="QPX19" s="110"/>
      <c r="QPY19" s="110"/>
      <c r="QPZ19" s="110"/>
      <c r="QQA19" s="111"/>
      <c r="QQB19" s="112"/>
      <c r="QQC19" s="113"/>
      <c r="QQD19" s="110"/>
      <c r="QQE19" s="114"/>
      <c r="QQF19" s="114"/>
      <c r="QQG19" s="110"/>
      <c r="QQH19" s="110"/>
      <c r="QQI19" s="110"/>
      <c r="QQJ19" s="110"/>
      <c r="QQK19" s="111"/>
      <c r="QQL19" s="112"/>
      <c r="QQM19" s="113"/>
      <c r="QQN19" s="110"/>
      <c r="QQO19" s="114"/>
      <c r="QQP19" s="114"/>
      <c r="QQQ19" s="110"/>
      <c r="QQR19" s="110"/>
      <c r="QQS19" s="110"/>
      <c r="QQT19" s="110"/>
      <c r="QQU19" s="111"/>
      <c r="QQV19" s="112"/>
      <c r="QQW19" s="113"/>
      <c r="QQX19" s="110"/>
      <c r="QQY19" s="114"/>
      <c r="QQZ19" s="114"/>
      <c r="QRA19" s="110"/>
      <c r="QRB19" s="110"/>
      <c r="QRC19" s="110"/>
      <c r="QRD19" s="110"/>
      <c r="QRE19" s="111"/>
      <c r="QRF19" s="112"/>
      <c r="QRG19" s="113"/>
      <c r="QRH19" s="110"/>
      <c r="QRI19" s="114"/>
      <c r="QRJ19" s="114"/>
      <c r="QRK19" s="110"/>
      <c r="QRL19" s="110"/>
      <c r="QRM19" s="110"/>
      <c r="QRN19" s="110"/>
      <c r="QRO19" s="111"/>
      <c r="QRP19" s="112"/>
      <c r="QRQ19" s="113"/>
      <c r="QRR19" s="110"/>
      <c r="QRS19" s="114"/>
      <c r="QRT19" s="114"/>
      <c r="QRU19" s="110"/>
      <c r="QRV19" s="110"/>
      <c r="QRW19" s="110"/>
      <c r="QRX19" s="110"/>
      <c r="QRY19" s="111"/>
      <c r="QRZ19" s="112"/>
      <c r="QSA19" s="113"/>
      <c r="QSB19" s="110"/>
      <c r="QSC19" s="114"/>
      <c r="QSD19" s="114"/>
      <c r="QSE19" s="110"/>
      <c r="QSF19" s="110"/>
      <c r="QSG19" s="110"/>
      <c r="QSH19" s="110"/>
      <c r="QSI19" s="111"/>
      <c r="QSJ19" s="112"/>
      <c r="QSK19" s="113"/>
      <c r="QSL19" s="110"/>
      <c r="QSM19" s="114"/>
      <c r="QSN19" s="114"/>
      <c r="QSO19" s="110"/>
      <c r="QSP19" s="110"/>
      <c r="QSQ19" s="110"/>
      <c r="QSR19" s="110"/>
      <c r="QSS19" s="111"/>
      <c r="QST19" s="112"/>
      <c r="QSU19" s="113"/>
      <c r="QSV19" s="110"/>
      <c r="QSW19" s="114"/>
      <c r="QSX19" s="114"/>
      <c r="QSY19" s="110"/>
      <c r="QSZ19" s="110"/>
      <c r="QTA19" s="110"/>
      <c r="QTB19" s="110"/>
      <c r="QTC19" s="111"/>
      <c r="QTD19" s="112"/>
      <c r="QTE19" s="113"/>
      <c r="QTF19" s="110"/>
      <c r="QTG19" s="114"/>
      <c r="QTH19" s="114"/>
      <c r="QTI19" s="110"/>
      <c r="QTJ19" s="110"/>
      <c r="QTK19" s="110"/>
      <c r="QTL19" s="110"/>
      <c r="QTM19" s="111"/>
      <c r="QTN19" s="112"/>
      <c r="QTO19" s="113"/>
      <c r="QTP19" s="110"/>
      <c r="QTQ19" s="114"/>
      <c r="QTR19" s="114"/>
      <c r="QTS19" s="110"/>
      <c r="QTT19" s="110"/>
      <c r="QTU19" s="110"/>
      <c r="QTV19" s="110"/>
      <c r="QTW19" s="111"/>
      <c r="QTX19" s="112"/>
      <c r="QTY19" s="113"/>
      <c r="QTZ19" s="110"/>
      <c r="QUA19" s="114"/>
      <c r="QUB19" s="114"/>
      <c r="QUC19" s="110"/>
      <c r="QUD19" s="110"/>
      <c r="QUE19" s="110"/>
      <c r="QUF19" s="110"/>
      <c r="QUG19" s="111"/>
      <c r="QUH19" s="112"/>
      <c r="QUI19" s="113"/>
      <c r="QUJ19" s="110"/>
      <c r="QUK19" s="114"/>
      <c r="QUL19" s="114"/>
      <c r="QUM19" s="110"/>
      <c r="QUN19" s="110"/>
      <c r="QUO19" s="110"/>
      <c r="QUP19" s="110"/>
      <c r="QUQ19" s="111"/>
      <c r="QUR19" s="112"/>
      <c r="QUS19" s="113"/>
      <c r="QUT19" s="110"/>
      <c r="QUU19" s="114"/>
      <c r="QUV19" s="114"/>
      <c r="QUW19" s="110"/>
      <c r="QUX19" s="110"/>
      <c r="QUY19" s="110"/>
      <c r="QUZ19" s="110"/>
      <c r="QVA19" s="111"/>
      <c r="QVB19" s="112"/>
      <c r="QVC19" s="113"/>
      <c r="QVD19" s="110"/>
      <c r="QVE19" s="114"/>
      <c r="QVF19" s="114"/>
      <c r="QVG19" s="110"/>
      <c r="QVH19" s="110"/>
      <c r="QVI19" s="110"/>
      <c r="QVJ19" s="110"/>
      <c r="QVK19" s="111"/>
      <c r="QVL19" s="112"/>
      <c r="QVM19" s="113"/>
      <c r="QVN19" s="110"/>
      <c r="QVO19" s="114"/>
      <c r="QVP19" s="114"/>
      <c r="QVQ19" s="110"/>
      <c r="QVR19" s="110"/>
      <c r="QVS19" s="110"/>
      <c r="QVT19" s="110"/>
      <c r="QVU19" s="111"/>
      <c r="QVV19" s="112"/>
      <c r="QVW19" s="113"/>
      <c r="QVX19" s="110"/>
      <c r="QVY19" s="114"/>
      <c r="QVZ19" s="114"/>
      <c r="QWA19" s="110"/>
      <c r="QWB19" s="110"/>
      <c r="QWC19" s="110"/>
      <c r="QWD19" s="110"/>
      <c r="QWE19" s="111"/>
      <c r="QWF19" s="112"/>
      <c r="QWG19" s="113"/>
      <c r="QWH19" s="110"/>
      <c r="QWI19" s="114"/>
      <c r="QWJ19" s="114"/>
      <c r="QWK19" s="110"/>
      <c r="QWL19" s="110"/>
      <c r="QWM19" s="110"/>
      <c r="QWN19" s="110"/>
      <c r="QWO19" s="111"/>
      <c r="QWP19" s="112"/>
      <c r="QWQ19" s="113"/>
      <c r="QWR19" s="110"/>
      <c r="QWS19" s="114"/>
      <c r="QWT19" s="114"/>
      <c r="QWU19" s="110"/>
      <c r="QWV19" s="110"/>
      <c r="QWW19" s="110"/>
      <c r="QWX19" s="110"/>
      <c r="QWY19" s="111"/>
      <c r="QWZ19" s="112"/>
      <c r="QXA19" s="113"/>
      <c r="QXB19" s="110"/>
      <c r="QXC19" s="114"/>
      <c r="QXD19" s="114"/>
      <c r="QXE19" s="110"/>
      <c r="QXF19" s="110"/>
      <c r="QXG19" s="110"/>
      <c r="QXH19" s="110"/>
      <c r="QXI19" s="111"/>
      <c r="QXJ19" s="112"/>
      <c r="QXK19" s="113"/>
      <c r="QXL19" s="110"/>
      <c r="QXM19" s="114"/>
      <c r="QXN19" s="114"/>
      <c r="QXO19" s="110"/>
      <c r="QXP19" s="110"/>
      <c r="QXQ19" s="110"/>
      <c r="QXR19" s="110"/>
      <c r="QXS19" s="111"/>
      <c r="QXT19" s="112"/>
      <c r="QXU19" s="113"/>
      <c r="QXV19" s="110"/>
      <c r="QXW19" s="114"/>
      <c r="QXX19" s="114"/>
      <c r="QXY19" s="110"/>
      <c r="QXZ19" s="110"/>
      <c r="QYA19" s="110"/>
      <c r="QYB19" s="110"/>
      <c r="QYC19" s="111"/>
      <c r="QYD19" s="112"/>
      <c r="QYE19" s="113"/>
      <c r="QYF19" s="110"/>
      <c r="QYG19" s="114"/>
      <c r="QYH19" s="114"/>
      <c r="QYI19" s="110"/>
      <c r="QYJ19" s="110"/>
      <c r="QYK19" s="110"/>
      <c r="QYL19" s="110"/>
      <c r="QYM19" s="111"/>
      <c r="QYN19" s="112"/>
      <c r="QYO19" s="113"/>
      <c r="QYP19" s="110"/>
      <c r="QYQ19" s="114"/>
      <c r="QYR19" s="114"/>
      <c r="QYS19" s="110"/>
      <c r="QYT19" s="110"/>
      <c r="QYU19" s="110"/>
      <c r="QYV19" s="110"/>
      <c r="QYW19" s="111"/>
      <c r="QYX19" s="112"/>
      <c r="QYY19" s="113"/>
      <c r="QYZ19" s="110"/>
      <c r="QZA19" s="114"/>
      <c r="QZB19" s="114"/>
      <c r="QZC19" s="110"/>
      <c r="QZD19" s="110"/>
      <c r="QZE19" s="110"/>
      <c r="QZF19" s="110"/>
      <c r="QZG19" s="111"/>
      <c r="QZH19" s="112"/>
      <c r="QZI19" s="113"/>
      <c r="QZJ19" s="110"/>
      <c r="QZK19" s="114"/>
      <c r="QZL19" s="114"/>
      <c r="QZM19" s="110"/>
      <c r="QZN19" s="110"/>
      <c r="QZO19" s="110"/>
      <c r="QZP19" s="110"/>
      <c r="QZQ19" s="111"/>
      <c r="QZR19" s="112"/>
      <c r="QZS19" s="113"/>
      <c r="QZT19" s="110"/>
      <c r="QZU19" s="114"/>
      <c r="QZV19" s="114"/>
      <c r="QZW19" s="110"/>
      <c r="QZX19" s="110"/>
      <c r="QZY19" s="110"/>
      <c r="QZZ19" s="110"/>
      <c r="RAA19" s="111"/>
      <c r="RAB19" s="112"/>
      <c r="RAC19" s="113"/>
      <c r="RAD19" s="110"/>
      <c r="RAE19" s="114"/>
      <c r="RAF19" s="114"/>
      <c r="RAG19" s="110"/>
      <c r="RAH19" s="110"/>
      <c r="RAI19" s="110"/>
      <c r="RAJ19" s="110"/>
      <c r="RAK19" s="111"/>
      <c r="RAL19" s="112"/>
      <c r="RAM19" s="113"/>
      <c r="RAN19" s="110"/>
      <c r="RAO19" s="114"/>
      <c r="RAP19" s="114"/>
      <c r="RAQ19" s="110"/>
      <c r="RAR19" s="110"/>
      <c r="RAS19" s="110"/>
      <c r="RAT19" s="110"/>
      <c r="RAU19" s="111"/>
      <c r="RAV19" s="112"/>
      <c r="RAW19" s="113"/>
      <c r="RAX19" s="110"/>
      <c r="RAY19" s="114"/>
      <c r="RAZ19" s="114"/>
      <c r="RBA19" s="110"/>
      <c r="RBB19" s="110"/>
      <c r="RBC19" s="110"/>
      <c r="RBD19" s="110"/>
      <c r="RBE19" s="111"/>
      <c r="RBF19" s="112"/>
      <c r="RBG19" s="113"/>
      <c r="RBH19" s="110"/>
      <c r="RBI19" s="114"/>
      <c r="RBJ19" s="114"/>
      <c r="RBK19" s="110"/>
      <c r="RBL19" s="110"/>
      <c r="RBM19" s="110"/>
      <c r="RBN19" s="110"/>
      <c r="RBO19" s="111"/>
      <c r="RBP19" s="112"/>
      <c r="RBQ19" s="113"/>
      <c r="RBR19" s="110"/>
      <c r="RBS19" s="114"/>
      <c r="RBT19" s="114"/>
      <c r="RBU19" s="110"/>
      <c r="RBV19" s="110"/>
      <c r="RBW19" s="110"/>
      <c r="RBX19" s="110"/>
      <c r="RBY19" s="111"/>
      <c r="RBZ19" s="112"/>
      <c r="RCA19" s="113"/>
      <c r="RCB19" s="110"/>
      <c r="RCC19" s="114"/>
      <c r="RCD19" s="114"/>
      <c r="RCE19" s="110"/>
      <c r="RCF19" s="110"/>
      <c r="RCG19" s="110"/>
      <c r="RCH19" s="110"/>
      <c r="RCI19" s="111"/>
      <c r="RCJ19" s="112"/>
      <c r="RCK19" s="113"/>
      <c r="RCL19" s="110"/>
      <c r="RCM19" s="114"/>
      <c r="RCN19" s="114"/>
      <c r="RCO19" s="110"/>
      <c r="RCP19" s="110"/>
      <c r="RCQ19" s="110"/>
      <c r="RCR19" s="110"/>
      <c r="RCS19" s="111"/>
      <c r="RCT19" s="112"/>
      <c r="RCU19" s="113"/>
      <c r="RCV19" s="110"/>
      <c r="RCW19" s="114"/>
      <c r="RCX19" s="114"/>
      <c r="RCY19" s="110"/>
      <c r="RCZ19" s="110"/>
      <c r="RDA19" s="110"/>
      <c r="RDB19" s="110"/>
      <c r="RDC19" s="111"/>
      <c r="RDD19" s="112"/>
      <c r="RDE19" s="113"/>
      <c r="RDF19" s="110"/>
      <c r="RDG19" s="114"/>
      <c r="RDH19" s="114"/>
      <c r="RDI19" s="110"/>
      <c r="RDJ19" s="110"/>
      <c r="RDK19" s="110"/>
      <c r="RDL19" s="110"/>
      <c r="RDM19" s="111"/>
      <c r="RDN19" s="112"/>
      <c r="RDO19" s="113"/>
      <c r="RDP19" s="110"/>
      <c r="RDQ19" s="114"/>
      <c r="RDR19" s="114"/>
      <c r="RDS19" s="110"/>
      <c r="RDT19" s="110"/>
      <c r="RDU19" s="110"/>
      <c r="RDV19" s="110"/>
      <c r="RDW19" s="111"/>
      <c r="RDX19" s="112"/>
      <c r="RDY19" s="113"/>
      <c r="RDZ19" s="110"/>
      <c r="REA19" s="114"/>
      <c r="REB19" s="114"/>
      <c r="REC19" s="110"/>
      <c r="RED19" s="110"/>
      <c r="REE19" s="110"/>
      <c r="REF19" s="110"/>
      <c r="REG19" s="111"/>
      <c r="REH19" s="112"/>
      <c r="REI19" s="113"/>
      <c r="REJ19" s="110"/>
      <c r="REK19" s="114"/>
      <c r="REL19" s="114"/>
      <c r="REM19" s="110"/>
      <c r="REN19" s="110"/>
      <c r="REO19" s="110"/>
      <c r="REP19" s="110"/>
      <c r="REQ19" s="111"/>
      <c r="RER19" s="112"/>
      <c r="RES19" s="113"/>
      <c r="RET19" s="110"/>
      <c r="REU19" s="114"/>
      <c r="REV19" s="114"/>
      <c r="REW19" s="110"/>
      <c r="REX19" s="110"/>
      <c r="REY19" s="110"/>
      <c r="REZ19" s="110"/>
      <c r="RFA19" s="111"/>
      <c r="RFB19" s="112"/>
      <c r="RFC19" s="113"/>
      <c r="RFD19" s="110"/>
      <c r="RFE19" s="114"/>
      <c r="RFF19" s="114"/>
      <c r="RFG19" s="110"/>
      <c r="RFH19" s="110"/>
      <c r="RFI19" s="110"/>
      <c r="RFJ19" s="110"/>
      <c r="RFK19" s="111"/>
      <c r="RFL19" s="112"/>
      <c r="RFM19" s="113"/>
      <c r="RFN19" s="110"/>
      <c r="RFO19" s="114"/>
      <c r="RFP19" s="114"/>
      <c r="RFQ19" s="110"/>
      <c r="RFR19" s="110"/>
      <c r="RFS19" s="110"/>
      <c r="RFT19" s="110"/>
      <c r="RFU19" s="111"/>
      <c r="RFV19" s="112"/>
      <c r="RFW19" s="113"/>
      <c r="RFX19" s="110"/>
      <c r="RFY19" s="114"/>
      <c r="RFZ19" s="114"/>
      <c r="RGA19" s="110"/>
      <c r="RGB19" s="110"/>
      <c r="RGC19" s="110"/>
      <c r="RGD19" s="110"/>
      <c r="RGE19" s="111"/>
      <c r="RGF19" s="112"/>
      <c r="RGG19" s="113"/>
      <c r="RGH19" s="110"/>
      <c r="RGI19" s="114"/>
      <c r="RGJ19" s="114"/>
      <c r="RGK19" s="110"/>
      <c r="RGL19" s="110"/>
      <c r="RGM19" s="110"/>
      <c r="RGN19" s="110"/>
      <c r="RGO19" s="111"/>
      <c r="RGP19" s="112"/>
      <c r="RGQ19" s="113"/>
      <c r="RGR19" s="110"/>
      <c r="RGS19" s="114"/>
      <c r="RGT19" s="114"/>
      <c r="RGU19" s="110"/>
      <c r="RGV19" s="110"/>
      <c r="RGW19" s="110"/>
      <c r="RGX19" s="110"/>
      <c r="RGY19" s="111"/>
      <c r="RGZ19" s="112"/>
      <c r="RHA19" s="113"/>
      <c r="RHB19" s="110"/>
      <c r="RHC19" s="114"/>
      <c r="RHD19" s="114"/>
      <c r="RHE19" s="110"/>
      <c r="RHF19" s="110"/>
      <c r="RHG19" s="110"/>
      <c r="RHH19" s="110"/>
      <c r="RHI19" s="111"/>
      <c r="RHJ19" s="112"/>
      <c r="RHK19" s="113"/>
      <c r="RHL19" s="110"/>
      <c r="RHM19" s="114"/>
      <c r="RHN19" s="114"/>
      <c r="RHO19" s="110"/>
      <c r="RHP19" s="110"/>
      <c r="RHQ19" s="110"/>
      <c r="RHR19" s="110"/>
      <c r="RHS19" s="111"/>
      <c r="RHT19" s="112"/>
      <c r="RHU19" s="113"/>
      <c r="RHV19" s="110"/>
      <c r="RHW19" s="114"/>
      <c r="RHX19" s="114"/>
      <c r="RHY19" s="110"/>
      <c r="RHZ19" s="110"/>
      <c r="RIA19" s="110"/>
      <c r="RIB19" s="110"/>
      <c r="RIC19" s="111"/>
      <c r="RID19" s="112"/>
      <c r="RIE19" s="113"/>
      <c r="RIF19" s="110"/>
      <c r="RIG19" s="114"/>
      <c r="RIH19" s="114"/>
      <c r="RII19" s="110"/>
      <c r="RIJ19" s="110"/>
      <c r="RIK19" s="110"/>
      <c r="RIL19" s="110"/>
      <c r="RIM19" s="111"/>
      <c r="RIN19" s="112"/>
      <c r="RIO19" s="113"/>
      <c r="RIP19" s="110"/>
      <c r="RIQ19" s="114"/>
      <c r="RIR19" s="114"/>
      <c r="RIS19" s="110"/>
      <c r="RIT19" s="110"/>
      <c r="RIU19" s="110"/>
      <c r="RIV19" s="110"/>
      <c r="RIW19" s="111"/>
      <c r="RIX19" s="112"/>
      <c r="RIY19" s="113"/>
      <c r="RIZ19" s="110"/>
      <c r="RJA19" s="114"/>
      <c r="RJB19" s="114"/>
      <c r="RJC19" s="110"/>
      <c r="RJD19" s="110"/>
      <c r="RJE19" s="110"/>
      <c r="RJF19" s="110"/>
      <c r="RJG19" s="111"/>
      <c r="RJH19" s="112"/>
      <c r="RJI19" s="113"/>
      <c r="RJJ19" s="110"/>
      <c r="RJK19" s="114"/>
      <c r="RJL19" s="114"/>
      <c r="RJM19" s="110"/>
      <c r="RJN19" s="110"/>
      <c r="RJO19" s="110"/>
      <c r="RJP19" s="110"/>
      <c r="RJQ19" s="111"/>
      <c r="RJR19" s="112"/>
      <c r="RJS19" s="113"/>
      <c r="RJT19" s="110"/>
      <c r="RJU19" s="114"/>
      <c r="RJV19" s="114"/>
      <c r="RJW19" s="110"/>
      <c r="RJX19" s="110"/>
      <c r="RJY19" s="110"/>
      <c r="RJZ19" s="110"/>
      <c r="RKA19" s="111"/>
      <c r="RKB19" s="112"/>
      <c r="RKC19" s="113"/>
      <c r="RKD19" s="110"/>
      <c r="RKE19" s="114"/>
      <c r="RKF19" s="114"/>
      <c r="RKG19" s="110"/>
      <c r="RKH19" s="110"/>
      <c r="RKI19" s="110"/>
      <c r="RKJ19" s="110"/>
      <c r="RKK19" s="111"/>
      <c r="RKL19" s="112"/>
      <c r="RKM19" s="113"/>
      <c r="RKN19" s="110"/>
      <c r="RKO19" s="114"/>
      <c r="RKP19" s="114"/>
      <c r="RKQ19" s="110"/>
      <c r="RKR19" s="110"/>
      <c r="RKS19" s="110"/>
      <c r="RKT19" s="110"/>
      <c r="RKU19" s="111"/>
      <c r="RKV19" s="112"/>
      <c r="RKW19" s="113"/>
      <c r="RKX19" s="110"/>
      <c r="RKY19" s="114"/>
      <c r="RKZ19" s="114"/>
      <c r="RLA19" s="110"/>
      <c r="RLB19" s="110"/>
      <c r="RLC19" s="110"/>
      <c r="RLD19" s="110"/>
      <c r="RLE19" s="111"/>
      <c r="RLF19" s="112"/>
      <c r="RLG19" s="113"/>
      <c r="RLH19" s="110"/>
      <c r="RLI19" s="114"/>
      <c r="RLJ19" s="114"/>
      <c r="RLK19" s="110"/>
      <c r="RLL19" s="110"/>
      <c r="RLM19" s="110"/>
      <c r="RLN19" s="110"/>
      <c r="RLO19" s="111"/>
      <c r="RLP19" s="112"/>
      <c r="RLQ19" s="113"/>
      <c r="RLR19" s="110"/>
      <c r="RLS19" s="114"/>
      <c r="RLT19" s="114"/>
      <c r="RLU19" s="110"/>
      <c r="RLV19" s="110"/>
      <c r="RLW19" s="110"/>
      <c r="RLX19" s="110"/>
      <c r="RLY19" s="111"/>
      <c r="RLZ19" s="112"/>
      <c r="RMA19" s="113"/>
      <c r="RMB19" s="110"/>
      <c r="RMC19" s="114"/>
      <c r="RMD19" s="114"/>
      <c r="RME19" s="110"/>
      <c r="RMF19" s="110"/>
      <c r="RMG19" s="110"/>
      <c r="RMH19" s="110"/>
      <c r="RMI19" s="111"/>
      <c r="RMJ19" s="112"/>
      <c r="RMK19" s="113"/>
      <c r="RML19" s="110"/>
      <c r="RMM19" s="114"/>
      <c r="RMN19" s="114"/>
      <c r="RMO19" s="110"/>
      <c r="RMP19" s="110"/>
      <c r="RMQ19" s="110"/>
      <c r="RMR19" s="110"/>
      <c r="RMS19" s="111"/>
      <c r="RMT19" s="112"/>
      <c r="RMU19" s="113"/>
      <c r="RMV19" s="110"/>
      <c r="RMW19" s="114"/>
      <c r="RMX19" s="114"/>
      <c r="RMY19" s="110"/>
      <c r="RMZ19" s="110"/>
      <c r="RNA19" s="110"/>
      <c r="RNB19" s="110"/>
      <c r="RNC19" s="111"/>
      <c r="RND19" s="112"/>
      <c r="RNE19" s="113"/>
      <c r="RNF19" s="110"/>
      <c r="RNG19" s="114"/>
      <c r="RNH19" s="114"/>
      <c r="RNI19" s="110"/>
      <c r="RNJ19" s="110"/>
      <c r="RNK19" s="110"/>
      <c r="RNL19" s="110"/>
      <c r="RNM19" s="111"/>
      <c r="RNN19" s="112"/>
      <c r="RNO19" s="113"/>
      <c r="RNP19" s="110"/>
      <c r="RNQ19" s="114"/>
      <c r="RNR19" s="114"/>
      <c r="RNS19" s="110"/>
      <c r="RNT19" s="110"/>
      <c r="RNU19" s="110"/>
      <c r="RNV19" s="110"/>
      <c r="RNW19" s="111"/>
      <c r="RNX19" s="112"/>
      <c r="RNY19" s="113"/>
      <c r="RNZ19" s="110"/>
      <c r="ROA19" s="114"/>
      <c r="ROB19" s="114"/>
      <c r="ROC19" s="110"/>
      <c r="ROD19" s="110"/>
      <c r="ROE19" s="110"/>
      <c r="ROF19" s="110"/>
      <c r="ROG19" s="111"/>
      <c r="ROH19" s="112"/>
      <c r="ROI19" s="113"/>
      <c r="ROJ19" s="110"/>
      <c r="ROK19" s="114"/>
      <c r="ROL19" s="114"/>
      <c r="ROM19" s="110"/>
      <c r="RON19" s="110"/>
      <c r="ROO19" s="110"/>
      <c r="ROP19" s="110"/>
      <c r="ROQ19" s="111"/>
      <c r="ROR19" s="112"/>
      <c r="ROS19" s="113"/>
      <c r="ROT19" s="110"/>
      <c r="ROU19" s="114"/>
      <c r="ROV19" s="114"/>
      <c r="ROW19" s="110"/>
      <c r="ROX19" s="110"/>
      <c r="ROY19" s="110"/>
      <c r="ROZ19" s="110"/>
      <c r="RPA19" s="111"/>
      <c r="RPB19" s="112"/>
      <c r="RPC19" s="113"/>
      <c r="RPD19" s="110"/>
      <c r="RPE19" s="114"/>
      <c r="RPF19" s="114"/>
      <c r="RPG19" s="110"/>
      <c r="RPH19" s="110"/>
      <c r="RPI19" s="110"/>
      <c r="RPJ19" s="110"/>
      <c r="RPK19" s="111"/>
      <c r="RPL19" s="112"/>
      <c r="RPM19" s="113"/>
      <c r="RPN19" s="110"/>
      <c r="RPO19" s="114"/>
      <c r="RPP19" s="114"/>
      <c r="RPQ19" s="110"/>
      <c r="RPR19" s="110"/>
      <c r="RPS19" s="110"/>
      <c r="RPT19" s="110"/>
      <c r="RPU19" s="111"/>
      <c r="RPV19" s="112"/>
      <c r="RPW19" s="113"/>
      <c r="RPX19" s="110"/>
      <c r="RPY19" s="114"/>
      <c r="RPZ19" s="114"/>
      <c r="RQA19" s="110"/>
      <c r="RQB19" s="110"/>
      <c r="RQC19" s="110"/>
      <c r="RQD19" s="110"/>
      <c r="RQE19" s="111"/>
      <c r="RQF19" s="112"/>
      <c r="RQG19" s="113"/>
      <c r="RQH19" s="110"/>
      <c r="RQI19" s="114"/>
      <c r="RQJ19" s="114"/>
      <c r="RQK19" s="110"/>
      <c r="RQL19" s="110"/>
      <c r="RQM19" s="110"/>
      <c r="RQN19" s="110"/>
      <c r="RQO19" s="111"/>
      <c r="RQP19" s="112"/>
      <c r="RQQ19" s="113"/>
      <c r="RQR19" s="110"/>
      <c r="RQS19" s="114"/>
      <c r="RQT19" s="114"/>
      <c r="RQU19" s="110"/>
      <c r="RQV19" s="110"/>
      <c r="RQW19" s="110"/>
      <c r="RQX19" s="110"/>
      <c r="RQY19" s="111"/>
      <c r="RQZ19" s="112"/>
      <c r="RRA19" s="113"/>
      <c r="RRB19" s="110"/>
      <c r="RRC19" s="114"/>
      <c r="RRD19" s="114"/>
      <c r="RRE19" s="110"/>
      <c r="RRF19" s="110"/>
      <c r="RRG19" s="110"/>
      <c r="RRH19" s="110"/>
      <c r="RRI19" s="111"/>
      <c r="RRJ19" s="112"/>
      <c r="RRK19" s="113"/>
      <c r="RRL19" s="110"/>
      <c r="RRM19" s="114"/>
      <c r="RRN19" s="114"/>
      <c r="RRO19" s="110"/>
      <c r="RRP19" s="110"/>
      <c r="RRQ19" s="110"/>
      <c r="RRR19" s="110"/>
      <c r="RRS19" s="111"/>
      <c r="RRT19" s="112"/>
      <c r="RRU19" s="113"/>
      <c r="RRV19" s="110"/>
      <c r="RRW19" s="114"/>
      <c r="RRX19" s="114"/>
      <c r="RRY19" s="110"/>
      <c r="RRZ19" s="110"/>
      <c r="RSA19" s="110"/>
      <c r="RSB19" s="110"/>
      <c r="RSC19" s="111"/>
      <c r="RSD19" s="112"/>
      <c r="RSE19" s="113"/>
      <c r="RSF19" s="110"/>
      <c r="RSG19" s="114"/>
      <c r="RSH19" s="114"/>
      <c r="RSI19" s="110"/>
      <c r="RSJ19" s="110"/>
      <c r="RSK19" s="110"/>
      <c r="RSL19" s="110"/>
      <c r="RSM19" s="111"/>
      <c r="RSN19" s="112"/>
      <c r="RSO19" s="113"/>
      <c r="RSP19" s="110"/>
      <c r="RSQ19" s="114"/>
      <c r="RSR19" s="114"/>
      <c r="RSS19" s="110"/>
      <c r="RST19" s="110"/>
      <c r="RSU19" s="110"/>
      <c r="RSV19" s="110"/>
      <c r="RSW19" s="111"/>
      <c r="RSX19" s="112"/>
      <c r="RSY19" s="113"/>
      <c r="RSZ19" s="110"/>
      <c r="RTA19" s="114"/>
      <c r="RTB19" s="114"/>
      <c r="RTC19" s="110"/>
      <c r="RTD19" s="110"/>
      <c r="RTE19" s="110"/>
      <c r="RTF19" s="110"/>
      <c r="RTG19" s="111"/>
      <c r="RTH19" s="112"/>
      <c r="RTI19" s="113"/>
      <c r="RTJ19" s="110"/>
      <c r="RTK19" s="114"/>
      <c r="RTL19" s="114"/>
      <c r="RTM19" s="110"/>
      <c r="RTN19" s="110"/>
      <c r="RTO19" s="110"/>
      <c r="RTP19" s="110"/>
      <c r="RTQ19" s="111"/>
      <c r="RTR19" s="112"/>
      <c r="RTS19" s="113"/>
      <c r="RTT19" s="110"/>
      <c r="RTU19" s="114"/>
      <c r="RTV19" s="114"/>
      <c r="RTW19" s="110"/>
      <c r="RTX19" s="110"/>
      <c r="RTY19" s="110"/>
      <c r="RTZ19" s="110"/>
      <c r="RUA19" s="111"/>
      <c r="RUB19" s="112"/>
      <c r="RUC19" s="113"/>
      <c r="RUD19" s="110"/>
      <c r="RUE19" s="114"/>
      <c r="RUF19" s="114"/>
      <c r="RUG19" s="110"/>
      <c r="RUH19" s="110"/>
      <c r="RUI19" s="110"/>
      <c r="RUJ19" s="110"/>
      <c r="RUK19" s="111"/>
      <c r="RUL19" s="112"/>
      <c r="RUM19" s="113"/>
      <c r="RUN19" s="110"/>
      <c r="RUO19" s="114"/>
      <c r="RUP19" s="114"/>
      <c r="RUQ19" s="110"/>
      <c r="RUR19" s="110"/>
      <c r="RUS19" s="110"/>
      <c r="RUT19" s="110"/>
      <c r="RUU19" s="111"/>
      <c r="RUV19" s="112"/>
      <c r="RUW19" s="113"/>
      <c r="RUX19" s="110"/>
      <c r="RUY19" s="114"/>
      <c r="RUZ19" s="114"/>
      <c r="RVA19" s="110"/>
      <c r="RVB19" s="110"/>
      <c r="RVC19" s="110"/>
      <c r="RVD19" s="110"/>
      <c r="RVE19" s="111"/>
      <c r="RVF19" s="112"/>
      <c r="RVG19" s="113"/>
      <c r="RVH19" s="110"/>
      <c r="RVI19" s="114"/>
      <c r="RVJ19" s="114"/>
      <c r="RVK19" s="110"/>
      <c r="RVL19" s="110"/>
      <c r="RVM19" s="110"/>
      <c r="RVN19" s="110"/>
      <c r="RVO19" s="111"/>
      <c r="RVP19" s="112"/>
      <c r="RVQ19" s="113"/>
      <c r="RVR19" s="110"/>
      <c r="RVS19" s="114"/>
      <c r="RVT19" s="114"/>
      <c r="RVU19" s="110"/>
      <c r="RVV19" s="110"/>
      <c r="RVW19" s="110"/>
      <c r="RVX19" s="110"/>
      <c r="RVY19" s="111"/>
      <c r="RVZ19" s="112"/>
      <c r="RWA19" s="113"/>
      <c r="RWB19" s="110"/>
      <c r="RWC19" s="114"/>
      <c r="RWD19" s="114"/>
      <c r="RWE19" s="110"/>
      <c r="RWF19" s="110"/>
      <c r="RWG19" s="110"/>
      <c r="RWH19" s="110"/>
      <c r="RWI19" s="111"/>
      <c r="RWJ19" s="112"/>
      <c r="RWK19" s="113"/>
      <c r="RWL19" s="110"/>
      <c r="RWM19" s="114"/>
      <c r="RWN19" s="114"/>
      <c r="RWO19" s="110"/>
      <c r="RWP19" s="110"/>
      <c r="RWQ19" s="110"/>
      <c r="RWR19" s="110"/>
      <c r="RWS19" s="111"/>
      <c r="RWT19" s="112"/>
      <c r="RWU19" s="113"/>
      <c r="RWV19" s="110"/>
      <c r="RWW19" s="114"/>
      <c r="RWX19" s="114"/>
      <c r="RWY19" s="110"/>
      <c r="RWZ19" s="110"/>
      <c r="RXA19" s="110"/>
      <c r="RXB19" s="110"/>
      <c r="RXC19" s="111"/>
      <c r="RXD19" s="112"/>
      <c r="RXE19" s="113"/>
      <c r="RXF19" s="110"/>
      <c r="RXG19" s="114"/>
      <c r="RXH19" s="114"/>
      <c r="RXI19" s="110"/>
      <c r="RXJ19" s="110"/>
      <c r="RXK19" s="110"/>
      <c r="RXL19" s="110"/>
      <c r="RXM19" s="111"/>
      <c r="RXN19" s="112"/>
      <c r="RXO19" s="113"/>
      <c r="RXP19" s="110"/>
      <c r="RXQ19" s="114"/>
      <c r="RXR19" s="114"/>
      <c r="RXS19" s="110"/>
      <c r="RXT19" s="110"/>
      <c r="RXU19" s="110"/>
      <c r="RXV19" s="110"/>
      <c r="RXW19" s="111"/>
      <c r="RXX19" s="112"/>
      <c r="RXY19" s="113"/>
      <c r="RXZ19" s="110"/>
      <c r="RYA19" s="114"/>
      <c r="RYB19" s="114"/>
      <c r="RYC19" s="110"/>
      <c r="RYD19" s="110"/>
      <c r="RYE19" s="110"/>
      <c r="RYF19" s="110"/>
      <c r="RYG19" s="111"/>
      <c r="RYH19" s="112"/>
      <c r="RYI19" s="113"/>
      <c r="RYJ19" s="110"/>
      <c r="RYK19" s="114"/>
      <c r="RYL19" s="114"/>
      <c r="RYM19" s="110"/>
      <c r="RYN19" s="110"/>
      <c r="RYO19" s="110"/>
      <c r="RYP19" s="110"/>
      <c r="RYQ19" s="111"/>
      <c r="RYR19" s="112"/>
      <c r="RYS19" s="113"/>
      <c r="RYT19" s="110"/>
      <c r="RYU19" s="114"/>
      <c r="RYV19" s="114"/>
      <c r="RYW19" s="110"/>
      <c r="RYX19" s="110"/>
      <c r="RYY19" s="110"/>
      <c r="RYZ19" s="110"/>
      <c r="RZA19" s="111"/>
      <c r="RZB19" s="112"/>
      <c r="RZC19" s="113"/>
      <c r="RZD19" s="110"/>
      <c r="RZE19" s="114"/>
      <c r="RZF19" s="114"/>
      <c r="RZG19" s="110"/>
      <c r="RZH19" s="110"/>
      <c r="RZI19" s="110"/>
      <c r="RZJ19" s="110"/>
      <c r="RZK19" s="111"/>
      <c r="RZL19" s="112"/>
      <c r="RZM19" s="113"/>
      <c r="RZN19" s="110"/>
      <c r="RZO19" s="114"/>
      <c r="RZP19" s="114"/>
      <c r="RZQ19" s="110"/>
      <c r="RZR19" s="110"/>
      <c r="RZS19" s="110"/>
      <c r="RZT19" s="110"/>
      <c r="RZU19" s="111"/>
      <c r="RZV19" s="112"/>
      <c r="RZW19" s="113"/>
      <c r="RZX19" s="110"/>
      <c r="RZY19" s="114"/>
      <c r="RZZ19" s="114"/>
      <c r="SAA19" s="110"/>
      <c r="SAB19" s="110"/>
      <c r="SAC19" s="110"/>
      <c r="SAD19" s="110"/>
      <c r="SAE19" s="111"/>
      <c r="SAF19" s="112"/>
      <c r="SAG19" s="113"/>
      <c r="SAH19" s="110"/>
      <c r="SAI19" s="114"/>
      <c r="SAJ19" s="114"/>
      <c r="SAK19" s="110"/>
      <c r="SAL19" s="110"/>
      <c r="SAM19" s="110"/>
      <c r="SAN19" s="110"/>
      <c r="SAO19" s="111"/>
      <c r="SAP19" s="112"/>
      <c r="SAQ19" s="113"/>
      <c r="SAR19" s="110"/>
      <c r="SAS19" s="114"/>
      <c r="SAT19" s="114"/>
      <c r="SAU19" s="110"/>
      <c r="SAV19" s="110"/>
      <c r="SAW19" s="110"/>
      <c r="SAX19" s="110"/>
      <c r="SAY19" s="111"/>
      <c r="SAZ19" s="112"/>
      <c r="SBA19" s="113"/>
      <c r="SBB19" s="110"/>
      <c r="SBC19" s="114"/>
      <c r="SBD19" s="114"/>
      <c r="SBE19" s="110"/>
      <c r="SBF19" s="110"/>
      <c r="SBG19" s="110"/>
      <c r="SBH19" s="110"/>
      <c r="SBI19" s="111"/>
      <c r="SBJ19" s="112"/>
      <c r="SBK19" s="113"/>
      <c r="SBL19" s="110"/>
      <c r="SBM19" s="114"/>
      <c r="SBN19" s="114"/>
      <c r="SBO19" s="110"/>
      <c r="SBP19" s="110"/>
      <c r="SBQ19" s="110"/>
      <c r="SBR19" s="110"/>
      <c r="SBS19" s="111"/>
      <c r="SBT19" s="112"/>
      <c r="SBU19" s="113"/>
      <c r="SBV19" s="110"/>
      <c r="SBW19" s="114"/>
      <c r="SBX19" s="114"/>
      <c r="SBY19" s="110"/>
      <c r="SBZ19" s="110"/>
      <c r="SCA19" s="110"/>
      <c r="SCB19" s="110"/>
      <c r="SCC19" s="111"/>
      <c r="SCD19" s="112"/>
      <c r="SCE19" s="113"/>
      <c r="SCF19" s="110"/>
      <c r="SCG19" s="114"/>
      <c r="SCH19" s="114"/>
      <c r="SCI19" s="110"/>
      <c r="SCJ19" s="110"/>
      <c r="SCK19" s="110"/>
      <c r="SCL19" s="110"/>
      <c r="SCM19" s="111"/>
      <c r="SCN19" s="112"/>
      <c r="SCO19" s="113"/>
      <c r="SCP19" s="110"/>
      <c r="SCQ19" s="114"/>
      <c r="SCR19" s="114"/>
      <c r="SCS19" s="110"/>
      <c r="SCT19" s="110"/>
      <c r="SCU19" s="110"/>
      <c r="SCV19" s="110"/>
      <c r="SCW19" s="111"/>
      <c r="SCX19" s="112"/>
      <c r="SCY19" s="113"/>
      <c r="SCZ19" s="110"/>
      <c r="SDA19" s="114"/>
      <c r="SDB19" s="114"/>
      <c r="SDC19" s="110"/>
      <c r="SDD19" s="110"/>
      <c r="SDE19" s="110"/>
      <c r="SDF19" s="110"/>
      <c r="SDG19" s="111"/>
      <c r="SDH19" s="112"/>
      <c r="SDI19" s="113"/>
      <c r="SDJ19" s="110"/>
      <c r="SDK19" s="114"/>
      <c r="SDL19" s="114"/>
      <c r="SDM19" s="110"/>
      <c r="SDN19" s="110"/>
      <c r="SDO19" s="110"/>
      <c r="SDP19" s="110"/>
      <c r="SDQ19" s="111"/>
      <c r="SDR19" s="112"/>
      <c r="SDS19" s="113"/>
      <c r="SDT19" s="110"/>
      <c r="SDU19" s="114"/>
      <c r="SDV19" s="114"/>
      <c r="SDW19" s="110"/>
      <c r="SDX19" s="110"/>
      <c r="SDY19" s="110"/>
      <c r="SDZ19" s="110"/>
      <c r="SEA19" s="111"/>
      <c r="SEB19" s="112"/>
      <c r="SEC19" s="113"/>
      <c r="SED19" s="110"/>
      <c r="SEE19" s="114"/>
      <c r="SEF19" s="114"/>
      <c r="SEG19" s="110"/>
      <c r="SEH19" s="110"/>
      <c r="SEI19" s="110"/>
      <c r="SEJ19" s="110"/>
      <c r="SEK19" s="111"/>
      <c r="SEL19" s="112"/>
      <c r="SEM19" s="113"/>
      <c r="SEN19" s="110"/>
      <c r="SEO19" s="114"/>
      <c r="SEP19" s="114"/>
      <c r="SEQ19" s="110"/>
      <c r="SER19" s="110"/>
      <c r="SES19" s="110"/>
      <c r="SET19" s="110"/>
      <c r="SEU19" s="111"/>
      <c r="SEV19" s="112"/>
      <c r="SEW19" s="113"/>
      <c r="SEX19" s="110"/>
      <c r="SEY19" s="114"/>
      <c r="SEZ19" s="114"/>
      <c r="SFA19" s="110"/>
      <c r="SFB19" s="110"/>
      <c r="SFC19" s="110"/>
      <c r="SFD19" s="110"/>
      <c r="SFE19" s="111"/>
      <c r="SFF19" s="112"/>
      <c r="SFG19" s="113"/>
      <c r="SFH19" s="110"/>
      <c r="SFI19" s="114"/>
      <c r="SFJ19" s="114"/>
      <c r="SFK19" s="110"/>
      <c r="SFL19" s="110"/>
      <c r="SFM19" s="110"/>
      <c r="SFN19" s="110"/>
      <c r="SFO19" s="111"/>
      <c r="SFP19" s="112"/>
      <c r="SFQ19" s="113"/>
      <c r="SFR19" s="110"/>
      <c r="SFS19" s="114"/>
      <c r="SFT19" s="114"/>
      <c r="SFU19" s="110"/>
      <c r="SFV19" s="110"/>
      <c r="SFW19" s="110"/>
      <c r="SFX19" s="110"/>
      <c r="SFY19" s="111"/>
      <c r="SFZ19" s="112"/>
      <c r="SGA19" s="113"/>
      <c r="SGB19" s="110"/>
      <c r="SGC19" s="114"/>
      <c r="SGD19" s="114"/>
      <c r="SGE19" s="110"/>
      <c r="SGF19" s="110"/>
      <c r="SGG19" s="110"/>
      <c r="SGH19" s="110"/>
      <c r="SGI19" s="111"/>
      <c r="SGJ19" s="112"/>
      <c r="SGK19" s="113"/>
      <c r="SGL19" s="110"/>
      <c r="SGM19" s="114"/>
      <c r="SGN19" s="114"/>
      <c r="SGO19" s="110"/>
      <c r="SGP19" s="110"/>
      <c r="SGQ19" s="110"/>
      <c r="SGR19" s="110"/>
      <c r="SGS19" s="111"/>
      <c r="SGT19" s="112"/>
      <c r="SGU19" s="113"/>
      <c r="SGV19" s="110"/>
      <c r="SGW19" s="114"/>
      <c r="SGX19" s="114"/>
      <c r="SGY19" s="110"/>
      <c r="SGZ19" s="110"/>
      <c r="SHA19" s="110"/>
      <c r="SHB19" s="110"/>
      <c r="SHC19" s="111"/>
      <c r="SHD19" s="112"/>
      <c r="SHE19" s="113"/>
      <c r="SHF19" s="110"/>
      <c r="SHG19" s="114"/>
      <c r="SHH19" s="114"/>
      <c r="SHI19" s="110"/>
      <c r="SHJ19" s="110"/>
      <c r="SHK19" s="110"/>
      <c r="SHL19" s="110"/>
      <c r="SHM19" s="111"/>
      <c r="SHN19" s="112"/>
      <c r="SHO19" s="113"/>
      <c r="SHP19" s="110"/>
      <c r="SHQ19" s="114"/>
      <c r="SHR19" s="114"/>
      <c r="SHS19" s="110"/>
      <c r="SHT19" s="110"/>
      <c r="SHU19" s="110"/>
      <c r="SHV19" s="110"/>
      <c r="SHW19" s="111"/>
      <c r="SHX19" s="112"/>
      <c r="SHY19" s="113"/>
      <c r="SHZ19" s="110"/>
      <c r="SIA19" s="114"/>
      <c r="SIB19" s="114"/>
      <c r="SIC19" s="110"/>
      <c r="SID19" s="110"/>
      <c r="SIE19" s="110"/>
      <c r="SIF19" s="110"/>
      <c r="SIG19" s="111"/>
      <c r="SIH19" s="112"/>
      <c r="SII19" s="113"/>
      <c r="SIJ19" s="110"/>
      <c r="SIK19" s="114"/>
      <c r="SIL19" s="114"/>
      <c r="SIM19" s="110"/>
      <c r="SIN19" s="110"/>
      <c r="SIO19" s="110"/>
      <c r="SIP19" s="110"/>
      <c r="SIQ19" s="111"/>
      <c r="SIR19" s="112"/>
      <c r="SIS19" s="113"/>
      <c r="SIT19" s="110"/>
      <c r="SIU19" s="114"/>
      <c r="SIV19" s="114"/>
      <c r="SIW19" s="110"/>
      <c r="SIX19" s="110"/>
      <c r="SIY19" s="110"/>
      <c r="SIZ19" s="110"/>
      <c r="SJA19" s="111"/>
      <c r="SJB19" s="112"/>
      <c r="SJC19" s="113"/>
      <c r="SJD19" s="110"/>
      <c r="SJE19" s="114"/>
      <c r="SJF19" s="114"/>
      <c r="SJG19" s="110"/>
      <c r="SJH19" s="110"/>
      <c r="SJI19" s="110"/>
      <c r="SJJ19" s="110"/>
      <c r="SJK19" s="111"/>
      <c r="SJL19" s="112"/>
      <c r="SJM19" s="113"/>
      <c r="SJN19" s="110"/>
      <c r="SJO19" s="114"/>
      <c r="SJP19" s="114"/>
      <c r="SJQ19" s="110"/>
      <c r="SJR19" s="110"/>
      <c r="SJS19" s="110"/>
      <c r="SJT19" s="110"/>
      <c r="SJU19" s="111"/>
      <c r="SJV19" s="112"/>
      <c r="SJW19" s="113"/>
      <c r="SJX19" s="110"/>
      <c r="SJY19" s="114"/>
      <c r="SJZ19" s="114"/>
      <c r="SKA19" s="110"/>
      <c r="SKB19" s="110"/>
      <c r="SKC19" s="110"/>
      <c r="SKD19" s="110"/>
      <c r="SKE19" s="111"/>
      <c r="SKF19" s="112"/>
      <c r="SKG19" s="113"/>
      <c r="SKH19" s="110"/>
      <c r="SKI19" s="114"/>
      <c r="SKJ19" s="114"/>
      <c r="SKK19" s="110"/>
      <c r="SKL19" s="110"/>
      <c r="SKM19" s="110"/>
      <c r="SKN19" s="110"/>
      <c r="SKO19" s="111"/>
      <c r="SKP19" s="112"/>
      <c r="SKQ19" s="113"/>
      <c r="SKR19" s="110"/>
      <c r="SKS19" s="114"/>
      <c r="SKT19" s="114"/>
      <c r="SKU19" s="110"/>
      <c r="SKV19" s="110"/>
      <c r="SKW19" s="110"/>
      <c r="SKX19" s="110"/>
      <c r="SKY19" s="111"/>
      <c r="SKZ19" s="112"/>
      <c r="SLA19" s="113"/>
      <c r="SLB19" s="110"/>
      <c r="SLC19" s="114"/>
      <c r="SLD19" s="114"/>
      <c r="SLE19" s="110"/>
      <c r="SLF19" s="110"/>
      <c r="SLG19" s="110"/>
      <c r="SLH19" s="110"/>
      <c r="SLI19" s="111"/>
      <c r="SLJ19" s="112"/>
      <c r="SLK19" s="113"/>
      <c r="SLL19" s="110"/>
      <c r="SLM19" s="114"/>
      <c r="SLN19" s="114"/>
      <c r="SLO19" s="110"/>
      <c r="SLP19" s="110"/>
      <c r="SLQ19" s="110"/>
      <c r="SLR19" s="110"/>
      <c r="SLS19" s="111"/>
      <c r="SLT19" s="112"/>
      <c r="SLU19" s="113"/>
      <c r="SLV19" s="110"/>
      <c r="SLW19" s="114"/>
      <c r="SLX19" s="114"/>
      <c r="SLY19" s="110"/>
      <c r="SLZ19" s="110"/>
      <c r="SMA19" s="110"/>
      <c r="SMB19" s="110"/>
      <c r="SMC19" s="111"/>
      <c r="SMD19" s="112"/>
      <c r="SME19" s="113"/>
      <c r="SMF19" s="110"/>
      <c r="SMG19" s="114"/>
      <c r="SMH19" s="114"/>
      <c r="SMI19" s="110"/>
      <c r="SMJ19" s="110"/>
      <c r="SMK19" s="110"/>
      <c r="SML19" s="110"/>
      <c r="SMM19" s="111"/>
      <c r="SMN19" s="112"/>
      <c r="SMO19" s="113"/>
      <c r="SMP19" s="110"/>
      <c r="SMQ19" s="114"/>
      <c r="SMR19" s="114"/>
      <c r="SMS19" s="110"/>
      <c r="SMT19" s="110"/>
      <c r="SMU19" s="110"/>
      <c r="SMV19" s="110"/>
      <c r="SMW19" s="111"/>
      <c r="SMX19" s="112"/>
      <c r="SMY19" s="113"/>
      <c r="SMZ19" s="110"/>
      <c r="SNA19" s="114"/>
      <c r="SNB19" s="114"/>
      <c r="SNC19" s="110"/>
      <c r="SND19" s="110"/>
      <c r="SNE19" s="110"/>
      <c r="SNF19" s="110"/>
      <c r="SNG19" s="111"/>
      <c r="SNH19" s="112"/>
      <c r="SNI19" s="113"/>
      <c r="SNJ19" s="110"/>
      <c r="SNK19" s="114"/>
      <c r="SNL19" s="114"/>
      <c r="SNM19" s="110"/>
      <c r="SNN19" s="110"/>
      <c r="SNO19" s="110"/>
      <c r="SNP19" s="110"/>
      <c r="SNQ19" s="111"/>
      <c r="SNR19" s="112"/>
      <c r="SNS19" s="113"/>
      <c r="SNT19" s="110"/>
      <c r="SNU19" s="114"/>
      <c r="SNV19" s="114"/>
      <c r="SNW19" s="110"/>
      <c r="SNX19" s="110"/>
      <c r="SNY19" s="110"/>
      <c r="SNZ19" s="110"/>
      <c r="SOA19" s="111"/>
      <c r="SOB19" s="112"/>
      <c r="SOC19" s="113"/>
      <c r="SOD19" s="110"/>
      <c r="SOE19" s="114"/>
      <c r="SOF19" s="114"/>
      <c r="SOG19" s="110"/>
      <c r="SOH19" s="110"/>
      <c r="SOI19" s="110"/>
      <c r="SOJ19" s="110"/>
      <c r="SOK19" s="111"/>
      <c r="SOL19" s="112"/>
      <c r="SOM19" s="113"/>
      <c r="SON19" s="110"/>
      <c r="SOO19" s="114"/>
      <c r="SOP19" s="114"/>
      <c r="SOQ19" s="110"/>
      <c r="SOR19" s="110"/>
      <c r="SOS19" s="110"/>
      <c r="SOT19" s="110"/>
      <c r="SOU19" s="111"/>
      <c r="SOV19" s="112"/>
      <c r="SOW19" s="113"/>
      <c r="SOX19" s="110"/>
      <c r="SOY19" s="114"/>
      <c r="SOZ19" s="114"/>
      <c r="SPA19" s="110"/>
      <c r="SPB19" s="110"/>
      <c r="SPC19" s="110"/>
      <c r="SPD19" s="110"/>
      <c r="SPE19" s="111"/>
      <c r="SPF19" s="112"/>
      <c r="SPG19" s="113"/>
      <c r="SPH19" s="110"/>
      <c r="SPI19" s="114"/>
      <c r="SPJ19" s="114"/>
      <c r="SPK19" s="110"/>
      <c r="SPL19" s="110"/>
      <c r="SPM19" s="110"/>
      <c r="SPN19" s="110"/>
      <c r="SPO19" s="111"/>
      <c r="SPP19" s="112"/>
      <c r="SPQ19" s="113"/>
      <c r="SPR19" s="110"/>
      <c r="SPS19" s="114"/>
      <c r="SPT19" s="114"/>
      <c r="SPU19" s="110"/>
      <c r="SPV19" s="110"/>
      <c r="SPW19" s="110"/>
      <c r="SPX19" s="110"/>
      <c r="SPY19" s="111"/>
      <c r="SPZ19" s="112"/>
      <c r="SQA19" s="113"/>
      <c r="SQB19" s="110"/>
      <c r="SQC19" s="114"/>
      <c r="SQD19" s="114"/>
      <c r="SQE19" s="110"/>
      <c r="SQF19" s="110"/>
      <c r="SQG19" s="110"/>
      <c r="SQH19" s="110"/>
      <c r="SQI19" s="111"/>
      <c r="SQJ19" s="112"/>
      <c r="SQK19" s="113"/>
      <c r="SQL19" s="110"/>
      <c r="SQM19" s="114"/>
      <c r="SQN19" s="114"/>
      <c r="SQO19" s="110"/>
      <c r="SQP19" s="110"/>
      <c r="SQQ19" s="110"/>
      <c r="SQR19" s="110"/>
      <c r="SQS19" s="111"/>
      <c r="SQT19" s="112"/>
      <c r="SQU19" s="113"/>
      <c r="SQV19" s="110"/>
      <c r="SQW19" s="114"/>
      <c r="SQX19" s="114"/>
      <c r="SQY19" s="110"/>
      <c r="SQZ19" s="110"/>
      <c r="SRA19" s="110"/>
      <c r="SRB19" s="110"/>
      <c r="SRC19" s="111"/>
      <c r="SRD19" s="112"/>
      <c r="SRE19" s="113"/>
      <c r="SRF19" s="110"/>
      <c r="SRG19" s="114"/>
      <c r="SRH19" s="114"/>
      <c r="SRI19" s="110"/>
      <c r="SRJ19" s="110"/>
      <c r="SRK19" s="110"/>
      <c r="SRL19" s="110"/>
      <c r="SRM19" s="111"/>
      <c r="SRN19" s="112"/>
      <c r="SRO19" s="113"/>
      <c r="SRP19" s="110"/>
      <c r="SRQ19" s="114"/>
      <c r="SRR19" s="114"/>
      <c r="SRS19" s="110"/>
      <c r="SRT19" s="110"/>
      <c r="SRU19" s="110"/>
      <c r="SRV19" s="110"/>
      <c r="SRW19" s="111"/>
      <c r="SRX19" s="112"/>
      <c r="SRY19" s="113"/>
      <c r="SRZ19" s="110"/>
      <c r="SSA19" s="114"/>
      <c r="SSB19" s="114"/>
      <c r="SSC19" s="110"/>
      <c r="SSD19" s="110"/>
      <c r="SSE19" s="110"/>
      <c r="SSF19" s="110"/>
      <c r="SSG19" s="111"/>
      <c r="SSH19" s="112"/>
      <c r="SSI19" s="113"/>
      <c r="SSJ19" s="110"/>
      <c r="SSK19" s="114"/>
      <c r="SSL19" s="114"/>
      <c r="SSM19" s="110"/>
      <c r="SSN19" s="110"/>
      <c r="SSO19" s="110"/>
      <c r="SSP19" s="110"/>
      <c r="SSQ19" s="111"/>
      <c r="SSR19" s="112"/>
      <c r="SSS19" s="113"/>
      <c r="SST19" s="110"/>
      <c r="SSU19" s="114"/>
      <c r="SSV19" s="114"/>
      <c r="SSW19" s="110"/>
      <c r="SSX19" s="110"/>
      <c r="SSY19" s="110"/>
      <c r="SSZ19" s="110"/>
      <c r="STA19" s="111"/>
      <c r="STB19" s="112"/>
      <c r="STC19" s="113"/>
      <c r="STD19" s="110"/>
      <c r="STE19" s="114"/>
      <c r="STF19" s="114"/>
      <c r="STG19" s="110"/>
      <c r="STH19" s="110"/>
      <c r="STI19" s="110"/>
      <c r="STJ19" s="110"/>
      <c r="STK19" s="111"/>
      <c r="STL19" s="112"/>
      <c r="STM19" s="113"/>
      <c r="STN19" s="110"/>
      <c r="STO19" s="114"/>
      <c r="STP19" s="114"/>
      <c r="STQ19" s="110"/>
      <c r="STR19" s="110"/>
      <c r="STS19" s="110"/>
      <c r="STT19" s="110"/>
      <c r="STU19" s="111"/>
      <c r="STV19" s="112"/>
      <c r="STW19" s="113"/>
      <c r="STX19" s="110"/>
      <c r="STY19" s="114"/>
      <c r="STZ19" s="114"/>
      <c r="SUA19" s="110"/>
      <c r="SUB19" s="110"/>
      <c r="SUC19" s="110"/>
      <c r="SUD19" s="110"/>
      <c r="SUE19" s="111"/>
      <c r="SUF19" s="112"/>
      <c r="SUG19" s="113"/>
      <c r="SUH19" s="110"/>
      <c r="SUI19" s="114"/>
      <c r="SUJ19" s="114"/>
      <c r="SUK19" s="110"/>
      <c r="SUL19" s="110"/>
      <c r="SUM19" s="110"/>
      <c r="SUN19" s="110"/>
      <c r="SUO19" s="111"/>
      <c r="SUP19" s="112"/>
      <c r="SUQ19" s="113"/>
      <c r="SUR19" s="110"/>
      <c r="SUS19" s="114"/>
      <c r="SUT19" s="114"/>
      <c r="SUU19" s="110"/>
      <c r="SUV19" s="110"/>
      <c r="SUW19" s="110"/>
      <c r="SUX19" s="110"/>
      <c r="SUY19" s="111"/>
      <c r="SUZ19" s="112"/>
      <c r="SVA19" s="113"/>
      <c r="SVB19" s="110"/>
      <c r="SVC19" s="114"/>
      <c r="SVD19" s="114"/>
      <c r="SVE19" s="110"/>
      <c r="SVF19" s="110"/>
      <c r="SVG19" s="110"/>
      <c r="SVH19" s="110"/>
      <c r="SVI19" s="111"/>
      <c r="SVJ19" s="112"/>
      <c r="SVK19" s="113"/>
      <c r="SVL19" s="110"/>
      <c r="SVM19" s="114"/>
      <c r="SVN19" s="114"/>
      <c r="SVO19" s="110"/>
      <c r="SVP19" s="110"/>
      <c r="SVQ19" s="110"/>
      <c r="SVR19" s="110"/>
      <c r="SVS19" s="111"/>
      <c r="SVT19" s="112"/>
      <c r="SVU19" s="113"/>
      <c r="SVV19" s="110"/>
      <c r="SVW19" s="114"/>
      <c r="SVX19" s="114"/>
      <c r="SVY19" s="110"/>
      <c r="SVZ19" s="110"/>
      <c r="SWA19" s="110"/>
      <c r="SWB19" s="110"/>
      <c r="SWC19" s="111"/>
      <c r="SWD19" s="112"/>
      <c r="SWE19" s="113"/>
      <c r="SWF19" s="110"/>
      <c r="SWG19" s="114"/>
      <c r="SWH19" s="114"/>
      <c r="SWI19" s="110"/>
      <c r="SWJ19" s="110"/>
      <c r="SWK19" s="110"/>
      <c r="SWL19" s="110"/>
      <c r="SWM19" s="111"/>
      <c r="SWN19" s="112"/>
      <c r="SWO19" s="113"/>
      <c r="SWP19" s="110"/>
      <c r="SWQ19" s="114"/>
      <c r="SWR19" s="114"/>
      <c r="SWS19" s="110"/>
      <c r="SWT19" s="110"/>
      <c r="SWU19" s="110"/>
      <c r="SWV19" s="110"/>
      <c r="SWW19" s="111"/>
      <c r="SWX19" s="112"/>
      <c r="SWY19" s="113"/>
      <c r="SWZ19" s="110"/>
      <c r="SXA19" s="114"/>
      <c r="SXB19" s="114"/>
      <c r="SXC19" s="110"/>
      <c r="SXD19" s="110"/>
      <c r="SXE19" s="110"/>
      <c r="SXF19" s="110"/>
      <c r="SXG19" s="111"/>
      <c r="SXH19" s="112"/>
      <c r="SXI19" s="113"/>
      <c r="SXJ19" s="110"/>
      <c r="SXK19" s="114"/>
      <c r="SXL19" s="114"/>
      <c r="SXM19" s="110"/>
      <c r="SXN19" s="110"/>
      <c r="SXO19" s="110"/>
      <c r="SXP19" s="110"/>
      <c r="SXQ19" s="111"/>
      <c r="SXR19" s="112"/>
      <c r="SXS19" s="113"/>
      <c r="SXT19" s="110"/>
      <c r="SXU19" s="114"/>
      <c r="SXV19" s="114"/>
      <c r="SXW19" s="110"/>
      <c r="SXX19" s="110"/>
      <c r="SXY19" s="110"/>
      <c r="SXZ19" s="110"/>
      <c r="SYA19" s="111"/>
      <c r="SYB19" s="112"/>
      <c r="SYC19" s="113"/>
      <c r="SYD19" s="110"/>
      <c r="SYE19" s="114"/>
      <c r="SYF19" s="114"/>
      <c r="SYG19" s="110"/>
      <c r="SYH19" s="110"/>
      <c r="SYI19" s="110"/>
      <c r="SYJ19" s="110"/>
      <c r="SYK19" s="111"/>
      <c r="SYL19" s="112"/>
      <c r="SYM19" s="113"/>
      <c r="SYN19" s="110"/>
      <c r="SYO19" s="114"/>
      <c r="SYP19" s="114"/>
      <c r="SYQ19" s="110"/>
      <c r="SYR19" s="110"/>
      <c r="SYS19" s="110"/>
      <c r="SYT19" s="110"/>
      <c r="SYU19" s="111"/>
      <c r="SYV19" s="112"/>
      <c r="SYW19" s="113"/>
      <c r="SYX19" s="110"/>
      <c r="SYY19" s="114"/>
      <c r="SYZ19" s="114"/>
      <c r="SZA19" s="110"/>
      <c r="SZB19" s="110"/>
      <c r="SZC19" s="110"/>
      <c r="SZD19" s="110"/>
      <c r="SZE19" s="111"/>
      <c r="SZF19" s="112"/>
      <c r="SZG19" s="113"/>
      <c r="SZH19" s="110"/>
      <c r="SZI19" s="114"/>
      <c r="SZJ19" s="114"/>
      <c r="SZK19" s="110"/>
      <c r="SZL19" s="110"/>
      <c r="SZM19" s="110"/>
      <c r="SZN19" s="110"/>
      <c r="SZO19" s="111"/>
      <c r="SZP19" s="112"/>
      <c r="SZQ19" s="113"/>
      <c r="SZR19" s="110"/>
      <c r="SZS19" s="114"/>
      <c r="SZT19" s="114"/>
      <c r="SZU19" s="110"/>
      <c r="SZV19" s="110"/>
      <c r="SZW19" s="110"/>
      <c r="SZX19" s="110"/>
      <c r="SZY19" s="111"/>
      <c r="SZZ19" s="112"/>
      <c r="TAA19" s="113"/>
      <c r="TAB19" s="110"/>
      <c r="TAC19" s="114"/>
      <c r="TAD19" s="114"/>
      <c r="TAE19" s="110"/>
      <c r="TAF19" s="110"/>
      <c r="TAG19" s="110"/>
      <c r="TAH19" s="110"/>
      <c r="TAI19" s="111"/>
      <c r="TAJ19" s="112"/>
      <c r="TAK19" s="113"/>
      <c r="TAL19" s="110"/>
      <c r="TAM19" s="114"/>
      <c r="TAN19" s="114"/>
      <c r="TAO19" s="110"/>
      <c r="TAP19" s="110"/>
      <c r="TAQ19" s="110"/>
      <c r="TAR19" s="110"/>
      <c r="TAS19" s="111"/>
      <c r="TAT19" s="112"/>
      <c r="TAU19" s="113"/>
      <c r="TAV19" s="110"/>
      <c r="TAW19" s="114"/>
      <c r="TAX19" s="114"/>
      <c r="TAY19" s="110"/>
      <c r="TAZ19" s="110"/>
      <c r="TBA19" s="110"/>
      <c r="TBB19" s="110"/>
      <c r="TBC19" s="111"/>
      <c r="TBD19" s="112"/>
      <c r="TBE19" s="113"/>
      <c r="TBF19" s="110"/>
      <c r="TBG19" s="114"/>
      <c r="TBH19" s="114"/>
      <c r="TBI19" s="110"/>
      <c r="TBJ19" s="110"/>
      <c r="TBK19" s="110"/>
      <c r="TBL19" s="110"/>
      <c r="TBM19" s="111"/>
      <c r="TBN19" s="112"/>
      <c r="TBO19" s="113"/>
      <c r="TBP19" s="110"/>
      <c r="TBQ19" s="114"/>
      <c r="TBR19" s="114"/>
      <c r="TBS19" s="110"/>
      <c r="TBT19" s="110"/>
      <c r="TBU19" s="110"/>
      <c r="TBV19" s="110"/>
      <c r="TBW19" s="111"/>
      <c r="TBX19" s="112"/>
      <c r="TBY19" s="113"/>
      <c r="TBZ19" s="110"/>
      <c r="TCA19" s="114"/>
      <c r="TCB19" s="114"/>
      <c r="TCC19" s="110"/>
      <c r="TCD19" s="110"/>
      <c r="TCE19" s="110"/>
      <c r="TCF19" s="110"/>
      <c r="TCG19" s="111"/>
      <c r="TCH19" s="112"/>
      <c r="TCI19" s="113"/>
      <c r="TCJ19" s="110"/>
      <c r="TCK19" s="114"/>
      <c r="TCL19" s="114"/>
      <c r="TCM19" s="110"/>
      <c r="TCN19" s="110"/>
      <c r="TCO19" s="110"/>
      <c r="TCP19" s="110"/>
      <c r="TCQ19" s="111"/>
      <c r="TCR19" s="112"/>
      <c r="TCS19" s="113"/>
      <c r="TCT19" s="110"/>
      <c r="TCU19" s="114"/>
      <c r="TCV19" s="114"/>
      <c r="TCW19" s="110"/>
      <c r="TCX19" s="110"/>
      <c r="TCY19" s="110"/>
      <c r="TCZ19" s="110"/>
      <c r="TDA19" s="111"/>
      <c r="TDB19" s="112"/>
      <c r="TDC19" s="113"/>
      <c r="TDD19" s="110"/>
      <c r="TDE19" s="114"/>
      <c r="TDF19" s="114"/>
      <c r="TDG19" s="110"/>
      <c r="TDH19" s="110"/>
      <c r="TDI19" s="110"/>
      <c r="TDJ19" s="110"/>
      <c r="TDK19" s="111"/>
      <c r="TDL19" s="112"/>
      <c r="TDM19" s="113"/>
      <c r="TDN19" s="110"/>
      <c r="TDO19" s="114"/>
      <c r="TDP19" s="114"/>
      <c r="TDQ19" s="110"/>
      <c r="TDR19" s="110"/>
      <c r="TDS19" s="110"/>
      <c r="TDT19" s="110"/>
      <c r="TDU19" s="111"/>
      <c r="TDV19" s="112"/>
      <c r="TDW19" s="113"/>
      <c r="TDX19" s="110"/>
      <c r="TDY19" s="114"/>
      <c r="TDZ19" s="114"/>
      <c r="TEA19" s="110"/>
      <c r="TEB19" s="110"/>
      <c r="TEC19" s="110"/>
      <c r="TED19" s="110"/>
      <c r="TEE19" s="111"/>
      <c r="TEF19" s="112"/>
      <c r="TEG19" s="113"/>
      <c r="TEH19" s="110"/>
      <c r="TEI19" s="114"/>
      <c r="TEJ19" s="114"/>
      <c r="TEK19" s="110"/>
      <c r="TEL19" s="110"/>
      <c r="TEM19" s="110"/>
      <c r="TEN19" s="110"/>
      <c r="TEO19" s="111"/>
      <c r="TEP19" s="112"/>
      <c r="TEQ19" s="113"/>
      <c r="TER19" s="110"/>
      <c r="TES19" s="114"/>
      <c r="TET19" s="114"/>
      <c r="TEU19" s="110"/>
      <c r="TEV19" s="110"/>
      <c r="TEW19" s="110"/>
      <c r="TEX19" s="110"/>
      <c r="TEY19" s="111"/>
      <c r="TEZ19" s="112"/>
      <c r="TFA19" s="113"/>
      <c r="TFB19" s="110"/>
      <c r="TFC19" s="114"/>
      <c r="TFD19" s="114"/>
      <c r="TFE19" s="110"/>
      <c r="TFF19" s="110"/>
      <c r="TFG19" s="110"/>
      <c r="TFH19" s="110"/>
      <c r="TFI19" s="111"/>
      <c r="TFJ19" s="112"/>
      <c r="TFK19" s="113"/>
      <c r="TFL19" s="110"/>
      <c r="TFM19" s="114"/>
      <c r="TFN19" s="114"/>
      <c r="TFO19" s="110"/>
      <c r="TFP19" s="110"/>
      <c r="TFQ19" s="110"/>
      <c r="TFR19" s="110"/>
      <c r="TFS19" s="111"/>
      <c r="TFT19" s="112"/>
      <c r="TFU19" s="113"/>
      <c r="TFV19" s="110"/>
      <c r="TFW19" s="114"/>
      <c r="TFX19" s="114"/>
      <c r="TFY19" s="110"/>
      <c r="TFZ19" s="110"/>
      <c r="TGA19" s="110"/>
      <c r="TGB19" s="110"/>
      <c r="TGC19" s="111"/>
      <c r="TGD19" s="112"/>
      <c r="TGE19" s="113"/>
      <c r="TGF19" s="110"/>
      <c r="TGG19" s="114"/>
      <c r="TGH19" s="114"/>
      <c r="TGI19" s="110"/>
      <c r="TGJ19" s="110"/>
      <c r="TGK19" s="110"/>
      <c r="TGL19" s="110"/>
      <c r="TGM19" s="111"/>
      <c r="TGN19" s="112"/>
      <c r="TGO19" s="113"/>
      <c r="TGP19" s="110"/>
      <c r="TGQ19" s="114"/>
      <c r="TGR19" s="114"/>
      <c r="TGS19" s="110"/>
      <c r="TGT19" s="110"/>
      <c r="TGU19" s="110"/>
      <c r="TGV19" s="110"/>
      <c r="TGW19" s="111"/>
      <c r="TGX19" s="112"/>
      <c r="TGY19" s="113"/>
      <c r="TGZ19" s="110"/>
      <c r="THA19" s="114"/>
      <c r="THB19" s="114"/>
      <c r="THC19" s="110"/>
      <c r="THD19" s="110"/>
      <c r="THE19" s="110"/>
      <c r="THF19" s="110"/>
      <c r="THG19" s="111"/>
      <c r="THH19" s="112"/>
      <c r="THI19" s="113"/>
      <c r="THJ19" s="110"/>
      <c r="THK19" s="114"/>
      <c r="THL19" s="114"/>
      <c r="THM19" s="110"/>
      <c r="THN19" s="110"/>
      <c r="THO19" s="110"/>
      <c r="THP19" s="110"/>
      <c r="THQ19" s="111"/>
      <c r="THR19" s="112"/>
      <c r="THS19" s="113"/>
      <c r="THT19" s="110"/>
      <c r="THU19" s="114"/>
      <c r="THV19" s="114"/>
      <c r="THW19" s="110"/>
      <c r="THX19" s="110"/>
      <c r="THY19" s="110"/>
      <c r="THZ19" s="110"/>
      <c r="TIA19" s="111"/>
      <c r="TIB19" s="112"/>
      <c r="TIC19" s="113"/>
      <c r="TID19" s="110"/>
      <c r="TIE19" s="114"/>
      <c r="TIF19" s="114"/>
      <c r="TIG19" s="110"/>
      <c r="TIH19" s="110"/>
      <c r="TII19" s="110"/>
      <c r="TIJ19" s="110"/>
      <c r="TIK19" s="111"/>
      <c r="TIL19" s="112"/>
      <c r="TIM19" s="113"/>
      <c r="TIN19" s="110"/>
      <c r="TIO19" s="114"/>
      <c r="TIP19" s="114"/>
      <c r="TIQ19" s="110"/>
      <c r="TIR19" s="110"/>
      <c r="TIS19" s="110"/>
      <c r="TIT19" s="110"/>
      <c r="TIU19" s="111"/>
      <c r="TIV19" s="112"/>
      <c r="TIW19" s="113"/>
      <c r="TIX19" s="110"/>
      <c r="TIY19" s="114"/>
      <c r="TIZ19" s="114"/>
      <c r="TJA19" s="110"/>
      <c r="TJB19" s="110"/>
      <c r="TJC19" s="110"/>
      <c r="TJD19" s="110"/>
      <c r="TJE19" s="111"/>
      <c r="TJF19" s="112"/>
      <c r="TJG19" s="113"/>
      <c r="TJH19" s="110"/>
      <c r="TJI19" s="114"/>
      <c r="TJJ19" s="114"/>
      <c r="TJK19" s="110"/>
      <c r="TJL19" s="110"/>
      <c r="TJM19" s="110"/>
      <c r="TJN19" s="110"/>
      <c r="TJO19" s="111"/>
      <c r="TJP19" s="112"/>
      <c r="TJQ19" s="113"/>
      <c r="TJR19" s="110"/>
      <c r="TJS19" s="114"/>
      <c r="TJT19" s="114"/>
      <c r="TJU19" s="110"/>
      <c r="TJV19" s="110"/>
      <c r="TJW19" s="110"/>
      <c r="TJX19" s="110"/>
      <c r="TJY19" s="111"/>
      <c r="TJZ19" s="112"/>
      <c r="TKA19" s="113"/>
      <c r="TKB19" s="110"/>
      <c r="TKC19" s="114"/>
      <c r="TKD19" s="114"/>
      <c r="TKE19" s="110"/>
      <c r="TKF19" s="110"/>
      <c r="TKG19" s="110"/>
      <c r="TKH19" s="110"/>
      <c r="TKI19" s="111"/>
      <c r="TKJ19" s="112"/>
      <c r="TKK19" s="113"/>
      <c r="TKL19" s="110"/>
      <c r="TKM19" s="114"/>
      <c r="TKN19" s="114"/>
      <c r="TKO19" s="110"/>
      <c r="TKP19" s="110"/>
      <c r="TKQ19" s="110"/>
      <c r="TKR19" s="110"/>
      <c r="TKS19" s="111"/>
      <c r="TKT19" s="112"/>
      <c r="TKU19" s="113"/>
      <c r="TKV19" s="110"/>
      <c r="TKW19" s="114"/>
      <c r="TKX19" s="114"/>
      <c r="TKY19" s="110"/>
      <c r="TKZ19" s="110"/>
      <c r="TLA19" s="110"/>
      <c r="TLB19" s="110"/>
      <c r="TLC19" s="111"/>
      <c r="TLD19" s="112"/>
      <c r="TLE19" s="113"/>
      <c r="TLF19" s="110"/>
      <c r="TLG19" s="114"/>
      <c r="TLH19" s="114"/>
      <c r="TLI19" s="110"/>
      <c r="TLJ19" s="110"/>
      <c r="TLK19" s="110"/>
      <c r="TLL19" s="110"/>
      <c r="TLM19" s="111"/>
      <c r="TLN19" s="112"/>
      <c r="TLO19" s="113"/>
      <c r="TLP19" s="110"/>
      <c r="TLQ19" s="114"/>
      <c r="TLR19" s="114"/>
      <c r="TLS19" s="110"/>
      <c r="TLT19" s="110"/>
      <c r="TLU19" s="110"/>
      <c r="TLV19" s="110"/>
      <c r="TLW19" s="111"/>
      <c r="TLX19" s="112"/>
      <c r="TLY19" s="113"/>
      <c r="TLZ19" s="110"/>
      <c r="TMA19" s="114"/>
      <c r="TMB19" s="114"/>
      <c r="TMC19" s="110"/>
      <c r="TMD19" s="110"/>
      <c r="TME19" s="110"/>
      <c r="TMF19" s="110"/>
      <c r="TMG19" s="111"/>
      <c r="TMH19" s="112"/>
      <c r="TMI19" s="113"/>
      <c r="TMJ19" s="110"/>
      <c r="TMK19" s="114"/>
      <c r="TML19" s="114"/>
      <c r="TMM19" s="110"/>
      <c r="TMN19" s="110"/>
      <c r="TMO19" s="110"/>
      <c r="TMP19" s="110"/>
      <c r="TMQ19" s="111"/>
      <c r="TMR19" s="112"/>
      <c r="TMS19" s="113"/>
      <c r="TMT19" s="110"/>
      <c r="TMU19" s="114"/>
      <c r="TMV19" s="114"/>
      <c r="TMW19" s="110"/>
      <c r="TMX19" s="110"/>
      <c r="TMY19" s="110"/>
      <c r="TMZ19" s="110"/>
      <c r="TNA19" s="111"/>
      <c r="TNB19" s="112"/>
      <c r="TNC19" s="113"/>
      <c r="TND19" s="110"/>
      <c r="TNE19" s="114"/>
      <c r="TNF19" s="114"/>
      <c r="TNG19" s="110"/>
      <c r="TNH19" s="110"/>
      <c r="TNI19" s="110"/>
      <c r="TNJ19" s="110"/>
      <c r="TNK19" s="111"/>
      <c r="TNL19" s="112"/>
      <c r="TNM19" s="113"/>
      <c r="TNN19" s="110"/>
      <c r="TNO19" s="114"/>
      <c r="TNP19" s="114"/>
      <c r="TNQ19" s="110"/>
      <c r="TNR19" s="110"/>
      <c r="TNS19" s="110"/>
      <c r="TNT19" s="110"/>
      <c r="TNU19" s="111"/>
      <c r="TNV19" s="112"/>
      <c r="TNW19" s="113"/>
      <c r="TNX19" s="110"/>
      <c r="TNY19" s="114"/>
      <c r="TNZ19" s="114"/>
      <c r="TOA19" s="110"/>
      <c r="TOB19" s="110"/>
      <c r="TOC19" s="110"/>
      <c r="TOD19" s="110"/>
      <c r="TOE19" s="111"/>
      <c r="TOF19" s="112"/>
      <c r="TOG19" s="113"/>
      <c r="TOH19" s="110"/>
      <c r="TOI19" s="114"/>
      <c r="TOJ19" s="114"/>
      <c r="TOK19" s="110"/>
      <c r="TOL19" s="110"/>
      <c r="TOM19" s="110"/>
      <c r="TON19" s="110"/>
      <c r="TOO19" s="111"/>
      <c r="TOP19" s="112"/>
      <c r="TOQ19" s="113"/>
      <c r="TOR19" s="110"/>
      <c r="TOS19" s="114"/>
      <c r="TOT19" s="114"/>
      <c r="TOU19" s="110"/>
      <c r="TOV19" s="110"/>
      <c r="TOW19" s="110"/>
      <c r="TOX19" s="110"/>
      <c r="TOY19" s="111"/>
      <c r="TOZ19" s="112"/>
      <c r="TPA19" s="113"/>
      <c r="TPB19" s="110"/>
      <c r="TPC19" s="114"/>
      <c r="TPD19" s="114"/>
      <c r="TPE19" s="110"/>
      <c r="TPF19" s="110"/>
      <c r="TPG19" s="110"/>
      <c r="TPH19" s="110"/>
      <c r="TPI19" s="111"/>
      <c r="TPJ19" s="112"/>
      <c r="TPK19" s="113"/>
      <c r="TPL19" s="110"/>
      <c r="TPM19" s="114"/>
      <c r="TPN19" s="114"/>
      <c r="TPO19" s="110"/>
      <c r="TPP19" s="110"/>
      <c r="TPQ19" s="110"/>
      <c r="TPR19" s="110"/>
      <c r="TPS19" s="111"/>
      <c r="TPT19" s="112"/>
      <c r="TPU19" s="113"/>
      <c r="TPV19" s="110"/>
      <c r="TPW19" s="114"/>
      <c r="TPX19" s="114"/>
      <c r="TPY19" s="110"/>
      <c r="TPZ19" s="110"/>
      <c r="TQA19" s="110"/>
      <c r="TQB19" s="110"/>
      <c r="TQC19" s="111"/>
      <c r="TQD19" s="112"/>
      <c r="TQE19" s="113"/>
      <c r="TQF19" s="110"/>
      <c r="TQG19" s="114"/>
      <c r="TQH19" s="114"/>
      <c r="TQI19" s="110"/>
      <c r="TQJ19" s="110"/>
      <c r="TQK19" s="110"/>
      <c r="TQL19" s="110"/>
      <c r="TQM19" s="111"/>
      <c r="TQN19" s="112"/>
      <c r="TQO19" s="113"/>
      <c r="TQP19" s="110"/>
      <c r="TQQ19" s="114"/>
      <c r="TQR19" s="114"/>
      <c r="TQS19" s="110"/>
      <c r="TQT19" s="110"/>
      <c r="TQU19" s="110"/>
      <c r="TQV19" s="110"/>
      <c r="TQW19" s="111"/>
      <c r="TQX19" s="112"/>
      <c r="TQY19" s="113"/>
      <c r="TQZ19" s="110"/>
      <c r="TRA19" s="114"/>
      <c r="TRB19" s="114"/>
      <c r="TRC19" s="110"/>
      <c r="TRD19" s="110"/>
      <c r="TRE19" s="110"/>
      <c r="TRF19" s="110"/>
      <c r="TRG19" s="111"/>
      <c r="TRH19" s="112"/>
      <c r="TRI19" s="113"/>
      <c r="TRJ19" s="110"/>
      <c r="TRK19" s="114"/>
      <c r="TRL19" s="114"/>
      <c r="TRM19" s="110"/>
      <c r="TRN19" s="110"/>
      <c r="TRO19" s="110"/>
      <c r="TRP19" s="110"/>
      <c r="TRQ19" s="111"/>
      <c r="TRR19" s="112"/>
      <c r="TRS19" s="113"/>
      <c r="TRT19" s="110"/>
      <c r="TRU19" s="114"/>
      <c r="TRV19" s="114"/>
      <c r="TRW19" s="110"/>
      <c r="TRX19" s="110"/>
      <c r="TRY19" s="110"/>
      <c r="TRZ19" s="110"/>
      <c r="TSA19" s="111"/>
      <c r="TSB19" s="112"/>
      <c r="TSC19" s="113"/>
      <c r="TSD19" s="110"/>
      <c r="TSE19" s="114"/>
      <c r="TSF19" s="114"/>
      <c r="TSG19" s="110"/>
      <c r="TSH19" s="110"/>
      <c r="TSI19" s="110"/>
      <c r="TSJ19" s="110"/>
      <c r="TSK19" s="111"/>
      <c r="TSL19" s="112"/>
      <c r="TSM19" s="113"/>
      <c r="TSN19" s="110"/>
      <c r="TSO19" s="114"/>
      <c r="TSP19" s="114"/>
      <c r="TSQ19" s="110"/>
      <c r="TSR19" s="110"/>
      <c r="TSS19" s="110"/>
      <c r="TST19" s="110"/>
      <c r="TSU19" s="111"/>
      <c r="TSV19" s="112"/>
      <c r="TSW19" s="113"/>
      <c r="TSX19" s="110"/>
      <c r="TSY19" s="114"/>
      <c r="TSZ19" s="114"/>
      <c r="TTA19" s="110"/>
      <c r="TTB19" s="110"/>
      <c r="TTC19" s="110"/>
      <c r="TTD19" s="110"/>
      <c r="TTE19" s="111"/>
      <c r="TTF19" s="112"/>
      <c r="TTG19" s="113"/>
      <c r="TTH19" s="110"/>
      <c r="TTI19" s="114"/>
      <c r="TTJ19" s="114"/>
      <c r="TTK19" s="110"/>
      <c r="TTL19" s="110"/>
      <c r="TTM19" s="110"/>
      <c r="TTN19" s="110"/>
      <c r="TTO19" s="111"/>
      <c r="TTP19" s="112"/>
      <c r="TTQ19" s="113"/>
      <c r="TTR19" s="110"/>
      <c r="TTS19" s="114"/>
      <c r="TTT19" s="114"/>
      <c r="TTU19" s="110"/>
      <c r="TTV19" s="110"/>
      <c r="TTW19" s="110"/>
      <c r="TTX19" s="110"/>
      <c r="TTY19" s="111"/>
      <c r="TTZ19" s="112"/>
      <c r="TUA19" s="113"/>
      <c r="TUB19" s="110"/>
      <c r="TUC19" s="114"/>
      <c r="TUD19" s="114"/>
      <c r="TUE19" s="110"/>
      <c r="TUF19" s="110"/>
      <c r="TUG19" s="110"/>
      <c r="TUH19" s="110"/>
      <c r="TUI19" s="111"/>
      <c r="TUJ19" s="112"/>
      <c r="TUK19" s="113"/>
      <c r="TUL19" s="110"/>
      <c r="TUM19" s="114"/>
      <c r="TUN19" s="114"/>
      <c r="TUO19" s="110"/>
      <c r="TUP19" s="110"/>
      <c r="TUQ19" s="110"/>
      <c r="TUR19" s="110"/>
      <c r="TUS19" s="111"/>
      <c r="TUT19" s="112"/>
      <c r="TUU19" s="113"/>
      <c r="TUV19" s="110"/>
      <c r="TUW19" s="114"/>
      <c r="TUX19" s="114"/>
      <c r="TUY19" s="110"/>
      <c r="TUZ19" s="110"/>
      <c r="TVA19" s="110"/>
      <c r="TVB19" s="110"/>
      <c r="TVC19" s="111"/>
      <c r="TVD19" s="112"/>
      <c r="TVE19" s="113"/>
      <c r="TVF19" s="110"/>
      <c r="TVG19" s="114"/>
      <c r="TVH19" s="114"/>
      <c r="TVI19" s="110"/>
      <c r="TVJ19" s="110"/>
      <c r="TVK19" s="110"/>
      <c r="TVL19" s="110"/>
      <c r="TVM19" s="111"/>
      <c r="TVN19" s="112"/>
      <c r="TVO19" s="113"/>
      <c r="TVP19" s="110"/>
      <c r="TVQ19" s="114"/>
      <c r="TVR19" s="114"/>
      <c r="TVS19" s="110"/>
      <c r="TVT19" s="110"/>
      <c r="TVU19" s="110"/>
      <c r="TVV19" s="110"/>
      <c r="TVW19" s="111"/>
      <c r="TVX19" s="112"/>
      <c r="TVY19" s="113"/>
      <c r="TVZ19" s="110"/>
      <c r="TWA19" s="114"/>
      <c r="TWB19" s="114"/>
      <c r="TWC19" s="110"/>
      <c r="TWD19" s="110"/>
      <c r="TWE19" s="110"/>
      <c r="TWF19" s="110"/>
      <c r="TWG19" s="111"/>
      <c r="TWH19" s="112"/>
      <c r="TWI19" s="113"/>
      <c r="TWJ19" s="110"/>
      <c r="TWK19" s="114"/>
      <c r="TWL19" s="114"/>
      <c r="TWM19" s="110"/>
      <c r="TWN19" s="110"/>
      <c r="TWO19" s="110"/>
      <c r="TWP19" s="110"/>
      <c r="TWQ19" s="111"/>
      <c r="TWR19" s="112"/>
      <c r="TWS19" s="113"/>
      <c r="TWT19" s="110"/>
      <c r="TWU19" s="114"/>
      <c r="TWV19" s="114"/>
      <c r="TWW19" s="110"/>
      <c r="TWX19" s="110"/>
      <c r="TWY19" s="110"/>
      <c r="TWZ19" s="110"/>
      <c r="TXA19" s="111"/>
      <c r="TXB19" s="112"/>
      <c r="TXC19" s="113"/>
      <c r="TXD19" s="110"/>
      <c r="TXE19" s="114"/>
      <c r="TXF19" s="114"/>
      <c r="TXG19" s="110"/>
      <c r="TXH19" s="110"/>
      <c r="TXI19" s="110"/>
      <c r="TXJ19" s="110"/>
      <c r="TXK19" s="111"/>
      <c r="TXL19" s="112"/>
      <c r="TXM19" s="113"/>
      <c r="TXN19" s="110"/>
      <c r="TXO19" s="114"/>
      <c r="TXP19" s="114"/>
      <c r="TXQ19" s="110"/>
      <c r="TXR19" s="110"/>
      <c r="TXS19" s="110"/>
      <c r="TXT19" s="110"/>
      <c r="TXU19" s="111"/>
      <c r="TXV19" s="112"/>
      <c r="TXW19" s="113"/>
      <c r="TXX19" s="110"/>
      <c r="TXY19" s="114"/>
      <c r="TXZ19" s="114"/>
      <c r="TYA19" s="110"/>
      <c r="TYB19" s="110"/>
      <c r="TYC19" s="110"/>
      <c r="TYD19" s="110"/>
      <c r="TYE19" s="111"/>
      <c r="TYF19" s="112"/>
      <c r="TYG19" s="113"/>
      <c r="TYH19" s="110"/>
      <c r="TYI19" s="114"/>
      <c r="TYJ19" s="114"/>
      <c r="TYK19" s="110"/>
      <c r="TYL19" s="110"/>
      <c r="TYM19" s="110"/>
      <c r="TYN19" s="110"/>
      <c r="TYO19" s="111"/>
      <c r="TYP19" s="112"/>
      <c r="TYQ19" s="113"/>
      <c r="TYR19" s="110"/>
      <c r="TYS19" s="114"/>
      <c r="TYT19" s="114"/>
      <c r="TYU19" s="110"/>
      <c r="TYV19" s="110"/>
      <c r="TYW19" s="110"/>
      <c r="TYX19" s="110"/>
      <c r="TYY19" s="111"/>
      <c r="TYZ19" s="112"/>
      <c r="TZA19" s="113"/>
      <c r="TZB19" s="110"/>
      <c r="TZC19" s="114"/>
      <c r="TZD19" s="114"/>
      <c r="TZE19" s="110"/>
      <c r="TZF19" s="110"/>
      <c r="TZG19" s="110"/>
      <c r="TZH19" s="110"/>
      <c r="TZI19" s="111"/>
      <c r="TZJ19" s="112"/>
      <c r="TZK19" s="113"/>
      <c r="TZL19" s="110"/>
      <c r="TZM19" s="114"/>
      <c r="TZN19" s="114"/>
      <c r="TZO19" s="110"/>
      <c r="TZP19" s="110"/>
      <c r="TZQ19" s="110"/>
      <c r="TZR19" s="110"/>
      <c r="TZS19" s="111"/>
      <c r="TZT19" s="112"/>
      <c r="TZU19" s="113"/>
      <c r="TZV19" s="110"/>
      <c r="TZW19" s="114"/>
      <c r="TZX19" s="114"/>
      <c r="TZY19" s="110"/>
      <c r="TZZ19" s="110"/>
      <c r="UAA19" s="110"/>
      <c r="UAB19" s="110"/>
      <c r="UAC19" s="111"/>
      <c r="UAD19" s="112"/>
      <c r="UAE19" s="113"/>
      <c r="UAF19" s="110"/>
      <c r="UAG19" s="114"/>
      <c r="UAH19" s="114"/>
      <c r="UAI19" s="110"/>
      <c r="UAJ19" s="110"/>
      <c r="UAK19" s="110"/>
      <c r="UAL19" s="110"/>
      <c r="UAM19" s="111"/>
      <c r="UAN19" s="112"/>
      <c r="UAO19" s="113"/>
      <c r="UAP19" s="110"/>
      <c r="UAQ19" s="114"/>
      <c r="UAR19" s="114"/>
      <c r="UAS19" s="110"/>
      <c r="UAT19" s="110"/>
      <c r="UAU19" s="110"/>
      <c r="UAV19" s="110"/>
      <c r="UAW19" s="111"/>
      <c r="UAX19" s="112"/>
      <c r="UAY19" s="113"/>
      <c r="UAZ19" s="110"/>
      <c r="UBA19" s="114"/>
      <c r="UBB19" s="114"/>
      <c r="UBC19" s="110"/>
      <c r="UBD19" s="110"/>
      <c r="UBE19" s="110"/>
      <c r="UBF19" s="110"/>
      <c r="UBG19" s="111"/>
      <c r="UBH19" s="112"/>
      <c r="UBI19" s="113"/>
      <c r="UBJ19" s="110"/>
      <c r="UBK19" s="114"/>
      <c r="UBL19" s="114"/>
      <c r="UBM19" s="110"/>
      <c r="UBN19" s="110"/>
      <c r="UBO19" s="110"/>
      <c r="UBP19" s="110"/>
      <c r="UBQ19" s="111"/>
      <c r="UBR19" s="112"/>
      <c r="UBS19" s="113"/>
      <c r="UBT19" s="110"/>
      <c r="UBU19" s="114"/>
      <c r="UBV19" s="114"/>
      <c r="UBW19" s="110"/>
      <c r="UBX19" s="110"/>
      <c r="UBY19" s="110"/>
      <c r="UBZ19" s="110"/>
      <c r="UCA19" s="111"/>
      <c r="UCB19" s="112"/>
      <c r="UCC19" s="113"/>
      <c r="UCD19" s="110"/>
      <c r="UCE19" s="114"/>
      <c r="UCF19" s="114"/>
      <c r="UCG19" s="110"/>
      <c r="UCH19" s="110"/>
      <c r="UCI19" s="110"/>
      <c r="UCJ19" s="110"/>
      <c r="UCK19" s="111"/>
      <c r="UCL19" s="112"/>
      <c r="UCM19" s="113"/>
      <c r="UCN19" s="110"/>
      <c r="UCO19" s="114"/>
      <c r="UCP19" s="114"/>
      <c r="UCQ19" s="110"/>
      <c r="UCR19" s="110"/>
      <c r="UCS19" s="110"/>
      <c r="UCT19" s="110"/>
      <c r="UCU19" s="111"/>
      <c r="UCV19" s="112"/>
      <c r="UCW19" s="113"/>
      <c r="UCX19" s="110"/>
      <c r="UCY19" s="114"/>
      <c r="UCZ19" s="114"/>
      <c r="UDA19" s="110"/>
      <c r="UDB19" s="110"/>
      <c r="UDC19" s="110"/>
      <c r="UDD19" s="110"/>
      <c r="UDE19" s="111"/>
      <c r="UDF19" s="112"/>
      <c r="UDG19" s="113"/>
      <c r="UDH19" s="110"/>
      <c r="UDI19" s="114"/>
      <c r="UDJ19" s="114"/>
      <c r="UDK19" s="110"/>
      <c r="UDL19" s="110"/>
      <c r="UDM19" s="110"/>
      <c r="UDN19" s="110"/>
      <c r="UDO19" s="111"/>
      <c r="UDP19" s="112"/>
      <c r="UDQ19" s="113"/>
      <c r="UDR19" s="110"/>
      <c r="UDS19" s="114"/>
      <c r="UDT19" s="114"/>
      <c r="UDU19" s="110"/>
      <c r="UDV19" s="110"/>
      <c r="UDW19" s="110"/>
      <c r="UDX19" s="110"/>
      <c r="UDY19" s="111"/>
      <c r="UDZ19" s="112"/>
      <c r="UEA19" s="113"/>
      <c r="UEB19" s="110"/>
      <c r="UEC19" s="114"/>
      <c r="UED19" s="114"/>
      <c r="UEE19" s="110"/>
      <c r="UEF19" s="110"/>
      <c r="UEG19" s="110"/>
      <c r="UEH19" s="110"/>
      <c r="UEI19" s="111"/>
      <c r="UEJ19" s="112"/>
      <c r="UEK19" s="113"/>
      <c r="UEL19" s="110"/>
      <c r="UEM19" s="114"/>
      <c r="UEN19" s="114"/>
      <c r="UEO19" s="110"/>
      <c r="UEP19" s="110"/>
      <c r="UEQ19" s="110"/>
      <c r="UER19" s="110"/>
      <c r="UES19" s="111"/>
      <c r="UET19" s="112"/>
      <c r="UEU19" s="113"/>
      <c r="UEV19" s="110"/>
      <c r="UEW19" s="114"/>
      <c r="UEX19" s="114"/>
      <c r="UEY19" s="110"/>
      <c r="UEZ19" s="110"/>
      <c r="UFA19" s="110"/>
      <c r="UFB19" s="110"/>
      <c r="UFC19" s="111"/>
      <c r="UFD19" s="112"/>
      <c r="UFE19" s="113"/>
      <c r="UFF19" s="110"/>
      <c r="UFG19" s="114"/>
      <c r="UFH19" s="114"/>
      <c r="UFI19" s="110"/>
      <c r="UFJ19" s="110"/>
      <c r="UFK19" s="110"/>
      <c r="UFL19" s="110"/>
      <c r="UFM19" s="111"/>
      <c r="UFN19" s="112"/>
      <c r="UFO19" s="113"/>
      <c r="UFP19" s="110"/>
      <c r="UFQ19" s="114"/>
      <c r="UFR19" s="114"/>
      <c r="UFS19" s="110"/>
      <c r="UFT19" s="110"/>
      <c r="UFU19" s="110"/>
      <c r="UFV19" s="110"/>
      <c r="UFW19" s="111"/>
      <c r="UFX19" s="112"/>
      <c r="UFY19" s="113"/>
      <c r="UFZ19" s="110"/>
      <c r="UGA19" s="114"/>
      <c r="UGB19" s="114"/>
      <c r="UGC19" s="110"/>
      <c r="UGD19" s="110"/>
      <c r="UGE19" s="110"/>
      <c r="UGF19" s="110"/>
      <c r="UGG19" s="111"/>
      <c r="UGH19" s="112"/>
      <c r="UGI19" s="113"/>
      <c r="UGJ19" s="110"/>
      <c r="UGK19" s="114"/>
      <c r="UGL19" s="114"/>
      <c r="UGM19" s="110"/>
      <c r="UGN19" s="110"/>
      <c r="UGO19" s="110"/>
      <c r="UGP19" s="110"/>
      <c r="UGQ19" s="111"/>
      <c r="UGR19" s="112"/>
      <c r="UGS19" s="113"/>
      <c r="UGT19" s="110"/>
      <c r="UGU19" s="114"/>
      <c r="UGV19" s="114"/>
      <c r="UGW19" s="110"/>
      <c r="UGX19" s="110"/>
      <c r="UGY19" s="110"/>
      <c r="UGZ19" s="110"/>
      <c r="UHA19" s="111"/>
      <c r="UHB19" s="112"/>
      <c r="UHC19" s="113"/>
      <c r="UHD19" s="110"/>
      <c r="UHE19" s="114"/>
      <c r="UHF19" s="114"/>
      <c r="UHG19" s="110"/>
      <c r="UHH19" s="110"/>
      <c r="UHI19" s="110"/>
      <c r="UHJ19" s="110"/>
      <c r="UHK19" s="111"/>
      <c r="UHL19" s="112"/>
      <c r="UHM19" s="113"/>
      <c r="UHN19" s="110"/>
      <c r="UHO19" s="114"/>
      <c r="UHP19" s="114"/>
      <c r="UHQ19" s="110"/>
      <c r="UHR19" s="110"/>
      <c r="UHS19" s="110"/>
      <c r="UHT19" s="110"/>
      <c r="UHU19" s="111"/>
      <c r="UHV19" s="112"/>
      <c r="UHW19" s="113"/>
      <c r="UHX19" s="110"/>
      <c r="UHY19" s="114"/>
      <c r="UHZ19" s="114"/>
      <c r="UIA19" s="110"/>
      <c r="UIB19" s="110"/>
      <c r="UIC19" s="110"/>
      <c r="UID19" s="110"/>
      <c r="UIE19" s="111"/>
      <c r="UIF19" s="112"/>
      <c r="UIG19" s="113"/>
      <c r="UIH19" s="110"/>
      <c r="UII19" s="114"/>
      <c r="UIJ19" s="114"/>
      <c r="UIK19" s="110"/>
      <c r="UIL19" s="110"/>
      <c r="UIM19" s="110"/>
      <c r="UIN19" s="110"/>
      <c r="UIO19" s="111"/>
      <c r="UIP19" s="112"/>
      <c r="UIQ19" s="113"/>
      <c r="UIR19" s="110"/>
      <c r="UIS19" s="114"/>
      <c r="UIT19" s="114"/>
      <c r="UIU19" s="110"/>
      <c r="UIV19" s="110"/>
      <c r="UIW19" s="110"/>
      <c r="UIX19" s="110"/>
      <c r="UIY19" s="111"/>
      <c r="UIZ19" s="112"/>
      <c r="UJA19" s="113"/>
      <c r="UJB19" s="110"/>
      <c r="UJC19" s="114"/>
      <c r="UJD19" s="114"/>
      <c r="UJE19" s="110"/>
      <c r="UJF19" s="110"/>
      <c r="UJG19" s="110"/>
      <c r="UJH19" s="110"/>
      <c r="UJI19" s="111"/>
      <c r="UJJ19" s="112"/>
      <c r="UJK19" s="113"/>
      <c r="UJL19" s="110"/>
      <c r="UJM19" s="114"/>
      <c r="UJN19" s="114"/>
      <c r="UJO19" s="110"/>
      <c r="UJP19" s="110"/>
      <c r="UJQ19" s="110"/>
      <c r="UJR19" s="110"/>
      <c r="UJS19" s="111"/>
      <c r="UJT19" s="112"/>
      <c r="UJU19" s="113"/>
      <c r="UJV19" s="110"/>
      <c r="UJW19" s="114"/>
      <c r="UJX19" s="114"/>
      <c r="UJY19" s="110"/>
      <c r="UJZ19" s="110"/>
      <c r="UKA19" s="110"/>
      <c r="UKB19" s="110"/>
      <c r="UKC19" s="111"/>
      <c r="UKD19" s="112"/>
      <c r="UKE19" s="113"/>
      <c r="UKF19" s="110"/>
      <c r="UKG19" s="114"/>
      <c r="UKH19" s="114"/>
      <c r="UKI19" s="110"/>
      <c r="UKJ19" s="110"/>
      <c r="UKK19" s="110"/>
      <c r="UKL19" s="110"/>
      <c r="UKM19" s="111"/>
      <c r="UKN19" s="112"/>
      <c r="UKO19" s="113"/>
      <c r="UKP19" s="110"/>
      <c r="UKQ19" s="114"/>
      <c r="UKR19" s="114"/>
      <c r="UKS19" s="110"/>
      <c r="UKT19" s="110"/>
      <c r="UKU19" s="110"/>
      <c r="UKV19" s="110"/>
      <c r="UKW19" s="111"/>
      <c r="UKX19" s="112"/>
      <c r="UKY19" s="113"/>
      <c r="UKZ19" s="110"/>
      <c r="ULA19" s="114"/>
      <c r="ULB19" s="114"/>
      <c r="ULC19" s="110"/>
      <c r="ULD19" s="110"/>
      <c r="ULE19" s="110"/>
      <c r="ULF19" s="110"/>
      <c r="ULG19" s="111"/>
      <c r="ULH19" s="112"/>
      <c r="ULI19" s="113"/>
      <c r="ULJ19" s="110"/>
      <c r="ULK19" s="114"/>
      <c r="ULL19" s="114"/>
      <c r="ULM19" s="110"/>
      <c r="ULN19" s="110"/>
      <c r="ULO19" s="110"/>
      <c r="ULP19" s="110"/>
      <c r="ULQ19" s="111"/>
      <c r="ULR19" s="112"/>
      <c r="ULS19" s="113"/>
      <c r="ULT19" s="110"/>
      <c r="ULU19" s="114"/>
      <c r="ULV19" s="114"/>
      <c r="ULW19" s="110"/>
      <c r="ULX19" s="110"/>
      <c r="ULY19" s="110"/>
      <c r="ULZ19" s="110"/>
      <c r="UMA19" s="111"/>
      <c r="UMB19" s="112"/>
      <c r="UMC19" s="113"/>
      <c r="UMD19" s="110"/>
      <c r="UME19" s="114"/>
      <c r="UMF19" s="114"/>
      <c r="UMG19" s="110"/>
      <c r="UMH19" s="110"/>
      <c r="UMI19" s="110"/>
      <c r="UMJ19" s="110"/>
      <c r="UMK19" s="111"/>
      <c r="UML19" s="112"/>
      <c r="UMM19" s="113"/>
      <c r="UMN19" s="110"/>
      <c r="UMO19" s="114"/>
      <c r="UMP19" s="114"/>
      <c r="UMQ19" s="110"/>
      <c r="UMR19" s="110"/>
      <c r="UMS19" s="110"/>
      <c r="UMT19" s="110"/>
      <c r="UMU19" s="111"/>
      <c r="UMV19" s="112"/>
      <c r="UMW19" s="113"/>
      <c r="UMX19" s="110"/>
      <c r="UMY19" s="114"/>
      <c r="UMZ19" s="114"/>
      <c r="UNA19" s="110"/>
      <c r="UNB19" s="110"/>
      <c r="UNC19" s="110"/>
      <c r="UND19" s="110"/>
      <c r="UNE19" s="111"/>
      <c r="UNF19" s="112"/>
      <c r="UNG19" s="113"/>
      <c r="UNH19" s="110"/>
      <c r="UNI19" s="114"/>
      <c r="UNJ19" s="114"/>
      <c r="UNK19" s="110"/>
      <c r="UNL19" s="110"/>
      <c r="UNM19" s="110"/>
      <c r="UNN19" s="110"/>
      <c r="UNO19" s="111"/>
      <c r="UNP19" s="112"/>
      <c r="UNQ19" s="113"/>
      <c r="UNR19" s="110"/>
      <c r="UNS19" s="114"/>
      <c r="UNT19" s="114"/>
      <c r="UNU19" s="110"/>
      <c r="UNV19" s="110"/>
      <c r="UNW19" s="110"/>
      <c r="UNX19" s="110"/>
      <c r="UNY19" s="111"/>
      <c r="UNZ19" s="112"/>
      <c r="UOA19" s="113"/>
      <c r="UOB19" s="110"/>
      <c r="UOC19" s="114"/>
      <c r="UOD19" s="114"/>
      <c r="UOE19" s="110"/>
      <c r="UOF19" s="110"/>
      <c r="UOG19" s="110"/>
      <c r="UOH19" s="110"/>
      <c r="UOI19" s="111"/>
      <c r="UOJ19" s="112"/>
      <c r="UOK19" s="113"/>
      <c r="UOL19" s="110"/>
      <c r="UOM19" s="114"/>
      <c r="UON19" s="114"/>
      <c r="UOO19" s="110"/>
      <c r="UOP19" s="110"/>
      <c r="UOQ19" s="110"/>
      <c r="UOR19" s="110"/>
      <c r="UOS19" s="111"/>
      <c r="UOT19" s="112"/>
      <c r="UOU19" s="113"/>
      <c r="UOV19" s="110"/>
      <c r="UOW19" s="114"/>
      <c r="UOX19" s="114"/>
      <c r="UOY19" s="110"/>
      <c r="UOZ19" s="110"/>
      <c r="UPA19" s="110"/>
      <c r="UPB19" s="110"/>
      <c r="UPC19" s="111"/>
      <c r="UPD19" s="112"/>
      <c r="UPE19" s="113"/>
      <c r="UPF19" s="110"/>
      <c r="UPG19" s="114"/>
      <c r="UPH19" s="114"/>
      <c r="UPI19" s="110"/>
      <c r="UPJ19" s="110"/>
      <c r="UPK19" s="110"/>
      <c r="UPL19" s="110"/>
      <c r="UPM19" s="111"/>
      <c r="UPN19" s="112"/>
      <c r="UPO19" s="113"/>
      <c r="UPP19" s="110"/>
      <c r="UPQ19" s="114"/>
      <c r="UPR19" s="114"/>
      <c r="UPS19" s="110"/>
      <c r="UPT19" s="110"/>
      <c r="UPU19" s="110"/>
      <c r="UPV19" s="110"/>
      <c r="UPW19" s="111"/>
      <c r="UPX19" s="112"/>
      <c r="UPY19" s="113"/>
      <c r="UPZ19" s="110"/>
      <c r="UQA19" s="114"/>
      <c r="UQB19" s="114"/>
      <c r="UQC19" s="110"/>
      <c r="UQD19" s="110"/>
      <c r="UQE19" s="110"/>
      <c r="UQF19" s="110"/>
      <c r="UQG19" s="111"/>
      <c r="UQH19" s="112"/>
      <c r="UQI19" s="113"/>
      <c r="UQJ19" s="110"/>
      <c r="UQK19" s="114"/>
      <c r="UQL19" s="114"/>
      <c r="UQM19" s="110"/>
      <c r="UQN19" s="110"/>
      <c r="UQO19" s="110"/>
      <c r="UQP19" s="110"/>
      <c r="UQQ19" s="111"/>
      <c r="UQR19" s="112"/>
      <c r="UQS19" s="113"/>
      <c r="UQT19" s="110"/>
      <c r="UQU19" s="114"/>
      <c r="UQV19" s="114"/>
      <c r="UQW19" s="110"/>
      <c r="UQX19" s="110"/>
      <c r="UQY19" s="110"/>
      <c r="UQZ19" s="110"/>
      <c r="URA19" s="111"/>
      <c r="URB19" s="112"/>
      <c r="URC19" s="113"/>
      <c r="URD19" s="110"/>
      <c r="URE19" s="114"/>
      <c r="URF19" s="114"/>
      <c r="URG19" s="110"/>
      <c r="URH19" s="110"/>
      <c r="URI19" s="110"/>
      <c r="URJ19" s="110"/>
      <c r="URK19" s="111"/>
      <c r="URL19" s="112"/>
      <c r="URM19" s="113"/>
      <c r="URN19" s="110"/>
      <c r="URO19" s="114"/>
      <c r="URP19" s="114"/>
      <c r="URQ19" s="110"/>
      <c r="URR19" s="110"/>
      <c r="URS19" s="110"/>
      <c r="URT19" s="110"/>
      <c r="URU19" s="111"/>
      <c r="URV19" s="112"/>
      <c r="URW19" s="113"/>
      <c r="URX19" s="110"/>
      <c r="URY19" s="114"/>
      <c r="URZ19" s="114"/>
      <c r="USA19" s="110"/>
      <c r="USB19" s="110"/>
      <c r="USC19" s="110"/>
      <c r="USD19" s="110"/>
      <c r="USE19" s="111"/>
      <c r="USF19" s="112"/>
      <c r="USG19" s="113"/>
      <c r="USH19" s="110"/>
      <c r="USI19" s="114"/>
      <c r="USJ19" s="114"/>
      <c r="USK19" s="110"/>
      <c r="USL19" s="110"/>
      <c r="USM19" s="110"/>
      <c r="USN19" s="110"/>
      <c r="USO19" s="111"/>
      <c r="USP19" s="112"/>
      <c r="USQ19" s="113"/>
      <c r="USR19" s="110"/>
      <c r="USS19" s="114"/>
      <c r="UST19" s="114"/>
      <c r="USU19" s="110"/>
      <c r="USV19" s="110"/>
      <c r="USW19" s="110"/>
      <c r="USX19" s="110"/>
      <c r="USY19" s="111"/>
      <c r="USZ19" s="112"/>
      <c r="UTA19" s="113"/>
      <c r="UTB19" s="110"/>
      <c r="UTC19" s="114"/>
      <c r="UTD19" s="114"/>
      <c r="UTE19" s="110"/>
      <c r="UTF19" s="110"/>
      <c r="UTG19" s="110"/>
      <c r="UTH19" s="110"/>
      <c r="UTI19" s="111"/>
      <c r="UTJ19" s="112"/>
      <c r="UTK19" s="113"/>
      <c r="UTL19" s="110"/>
      <c r="UTM19" s="114"/>
      <c r="UTN19" s="114"/>
      <c r="UTO19" s="110"/>
      <c r="UTP19" s="110"/>
      <c r="UTQ19" s="110"/>
      <c r="UTR19" s="110"/>
      <c r="UTS19" s="111"/>
      <c r="UTT19" s="112"/>
      <c r="UTU19" s="113"/>
      <c r="UTV19" s="110"/>
      <c r="UTW19" s="114"/>
      <c r="UTX19" s="114"/>
      <c r="UTY19" s="110"/>
      <c r="UTZ19" s="110"/>
      <c r="UUA19" s="110"/>
      <c r="UUB19" s="110"/>
      <c r="UUC19" s="111"/>
      <c r="UUD19" s="112"/>
      <c r="UUE19" s="113"/>
      <c r="UUF19" s="110"/>
      <c r="UUG19" s="114"/>
      <c r="UUH19" s="114"/>
      <c r="UUI19" s="110"/>
      <c r="UUJ19" s="110"/>
      <c r="UUK19" s="110"/>
      <c r="UUL19" s="110"/>
      <c r="UUM19" s="111"/>
      <c r="UUN19" s="112"/>
      <c r="UUO19" s="113"/>
      <c r="UUP19" s="110"/>
      <c r="UUQ19" s="114"/>
      <c r="UUR19" s="114"/>
      <c r="UUS19" s="110"/>
      <c r="UUT19" s="110"/>
      <c r="UUU19" s="110"/>
      <c r="UUV19" s="110"/>
      <c r="UUW19" s="111"/>
      <c r="UUX19" s="112"/>
      <c r="UUY19" s="113"/>
      <c r="UUZ19" s="110"/>
      <c r="UVA19" s="114"/>
      <c r="UVB19" s="114"/>
      <c r="UVC19" s="110"/>
      <c r="UVD19" s="110"/>
      <c r="UVE19" s="110"/>
      <c r="UVF19" s="110"/>
      <c r="UVG19" s="111"/>
      <c r="UVH19" s="112"/>
      <c r="UVI19" s="113"/>
      <c r="UVJ19" s="110"/>
      <c r="UVK19" s="114"/>
      <c r="UVL19" s="114"/>
      <c r="UVM19" s="110"/>
      <c r="UVN19" s="110"/>
      <c r="UVO19" s="110"/>
      <c r="UVP19" s="110"/>
      <c r="UVQ19" s="111"/>
      <c r="UVR19" s="112"/>
      <c r="UVS19" s="113"/>
      <c r="UVT19" s="110"/>
      <c r="UVU19" s="114"/>
      <c r="UVV19" s="114"/>
      <c r="UVW19" s="110"/>
      <c r="UVX19" s="110"/>
      <c r="UVY19" s="110"/>
      <c r="UVZ19" s="110"/>
      <c r="UWA19" s="111"/>
      <c r="UWB19" s="112"/>
      <c r="UWC19" s="113"/>
      <c r="UWD19" s="110"/>
      <c r="UWE19" s="114"/>
      <c r="UWF19" s="114"/>
      <c r="UWG19" s="110"/>
      <c r="UWH19" s="110"/>
      <c r="UWI19" s="110"/>
      <c r="UWJ19" s="110"/>
      <c r="UWK19" s="111"/>
      <c r="UWL19" s="112"/>
      <c r="UWM19" s="113"/>
      <c r="UWN19" s="110"/>
      <c r="UWO19" s="114"/>
      <c r="UWP19" s="114"/>
      <c r="UWQ19" s="110"/>
      <c r="UWR19" s="110"/>
      <c r="UWS19" s="110"/>
      <c r="UWT19" s="110"/>
      <c r="UWU19" s="111"/>
      <c r="UWV19" s="112"/>
      <c r="UWW19" s="113"/>
      <c r="UWX19" s="110"/>
      <c r="UWY19" s="114"/>
      <c r="UWZ19" s="114"/>
      <c r="UXA19" s="110"/>
      <c r="UXB19" s="110"/>
      <c r="UXC19" s="110"/>
      <c r="UXD19" s="110"/>
      <c r="UXE19" s="111"/>
      <c r="UXF19" s="112"/>
      <c r="UXG19" s="113"/>
      <c r="UXH19" s="110"/>
      <c r="UXI19" s="114"/>
      <c r="UXJ19" s="114"/>
      <c r="UXK19" s="110"/>
      <c r="UXL19" s="110"/>
      <c r="UXM19" s="110"/>
      <c r="UXN19" s="110"/>
      <c r="UXO19" s="111"/>
      <c r="UXP19" s="112"/>
      <c r="UXQ19" s="113"/>
      <c r="UXR19" s="110"/>
      <c r="UXS19" s="114"/>
      <c r="UXT19" s="114"/>
      <c r="UXU19" s="110"/>
      <c r="UXV19" s="110"/>
      <c r="UXW19" s="110"/>
      <c r="UXX19" s="110"/>
      <c r="UXY19" s="111"/>
      <c r="UXZ19" s="112"/>
      <c r="UYA19" s="113"/>
      <c r="UYB19" s="110"/>
      <c r="UYC19" s="114"/>
      <c r="UYD19" s="114"/>
      <c r="UYE19" s="110"/>
      <c r="UYF19" s="110"/>
      <c r="UYG19" s="110"/>
      <c r="UYH19" s="110"/>
      <c r="UYI19" s="111"/>
      <c r="UYJ19" s="112"/>
      <c r="UYK19" s="113"/>
      <c r="UYL19" s="110"/>
      <c r="UYM19" s="114"/>
      <c r="UYN19" s="114"/>
      <c r="UYO19" s="110"/>
      <c r="UYP19" s="110"/>
      <c r="UYQ19" s="110"/>
      <c r="UYR19" s="110"/>
      <c r="UYS19" s="111"/>
      <c r="UYT19" s="112"/>
      <c r="UYU19" s="113"/>
      <c r="UYV19" s="110"/>
      <c r="UYW19" s="114"/>
      <c r="UYX19" s="114"/>
      <c r="UYY19" s="110"/>
      <c r="UYZ19" s="110"/>
      <c r="UZA19" s="110"/>
      <c r="UZB19" s="110"/>
      <c r="UZC19" s="111"/>
      <c r="UZD19" s="112"/>
      <c r="UZE19" s="113"/>
      <c r="UZF19" s="110"/>
      <c r="UZG19" s="114"/>
      <c r="UZH19" s="114"/>
      <c r="UZI19" s="110"/>
      <c r="UZJ19" s="110"/>
      <c r="UZK19" s="110"/>
      <c r="UZL19" s="110"/>
      <c r="UZM19" s="111"/>
      <c r="UZN19" s="112"/>
      <c r="UZO19" s="113"/>
      <c r="UZP19" s="110"/>
      <c r="UZQ19" s="114"/>
      <c r="UZR19" s="114"/>
      <c r="UZS19" s="110"/>
      <c r="UZT19" s="110"/>
      <c r="UZU19" s="110"/>
      <c r="UZV19" s="110"/>
      <c r="UZW19" s="111"/>
      <c r="UZX19" s="112"/>
      <c r="UZY19" s="113"/>
      <c r="UZZ19" s="110"/>
      <c r="VAA19" s="114"/>
      <c r="VAB19" s="114"/>
      <c r="VAC19" s="110"/>
      <c r="VAD19" s="110"/>
      <c r="VAE19" s="110"/>
      <c r="VAF19" s="110"/>
      <c r="VAG19" s="111"/>
      <c r="VAH19" s="112"/>
      <c r="VAI19" s="113"/>
      <c r="VAJ19" s="110"/>
      <c r="VAK19" s="114"/>
      <c r="VAL19" s="114"/>
      <c r="VAM19" s="110"/>
      <c r="VAN19" s="110"/>
      <c r="VAO19" s="110"/>
      <c r="VAP19" s="110"/>
      <c r="VAQ19" s="111"/>
      <c r="VAR19" s="112"/>
      <c r="VAS19" s="113"/>
      <c r="VAT19" s="110"/>
      <c r="VAU19" s="114"/>
      <c r="VAV19" s="114"/>
      <c r="VAW19" s="110"/>
      <c r="VAX19" s="110"/>
      <c r="VAY19" s="110"/>
      <c r="VAZ19" s="110"/>
      <c r="VBA19" s="111"/>
      <c r="VBB19" s="112"/>
      <c r="VBC19" s="113"/>
      <c r="VBD19" s="110"/>
      <c r="VBE19" s="114"/>
      <c r="VBF19" s="114"/>
      <c r="VBG19" s="110"/>
      <c r="VBH19" s="110"/>
      <c r="VBI19" s="110"/>
      <c r="VBJ19" s="110"/>
      <c r="VBK19" s="111"/>
      <c r="VBL19" s="112"/>
      <c r="VBM19" s="113"/>
      <c r="VBN19" s="110"/>
      <c r="VBO19" s="114"/>
      <c r="VBP19" s="114"/>
      <c r="VBQ19" s="110"/>
      <c r="VBR19" s="110"/>
      <c r="VBS19" s="110"/>
      <c r="VBT19" s="110"/>
      <c r="VBU19" s="111"/>
      <c r="VBV19" s="112"/>
      <c r="VBW19" s="113"/>
      <c r="VBX19" s="110"/>
      <c r="VBY19" s="114"/>
      <c r="VBZ19" s="114"/>
      <c r="VCA19" s="110"/>
      <c r="VCB19" s="110"/>
      <c r="VCC19" s="110"/>
      <c r="VCD19" s="110"/>
      <c r="VCE19" s="111"/>
      <c r="VCF19" s="112"/>
      <c r="VCG19" s="113"/>
      <c r="VCH19" s="110"/>
      <c r="VCI19" s="114"/>
      <c r="VCJ19" s="114"/>
      <c r="VCK19" s="110"/>
      <c r="VCL19" s="110"/>
      <c r="VCM19" s="110"/>
      <c r="VCN19" s="110"/>
      <c r="VCO19" s="111"/>
      <c r="VCP19" s="112"/>
      <c r="VCQ19" s="113"/>
      <c r="VCR19" s="110"/>
      <c r="VCS19" s="114"/>
      <c r="VCT19" s="114"/>
      <c r="VCU19" s="110"/>
      <c r="VCV19" s="110"/>
      <c r="VCW19" s="110"/>
      <c r="VCX19" s="110"/>
      <c r="VCY19" s="111"/>
      <c r="VCZ19" s="112"/>
      <c r="VDA19" s="113"/>
      <c r="VDB19" s="110"/>
      <c r="VDC19" s="114"/>
      <c r="VDD19" s="114"/>
      <c r="VDE19" s="110"/>
      <c r="VDF19" s="110"/>
      <c r="VDG19" s="110"/>
      <c r="VDH19" s="110"/>
      <c r="VDI19" s="111"/>
      <c r="VDJ19" s="112"/>
      <c r="VDK19" s="113"/>
      <c r="VDL19" s="110"/>
      <c r="VDM19" s="114"/>
      <c r="VDN19" s="114"/>
      <c r="VDO19" s="110"/>
      <c r="VDP19" s="110"/>
      <c r="VDQ19" s="110"/>
      <c r="VDR19" s="110"/>
      <c r="VDS19" s="111"/>
      <c r="VDT19" s="112"/>
      <c r="VDU19" s="113"/>
      <c r="VDV19" s="110"/>
      <c r="VDW19" s="114"/>
      <c r="VDX19" s="114"/>
      <c r="VDY19" s="110"/>
      <c r="VDZ19" s="110"/>
      <c r="VEA19" s="110"/>
      <c r="VEB19" s="110"/>
      <c r="VEC19" s="111"/>
      <c r="VED19" s="112"/>
      <c r="VEE19" s="113"/>
      <c r="VEF19" s="110"/>
      <c r="VEG19" s="114"/>
      <c r="VEH19" s="114"/>
      <c r="VEI19" s="110"/>
      <c r="VEJ19" s="110"/>
      <c r="VEK19" s="110"/>
      <c r="VEL19" s="110"/>
      <c r="VEM19" s="111"/>
      <c r="VEN19" s="112"/>
      <c r="VEO19" s="113"/>
      <c r="VEP19" s="110"/>
      <c r="VEQ19" s="114"/>
      <c r="VER19" s="114"/>
      <c r="VES19" s="110"/>
      <c r="VET19" s="110"/>
      <c r="VEU19" s="110"/>
      <c r="VEV19" s="110"/>
      <c r="VEW19" s="111"/>
      <c r="VEX19" s="112"/>
      <c r="VEY19" s="113"/>
      <c r="VEZ19" s="110"/>
      <c r="VFA19" s="114"/>
      <c r="VFB19" s="114"/>
      <c r="VFC19" s="110"/>
      <c r="VFD19" s="110"/>
      <c r="VFE19" s="110"/>
      <c r="VFF19" s="110"/>
      <c r="VFG19" s="111"/>
      <c r="VFH19" s="112"/>
      <c r="VFI19" s="113"/>
      <c r="VFJ19" s="110"/>
      <c r="VFK19" s="114"/>
      <c r="VFL19" s="114"/>
      <c r="VFM19" s="110"/>
      <c r="VFN19" s="110"/>
      <c r="VFO19" s="110"/>
      <c r="VFP19" s="110"/>
      <c r="VFQ19" s="111"/>
      <c r="VFR19" s="112"/>
      <c r="VFS19" s="113"/>
      <c r="VFT19" s="110"/>
      <c r="VFU19" s="114"/>
      <c r="VFV19" s="114"/>
      <c r="VFW19" s="110"/>
      <c r="VFX19" s="110"/>
      <c r="VFY19" s="110"/>
      <c r="VFZ19" s="110"/>
      <c r="VGA19" s="111"/>
      <c r="VGB19" s="112"/>
      <c r="VGC19" s="113"/>
      <c r="VGD19" s="110"/>
      <c r="VGE19" s="114"/>
      <c r="VGF19" s="114"/>
      <c r="VGG19" s="110"/>
      <c r="VGH19" s="110"/>
      <c r="VGI19" s="110"/>
      <c r="VGJ19" s="110"/>
      <c r="VGK19" s="111"/>
      <c r="VGL19" s="112"/>
      <c r="VGM19" s="113"/>
      <c r="VGN19" s="110"/>
      <c r="VGO19" s="114"/>
      <c r="VGP19" s="114"/>
      <c r="VGQ19" s="110"/>
      <c r="VGR19" s="110"/>
      <c r="VGS19" s="110"/>
      <c r="VGT19" s="110"/>
      <c r="VGU19" s="111"/>
      <c r="VGV19" s="112"/>
      <c r="VGW19" s="113"/>
      <c r="VGX19" s="110"/>
      <c r="VGY19" s="114"/>
      <c r="VGZ19" s="114"/>
      <c r="VHA19" s="110"/>
      <c r="VHB19" s="110"/>
      <c r="VHC19" s="110"/>
      <c r="VHD19" s="110"/>
      <c r="VHE19" s="111"/>
      <c r="VHF19" s="112"/>
      <c r="VHG19" s="113"/>
      <c r="VHH19" s="110"/>
      <c r="VHI19" s="114"/>
      <c r="VHJ19" s="114"/>
      <c r="VHK19" s="110"/>
      <c r="VHL19" s="110"/>
      <c r="VHM19" s="110"/>
      <c r="VHN19" s="110"/>
      <c r="VHO19" s="111"/>
      <c r="VHP19" s="112"/>
      <c r="VHQ19" s="113"/>
      <c r="VHR19" s="110"/>
      <c r="VHS19" s="114"/>
      <c r="VHT19" s="114"/>
      <c r="VHU19" s="110"/>
      <c r="VHV19" s="110"/>
      <c r="VHW19" s="110"/>
      <c r="VHX19" s="110"/>
      <c r="VHY19" s="111"/>
      <c r="VHZ19" s="112"/>
      <c r="VIA19" s="113"/>
      <c r="VIB19" s="110"/>
      <c r="VIC19" s="114"/>
      <c r="VID19" s="114"/>
      <c r="VIE19" s="110"/>
      <c r="VIF19" s="110"/>
      <c r="VIG19" s="110"/>
      <c r="VIH19" s="110"/>
      <c r="VII19" s="111"/>
      <c r="VIJ19" s="112"/>
      <c r="VIK19" s="113"/>
      <c r="VIL19" s="110"/>
      <c r="VIM19" s="114"/>
      <c r="VIN19" s="114"/>
      <c r="VIO19" s="110"/>
      <c r="VIP19" s="110"/>
      <c r="VIQ19" s="110"/>
      <c r="VIR19" s="110"/>
      <c r="VIS19" s="111"/>
      <c r="VIT19" s="112"/>
      <c r="VIU19" s="113"/>
      <c r="VIV19" s="110"/>
      <c r="VIW19" s="114"/>
      <c r="VIX19" s="114"/>
      <c r="VIY19" s="110"/>
      <c r="VIZ19" s="110"/>
      <c r="VJA19" s="110"/>
      <c r="VJB19" s="110"/>
      <c r="VJC19" s="111"/>
      <c r="VJD19" s="112"/>
      <c r="VJE19" s="113"/>
      <c r="VJF19" s="110"/>
      <c r="VJG19" s="114"/>
      <c r="VJH19" s="114"/>
      <c r="VJI19" s="110"/>
      <c r="VJJ19" s="110"/>
      <c r="VJK19" s="110"/>
      <c r="VJL19" s="110"/>
      <c r="VJM19" s="111"/>
      <c r="VJN19" s="112"/>
      <c r="VJO19" s="113"/>
      <c r="VJP19" s="110"/>
      <c r="VJQ19" s="114"/>
      <c r="VJR19" s="114"/>
      <c r="VJS19" s="110"/>
      <c r="VJT19" s="110"/>
      <c r="VJU19" s="110"/>
      <c r="VJV19" s="110"/>
      <c r="VJW19" s="111"/>
      <c r="VJX19" s="112"/>
      <c r="VJY19" s="113"/>
      <c r="VJZ19" s="110"/>
      <c r="VKA19" s="114"/>
      <c r="VKB19" s="114"/>
      <c r="VKC19" s="110"/>
      <c r="VKD19" s="110"/>
      <c r="VKE19" s="110"/>
      <c r="VKF19" s="110"/>
      <c r="VKG19" s="111"/>
      <c r="VKH19" s="112"/>
      <c r="VKI19" s="113"/>
      <c r="VKJ19" s="110"/>
      <c r="VKK19" s="114"/>
      <c r="VKL19" s="114"/>
      <c r="VKM19" s="110"/>
      <c r="VKN19" s="110"/>
      <c r="VKO19" s="110"/>
      <c r="VKP19" s="110"/>
      <c r="VKQ19" s="111"/>
      <c r="VKR19" s="112"/>
      <c r="VKS19" s="113"/>
      <c r="VKT19" s="110"/>
      <c r="VKU19" s="114"/>
      <c r="VKV19" s="114"/>
      <c r="VKW19" s="110"/>
      <c r="VKX19" s="110"/>
      <c r="VKY19" s="110"/>
      <c r="VKZ19" s="110"/>
      <c r="VLA19" s="111"/>
      <c r="VLB19" s="112"/>
      <c r="VLC19" s="113"/>
      <c r="VLD19" s="110"/>
      <c r="VLE19" s="114"/>
      <c r="VLF19" s="114"/>
      <c r="VLG19" s="110"/>
      <c r="VLH19" s="110"/>
      <c r="VLI19" s="110"/>
      <c r="VLJ19" s="110"/>
      <c r="VLK19" s="111"/>
      <c r="VLL19" s="112"/>
      <c r="VLM19" s="113"/>
      <c r="VLN19" s="110"/>
      <c r="VLO19" s="114"/>
      <c r="VLP19" s="114"/>
      <c r="VLQ19" s="110"/>
      <c r="VLR19" s="110"/>
      <c r="VLS19" s="110"/>
      <c r="VLT19" s="110"/>
      <c r="VLU19" s="111"/>
      <c r="VLV19" s="112"/>
      <c r="VLW19" s="113"/>
      <c r="VLX19" s="110"/>
      <c r="VLY19" s="114"/>
      <c r="VLZ19" s="114"/>
      <c r="VMA19" s="110"/>
      <c r="VMB19" s="110"/>
      <c r="VMC19" s="110"/>
      <c r="VMD19" s="110"/>
      <c r="VME19" s="111"/>
      <c r="VMF19" s="112"/>
      <c r="VMG19" s="113"/>
      <c r="VMH19" s="110"/>
      <c r="VMI19" s="114"/>
      <c r="VMJ19" s="114"/>
      <c r="VMK19" s="110"/>
      <c r="VML19" s="110"/>
      <c r="VMM19" s="110"/>
      <c r="VMN19" s="110"/>
      <c r="VMO19" s="111"/>
      <c r="VMP19" s="112"/>
      <c r="VMQ19" s="113"/>
      <c r="VMR19" s="110"/>
      <c r="VMS19" s="114"/>
      <c r="VMT19" s="114"/>
      <c r="VMU19" s="110"/>
      <c r="VMV19" s="110"/>
      <c r="VMW19" s="110"/>
      <c r="VMX19" s="110"/>
      <c r="VMY19" s="111"/>
      <c r="VMZ19" s="112"/>
      <c r="VNA19" s="113"/>
      <c r="VNB19" s="110"/>
      <c r="VNC19" s="114"/>
      <c r="VND19" s="114"/>
      <c r="VNE19" s="110"/>
      <c r="VNF19" s="110"/>
      <c r="VNG19" s="110"/>
      <c r="VNH19" s="110"/>
      <c r="VNI19" s="111"/>
      <c r="VNJ19" s="112"/>
      <c r="VNK19" s="113"/>
      <c r="VNL19" s="110"/>
      <c r="VNM19" s="114"/>
      <c r="VNN19" s="114"/>
      <c r="VNO19" s="110"/>
      <c r="VNP19" s="110"/>
      <c r="VNQ19" s="110"/>
      <c r="VNR19" s="110"/>
      <c r="VNS19" s="111"/>
      <c r="VNT19" s="112"/>
      <c r="VNU19" s="113"/>
      <c r="VNV19" s="110"/>
      <c r="VNW19" s="114"/>
      <c r="VNX19" s="114"/>
      <c r="VNY19" s="110"/>
      <c r="VNZ19" s="110"/>
      <c r="VOA19" s="110"/>
      <c r="VOB19" s="110"/>
      <c r="VOC19" s="111"/>
      <c r="VOD19" s="112"/>
      <c r="VOE19" s="113"/>
      <c r="VOF19" s="110"/>
      <c r="VOG19" s="114"/>
      <c r="VOH19" s="114"/>
      <c r="VOI19" s="110"/>
      <c r="VOJ19" s="110"/>
      <c r="VOK19" s="110"/>
      <c r="VOL19" s="110"/>
      <c r="VOM19" s="111"/>
      <c r="VON19" s="112"/>
      <c r="VOO19" s="113"/>
      <c r="VOP19" s="110"/>
      <c r="VOQ19" s="114"/>
      <c r="VOR19" s="114"/>
      <c r="VOS19" s="110"/>
      <c r="VOT19" s="110"/>
      <c r="VOU19" s="110"/>
      <c r="VOV19" s="110"/>
      <c r="VOW19" s="111"/>
      <c r="VOX19" s="112"/>
      <c r="VOY19" s="113"/>
      <c r="VOZ19" s="110"/>
      <c r="VPA19" s="114"/>
      <c r="VPB19" s="114"/>
      <c r="VPC19" s="110"/>
      <c r="VPD19" s="110"/>
      <c r="VPE19" s="110"/>
      <c r="VPF19" s="110"/>
      <c r="VPG19" s="111"/>
      <c r="VPH19" s="112"/>
      <c r="VPI19" s="113"/>
      <c r="VPJ19" s="110"/>
      <c r="VPK19" s="114"/>
      <c r="VPL19" s="114"/>
      <c r="VPM19" s="110"/>
      <c r="VPN19" s="110"/>
      <c r="VPO19" s="110"/>
      <c r="VPP19" s="110"/>
      <c r="VPQ19" s="111"/>
      <c r="VPR19" s="112"/>
      <c r="VPS19" s="113"/>
      <c r="VPT19" s="110"/>
      <c r="VPU19" s="114"/>
      <c r="VPV19" s="114"/>
      <c r="VPW19" s="110"/>
      <c r="VPX19" s="110"/>
      <c r="VPY19" s="110"/>
      <c r="VPZ19" s="110"/>
      <c r="VQA19" s="111"/>
      <c r="VQB19" s="112"/>
      <c r="VQC19" s="113"/>
      <c r="VQD19" s="110"/>
      <c r="VQE19" s="114"/>
      <c r="VQF19" s="114"/>
      <c r="VQG19" s="110"/>
      <c r="VQH19" s="110"/>
      <c r="VQI19" s="110"/>
      <c r="VQJ19" s="110"/>
      <c r="VQK19" s="111"/>
      <c r="VQL19" s="112"/>
      <c r="VQM19" s="113"/>
      <c r="VQN19" s="110"/>
      <c r="VQO19" s="114"/>
      <c r="VQP19" s="114"/>
      <c r="VQQ19" s="110"/>
      <c r="VQR19" s="110"/>
      <c r="VQS19" s="110"/>
      <c r="VQT19" s="110"/>
      <c r="VQU19" s="111"/>
      <c r="VQV19" s="112"/>
      <c r="VQW19" s="113"/>
      <c r="VQX19" s="110"/>
      <c r="VQY19" s="114"/>
      <c r="VQZ19" s="114"/>
      <c r="VRA19" s="110"/>
      <c r="VRB19" s="110"/>
      <c r="VRC19" s="110"/>
      <c r="VRD19" s="110"/>
      <c r="VRE19" s="111"/>
      <c r="VRF19" s="112"/>
      <c r="VRG19" s="113"/>
      <c r="VRH19" s="110"/>
      <c r="VRI19" s="114"/>
      <c r="VRJ19" s="114"/>
      <c r="VRK19" s="110"/>
      <c r="VRL19" s="110"/>
      <c r="VRM19" s="110"/>
      <c r="VRN19" s="110"/>
      <c r="VRO19" s="111"/>
      <c r="VRP19" s="112"/>
      <c r="VRQ19" s="113"/>
      <c r="VRR19" s="110"/>
      <c r="VRS19" s="114"/>
      <c r="VRT19" s="114"/>
      <c r="VRU19" s="110"/>
      <c r="VRV19" s="110"/>
      <c r="VRW19" s="110"/>
      <c r="VRX19" s="110"/>
      <c r="VRY19" s="111"/>
      <c r="VRZ19" s="112"/>
      <c r="VSA19" s="113"/>
      <c r="VSB19" s="110"/>
      <c r="VSC19" s="114"/>
      <c r="VSD19" s="114"/>
      <c r="VSE19" s="110"/>
      <c r="VSF19" s="110"/>
      <c r="VSG19" s="110"/>
      <c r="VSH19" s="110"/>
      <c r="VSI19" s="111"/>
      <c r="VSJ19" s="112"/>
      <c r="VSK19" s="113"/>
      <c r="VSL19" s="110"/>
      <c r="VSM19" s="114"/>
      <c r="VSN19" s="114"/>
      <c r="VSO19" s="110"/>
      <c r="VSP19" s="110"/>
      <c r="VSQ19" s="110"/>
      <c r="VSR19" s="110"/>
      <c r="VSS19" s="111"/>
      <c r="VST19" s="112"/>
      <c r="VSU19" s="113"/>
      <c r="VSV19" s="110"/>
      <c r="VSW19" s="114"/>
      <c r="VSX19" s="114"/>
      <c r="VSY19" s="110"/>
      <c r="VSZ19" s="110"/>
      <c r="VTA19" s="110"/>
      <c r="VTB19" s="110"/>
      <c r="VTC19" s="111"/>
      <c r="VTD19" s="112"/>
      <c r="VTE19" s="113"/>
      <c r="VTF19" s="110"/>
      <c r="VTG19" s="114"/>
      <c r="VTH19" s="114"/>
      <c r="VTI19" s="110"/>
      <c r="VTJ19" s="110"/>
      <c r="VTK19" s="110"/>
      <c r="VTL19" s="110"/>
      <c r="VTM19" s="111"/>
      <c r="VTN19" s="112"/>
      <c r="VTO19" s="113"/>
      <c r="VTP19" s="110"/>
      <c r="VTQ19" s="114"/>
      <c r="VTR19" s="114"/>
      <c r="VTS19" s="110"/>
      <c r="VTT19" s="110"/>
      <c r="VTU19" s="110"/>
      <c r="VTV19" s="110"/>
      <c r="VTW19" s="111"/>
      <c r="VTX19" s="112"/>
      <c r="VTY19" s="113"/>
      <c r="VTZ19" s="110"/>
      <c r="VUA19" s="114"/>
      <c r="VUB19" s="114"/>
      <c r="VUC19" s="110"/>
      <c r="VUD19" s="110"/>
      <c r="VUE19" s="110"/>
      <c r="VUF19" s="110"/>
      <c r="VUG19" s="111"/>
      <c r="VUH19" s="112"/>
      <c r="VUI19" s="113"/>
      <c r="VUJ19" s="110"/>
      <c r="VUK19" s="114"/>
      <c r="VUL19" s="114"/>
      <c r="VUM19" s="110"/>
      <c r="VUN19" s="110"/>
      <c r="VUO19" s="110"/>
      <c r="VUP19" s="110"/>
      <c r="VUQ19" s="111"/>
      <c r="VUR19" s="112"/>
      <c r="VUS19" s="113"/>
      <c r="VUT19" s="110"/>
      <c r="VUU19" s="114"/>
      <c r="VUV19" s="114"/>
      <c r="VUW19" s="110"/>
      <c r="VUX19" s="110"/>
      <c r="VUY19" s="110"/>
      <c r="VUZ19" s="110"/>
      <c r="VVA19" s="111"/>
      <c r="VVB19" s="112"/>
      <c r="VVC19" s="113"/>
      <c r="VVD19" s="110"/>
      <c r="VVE19" s="114"/>
      <c r="VVF19" s="114"/>
      <c r="VVG19" s="110"/>
      <c r="VVH19" s="110"/>
      <c r="VVI19" s="110"/>
      <c r="VVJ19" s="110"/>
      <c r="VVK19" s="111"/>
      <c r="VVL19" s="112"/>
      <c r="VVM19" s="113"/>
      <c r="VVN19" s="110"/>
      <c r="VVO19" s="114"/>
      <c r="VVP19" s="114"/>
      <c r="VVQ19" s="110"/>
      <c r="VVR19" s="110"/>
      <c r="VVS19" s="110"/>
      <c r="VVT19" s="110"/>
      <c r="VVU19" s="111"/>
      <c r="VVV19" s="112"/>
      <c r="VVW19" s="113"/>
      <c r="VVX19" s="110"/>
      <c r="VVY19" s="114"/>
      <c r="VVZ19" s="114"/>
      <c r="VWA19" s="110"/>
      <c r="VWB19" s="110"/>
      <c r="VWC19" s="110"/>
      <c r="VWD19" s="110"/>
      <c r="VWE19" s="111"/>
      <c r="VWF19" s="112"/>
      <c r="VWG19" s="113"/>
      <c r="VWH19" s="110"/>
      <c r="VWI19" s="114"/>
      <c r="VWJ19" s="114"/>
      <c r="VWK19" s="110"/>
      <c r="VWL19" s="110"/>
      <c r="VWM19" s="110"/>
      <c r="VWN19" s="110"/>
      <c r="VWO19" s="111"/>
      <c r="VWP19" s="112"/>
      <c r="VWQ19" s="113"/>
      <c r="VWR19" s="110"/>
      <c r="VWS19" s="114"/>
      <c r="VWT19" s="114"/>
      <c r="VWU19" s="110"/>
      <c r="VWV19" s="110"/>
      <c r="VWW19" s="110"/>
      <c r="VWX19" s="110"/>
      <c r="VWY19" s="111"/>
      <c r="VWZ19" s="112"/>
      <c r="VXA19" s="113"/>
      <c r="VXB19" s="110"/>
      <c r="VXC19" s="114"/>
      <c r="VXD19" s="114"/>
      <c r="VXE19" s="110"/>
      <c r="VXF19" s="110"/>
      <c r="VXG19" s="110"/>
      <c r="VXH19" s="110"/>
      <c r="VXI19" s="111"/>
      <c r="VXJ19" s="112"/>
      <c r="VXK19" s="113"/>
      <c r="VXL19" s="110"/>
      <c r="VXM19" s="114"/>
      <c r="VXN19" s="114"/>
      <c r="VXO19" s="110"/>
      <c r="VXP19" s="110"/>
      <c r="VXQ19" s="110"/>
      <c r="VXR19" s="110"/>
      <c r="VXS19" s="111"/>
      <c r="VXT19" s="112"/>
      <c r="VXU19" s="113"/>
      <c r="VXV19" s="110"/>
      <c r="VXW19" s="114"/>
      <c r="VXX19" s="114"/>
      <c r="VXY19" s="110"/>
      <c r="VXZ19" s="110"/>
      <c r="VYA19" s="110"/>
      <c r="VYB19" s="110"/>
      <c r="VYC19" s="111"/>
      <c r="VYD19" s="112"/>
      <c r="VYE19" s="113"/>
      <c r="VYF19" s="110"/>
      <c r="VYG19" s="114"/>
      <c r="VYH19" s="114"/>
      <c r="VYI19" s="110"/>
      <c r="VYJ19" s="110"/>
      <c r="VYK19" s="110"/>
      <c r="VYL19" s="110"/>
      <c r="VYM19" s="111"/>
      <c r="VYN19" s="112"/>
      <c r="VYO19" s="113"/>
      <c r="VYP19" s="110"/>
      <c r="VYQ19" s="114"/>
      <c r="VYR19" s="114"/>
      <c r="VYS19" s="110"/>
      <c r="VYT19" s="110"/>
      <c r="VYU19" s="110"/>
      <c r="VYV19" s="110"/>
      <c r="VYW19" s="111"/>
      <c r="VYX19" s="112"/>
      <c r="VYY19" s="113"/>
      <c r="VYZ19" s="110"/>
      <c r="VZA19" s="114"/>
      <c r="VZB19" s="114"/>
      <c r="VZC19" s="110"/>
      <c r="VZD19" s="110"/>
      <c r="VZE19" s="110"/>
      <c r="VZF19" s="110"/>
      <c r="VZG19" s="111"/>
      <c r="VZH19" s="112"/>
      <c r="VZI19" s="113"/>
      <c r="VZJ19" s="110"/>
      <c r="VZK19" s="114"/>
      <c r="VZL19" s="114"/>
      <c r="VZM19" s="110"/>
      <c r="VZN19" s="110"/>
      <c r="VZO19" s="110"/>
      <c r="VZP19" s="110"/>
      <c r="VZQ19" s="111"/>
      <c r="VZR19" s="112"/>
      <c r="VZS19" s="113"/>
      <c r="VZT19" s="110"/>
      <c r="VZU19" s="114"/>
      <c r="VZV19" s="114"/>
      <c r="VZW19" s="110"/>
      <c r="VZX19" s="110"/>
      <c r="VZY19" s="110"/>
      <c r="VZZ19" s="110"/>
      <c r="WAA19" s="111"/>
      <c r="WAB19" s="112"/>
      <c r="WAC19" s="113"/>
      <c r="WAD19" s="110"/>
      <c r="WAE19" s="114"/>
      <c r="WAF19" s="114"/>
      <c r="WAG19" s="110"/>
      <c r="WAH19" s="110"/>
      <c r="WAI19" s="110"/>
      <c r="WAJ19" s="110"/>
      <c r="WAK19" s="111"/>
      <c r="WAL19" s="112"/>
      <c r="WAM19" s="113"/>
      <c r="WAN19" s="110"/>
      <c r="WAO19" s="114"/>
      <c r="WAP19" s="114"/>
      <c r="WAQ19" s="110"/>
      <c r="WAR19" s="110"/>
      <c r="WAS19" s="110"/>
      <c r="WAT19" s="110"/>
      <c r="WAU19" s="111"/>
      <c r="WAV19" s="112"/>
      <c r="WAW19" s="113"/>
      <c r="WAX19" s="110"/>
      <c r="WAY19" s="114"/>
      <c r="WAZ19" s="114"/>
      <c r="WBA19" s="110"/>
      <c r="WBB19" s="110"/>
      <c r="WBC19" s="110"/>
      <c r="WBD19" s="110"/>
      <c r="WBE19" s="111"/>
      <c r="WBF19" s="112"/>
      <c r="WBG19" s="113"/>
      <c r="WBH19" s="110"/>
      <c r="WBI19" s="114"/>
      <c r="WBJ19" s="114"/>
      <c r="WBK19" s="110"/>
      <c r="WBL19" s="110"/>
      <c r="WBM19" s="110"/>
      <c r="WBN19" s="110"/>
      <c r="WBO19" s="111"/>
      <c r="WBP19" s="112"/>
      <c r="WBQ19" s="113"/>
      <c r="WBR19" s="110"/>
      <c r="WBS19" s="114"/>
      <c r="WBT19" s="114"/>
      <c r="WBU19" s="110"/>
      <c r="WBV19" s="110"/>
      <c r="WBW19" s="110"/>
      <c r="WBX19" s="110"/>
      <c r="WBY19" s="111"/>
      <c r="WBZ19" s="112"/>
      <c r="WCA19" s="113"/>
      <c r="WCB19" s="110"/>
      <c r="WCC19" s="114"/>
      <c r="WCD19" s="114"/>
      <c r="WCE19" s="110"/>
      <c r="WCF19" s="110"/>
      <c r="WCG19" s="110"/>
      <c r="WCH19" s="110"/>
      <c r="WCI19" s="111"/>
      <c r="WCJ19" s="112"/>
      <c r="WCK19" s="113"/>
      <c r="WCL19" s="110"/>
      <c r="WCM19" s="114"/>
      <c r="WCN19" s="114"/>
      <c r="WCO19" s="110"/>
      <c r="WCP19" s="110"/>
      <c r="WCQ19" s="110"/>
      <c r="WCR19" s="110"/>
      <c r="WCS19" s="111"/>
      <c r="WCT19" s="112"/>
      <c r="WCU19" s="113"/>
      <c r="WCV19" s="110"/>
      <c r="WCW19" s="114"/>
      <c r="WCX19" s="114"/>
      <c r="WCY19" s="110"/>
      <c r="WCZ19" s="110"/>
      <c r="WDA19" s="110"/>
      <c r="WDB19" s="110"/>
      <c r="WDC19" s="111"/>
      <c r="WDD19" s="112"/>
      <c r="WDE19" s="113"/>
      <c r="WDF19" s="110"/>
      <c r="WDG19" s="114"/>
      <c r="WDH19" s="114"/>
      <c r="WDI19" s="110"/>
      <c r="WDJ19" s="110"/>
      <c r="WDK19" s="110"/>
      <c r="WDL19" s="110"/>
      <c r="WDM19" s="111"/>
      <c r="WDN19" s="112"/>
      <c r="WDO19" s="113"/>
      <c r="WDP19" s="110"/>
      <c r="WDQ19" s="114"/>
      <c r="WDR19" s="114"/>
      <c r="WDS19" s="110"/>
      <c r="WDT19" s="110"/>
      <c r="WDU19" s="110"/>
      <c r="WDV19" s="110"/>
      <c r="WDW19" s="111"/>
      <c r="WDX19" s="112"/>
      <c r="WDY19" s="113"/>
      <c r="WDZ19" s="110"/>
      <c r="WEA19" s="114"/>
      <c r="WEB19" s="114"/>
      <c r="WEC19" s="110"/>
      <c r="WED19" s="110"/>
      <c r="WEE19" s="110"/>
      <c r="WEF19" s="110"/>
      <c r="WEG19" s="111"/>
      <c r="WEH19" s="112"/>
      <c r="WEI19" s="113"/>
      <c r="WEJ19" s="110"/>
      <c r="WEK19" s="114"/>
      <c r="WEL19" s="114"/>
      <c r="WEM19" s="110"/>
      <c r="WEN19" s="110"/>
      <c r="WEO19" s="110"/>
      <c r="WEP19" s="110"/>
      <c r="WEQ19" s="111"/>
      <c r="WER19" s="112"/>
      <c r="WES19" s="113"/>
      <c r="WET19" s="110"/>
      <c r="WEU19" s="114"/>
      <c r="WEV19" s="114"/>
      <c r="WEW19" s="110"/>
      <c r="WEX19" s="110"/>
      <c r="WEY19" s="110"/>
      <c r="WEZ19" s="110"/>
      <c r="WFA19" s="111"/>
      <c r="WFB19" s="112"/>
      <c r="WFC19" s="113"/>
      <c r="WFD19" s="110"/>
      <c r="WFE19" s="114"/>
      <c r="WFF19" s="114"/>
      <c r="WFG19" s="110"/>
      <c r="WFH19" s="110"/>
      <c r="WFI19" s="110"/>
      <c r="WFJ19" s="110"/>
      <c r="WFK19" s="111"/>
      <c r="WFL19" s="112"/>
      <c r="WFM19" s="113"/>
      <c r="WFN19" s="110"/>
      <c r="WFO19" s="114"/>
      <c r="WFP19" s="114"/>
      <c r="WFQ19" s="110"/>
      <c r="WFR19" s="110"/>
      <c r="WFS19" s="110"/>
      <c r="WFT19" s="110"/>
      <c r="WFU19" s="111"/>
      <c r="WFV19" s="112"/>
      <c r="WFW19" s="113"/>
      <c r="WFX19" s="110"/>
      <c r="WFY19" s="114"/>
      <c r="WFZ19" s="114"/>
      <c r="WGA19" s="110"/>
      <c r="WGB19" s="110"/>
      <c r="WGC19" s="110"/>
      <c r="WGD19" s="110"/>
      <c r="WGE19" s="111"/>
      <c r="WGF19" s="112"/>
      <c r="WGG19" s="113"/>
      <c r="WGH19" s="110"/>
      <c r="WGI19" s="114"/>
      <c r="WGJ19" s="114"/>
      <c r="WGK19" s="110"/>
      <c r="WGL19" s="110"/>
      <c r="WGM19" s="110"/>
      <c r="WGN19" s="110"/>
      <c r="WGO19" s="111"/>
      <c r="WGP19" s="112"/>
      <c r="WGQ19" s="113"/>
      <c r="WGR19" s="110"/>
      <c r="WGS19" s="114"/>
      <c r="WGT19" s="114"/>
      <c r="WGU19" s="110"/>
      <c r="WGV19" s="110"/>
      <c r="WGW19" s="110"/>
      <c r="WGX19" s="110"/>
      <c r="WGY19" s="111"/>
      <c r="WGZ19" s="112"/>
      <c r="WHA19" s="113"/>
      <c r="WHB19" s="110"/>
      <c r="WHC19" s="114"/>
      <c r="WHD19" s="114"/>
      <c r="WHE19" s="110"/>
      <c r="WHF19" s="110"/>
      <c r="WHG19" s="110"/>
      <c r="WHH19" s="110"/>
      <c r="WHI19" s="111"/>
      <c r="WHJ19" s="112"/>
      <c r="WHK19" s="113"/>
      <c r="WHL19" s="110"/>
      <c r="WHM19" s="114"/>
      <c r="WHN19" s="114"/>
      <c r="WHO19" s="110"/>
      <c r="WHP19" s="110"/>
      <c r="WHQ19" s="110"/>
      <c r="WHR19" s="110"/>
      <c r="WHS19" s="111"/>
      <c r="WHT19" s="112"/>
      <c r="WHU19" s="113"/>
      <c r="WHV19" s="110"/>
      <c r="WHW19" s="114"/>
      <c r="WHX19" s="114"/>
      <c r="WHY19" s="110"/>
      <c r="WHZ19" s="110"/>
      <c r="WIA19" s="110"/>
      <c r="WIB19" s="110"/>
      <c r="WIC19" s="111"/>
      <c r="WID19" s="112"/>
      <c r="WIE19" s="113"/>
      <c r="WIF19" s="110"/>
      <c r="WIG19" s="114"/>
      <c r="WIH19" s="114"/>
      <c r="WII19" s="110"/>
      <c r="WIJ19" s="110"/>
      <c r="WIK19" s="110"/>
      <c r="WIL19" s="110"/>
      <c r="WIM19" s="111"/>
      <c r="WIN19" s="112"/>
      <c r="WIO19" s="113"/>
      <c r="WIP19" s="110"/>
      <c r="WIQ19" s="114"/>
      <c r="WIR19" s="114"/>
      <c r="WIS19" s="110"/>
      <c r="WIT19" s="110"/>
      <c r="WIU19" s="110"/>
      <c r="WIV19" s="110"/>
      <c r="WIW19" s="111"/>
      <c r="WIX19" s="112"/>
      <c r="WIY19" s="113"/>
      <c r="WIZ19" s="110"/>
      <c r="WJA19" s="114"/>
      <c r="WJB19" s="114"/>
      <c r="WJC19" s="110"/>
      <c r="WJD19" s="110"/>
      <c r="WJE19" s="110"/>
      <c r="WJF19" s="110"/>
      <c r="WJG19" s="111"/>
      <c r="WJH19" s="112"/>
      <c r="WJI19" s="113"/>
      <c r="WJJ19" s="110"/>
      <c r="WJK19" s="114"/>
      <c r="WJL19" s="114"/>
      <c r="WJM19" s="110"/>
      <c r="WJN19" s="110"/>
      <c r="WJO19" s="110"/>
      <c r="WJP19" s="110"/>
      <c r="WJQ19" s="111"/>
      <c r="WJR19" s="112"/>
      <c r="WJS19" s="113"/>
      <c r="WJT19" s="110"/>
      <c r="WJU19" s="114"/>
      <c r="WJV19" s="114"/>
      <c r="WJW19" s="110"/>
      <c r="WJX19" s="110"/>
      <c r="WJY19" s="110"/>
      <c r="WJZ19" s="110"/>
      <c r="WKA19" s="111"/>
      <c r="WKB19" s="112"/>
      <c r="WKC19" s="113"/>
      <c r="WKD19" s="110"/>
      <c r="WKE19" s="114"/>
      <c r="WKF19" s="114"/>
      <c r="WKG19" s="110"/>
      <c r="WKH19" s="110"/>
      <c r="WKI19" s="110"/>
      <c r="WKJ19" s="110"/>
      <c r="WKK19" s="111"/>
      <c r="WKL19" s="112"/>
      <c r="WKM19" s="113"/>
      <c r="WKN19" s="110"/>
      <c r="WKO19" s="114"/>
      <c r="WKP19" s="114"/>
      <c r="WKQ19" s="110"/>
      <c r="WKR19" s="110"/>
      <c r="WKS19" s="110"/>
      <c r="WKT19" s="110"/>
      <c r="WKU19" s="111"/>
      <c r="WKV19" s="112"/>
      <c r="WKW19" s="113"/>
      <c r="WKX19" s="110"/>
      <c r="WKY19" s="114"/>
      <c r="WKZ19" s="114"/>
      <c r="WLA19" s="110"/>
      <c r="WLB19" s="110"/>
      <c r="WLC19" s="110"/>
      <c r="WLD19" s="110"/>
      <c r="WLE19" s="111"/>
      <c r="WLF19" s="112"/>
      <c r="WLG19" s="113"/>
      <c r="WLH19" s="110"/>
      <c r="WLI19" s="114"/>
      <c r="WLJ19" s="114"/>
      <c r="WLK19" s="110"/>
      <c r="WLL19" s="110"/>
      <c r="WLM19" s="110"/>
      <c r="WLN19" s="110"/>
      <c r="WLO19" s="111"/>
      <c r="WLP19" s="112"/>
      <c r="WLQ19" s="113"/>
      <c r="WLR19" s="110"/>
      <c r="WLS19" s="114"/>
      <c r="WLT19" s="114"/>
      <c r="WLU19" s="110"/>
      <c r="WLV19" s="110"/>
      <c r="WLW19" s="110"/>
      <c r="WLX19" s="110"/>
      <c r="WLY19" s="111"/>
      <c r="WLZ19" s="112"/>
      <c r="WMA19" s="113"/>
      <c r="WMB19" s="110"/>
      <c r="WMC19" s="114"/>
      <c r="WMD19" s="114"/>
      <c r="WME19" s="110"/>
      <c r="WMF19" s="110"/>
      <c r="WMG19" s="110"/>
      <c r="WMH19" s="110"/>
      <c r="WMI19" s="111"/>
      <c r="WMJ19" s="112"/>
      <c r="WMK19" s="113"/>
      <c r="WML19" s="110"/>
      <c r="WMM19" s="114"/>
      <c r="WMN19" s="114"/>
      <c r="WMO19" s="110"/>
      <c r="WMP19" s="110"/>
      <c r="WMQ19" s="110"/>
      <c r="WMR19" s="110"/>
      <c r="WMS19" s="111"/>
      <c r="WMT19" s="112"/>
      <c r="WMU19" s="113"/>
      <c r="WMV19" s="110"/>
      <c r="WMW19" s="114"/>
      <c r="WMX19" s="114"/>
      <c r="WMY19" s="110"/>
      <c r="WMZ19" s="110"/>
      <c r="WNA19" s="110"/>
      <c r="WNB19" s="110"/>
      <c r="WNC19" s="111"/>
      <c r="WND19" s="112"/>
      <c r="WNE19" s="113"/>
      <c r="WNF19" s="110"/>
      <c r="WNG19" s="114"/>
      <c r="WNH19" s="114"/>
      <c r="WNI19" s="110"/>
      <c r="WNJ19" s="110"/>
      <c r="WNK19" s="110"/>
      <c r="WNL19" s="110"/>
      <c r="WNM19" s="111"/>
      <c r="WNN19" s="112"/>
      <c r="WNO19" s="113"/>
      <c r="WNP19" s="110"/>
      <c r="WNQ19" s="114"/>
      <c r="WNR19" s="114"/>
      <c r="WNS19" s="110"/>
      <c r="WNT19" s="110"/>
      <c r="WNU19" s="110"/>
      <c r="WNV19" s="110"/>
      <c r="WNW19" s="111"/>
      <c r="WNX19" s="112"/>
      <c r="WNY19" s="113"/>
      <c r="WNZ19" s="110"/>
      <c r="WOA19" s="114"/>
      <c r="WOB19" s="114"/>
      <c r="WOC19" s="110"/>
      <c r="WOD19" s="110"/>
      <c r="WOE19" s="110"/>
      <c r="WOF19" s="110"/>
      <c r="WOG19" s="111"/>
      <c r="WOH19" s="112"/>
      <c r="WOI19" s="113"/>
      <c r="WOJ19" s="110"/>
      <c r="WOK19" s="114"/>
      <c r="WOL19" s="114"/>
      <c r="WOM19" s="110"/>
      <c r="WON19" s="110"/>
      <c r="WOO19" s="110"/>
      <c r="WOP19" s="110"/>
      <c r="WOQ19" s="111"/>
      <c r="WOR19" s="112"/>
      <c r="WOS19" s="113"/>
      <c r="WOT19" s="110"/>
      <c r="WOU19" s="114"/>
      <c r="WOV19" s="114"/>
      <c r="WOW19" s="110"/>
      <c r="WOX19" s="110"/>
      <c r="WOY19" s="110"/>
      <c r="WOZ19" s="110"/>
      <c r="WPA19" s="111"/>
      <c r="WPB19" s="112"/>
      <c r="WPC19" s="113"/>
      <c r="WPD19" s="110"/>
      <c r="WPE19" s="114"/>
      <c r="WPF19" s="114"/>
      <c r="WPG19" s="110"/>
      <c r="WPH19" s="110"/>
      <c r="WPI19" s="110"/>
      <c r="WPJ19" s="110"/>
      <c r="WPK19" s="111"/>
      <c r="WPL19" s="112"/>
      <c r="WPM19" s="113"/>
      <c r="WPN19" s="110"/>
      <c r="WPO19" s="114"/>
      <c r="WPP19" s="114"/>
      <c r="WPQ19" s="110"/>
      <c r="WPR19" s="110"/>
      <c r="WPS19" s="110"/>
      <c r="WPT19" s="110"/>
      <c r="WPU19" s="111"/>
      <c r="WPV19" s="112"/>
      <c r="WPW19" s="113"/>
      <c r="WPX19" s="110"/>
      <c r="WPY19" s="114"/>
      <c r="WPZ19" s="114"/>
      <c r="WQA19" s="110"/>
      <c r="WQB19" s="110"/>
      <c r="WQC19" s="110"/>
      <c r="WQD19" s="110"/>
      <c r="WQE19" s="111"/>
      <c r="WQF19" s="112"/>
      <c r="WQG19" s="113"/>
      <c r="WQH19" s="110"/>
      <c r="WQI19" s="114"/>
      <c r="WQJ19" s="114"/>
      <c r="WQK19" s="110"/>
      <c r="WQL19" s="110"/>
      <c r="WQM19" s="110"/>
      <c r="WQN19" s="110"/>
      <c r="WQO19" s="111"/>
      <c r="WQP19" s="112"/>
      <c r="WQQ19" s="113"/>
      <c r="WQR19" s="110"/>
      <c r="WQS19" s="114"/>
      <c r="WQT19" s="114"/>
      <c r="WQU19" s="110"/>
      <c r="WQV19" s="110"/>
      <c r="WQW19" s="110"/>
      <c r="WQX19" s="110"/>
      <c r="WQY19" s="111"/>
      <c r="WQZ19" s="112"/>
      <c r="WRA19" s="113"/>
      <c r="WRB19" s="110"/>
      <c r="WRC19" s="114"/>
      <c r="WRD19" s="114"/>
      <c r="WRE19" s="110"/>
      <c r="WRF19" s="110"/>
      <c r="WRG19" s="110"/>
      <c r="WRH19" s="110"/>
      <c r="WRI19" s="111"/>
      <c r="WRJ19" s="112"/>
      <c r="WRK19" s="113"/>
      <c r="WRL19" s="110"/>
      <c r="WRM19" s="114"/>
      <c r="WRN19" s="114"/>
      <c r="WRO19" s="110"/>
      <c r="WRP19" s="110"/>
      <c r="WRQ19" s="110"/>
      <c r="WRR19" s="110"/>
      <c r="WRS19" s="111"/>
      <c r="WRT19" s="112"/>
      <c r="WRU19" s="113"/>
      <c r="WRV19" s="110"/>
      <c r="WRW19" s="114"/>
      <c r="WRX19" s="114"/>
      <c r="WRY19" s="110"/>
      <c r="WRZ19" s="110"/>
      <c r="WSA19" s="110"/>
      <c r="WSB19" s="110"/>
      <c r="WSC19" s="111"/>
      <c r="WSD19" s="112"/>
      <c r="WSE19" s="113"/>
      <c r="WSF19" s="110"/>
      <c r="WSG19" s="114"/>
      <c r="WSH19" s="114"/>
      <c r="WSI19" s="110"/>
      <c r="WSJ19" s="110"/>
      <c r="WSK19" s="110"/>
      <c r="WSL19" s="110"/>
      <c r="WSM19" s="111"/>
      <c r="WSN19" s="112"/>
      <c r="WSO19" s="113"/>
      <c r="WSP19" s="110"/>
      <c r="WSQ19" s="114"/>
      <c r="WSR19" s="114"/>
      <c r="WSS19" s="110"/>
      <c r="WST19" s="110"/>
      <c r="WSU19" s="110"/>
      <c r="WSV19" s="110"/>
      <c r="WSW19" s="111"/>
      <c r="WSX19" s="112"/>
      <c r="WSY19" s="113"/>
      <c r="WSZ19" s="110"/>
      <c r="WTA19" s="114"/>
      <c r="WTB19" s="114"/>
      <c r="WTC19" s="110"/>
      <c r="WTD19" s="110"/>
      <c r="WTE19" s="110"/>
      <c r="WTF19" s="110"/>
      <c r="WTG19" s="111"/>
      <c r="WTH19" s="112"/>
      <c r="WTI19" s="113"/>
      <c r="WTJ19" s="110"/>
      <c r="WTK19" s="114"/>
      <c r="WTL19" s="114"/>
      <c r="WTM19" s="110"/>
      <c r="WTN19" s="110"/>
      <c r="WTO19" s="110"/>
      <c r="WTP19" s="110"/>
      <c r="WTQ19" s="111"/>
      <c r="WTR19" s="112"/>
      <c r="WTS19" s="113"/>
      <c r="WTT19" s="110"/>
      <c r="WTU19" s="114"/>
      <c r="WTV19" s="114"/>
      <c r="WTW19" s="110"/>
      <c r="WTX19" s="110"/>
      <c r="WTY19" s="110"/>
      <c r="WTZ19" s="110"/>
      <c r="WUA19" s="111"/>
      <c r="WUB19" s="112"/>
      <c r="WUC19" s="113"/>
      <c r="WUD19" s="110"/>
      <c r="WUE19" s="114"/>
      <c r="WUF19" s="114"/>
      <c r="WUG19" s="110"/>
      <c r="WUH19" s="110"/>
      <c r="WUI19" s="110"/>
      <c r="WUJ19" s="110"/>
      <c r="WUK19" s="111"/>
      <c r="WUL19" s="112"/>
      <c r="WUM19" s="113"/>
      <c r="WUN19" s="110"/>
      <c r="WUO19" s="114"/>
      <c r="WUP19" s="114"/>
      <c r="WUQ19" s="110"/>
      <c r="WUR19" s="110"/>
      <c r="WUS19" s="110"/>
      <c r="WUT19" s="110"/>
      <c r="WUU19" s="111"/>
      <c r="WUV19" s="112"/>
      <c r="WUW19" s="113"/>
      <c r="WUX19" s="110"/>
      <c r="WUY19" s="114"/>
      <c r="WUZ19" s="114"/>
      <c r="WVA19" s="110"/>
      <c r="WVB19" s="110"/>
      <c r="WVC19" s="110"/>
      <c r="WVD19" s="110"/>
      <c r="WVE19" s="111"/>
      <c r="WVF19" s="112"/>
      <c r="WVG19" s="113"/>
      <c r="WVH19" s="110"/>
      <c r="WVI19" s="114"/>
      <c r="WVJ19" s="114"/>
      <c r="WVK19" s="110"/>
      <c r="WVL19" s="110"/>
      <c r="WVM19" s="110"/>
      <c r="WVN19" s="110"/>
      <c r="WVO19" s="111"/>
      <c r="WVP19" s="112"/>
      <c r="WVQ19" s="113"/>
      <c r="WVR19" s="110"/>
      <c r="WVS19" s="114"/>
      <c r="WVT19" s="114"/>
      <c r="WVU19" s="110"/>
      <c r="WVV19" s="110"/>
      <c r="WVW19" s="110"/>
      <c r="WVX19" s="110"/>
      <c r="WVY19" s="111"/>
      <c r="WVZ19" s="112"/>
      <c r="WWA19" s="113"/>
      <c r="WWB19" s="110"/>
      <c r="WWC19" s="114"/>
      <c r="WWD19" s="114"/>
      <c r="WWE19" s="110"/>
      <c r="WWF19" s="110"/>
      <c r="WWG19" s="110"/>
      <c r="WWH19" s="110"/>
      <c r="WWI19" s="111"/>
      <c r="WWJ19" s="112"/>
      <c r="WWK19" s="113"/>
      <c r="WWL19" s="110"/>
      <c r="WWM19" s="114"/>
      <c r="WWN19" s="114"/>
      <c r="WWO19" s="110"/>
      <c r="WWP19" s="110"/>
      <c r="WWQ19" s="110"/>
      <c r="WWR19" s="110"/>
      <c r="WWS19" s="111"/>
      <c r="WWT19" s="112"/>
      <c r="WWU19" s="113"/>
      <c r="WWV19" s="110"/>
      <c r="WWW19" s="114"/>
      <c r="WWX19" s="114"/>
      <c r="WWY19" s="110"/>
      <c r="WWZ19" s="110"/>
      <c r="WXA19" s="110"/>
      <c r="WXB19" s="110"/>
      <c r="WXC19" s="111"/>
      <c r="WXD19" s="112"/>
      <c r="WXE19" s="113"/>
      <c r="WXF19" s="110"/>
      <c r="WXG19" s="114"/>
      <c r="WXH19" s="114"/>
      <c r="WXI19" s="110"/>
      <c r="WXJ19" s="110"/>
      <c r="WXK19" s="110"/>
      <c r="WXL19" s="110"/>
      <c r="WXM19" s="111"/>
      <c r="WXN19" s="112"/>
      <c r="WXO19" s="113"/>
      <c r="WXP19" s="110"/>
      <c r="WXQ19" s="114"/>
      <c r="WXR19" s="114"/>
      <c r="WXS19" s="110"/>
      <c r="WXT19" s="110"/>
      <c r="WXU19" s="110"/>
      <c r="WXV19" s="110"/>
      <c r="WXW19" s="111"/>
      <c r="WXX19" s="112"/>
      <c r="WXY19" s="113"/>
      <c r="WXZ19" s="110"/>
      <c r="WYA19" s="114"/>
      <c r="WYB19" s="114"/>
      <c r="WYC19" s="110"/>
      <c r="WYD19" s="110"/>
      <c r="WYE19" s="110"/>
      <c r="WYF19" s="110"/>
      <c r="WYG19" s="111"/>
      <c r="WYH19" s="112"/>
      <c r="WYI19" s="113"/>
      <c r="WYJ19" s="110"/>
      <c r="WYK19" s="114"/>
      <c r="WYL19" s="114"/>
      <c r="WYM19" s="110"/>
      <c r="WYN19" s="110"/>
      <c r="WYO19" s="110"/>
      <c r="WYP19" s="110"/>
      <c r="WYQ19" s="111"/>
      <c r="WYR19" s="112"/>
      <c r="WYS19" s="113"/>
      <c r="WYT19" s="110"/>
      <c r="WYU19" s="114"/>
      <c r="WYV19" s="114"/>
      <c r="WYW19" s="110"/>
      <c r="WYX19" s="110"/>
      <c r="WYY19" s="110"/>
      <c r="WYZ19" s="110"/>
      <c r="WZA19" s="111"/>
      <c r="WZB19" s="112"/>
      <c r="WZC19" s="113"/>
      <c r="WZD19" s="110"/>
      <c r="WZE19" s="114"/>
      <c r="WZF19" s="114"/>
      <c r="WZG19" s="110"/>
      <c r="WZH19" s="110"/>
      <c r="WZI19" s="110"/>
      <c r="WZJ19" s="110"/>
      <c r="WZK19" s="111"/>
      <c r="WZL19" s="112"/>
      <c r="WZM19" s="113"/>
      <c r="WZN19" s="110"/>
      <c r="WZO19" s="114"/>
      <c r="WZP19" s="114"/>
      <c r="WZQ19" s="110"/>
      <c r="WZR19" s="110"/>
      <c r="WZS19" s="110"/>
      <c r="WZT19" s="110"/>
      <c r="WZU19" s="111"/>
      <c r="WZV19" s="112"/>
      <c r="WZW19" s="113"/>
      <c r="WZX19" s="110"/>
      <c r="WZY19" s="114"/>
      <c r="WZZ19" s="114"/>
      <c r="XAA19" s="110"/>
      <c r="XAB19" s="110"/>
      <c r="XAC19" s="110"/>
      <c r="XAD19" s="110"/>
      <c r="XAE19" s="111"/>
      <c r="XAF19" s="112"/>
      <c r="XAG19" s="113"/>
      <c r="XAH19" s="110"/>
      <c r="XAI19" s="114"/>
      <c r="XAJ19" s="114"/>
      <c r="XAK19" s="110"/>
      <c r="XAL19" s="110"/>
      <c r="XAM19" s="110"/>
      <c r="XAN19" s="110"/>
      <c r="XAO19" s="111"/>
      <c r="XAP19" s="112"/>
      <c r="XAQ19" s="113"/>
      <c r="XAR19" s="110"/>
      <c r="XAS19" s="114"/>
      <c r="XAT19" s="114"/>
      <c r="XAU19" s="110"/>
      <c r="XAV19" s="110"/>
      <c r="XAW19" s="110"/>
      <c r="XAX19" s="110"/>
      <c r="XAY19" s="111"/>
      <c r="XAZ19" s="112"/>
      <c r="XBA19" s="113"/>
      <c r="XBB19" s="110"/>
      <c r="XBC19" s="114"/>
      <c r="XBD19" s="114"/>
      <c r="XBE19" s="110"/>
      <c r="XBF19" s="110"/>
      <c r="XBG19" s="110"/>
      <c r="XBH19" s="110"/>
      <c r="XBI19" s="111"/>
      <c r="XBJ19" s="112"/>
      <c r="XBK19" s="113"/>
      <c r="XBL19" s="110"/>
      <c r="XBM19" s="114"/>
      <c r="XBN19" s="114"/>
      <c r="XBO19" s="110"/>
      <c r="XBP19" s="110"/>
      <c r="XBQ19" s="110"/>
      <c r="XBR19" s="110"/>
      <c r="XBS19" s="111"/>
      <c r="XBT19" s="112"/>
      <c r="XBU19" s="113"/>
      <c r="XBV19" s="110"/>
      <c r="XBW19" s="114"/>
      <c r="XBX19" s="114"/>
      <c r="XBY19" s="110"/>
      <c r="XBZ19" s="110"/>
      <c r="XCA19" s="110"/>
      <c r="XCB19" s="110"/>
      <c r="XCC19" s="111"/>
      <c r="XCD19" s="112"/>
      <c r="XCE19" s="113"/>
      <c r="XCF19" s="110"/>
      <c r="XCG19" s="114"/>
      <c r="XCH19" s="114"/>
      <c r="XCI19" s="110"/>
      <c r="XCJ19" s="110"/>
      <c r="XCK19" s="110"/>
      <c r="XCL19" s="110"/>
      <c r="XCM19" s="111"/>
      <c r="XCN19" s="112"/>
      <c r="XCO19" s="113"/>
      <c r="XCP19" s="110"/>
      <c r="XCQ19" s="114"/>
      <c r="XCR19" s="114"/>
      <c r="XCS19" s="110"/>
      <c r="XCT19" s="110"/>
      <c r="XCU19" s="110"/>
      <c r="XCV19" s="110"/>
      <c r="XCW19" s="111"/>
      <c r="XCX19" s="112"/>
      <c r="XCY19" s="113"/>
      <c r="XCZ19" s="110"/>
      <c r="XDA19" s="114"/>
      <c r="XDB19" s="114"/>
      <c r="XDC19" s="110"/>
      <c r="XDD19" s="110"/>
      <c r="XDE19" s="110"/>
      <c r="XDF19" s="110"/>
      <c r="XDG19" s="111"/>
      <c r="XDH19" s="112"/>
      <c r="XDI19" s="113"/>
      <c r="XDJ19" s="110"/>
      <c r="XDK19" s="114"/>
      <c r="XDL19" s="114"/>
      <c r="XDM19" s="110"/>
      <c r="XDN19" s="110"/>
      <c r="XDO19" s="110"/>
      <c r="XDP19" s="110"/>
      <c r="XDQ19" s="111"/>
      <c r="XDR19" s="112"/>
      <c r="XDS19" s="113"/>
      <c r="XDT19" s="110"/>
      <c r="XDU19" s="114"/>
      <c r="XDV19" s="114"/>
      <c r="XDW19" s="110"/>
      <c r="XDX19" s="110"/>
      <c r="XDY19" s="110"/>
      <c r="XDZ19" s="110"/>
      <c r="XEA19" s="111"/>
      <c r="XEB19" s="112"/>
      <c r="XEC19" s="113"/>
      <c r="XED19" s="110"/>
      <c r="XEE19" s="114"/>
      <c r="XEF19" s="114"/>
      <c r="XEG19" s="110"/>
      <c r="XEH19" s="110"/>
      <c r="XEI19" s="110"/>
      <c r="XEJ19" s="110"/>
      <c r="XEK19" s="111"/>
      <c r="XEL19" s="112"/>
      <c r="XEM19" s="113"/>
      <c r="XEN19" s="110"/>
      <c r="XEO19" s="114"/>
      <c r="XEP19" s="114"/>
      <c r="XEQ19" s="110"/>
      <c r="XER19" s="110"/>
      <c r="XES19" s="110"/>
      <c r="XET19" s="110"/>
      <c r="XEU19" s="111"/>
      <c r="XEV19" s="112"/>
      <c r="XEW19" s="113"/>
      <c r="XEX19" s="110"/>
      <c r="XEY19" s="114"/>
      <c r="XEZ19" s="114"/>
      <c r="XFA19" s="110"/>
      <c r="XFB19" s="110"/>
      <c r="XFC19" s="110"/>
      <c r="XFD19" s="110"/>
    </row>
    <row r="20" spans="1:16384" s="311" customFormat="1" outlineLevel="1" x14ac:dyDescent="0.25">
      <c r="A20" s="301" t="s">
        <v>80</v>
      </c>
      <c r="B20" s="302"/>
      <c r="C20" s="313"/>
      <c r="D20" s="302" t="s">
        <v>4515</v>
      </c>
      <c r="E20" s="302"/>
      <c r="F20" s="304"/>
      <c r="G20" s="305"/>
      <c r="H20" s="302"/>
      <c r="I20" s="306">
        <f>ROUND(SUM(I21:I34),2)</f>
        <v>39012.19</v>
      </c>
      <c r="J20" s="307">
        <f>ROUND(SUM(J21:J34),2)</f>
        <v>51983.22</v>
      </c>
      <c r="K20" s="309"/>
      <c r="L20" s="310">
        <f t="shared" si="8"/>
        <v>0</v>
      </c>
      <c r="N20" s="560">
        <f>SUM(J21:J34)</f>
        <v>51983.219999999994</v>
      </c>
      <c r="O20" s="564">
        <f t="shared" si="0"/>
        <v>0</v>
      </c>
      <c r="Q20" s="311">
        <f t="shared" si="1"/>
        <v>0</v>
      </c>
    </row>
    <row r="21" spans="1:16384" s="36" customFormat="1" ht="22.5" outlineLevel="1" x14ac:dyDescent="0.25">
      <c r="A21" s="270" t="s">
        <v>81</v>
      </c>
      <c r="B21" s="271" t="s">
        <v>82</v>
      </c>
      <c r="C21" s="271" t="s">
        <v>83</v>
      </c>
      <c r="D21" s="272" t="s">
        <v>84</v>
      </c>
      <c r="E21" s="271" t="s">
        <v>85</v>
      </c>
      <c r="F21" s="273">
        <v>48.9</v>
      </c>
      <c r="G21" s="274">
        <v>75.819999999999993</v>
      </c>
      <c r="H21" s="275">
        <f t="shared" ref="H21:H34" si="12">ROUND(G21*ROUND(1+(33.25/100),4),2)</f>
        <v>101.03</v>
      </c>
      <c r="I21" s="275">
        <f t="shared" ref="I21:I34" si="13">ROUND(ROUND(F21,2)*ROUND(G21,2),2)</f>
        <v>3707.6</v>
      </c>
      <c r="J21" s="276">
        <f t="shared" ref="J21:J34" si="14">ROUND(ROUND(F21,2)*ROUND(H21,2),2)</f>
        <v>4940.37</v>
      </c>
      <c r="K21" s="155"/>
      <c r="L21" s="40">
        <f t="shared" si="8"/>
        <v>4940.3670000000002</v>
      </c>
      <c r="O21" s="561">
        <f t="shared" si="0"/>
        <v>4940.37</v>
      </c>
      <c r="Q21" s="36">
        <f t="shared" si="1"/>
        <v>4940.3670000000002</v>
      </c>
    </row>
    <row r="22" spans="1:16384" s="36" customFormat="1" ht="22.5" outlineLevel="1" x14ac:dyDescent="0.25">
      <c r="A22" s="270" t="s">
        <v>86</v>
      </c>
      <c r="B22" s="271" t="s">
        <v>4322</v>
      </c>
      <c r="C22" s="271">
        <v>10344</v>
      </c>
      <c r="D22" s="272" t="s">
        <v>88</v>
      </c>
      <c r="E22" s="271" t="s">
        <v>89</v>
      </c>
      <c r="F22" s="273">
        <v>39.9</v>
      </c>
      <c r="G22" s="274">
        <v>95.82</v>
      </c>
      <c r="H22" s="275">
        <f t="shared" si="12"/>
        <v>127.68</v>
      </c>
      <c r="I22" s="275">
        <f t="shared" si="13"/>
        <v>3823.22</v>
      </c>
      <c r="J22" s="276">
        <f t="shared" si="14"/>
        <v>5094.43</v>
      </c>
      <c r="K22" s="155"/>
      <c r="L22" s="40">
        <f t="shared" si="8"/>
        <v>5094.4319999999998</v>
      </c>
      <c r="O22" s="561">
        <f t="shared" si="0"/>
        <v>5094.43</v>
      </c>
      <c r="Q22" s="36">
        <f t="shared" si="1"/>
        <v>5094.4319999999998</v>
      </c>
    </row>
    <row r="23" spans="1:16384" s="36" customFormat="1" ht="22.5" outlineLevel="1" x14ac:dyDescent="0.25">
      <c r="A23" s="270" t="s">
        <v>90</v>
      </c>
      <c r="B23" s="271" t="s">
        <v>82</v>
      </c>
      <c r="C23" s="271" t="s">
        <v>91</v>
      </c>
      <c r="D23" s="272" t="s">
        <v>92</v>
      </c>
      <c r="E23" s="271" t="s">
        <v>85</v>
      </c>
      <c r="F23" s="273">
        <v>12.9</v>
      </c>
      <c r="G23" s="274">
        <v>244.09</v>
      </c>
      <c r="H23" s="275">
        <f t="shared" si="12"/>
        <v>325.25</v>
      </c>
      <c r="I23" s="275">
        <f t="shared" si="13"/>
        <v>3148.76</v>
      </c>
      <c r="J23" s="276">
        <f t="shared" si="14"/>
        <v>4195.7299999999996</v>
      </c>
      <c r="K23" s="155"/>
      <c r="L23" s="40">
        <f t="shared" si="8"/>
        <v>4195.7250000000004</v>
      </c>
      <c r="O23" s="561">
        <f t="shared" si="0"/>
        <v>4195.7299999999996</v>
      </c>
      <c r="Q23" s="36">
        <f t="shared" si="1"/>
        <v>4195.7250000000004</v>
      </c>
    </row>
    <row r="24" spans="1:16384" s="36" customFormat="1" ht="22.5" outlineLevel="1" x14ac:dyDescent="0.25">
      <c r="A24" s="270" t="s">
        <v>93</v>
      </c>
      <c r="B24" s="271" t="s">
        <v>4322</v>
      </c>
      <c r="C24" s="271">
        <v>10325</v>
      </c>
      <c r="D24" s="272" t="s">
        <v>95</v>
      </c>
      <c r="E24" s="271" t="s">
        <v>54</v>
      </c>
      <c r="F24" s="273">
        <v>562.65</v>
      </c>
      <c r="G24" s="274">
        <v>7.82</v>
      </c>
      <c r="H24" s="275">
        <f t="shared" si="12"/>
        <v>10.42</v>
      </c>
      <c r="I24" s="275">
        <f t="shared" si="13"/>
        <v>4399.92</v>
      </c>
      <c r="J24" s="276">
        <f t="shared" si="14"/>
        <v>5862.81</v>
      </c>
      <c r="K24" s="155"/>
      <c r="L24" s="40">
        <f t="shared" si="8"/>
        <v>5862.8130000000001</v>
      </c>
      <c r="O24" s="561">
        <f t="shared" si="0"/>
        <v>5862.81</v>
      </c>
      <c r="Q24" s="36">
        <f t="shared" si="1"/>
        <v>5862.8130000000001</v>
      </c>
    </row>
    <row r="25" spans="1:16384" s="36" customFormat="1" ht="22.5" outlineLevel="1" x14ac:dyDescent="0.25">
      <c r="A25" s="270" t="s">
        <v>96</v>
      </c>
      <c r="B25" s="271" t="s">
        <v>4322</v>
      </c>
      <c r="C25" s="271">
        <v>10255</v>
      </c>
      <c r="D25" s="272" t="s">
        <v>98</v>
      </c>
      <c r="E25" s="271" t="s">
        <v>54</v>
      </c>
      <c r="F25" s="273">
        <v>562.65</v>
      </c>
      <c r="G25" s="274">
        <v>15.67</v>
      </c>
      <c r="H25" s="275">
        <f t="shared" si="12"/>
        <v>20.88</v>
      </c>
      <c r="I25" s="275">
        <f t="shared" si="13"/>
        <v>8816.73</v>
      </c>
      <c r="J25" s="276">
        <f t="shared" si="14"/>
        <v>11748.13</v>
      </c>
      <c r="K25" s="155"/>
      <c r="L25" s="40">
        <f t="shared" si="8"/>
        <v>11748.132</v>
      </c>
      <c r="O25" s="561">
        <f t="shared" si="0"/>
        <v>11748.13</v>
      </c>
      <c r="Q25" s="36">
        <f t="shared" si="1"/>
        <v>11748.132</v>
      </c>
    </row>
    <row r="26" spans="1:16384" s="36" customFormat="1" outlineLevel="1" x14ac:dyDescent="0.25">
      <c r="A26" s="270" t="s">
        <v>99</v>
      </c>
      <c r="B26" s="271" t="s">
        <v>4322</v>
      </c>
      <c r="C26" s="271" t="s">
        <v>760</v>
      </c>
      <c r="D26" s="260" t="s">
        <v>761</v>
      </c>
      <c r="E26" s="249" t="s">
        <v>68</v>
      </c>
      <c r="F26" s="250">
        <v>80</v>
      </c>
      <c r="G26" s="254">
        <v>0.63</v>
      </c>
      <c r="H26" s="275">
        <f t="shared" si="12"/>
        <v>0.84</v>
      </c>
      <c r="I26" s="275">
        <f t="shared" si="13"/>
        <v>50.4</v>
      </c>
      <c r="J26" s="276">
        <f t="shared" si="14"/>
        <v>67.2</v>
      </c>
      <c r="K26" s="155"/>
      <c r="L26" s="40"/>
      <c r="O26" s="561">
        <f t="shared" si="0"/>
        <v>67.2</v>
      </c>
      <c r="Q26" s="36">
        <f t="shared" si="1"/>
        <v>67.2</v>
      </c>
    </row>
    <row r="27" spans="1:16384" s="36" customFormat="1" ht="22.5" outlineLevel="1" x14ac:dyDescent="0.25">
      <c r="A27" s="270" t="s">
        <v>102</v>
      </c>
      <c r="B27" s="271" t="s">
        <v>4322</v>
      </c>
      <c r="C27" s="271" t="s">
        <v>763</v>
      </c>
      <c r="D27" s="260" t="s">
        <v>764</v>
      </c>
      <c r="E27" s="249" t="s">
        <v>68</v>
      </c>
      <c r="F27" s="250">
        <v>18</v>
      </c>
      <c r="G27" s="254">
        <v>6.53</v>
      </c>
      <c r="H27" s="275">
        <f t="shared" si="12"/>
        <v>8.6999999999999993</v>
      </c>
      <c r="I27" s="275">
        <f t="shared" si="13"/>
        <v>117.54</v>
      </c>
      <c r="J27" s="276">
        <f t="shared" si="14"/>
        <v>156.6</v>
      </c>
      <c r="K27" s="155"/>
      <c r="L27" s="40"/>
      <c r="O27" s="561">
        <f t="shared" si="0"/>
        <v>156.6</v>
      </c>
      <c r="Q27" s="36">
        <f t="shared" si="1"/>
        <v>156.6</v>
      </c>
    </row>
    <row r="28" spans="1:16384" s="36" customFormat="1" ht="33.75" outlineLevel="1" x14ac:dyDescent="0.25">
      <c r="A28" s="270" t="s">
        <v>105</v>
      </c>
      <c r="B28" s="271" t="s">
        <v>4322</v>
      </c>
      <c r="C28" s="271">
        <v>10224</v>
      </c>
      <c r="D28" s="272" t="s">
        <v>101</v>
      </c>
      <c r="E28" s="271" t="s">
        <v>54</v>
      </c>
      <c r="F28" s="273">
        <v>42.9</v>
      </c>
      <c r="G28" s="274">
        <v>13.14</v>
      </c>
      <c r="H28" s="275">
        <f t="shared" si="12"/>
        <v>17.510000000000002</v>
      </c>
      <c r="I28" s="275">
        <f t="shared" si="13"/>
        <v>563.71</v>
      </c>
      <c r="J28" s="276">
        <f t="shared" si="14"/>
        <v>751.18</v>
      </c>
      <c r="K28" s="155"/>
      <c r="L28" s="40">
        <f t="shared" si="8"/>
        <v>751.17900000000009</v>
      </c>
      <c r="O28" s="561">
        <f t="shared" si="0"/>
        <v>751.18</v>
      </c>
      <c r="Q28" s="36">
        <f t="shared" si="1"/>
        <v>751.17900000000009</v>
      </c>
    </row>
    <row r="29" spans="1:16384" s="36" customFormat="1" ht="22.5" outlineLevel="1" x14ac:dyDescent="0.25">
      <c r="A29" s="270" t="s">
        <v>108</v>
      </c>
      <c r="B29" s="271" t="s">
        <v>4322</v>
      </c>
      <c r="C29" s="271">
        <v>10214</v>
      </c>
      <c r="D29" s="272" t="s">
        <v>104</v>
      </c>
      <c r="E29" s="271" t="s">
        <v>54</v>
      </c>
      <c r="F29" s="273">
        <v>2.73</v>
      </c>
      <c r="G29" s="274">
        <v>23.54</v>
      </c>
      <c r="H29" s="275">
        <f t="shared" si="12"/>
        <v>31.37</v>
      </c>
      <c r="I29" s="275">
        <f t="shared" si="13"/>
        <v>64.260000000000005</v>
      </c>
      <c r="J29" s="276">
        <f t="shared" si="14"/>
        <v>85.64</v>
      </c>
      <c r="K29" s="155"/>
      <c r="L29" s="40">
        <f t="shared" si="8"/>
        <v>85.640100000000004</v>
      </c>
      <c r="O29" s="561">
        <f t="shared" si="0"/>
        <v>85.64</v>
      </c>
      <c r="Q29" s="36">
        <f t="shared" si="1"/>
        <v>85.640100000000004</v>
      </c>
    </row>
    <row r="30" spans="1:16384" s="36" customFormat="1" ht="22.5" outlineLevel="1" x14ac:dyDescent="0.25">
      <c r="A30" s="270" t="s">
        <v>111</v>
      </c>
      <c r="B30" s="271" t="s">
        <v>4322</v>
      </c>
      <c r="C30" s="271">
        <v>10226</v>
      </c>
      <c r="D30" s="272" t="s">
        <v>107</v>
      </c>
      <c r="E30" s="271" t="s">
        <v>68</v>
      </c>
      <c r="F30" s="273">
        <v>2</v>
      </c>
      <c r="G30" s="274">
        <v>21.34</v>
      </c>
      <c r="H30" s="275">
        <f t="shared" si="12"/>
        <v>28.44</v>
      </c>
      <c r="I30" s="275">
        <f t="shared" si="13"/>
        <v>42.68</v>
      </c>
      <c r="J30" s="276">
        <f t="shared" si="14"/>
        <v>56.88</v>
      </c>
      <c r="K30" s="155"/>
      <c r="L30" s="40">
        <f t="shared" si="8"/>
        <v>56.88</v>
      </c>
      <c r="O30" s="561">
        <f t="shared" si="0"/>
        <v>56.88</v>
      </c>
      <c r="Q30" s="36">
        <f t="shared" si="1"/>
        <v>56.88</v>
      </c>
    </row>
    <row r="31" spans="1:16384" s="36" customFormat="1" ht="22.5" outlineLevel="1" x14ac:dyDescent="0.25">
      <c r="A31" s="270" t="s">
        <v>114</v>
      </c>
      <c r="B31" s="271" t="s">
        <v>4322</v>
      </c>
      <c r="C31" s="271">
        <v>10223</v>
      </c>
      <c r="D31" s="272" t="s">
        <v>110</v>
      </c>
      <c r="E31" s="271" t="s">
        <v>68</v>
      </c>
      <c r="F31" s="273">
        <v>4</v>
      </c>
      <c r="G31" s="274">
        <v>13.74</v>
      </c>
      <c r="H31" s="275">
        <f t="shared" si="12"/>
        <v>18.309999999999999</v>
      </c>
      <c r="I31" s="275">
        <f t="shared" si="13"/>
        <v>54.96</v>
      </c>
      <c r="J31" s="276">
        <f t="shared" si="14"/>
        <v>73.239999999999995</v>
      </c>
      <c r="K31" s="155"/>
      <c r="L31" s="40">
        <f t="shared" si="8"/>
        <v>73.239999999999995</v>
      </c>
      <c r="O31" s="561">
        <f t="shared" si="0"/>
        <v>73.239999999999995</v>
      </c>
      <c r="Q31" s="36">
        <f t="shared" si="1"/>
        <v>73.239999999999995</v>
      </c>
    </row>
    <row r="32" spans="1:16384" s="36" customFormat="1" ht="33.75" outlineLevel="1" x14ac:dyDescent="0.25">
      <c r="A32" s="270" t="s">
        <v>117</v>
      </c>
      <c r="B32" s="271" t="s">
        <v>77</v>
      </c>
      <c r="C32" s="271" t="s">
        <v>112</v>
      </c>
      <c r="D32" s="272" t="s">
        <v>113</v>
      </c>
      <c r="E32" s="271" t="s">
        <v>68</v>
      </c>
      <c r="F32" s="273">
        <v>1</v>
      </c>
      <c r="G32" s="274">
        <v>67.16</v>
      </c>
      <c r="H32" s="275">
        <f t="shared" si="12"/>
        <v>89.49</v>
      </c>
      <c r="I32" s="275">
        <f t="shared" si="13"/>
        <v>67.16</v>
      </c>
      <c r="J32" s="276">
        <f t="shared" si="14"/>
        <v>89.49</v>
      </c>
      <c r="K32" s="155"/>
      <c r="L32" s="40">
        <f t="shared" si="8"/>
        <v>89.49</v>
      </c>
      <c r="O32" s="561">
        <f t="shared" si="0"/>
        <v>89.49</v>
      </c>
      <c r="Q32" s="36">
        <f t="shared" si="1"/>
        <v>89.49</v>
      </c>
    </row>
    <row r="33" spans="1:1020 1025:2047 2049:3070 3075:5120 5125:6140 6145:7167 7169:8190 8195:10240 10245:11260 11265:12287 12289:13310 13315:15360 15365:16380" s="36" customFormat="1" ht="22.5" outlineLevel="1" x14ac:dyDescent="0.25">
      <c r="A33" s="270" t="s">
        <v>4327</v>
      </c>
      <c r="B33" s="271" t="s">
        <v>82</v>
      </c>
      <c r="C33" s="271" t="s">
        <v>115</v>
      </c>
      <c r="D33" s="272" t="s">
        <v>116</v>
      </c>
      <c r="E33" s="271" t="s">
        <v>85</v>
      </c>
      <c r="F33" s="273">
        <v>9.27</v>
      </c>
      <c r="G33" s="274">
        <v>129.32</v>
      </c>
      <c r="H33" s="275">
        <f t="shared" si="12"/>
        <v>172.32</v>
      </c>
      <c r="I33" s="275">
        <f t="shared" si="13"/>
        <v>1198.8</v>
      </c>
      <c r="J33" s="276">
        <f t="shared" si="14"/>
        <v>1597.41</v>
      </c>
      <c r="K33" s="155"/>
      <c r="L33" s="40">
        <f t="shared" si="8"/>
        <v>1597.4063999999998</v>
      </c>
      <c r="O33" s="561">
        <f t="shared" si="0"/>
        <v>1597.41</v>
      </c>
      <c r="Q33" s="36">
        <f t="shared" si="1"/>
        <v>1597.4063999999998</v>
      </c>
    </row>
    <row r="34" spans="1:1020 1025:2047 2049:3070 3075:5120 5125:6140 6145:7167 7169:8190 8195:10240 10245:11260 11265:12287 12289:13310 13315:15360 15365:16380" s="36" customFormat="1" ht="33.75" outlineLevel="1" x14ac:dyDescent="0.25">
      <c r="A34" s="270" t="s">
        <v>4328</v>
      </c>
      <c r="B34" s="271" t="s">
        <v>4322</v>
      </c>
      <c r="C34" s="271">
        <v>30304</v>
      </c>
      <c r="D34" s="272" t="s">
        <v>119</v>
      </c>
      <c r="E34" s="271" t="s">
        <v>89</v>
      </c>
      <c r="F34" s="273">
        <v>145.47999999999999</v>
      </c>
      <c r="G34" s="274">
        <v>89.06</v>
      </c>
      <c r="H34" s="275">
        <f t="shared" si="12"/>
        <v>118.67</v>
      </c>
      <c r="I34" s="275">
        <f t="shared" si="13"/>
        <v>12956.45</v>
      </c>
      <c r="J34" s="276">
        <f t="shared" si="14"/>
        <v>17264.11</v>
      </c>
      <c r="K34" s="155"/>
      <c r="L34" s="40">
        <f t="shared" si="8"/>
        <v>17264.1116</v>
      </c>
      <c r="O34" s="561">
        <f t="shared" si="0"/>
        <v>17264.11</v>
      </c>
      <c r="Q34" s="36">
        <f t="shared" si="1"/>
        <v>17264.1116</v>
      </c>
    </row>
    <row r="35" spans="1:1020 1025:2047 2049:3070 3075:5120 5125:6140 6145:7167 7169:8190 8195:10240 10245:11260 11265:12287 12289:13310 13315:15360 15365:16380" s="110" customFormat="1" ht="11.25" x14ac:dyDescent="0.25">
      <c r="A35" s="282" t="s">
        <v>4</v>
      </c>
      <c r="B35" s="283"/>
      <c r="C35" s="283"/>
      <c r="D35" s="283" t="s">
        <v>4418</v>
      </c>
      <c r="E35" s="283"/>
      <c r="F35" s="284"/>
      <c r="G35" s="285"/>
      <c r="H35" s="283"/>
      <c r="I35" s="286">
        <f>ROUND(I36+I40+I46+I55+I61+I74+I92+I96+I210,2)</f>
        <v>3115886.58</v>
      </c>
      <c r="J35" s="287">
        <f>ROUND(J36+J40+J46+J55+J61+J74+J92+J96+J210+J101+J135+J151+J172+J189+J198,2)</f>
        <v>4588873.12</v>
      </c>
      <c r="K35" s="157"/>
      <c r="L35" s="110">
        <f t="shared" si="8"/>
        <v>0</v>
      </c>
      <c r="O35" s="563">
        <f t="shared" si="0"/>
        <v>4588873.12</v>
      </c>
      <c r="P35" s="112"/>
      <c r="Q35" s="113">
        <f t="shared" si="1"/>
        <v>0</v>
      </c>
      <c r="S35" s="114"/>
      <c r="T35" s="114"/>
      <c r="Y35" s="111"/>
      <c r="Z35" s="112"/>
      <c r="AA35" s="113"/>
      <c r="AC35" s="114"/>
      <c r="AD35" s="114"/>
      <c r="AI35" s="111"/>
      <c r="AJ35" s="112"/>
      <c r="AK35" s="113"/>
      <c r="AM35" s="114"/>
      <c r="AN35" s="114"/>
      <c r="AS35" s="111"/>
      <c r="AT35" s="112"/>
      <c r="AU35" s="113"/>
      <c r="AW35" s="114"/>
      <c r="AX35" s="114"/>
      <c r="BC35" s="111"/>
      <c r="BD35" s="112"/>
      <c r="BE35" s="113"/>
      <c r="BG35" s="114"/>
      <c r="BH35" s="114"/>
      <c r="BM35" s="111"/>
      <c r="BN35" s="112"/>
      <c r="BO35" s="113"/>
      <c r="BQ35" s="114"/>
      <c r="BR35" s="114"/>
      <c r="BW35" s="111"/>
      <c r="BX35" s="112"/>
      <c r="BY35" s="113"/>
      <c r="CA35" s="114"/>
      <c r="CB35" s="114"/>
      <c r="CG35" s="111"/>
      <c r="CH35" s="112"/>
      <c r="CI35" s="113"/>
      <c r="CK35" s="114"/>
      <c r="CL35" s="114"/>
      <c r="CQ35" s="111"/>
      <c r="CR35" s="112"/>
      <c r="CS35" s="113"/>
      <c r="CU35" s="114"/>
      <c r="CV35" s="114"/>
      <c r="DA35" s="111"/>
      <c r="DB35" s="112"/>
      <c r="DC35" s="113"/>
      <c r="DE35" s="114"/>
      <c r="DF35" s="114"/>
      <c r="DK35" s="111"/>
      <c r="DL35" s="112"/>
      <c r="DM35" s="113"/>
      <c r="DO35" s="114"/>
      <c r="DP35" s="114"/>
      <c r="DU35" s="111"/>
      <c r="DV35" s="112"/>
      <c r="DW35" s="113"/>
      <c r="DY35" s="114"/>
      <c r="DZ35" s="114"/>
      <c r="EE35" s="111"/>
      <c r="EF35" s="112"/>
      <c r="EG35" s="113"/>
      <c r="EI35" s="114"/>
      <c r="EJ35" s="114"/>
      <c r="EO35" s="111"/>
      <c r="EP35" s="112"/>
      <c r="EQ35" s="113"/>
      <c r="ES35" s="114"/>
      <c r="ET35" s="114"/>
      <c r="EY35" s="111"/>
      <c r="EZ35" s="112"/>
      <c r="FA35" s="113"/>
      <c r="FC35" s="114"/>
      <c r="FD35" s="114"/>
      <c r="FI35" s="111"/>
      <c r="FJ35" s="112"/>
      <c r="FK35" s="113"/>
      <c r="FM35" s="114"/>
      <c r="FN35" s="114"/>
      <c r="FS35" s="111"/>
      <c r="FT35" s="112"/>
      <c r="FU35" s="113"/>
      <c r="FW35" s="114"/>
      <c r="FX35" s="114"/>
      <c r="GC35" s="111"/>
      <c r="GD35" s="112"/>
      <c r="GE35" s="113"/>
      <c r="GG35" s="114"/>
      <c r="GH35" s="114"/>
      <c r="GM35" s="111"/>
      <c r="GN35" s="112"/>
      <c r="GO35" s="113"/>
      <c r="GQ35" s="114"/>
      <c r="GR35" s="114"/>
      <c r="GW35" s="111"/>
      <c r="GX35" s="112"/>
      <c r="GY35" s="113"/>
      <c r="HA35" s="114"/>
      <c r="HB35" s="114"/>
      <c r="HG35" s="111"/>
      <c r="HH35" s="112"/>
      <c r="HI35" s="113"/>
      <c r="HK35" s="114"/>
      <c r="HL35" s="114"/>
      <c r="HQ35" s="111"/>
      <c r="HR35" s="112"/>
      <c r="HS35" s="113"/>
      <c r="HU35" s="114"/>
      <c r="HV35" s="114"/>
      <c r="IA35" s="111"/>
      <c r="IB35" s="112"/>
      <c r="IC35" s="113"/>
      <c r="IE35" s="114"/>
      <c r="IF35" s="114"/>
      <c r="IK35" s="111"/>
      <c r="IL35" s="112"/>
      <c r="IM35" s="113"/>
      <c r="IO35" s="114"/>
      <c r="IP35" s="114"/>
      <c r="IU35" s="111"/>
      <c r="IV35" s="112"/>
      <c r="IW35" s="113"/>
      <c r="IY35" s="114"/>
      <c r="IZ35" s="114"/>
      <c r="JE35" s="111"/>
      <c r="JF35" s="112"/>
      <c r="JG35" s="113"/>
      <c r="JI35" s="114"/>
      <c r="JJ35" s="114"/>
      <c r="JO35" s="111"/>
      <c r="JP35" s="112"/>
      <c r="JQ35" s="113"/>
      <c r="JS35" s="114"/>
      <c r="JT35" s="114"/>
      <c r="JY35" s="111"/>
      <c r="JZ35" s="112"/>
      <c r="KA35" s="113"/>
      <c r="KC35" s="114"/>
      <c r="KD35" s="114"/>
      <c r="KI35" s="111"/>
      <c r="KJ35" s="112"/>
      <c r="KK35" s="113"/>
      <c r="KM35" s="114"/>
      <c r="KN35" s="114"/>
      <c r="KS35" s="111"/>
      <c r="KT35" s="112"/>
      <c r="KU35" s="113"/>
      <c r="KW35" s="114"/>
      <c r="KX35" s="114"/>
      <c r="LC35" s="111"/>
      <c r="LD35" s="112"/>
      <c r="LE35" s="113"/>
      <c r="LG35" s="114"/>
      <c r="LH35" s="114"/>
      <c r="LM35" s="111"/>
      <c r="LN35" s="112"/>
      <c r="LO35" s="113"/>
      <c r="LQ35" s="114"/>
      <c r="LR35" s="114"/>
      <c r="LW35" s="111"/>
      <c r="LX35" s="112"/>
      <c r="LY35" s="113"/>
      <c r="MA35" s="114"/>
      <c r="MB35" s="114"/>
      <c r="MG35" s="111"/>
      <c r="MH35" s="112"/>
      <c r="MI35" s="113"/>
      <c r="MK35" s="114"/>
      <c r="ML35" s="114"/>
      <c r="MQ35" s="111"/>
      <c r="MR35" s="112"/>
      <c r="MS35" s="113"/>
      <c r="MU35" s="114"/>
      <c r="MV35" s="114"/>
      <c r="NA35" s="111"/>
      <c r="NB35" s="112"/>
      <c r="NC35" s="113"/>
      <c r="NE35" s="114"/>
      <c r="NF35" s="114"/>
      <c r="NK35" s="111"/>
      <c r="NL35" s="112"/>
      <c r="NM35" s="113"/>
      <c r="NO35" s="114"/>
      <c r="NP35" s="114"/>
      <c r="NU35" s="111"/>
      <c r="NV35" s="112"/>
      <c r="NW35" s="113"/>
      <c r="NY35" s="114"/>
      <c r="NZ35" s="114"/>
      <c r="OE35" s="111"/>
      <c r="OF35" s="112"/>
      <c r="OG35" s="113"/>
      <c r="OI35" s="114"/>
      <c r="OJ35" s="114"/>
      <c r="OO35" s="111"/>
      <c r="OP35" s="112"/>
      <c r="OQ35" s="113"/>
      <c r="OS35" s="114"/>
      <c r="OT35" s="114"/>
      <c r="OY35" s="111"/>
      <c r="OZ35" s="112"/>
      <c r="PA35" s="113"/>
      <c r="PC35" s="114"/>
      <c r="PD35" s="114"/>
      <c r="PI35" s="111"/>
      <c r="PJ35" s="112"/>
      <c r="PK35" s="113"/>
      <c r="PM35" s="114"/>
      <c r="PN35" s="114"/>
      <c r="PS35" s="111"/>
      <c r="PT35" s="112"/>
      <c r="PU35" s="113"/>
      <c r="PW35" s="114"/>
      <c r="PX35" s="114"/>
      <c r="QC35" s="111"/>
      <c r="QD35" s="112"/>
      <c r="QE35" s="113"/>
      <c r="QG35" s="114"/>
      <c r="QH35" s="114"/>
      <c r="QM35" s="111"/>
      <c r="QN35" s="112"/>
      <c r="QO35" s="113"/>
      <c r="QQ35" s="114"/>
      <c r="QR35" s="114"/>
      <c r="QW35" s="111"/>
      <c r="QX35" s="112"/>
      <c r="QY35" s="113"/>
      <c r="RA35" s="114"/>
      <c r="RB35" s="114"/>
      <c r="RG35" s="111"/>
      <c r="RH35" s="112"/>
      <c r="RI35" s="113"/>
      <c r="RK35" s="114"/>
      <c r="RL35" s="114"/>
      <c r="RQ35" s="111"/>
      <c r="RR35" s="112"/>
      <c r="RS35" s="113"/>
      <c r="RU35" s="114"/>
      <c r="RV35" s="114"/>
      <c r="SA35" s="111"/>
      <c r="SB35" s="112"/>
      <c r="SC35" s="113"/>
      <c r="SE35" s="114"/>
      <c r="SF35" s="114"/>
      <c r="SK35" s="111"/>
      <c r="SL35" s="112"/>
      <c r="SM35" s="113"/>
      <c r="SO35" s="114"/>
      <c r="SP35" s="114"/>
      <c r="SU35" s="111"/>
      <c r="SV35" s="112"/>
      <c r="SW35" s="113"/>
      <c r="SY35" s="114"/>
      <c r="SZ35" s="114"/>
      <c r="TE35" s="111"/>
      <c r="TF35" s="112"/>
      <c r="TG35" s="113"/>
      <c r="TI35" s="114"/>
      <c r="TJ35" s="114"/>
      <c r="TO35" s="111"/>
      <c r="TP35" s="112"/>
      <c r="TQ35" s="113"/>
      <c r="TS35" s="114"/>
      <c r="TT35" s="114"/>
      <c r="TY35" s="111"/>
      <c r="TZ35" s="112"/>
      <c r="UA35" s="113"/>
      <c r="UC35" s="114"/>
      <c r="UD35" s="114"/>
      <c r="UI35" s="111"/>
      <c r="UJ35" s="112"/>
      <c r="UK35" s="113"/>
      <c r="UM35" s="114"/>
      <c r="UN35" s="114"/>
      <c r="US35" s="111"/>
      <c r="UT35" s="112"/>
      <c r="UU35" s="113"/>
      <c r="UW35" s="114"/>
      <c r="UX35" s="114"/>
      <c r="VC35" s="111"/>
      <c r="VD35" s="112"/>
      <c r="VE35" s="113"/>
      <c r="VG35" s="114"/>
      <c r="VH35" s="114"/>
      <c r="VM35" s="111"/>
      <c r="VN35" s="112"/>
      <c r="VO35" s="113"/>
      <c r="VQ35" s="114"/>
      <c r="VR35" s="114"/>
      <c r="VW35" s="111"/>
      <c r="VX35" s="112"/>
      <c r="VY35" s="113"/>
      <c r="WA35" s="114"/>
      <c r="WB35" s="114"/>
      <c r="WG35" s="111"/>
      <c r="WH35" s="112"/>
      <c r="WI35" s="113"/>
      <c r="WK35" s="114"/>
      <c r="WL35" s="114"/>
      <c r="WQ35" s="111"/>
      <c r="WR35" s="112"/>
      <c r="WS35" s="113"/>
      <c r="WU35" s="114"/>
      <c r="WV35" s="114"/>
      <c r="XA35" s="111"/>
      <c r="XB35" s="112"/>
      <c r="XC35" s="113"/>
      <c r="XE35" s="114"/>
      <c r="XF35" s="114"/>
      <c r="XK35" s="111"/>
      <c r="XL35" s="112"/>
      <c r="XM35" s="113"/>
      <c r="XO35" s="114"/>
      <c r="XP35" s="114"/>
      <c r="XU35" s="111"/>
      <c r="XV35" s="112"/>
      <c r="XW35" s="113"/>
      <c r="XY35" s="114"/>
      <c r="XZ35" s="114"/>
      <c r="YE35" s="111"/>
      <c r="YF35" s="112"/>
      <c r="YG35" s="113"/>
      <c r="YI35" s="114"/>
      <c r="YJ35" s="114"/>
      <c r="YO35" s="111"/>
      <c r="YP35" s="112"/>
      <c r="YQ35" s="113"/>
      <c r="YS35" s="114"/>
      <c r="YT35" s="114"/>
      <c r="YY35" s="111"/>
      <c r="YZ35" s="112"/>
      <c r="ZA35" s="113"/>
      <c r="ZC35" s="114"/>
      <c r="ZD35" s="114"/>
      <c r="ZI35" s="111"/>
      <c r="ZJ35" s="112"/>
      <c r="ZK35" s="113"/>
      <c r="ZM35" s="114"/>
      <c r="ZN35" s="114"/>
      <c r="ZS35" s="111"/>
      <c r="ZT35" s="112"/>
      <c r="ZU35" s="113"/>
      <c r="ZW35" s="114"/>
      <c r="ZX35" s="114"/>
      <c r="AAC35" s="111"/>
      <c r="AAD35" s="112"/>
      <c r="AAE35" s="113"/>
      <c r="AAG35" s="114"/>
      <c r="AAH35" s="114"/>
      <c r="AAM35" s="111"/>
      <c r="AAN35" s="112"/>
      <c r="AAO35" s="113"/>
      <c r="AAQ35" s="114"/>
      <c r="AAR35" s="114"/>
      <c r="AAW35" s="111"/>
      <c r="AAX35" s="112"/>
      <c r="AAY35" s="113"/>
      <c r="ABA35" s="114"/>
      <c r="ABB35" s="114"/>
      <c r="ABG35" s="111"/>
      <c r="ABH35" s="112"/>
      <c r="ABI35" s="113"/>
      <c r="ABK35" s="114"/>
      <c r="ABL35" s="114"/>
      <c r="ABQ35" s="111"/>
      <c r="ABR35" s="112"/>
      <c r="ABS35" s="113"/>
      <c r="ABU35" s="114"/>
      <c r="ABV35" s="114"/>
      <c r="ACA35" s="111"/>
      <c r="ACB35" s="112"/>
      <c r="ACC35" s="113"/>
      <c r="ACE35" s="114"/>
      <c r="ACF35" s="114"/>
      <c r="ACK35" s="111"/>
      <c r="ACL35" s="112"/>
      <c r="ACM35" s="113"/>
      <c r="ACO35" s="114"/>
      <c r="ACP35" s="114"/>
      <c r="ACU35" s="111"/>
      <c r="ACV35" s="112"/>
      <c r="ACW35" s="113"/>
      <c r="ACY35" s="114"/>
      <c r="ACZ35" s="114"/>
      <c r="ADE35" s="111"/>
      <c r="ADF35" s="112"/>
      <c r="ADG35" s="113"/>
      <c r="ADI35" s="114"/>
      <c r="ADJ35" s="114"/>
      <c r="ADO35" s="111"/>
      <c r="ADP35" s="112"/>
      <c r="ADQ35" s="113"/>
      <c r="ADS35" s="114"/>
      <c r="ADT35" s="114"/>
      <c r="ADY35" s="111"/>
      <c r="ADZ35" s="112"/>
      <c r="AEA35" s="113"/>
      <c r="AEC35" s="114"/>
      <c r="AED35" s="114"/>
      <c r="AEI35" s="111"/>
      <c r="AEJ35" s="112"/>
      <c r="AEK35" s="113"/>
      <c r="AEM35" s="114"/>
      <c r="AEN35" s="114"/>
      <c r="AES35" s="111"/>
      <c r="AET35" s="112"/>
      <c r="AEU35" s="113"/>
      <c r="AEW35" s="114"/>
      <c r="AEX35" s="114"/>
      <c r="AFC35" s="111"/>
      <c r="AFD35" s="112"/>
      <c r="AFE35" s="113"/>
      <c r="AFG35" s="114"/>
      <c r="AFH35" s="114"/>
      <c r="AFM35" s="111"/>
      <c r="AFN35" s="112"/>
      <c r="AFO35" s="113"/>
      <c r="AFQ35" s="114"/>
      <c r="AFR35" s="114"/>
      <c r="AFW35" s="111"/>
      <c r="AFX35" s="112"/>
      <c r="AFY35" s="113"/>
      <c r="AGA35" s="114"/>
      <c r="AGB35" s="114"/>
      <c r="AGG35" s="111"/>
      <c r="AGH35" s="112"/>
      <c r="AGI35" s="113"/>
      <c r="AGK35" s="114"/>
      <c r="AGL35" s="114"/>
      <c r="AGQ35" s="111"/>
      <c r="AGR35" s="112"/>
      <c r="AGS35" s="113"/>
      <c r="AGU35" s="114"/>
      <c r="AGV35" s="114"/>
      <c r="AHA35" s="111"/>
      <c r="AHB35" s="112"/>
      <c r="AHC35" s="113"/>
      <c r="AHE35" s="114"/>
      <c r="AHF35" s="114"/>
      <c r="AHK35" s="111"/>
      <c r="AHL35" s="112"/>
      <c r="AHM35" s="113"/>
      <c r="AHO35" s="114"/>
      <c r="AHP35" s="114"/>
      <c r="AHU35" s="111"/>
      <c r="AHV35" s="112"/>
      <c r="AHW35" s="113"/>
      <c r="AHY35" s="114"/>
      <c r="AHZ35" s="114"/>
      <c r="AIE35" s="111"/>
      <c r="AIF35" s="112"/>
      <c r="AIG35" s="113"/>
      <c r="AII35" s="114"/>
      <c r="AIJ35" s="114"/>
      <c r="AIO35" s="111"/>
      <c r="AIP35" s="112"/>
      <c r="AIQ35" s="113"/>
      <c r="AIS35" s="114"/>
      <c r="AIT35" s="114"/>
      <c r="AIY35" s="111"/>
      <c r="AIZ35" s="112"/>
      <c r="AJA35" s="113"/>
      <c r="AJC35" s="114"/>
      <c r="AJD35" s="114"/>
      <c r="AJI35" s="111"/>
      <c r="AJJ35" s="112"/>
      <c r="AJK35" s="113"/>
      <c r="AJM35" s="114"/>
      <c r="AJN35" s="114"/>
      <c r="AJS35" s="111"/>
      <c r="AJT35" s="112"/>
      <c r="AJU35" s="113"/>
      <c r="AJW35" s="114"/>
      <c r="AJX35" s="114"/>
      <c r="AKC35" s="111"/>
      <c r="AKD35" s="112"/>
      <c r="AKE35" s="113"/>
      <c r="AKG35" s="114"/>
      <c r="AKH35" s="114"/>
      <c r="AKM35" s="111"/>
      <c r="AKN35" s="112"/>
      <c r="AKO35" s="113"/>
      <c r="AKQ35" s="114"/>
      <c r="AKR35" s="114"/>
      <c r="AKW35" s="111"/>
      <c r="AKX35" s="112"/>
      <c r="AKY35" s="113"/>
      <c r="ALA35" s="114"/>
      <c r="ALB35" s="114"/>
      <c r="ALG35" s="111"/>
      <c r="ALH35" s="112"/>
      <c r="ALI35" s="113"/>
      <c r="ALK35" s="114"/>
      <c r="ALL35" s="114"/>
      <c r="ALQ35" s="111"/>
      <c r="ALR35" s="112"/>
      <c r="ALS35" s="113"/>
      <c r="ALU35" s="114"/>
      <c r="ALV35" s="114"/>
      <c r="AMA35" s="111"/>
      <c r="AMB35" s="112"/>
      <c r="AMC35" s="113"/>
      <c r="AME35" s="114"/>
      <c r="AMF35" s="114"/>
      <c r="AMK35" s="111"/>
      <c r="AML35" s="112"/>
      <c r="AMM35" s="113"/>
      <c r="AMO35" s="114"/>
      <c r="AMP35" s="114"/>
      <c r="AMU35" s="111"/>
      <c r="AMV35" s="112"/>
      <c r="AMW35" s="113"/>
      <c r="AMY35" s="114"/>
      <c r="AMZ35" s="114"/>
      <c r="ANE35" s="111"/>
      <c r="ANF35" s="112"/>
      <c r="ANG35" s="113"/>
      <c r="ANI35" s="114"/>
      <c r="ANJ35" s="114"/>
      <c r="ANO35" s="111"/>
      <c r="ANP35" s="112"/>
      <c r="ANQ35" s="113"/>
      <c r="ANS35" s="114"/>
      <c r="ANT35" s="114"/>
      <c r="ANY35" s="111"/>
      <c r="ANZ35" s="112"/>
      <c r="AOA35" s="113"/>
      <c r="AOC35" s="114"/>
      <c r="AOD35" s="114"/>
      <c r="AOI35" s="111"/>
      <c r="AOJ35" s="112"/>
      <c r="AOK35" s="113"/>
      <c r="AOM35" s="114"/>
      <c r="AON35" s="114"/>
      <c r="AOS35" s="111"/>
      <c r="AOT35" s="112"/>
      <c r="AOU35" s="113"/>
      <c r="AOW35" s="114"/>
      <c r="AOX35" s="114"/>
      <c r="APC35" s="111"/>
      <c r="APD35" s="112"/>
      <c r="APE35" s="113"/>
      <c r="APG35" s="114"/>
      <c r="APH35" s="114"/>
      <c r="APM35" s="111"/>
      <c r="APN35" s="112"/>
      <c r="APO35" s="113"/>
      <c r="APQ35" s="114"/>
      <c r="APR35" s="114"/>
      <c r="APW35" s="111"/>
      <c r="APX35" s="112"/>
      <c r="APY35" s="113"/>
      <c r="AQA35" s="114"/>
      <c r="AQB35" s="114"/>
      <c r="AQG35" s="111"/>
      <c r="AQH35" s="112"/>
      <c r="AQI35" s="113"/>
      <c r="AQK35" s="114"/>
      <c r="AQL35" s="114"/>
      <c r="AQQ35" s="111"/>
      <c r="AQR35" s="112"/>
      <c r="AQS35" s="113"/>
      <c r="AQU35" s="114"/>
      <c r="AQV35" s="114"/>
      <c r="ARA35" s="111"/>
      <c r="ARB35" s="112"/>
      <c r="ARC35" s="113"/>
      <c r="ARE35" s="114"/>
      <c r="ARF35" s="114"/>
      <c r="ARK35" s="111"/>
      <c r="ARL35" s="112"/>
      <c r="ARM35" s="113"/>
      <c r="ARO35" s="114"/>
      <c r="ARP35" s="114"/>
      <c r="ARU35" s="111"/>
      <c r="ARV35" s="112"/>
      <c r="ARW35" s="113"/>
      <c r="ARY35" s="114"/>
      <c r="ARZ35" s="114"/>
      <c r="ASE35" s="111"/>
      <c r="ASF35" s="112"/>
      <c r="ASG35" s="113"/>
      <c r="ASI35" s="114"/>
      <c r="ASJ35" s="114"/>
      <c r="ASO35" s="111"/>
      <c r="ASP35" s="112"/>
      <c r="ASQ35" s="113"/>
      <c r="ASS35" s="114"/>
      <c r="AST35" s="114"/>
      <c r="ASY35" s="111"/>
      <c r="ASZ35" s="112"/>
      <c r="ATA35" s="113"/>
      <c r="ATC35" s="114"/>
      <c r="ATD35" s="114"/>
      <c r="ATI35" s="111"/>
      <c r="ATJ35" s="112"/>
      <c r="ATK35" s="113"/>
      <c r="ATM35" s="114"/>
      <c r="ATN35" s="114"/>
      <c r="ATS35" s="111"/>
      <c r="ATT35" s="112"/>
      <c r="ATU35" s="113"/>
      <c r="ATW35" s="114"/>
      <c r="ATX35" s="114"/>
      <c r="AUC35" s="111"/>
      <c r="AUD35" s="112"/>
      <c r="AUE35" s="113"/>
      <c r="AUG35" s="114"/>
      <c r="AUH35" s="114"/>
      <c r="AUM35" s="111"/>
      <c r="AUN35" s="112"/>
      <c r="AUO35" s="113"/>
      <c r="AUQ35" s="114"/>
      <c r="AUR35" s="114"/>
      <c r="AUW35" s="111"/>
      <c r="AUX35" s="112"/>
      <c r="AUY35" s="113"/>
      <c r="AVA35" s="114"/>
      <c r="AVB35" s="114"/>
      <c r="AVG35" s="111"/>
      <c r="AVH35" s="112"/>
      <c r="AVI35" s="113"/>
      <c r="AVK35" s="114"/>
      <c r="AVL35" s="114"/>
      <c r="AVQ35" s="111"/>
      <c r="AVR35" s="112"/>
      <c r="AVS35" s="113"/>
      <c r="AVU35" s="114"/>
      <c r="AVV35" s="114"/>
      <c r="AWA35" s="111"/>
      <c r="AWB35" s="112"/>
      <c r="AWC35" s="113"/>
      <c r="AWE35" s="114"/>
      <c r="AWF35" s="114"/>
      <c r="AWK35" s="111"/>
      <c r="AWL35" s="112"/>
      <c r="AWM35" s="113"/>
      <c r="AWO35" s="114"/>
      <c r="AWP35" s="114"/>
      <c r="AWU35" s="111"/>
      <c r="AWV35" s="112"/>
      <c r="AWW35" s="113"/>
      <c r="AWY35" s="114"/>
      <c r="AWZ35" s="114"/>
      <c r="AXE35" s="111"/>
      <c r="AXF35" s="112"/>
      <c r="AXG35" s="113"/>
      <c r="AXI35" s="114"/>
      <c r="AXJ35" s="114"/>
      <c r="AXO35" s="111"/>
      <c r="AXP35" s="112"/>
      <c r="AXQ35" s="113"/>
      <c r="AXS35" s="114"/>
      <c r="AXT35" s="114"/>
      <c r="AXY35" s="111"/>
      <c r="AXZ35" s="112"/>
      <c r="AYA35" s="113"/>
      <c r="AYC35" s="114"/>
      <c r="AYD35" s="114"/>
      <c r="AYI35" s="111"/>
      <c r="AYJ35" s="112"/>
      <c r="AYK35" s="113"/>
      <c r="AYM35" s="114"/>
      <c r="AYN35" s="114"/>
      <c r="AYS35" s="111"/>
      <c r="AYT35" s="112"/>
      <c r="AYU35" s="113"/>
      <c r="AYW35" s="114"/>
      <c r="AYX35" s="114"/>
      <c r="AZC35" s="111"/>
      <c r="AZD35" s="112"/>
      <c r="AZE35" s="113"/>
      <c r="AZG35" s="114"/>
      <c r="AZH35" s="114"/>
      <c r="AZM35" s="111"/>
      <c r="AZN35" s="112"/>
      <c r="AZO35" s="113"/>
      <c r="AZQ35" s="114"/>
      <c r="AZR35" s="114"/>
      <c r="AZW35" s="111"/>
      <c r="AZX35" s="112"/>
      <c r="AZY35" s="113"/>
      <c r="BAA35" s="114"/>
      <c r="BAB35" s="114"/>
      <c r="BAG35" s="111"/>
      <c r="BAH35" s="112"/>
      <c r="BAI35" s="113"/>
      <c r="BAK35" s="114"/>
      <c r="BAL35" s="114"/>
      <c r="BAQ35" s="111"/>
      <c r="BAR35" s="112"/>
      <c r="BAS35" s="113"/>
      <c r="BAU35" s="114"/>
      <c r="BAV35" s="114"/>
      <c r="BBA35" s="111"/>
      <c r="BBB35" s="112"/>
      <c r="BBC35" s="113"/>
      <c r="BBE35" s="114"/>
      <c r="BBF35" s="114"/>
      <c r="BBK35" s="111"/>
      <c r="BBL35" s="112"/>
      <c r="BBM35" s="113"/>
      <c r="BBO35" s="114"/>
      <c r="BBP35" s="114"/>
      <c r="BBU35" s="111"/>
      <c r="BBV35" s="112"/>
      <c r="BBW35" s="113"/>
      <c r="BBY35" s="114"/>
      <c r="BBZ35" s="114"/>
      <c r="BCE35" s="111"/>
      <c r="BCF35" s="112"/>
      <c r="BCG35" s="113"/>
      <c r="BCI35" s="114"/>
      <c r="BCJ35" s="114"/>
      <c r="BCO35" s="111"/>
      <c r="BCP35" s="112"/>
      <c r="BCQ35" s="113"/>
      <c r="BCS35" s="114"/>
      <c r="BCT35" s="114"/>
      <c r="BCY35" s="111"/>
      <c r="BCZ35" s="112"/>
      <c r="BDA35" s="113"/>
      <c r="BDC35" s="114"/>
      <c r="BDD35" s="114"/>
      <c r="BDI35" s="111"/>
      <c r="BDJ35" s="112"/>
      <c r="BDK35" s="113"/>
      <c r="BDM35" s="114"/>
      <c r="BDN35" s="114"/>
      <c r="BDS35" s="111"/>
      <c r="BDT35" s="112"/>
      <c r="BDU35" s="113"/>
      <c r="BDW35" s="114"/>
      <c r="BDX35" s="114"/>
      <c r="BEC35" s="111"/>
      <c r="BED35" s="112"/>
      <c r="BEE35" s="113"/>
      <c r="BEG35" s="114"/>
      <c r="BEH35" s="114"/>
      <c r="BEM35" s="111"/>
      <c r="BEN35" s="112"/>
      <c r="BEO35" s="113"/>
      <c r="BEQ35" s="114"/>
      <c r="BER35" s="114"/>
      <c r="BEW35" s="111"/>
      <c r="BEX35" s="112"/>
      <c r="BEY35" s="113"/>
      <c r="BFA35" s="114"/>
      <c r="BFB35" s="114"/>
      <c r="BFG35" s="111"/>
      <c r="BFH35" s="112"/>
      <c r="BFI35" s="113"/>
      <c r="BFK35" s="114"/>
      <c r="BFL35" s="114"/>
      <c r="BFQ35" s="111"/>
      <c r="BFR35" s="112"/>
      <c r="BFS35" s="113"/>
      <c r="BFU35" s="114"/>
      <c r="BFV35" s="114"/>
      <c r="BGA35" s="111"/>
      <c r="BGB35" s="112"/>
      <c r="BGC35" s="113"/>
      <c r="BGE35" s="114"/>
      <c r="BGF35" s="114"/>
      <c r="BGK35" s="111"/>
      <c r="BGL35" s="112"/>
      <c r="BGM35" s="113"/>
      <c r="BGO35" s="114"/>
      <c r="BGP35" s="114"/>
      <c r="BGU35" s="111"/>
      <c r="BGV35" s="112"/>
      <c r="BGW35" s="113"/>
      <c r="BGY35" s="114"/>
      <c r="BGZ35" s="114"/>
      <c r="BHE35" s="111"/>
      <c r="BHF35" s="112"/>
      <c r="BHG35" s="113"/>
      <c r="BHI35" s="114"/>
      <c r="BHJ35" s="114"/>
      <c r="BHO35" s="111"/>
      <c r="BHP35" s="112"/>
      <c r="BHQ35" s="113"/>
      <c r="BHS35" s="114"/>
      <c r="BHT35" s="114"/>
      <c r="BHY35" s="111"/>
      <c r="BHZ35" s="112"/>
      <c r="BIA35" s="113"/>
      <c r="BIC35" s="114"/>
      <c r="BID35" s="114"/>
      <c r="BII35" s="111"/>
      <c r="BIJ35" s="112"/>
      <c r="BIK35" s="113"/>
      <c r="BIM35" s="114"/>
      <c r="BIN35" s="114"/>
      <c r="BIS35" s="111"/>
      <c r="BIT35" s="112"/>
      <c r="BIU35" s="113"/>
      <c r="BIW35" s="114"/>
      <c r="BIX35" s="114"/>
      <c r="BJC35" s="111"/>
      <c r="BJD35" s="112"/>
      <c r="BJE35" s="113"/>
      <c r="BJG35" s="114"/>
      <c r="BJH35" s="114"/>
      <c r="BJM35" s="111"/>
      <c r="BJN35" s="112"/>
      <c r="BJO35" s="113"/>
      <c r="BJQ35" s="114"/>
      <c r="BJR35" s="114"/>
      <c r="BJW35" s="111"/>
      <c r="BJX35" s="112"/>
      <c r="BJY35" s="113"/>
      <c r="BKA35" s="114"/>
      <c r="BKB35" s="114"/>
      <c r="BKG35" s="111"/>
      <c r="BKH35" s="112"/>
      <c r="BKI35" s="113"/>
      <c r="BKK35" s="114"/>
      <c r="BKL35" s="114"/>
      <c r="BKQ35" s="111"/>
      <c r="BKR35" s="112"/>
      <c r="BKS35" s="113"/>
      <c r="BKU35" s="114"/>
      <c r="BKV35" s="114"/>
      <c r="BLA35" s="111"/>
      <c r="BLB35" s="112"/>
      <c r="BLC35" s="113"/>
      <c r="BLE35" s="114"/>
      <c r="BLF35" s="114"/>
      <c r="BLK35" s="111"/>
      <c r="BLL35" s="112"/>
      <c r="BLM35" s="113"/>
      <c r="BLO35" s="114"/>
      <c r="BLP35" s="114"/>
      <c r="BLU35" s="111"/>
      <c r="BLV35" s="112"/>
      <c r="BLW35" s="113"/>
      <c r="BLY35" s="114"/>
      <c r="BLZ35" s="114"/>
      <c r="BME35" s="111"/>
      <c r="BMF35" s="112"/>
      <c r="BMG35" s="113"/>
      <c r="BMI35" s="114"/>
      <c r="BMJ35" s="114"/>
      <c r="BMO35" s="111"/>
      <c r="BMP35" s="112"/>
      <c r="BMQ35" s="113"/>
      <c r="BMS35" s="114"/>
      <c r="BMT35" s="114"/>
      <c r="BMY35" s="111"/>
      <c r="BMZ35" s="112"/>
      <c r="BNA35" s="113"/>
      <c r="BNC35" s="114"/>
      <c r="BND35" s="114"/>
      <c r="BNI35" s="111"/>
      <c r="BNJ35" s="112"/>
      <c r="BNK35" s="113"/>
      <c r="BNM35" s="114"/>
      <c r="BNN35" s="114"/>
      <c r="BNS35" s="111"/>
      <c r="BNT35" s="112"/>
      <c r="BNU35" s="113"/>
      <c r="BNW35" s="114"/>
      <c r="BNX35" s="114"/>
      <c r="BOC35" s="111"/>
      <c r="BOD35" s="112"/>
      <c r="BOE35" s="113"/>
      <c r="BOG35" s="114"/>
      <c r="BOH35" s="114"/>
      <c r="BOM35" s="111"/>
      <c r="BON35" s="112"/>
      <c r="BOO35" s="113"/>
      <c r="BOQ35" s="114"/>
      <c r="BOR35" s="114"/>
      <c r="BOW35" s="111"/>
      <c r="BOX35" s="112"/>
      <c r="BOY35" s="113"/>
      <c r="BPA35" s="114"/>
      <c r="BPB35" s="114"/>
      <c r="BPG35" s="111"/>
      <c r="BPH35" s="112"/>
      <c r="BPI35" s="113"/>
      <c r="BPK35" s="114"/>
      <c r="BPL35" s="114"/>
      <c r="BPQ35" s="111"/>
      <c r="BPR35" s="112"/>
      <c r="BPS35" s="113"/>
      <c r="BPU35" s="114"/>
      <c r="BPV35" s="114"/>
      <c r="BQA35" s="111"/>
      <c r="BQB35" s="112"/>
      <c r="BQC35" s="113"/>
      <c r="BQE35" s="114"/>
      <c r="BQF35" s="114"/>
      <c r="BQK35" s="111"/>
      <c r="BQL35" s="112"/>
      <c r="BQM35" s="113"/>
      <c r="BQO35" s="114"/>
      <c r="BQP35" s="114"/>
      <c r="BQU35" s="111"/>
      <c r="BQV35" s="112"/>
      <c r="BQW35" s="113"/>
      <c r="BQY35" s="114"/>
      <c r="BQZ35" s="114"/>
      <c r="BRE35" s="111"/>
      <c r="BRF35" s="112"/>
      <c r="BRG35" s="113"/>
      <c r="BRI35" s="114"/>
      <c r="BRJ35" s="114"/>
      <c r="BRO35" s="111"/>
      <c r="BRP35" s="112"/>
      <c r="BRQ35" s="113"/>
      <c r="BRS35" s="114"/>
      <c r="BRT35" s="114"/>
      <c r="BRY35" s="111"/>
      <c r="BRZ35" s="112"/>
      <c r="BSA35" s="113"/>
      <c r="BSC35" s="114"/>
      <c r="BSD35" s="114"/>
      <c r="BSI35" s="111"/>
      <c r="BSJ35" s="112"/>
      <c r="BSK35" s="113"/>
      <c r="BSM35" s="114"/>
      <c r="BSN35" s="114"/>
      <c r="BSS35" s="111"/>
      <c r="BST35" s="112"/>
      <c r="BSU35" s="113"/>
      <c r="BSW35" s="114"/>
      <c r="BSX35" s="114"/>
      <c r="BTC35" s="111"/>
      <c r="BTD35" s="112"/>
      <c r="BTE35" s="113"/>
      <c r="BTG35" s="114"/>
      <c r="BTH35" s="114"/>
      <c r="BTM35" s="111"/>
      <c r="BTN35" s="112"/>
      <c r="BTO35" s="113"/>
      <c r="BTQ35" s="114"/>
      <c r="BTR35" s="114"/>
      <c r="BTW35" s="111"/>
      <c r="BTX35" s="112"/>
      <c r="BTY35" s="113"/>
      <c r="BUA35" s="114"/>
      <c r="BUB35" s="114"/>
      <c r="BUG35" s="111"/>
      <c r="BUH35" s="112"/>
      <c r="BUI35" s="113"/>
      <c r="BUK35" s="114"/>
      <c r="BUL35" s="114"/>
      <c r="BUQ35" s="111"/>
      <c r="BUR35" s="112"/>
      <c r="BUS35" s="113"/>
      <c r="BUU35" s="114"/>
      <c r="BUV35" s="114"/>
      <c r="BVA35" s="111"/>
      <c r="BVB35" s="112"/>
      <c r="BVC35" s="113"/>
      <c r="BVE35" s="114"/>
      <c r="BVF35" s="114"/>
      <c r="BVK35" s="111"/>
      <c r="BVL35" s="112"/>
      <c r="BVM35" s="113"/>
      <c r="BVO35" s="114"/>
      <c r="BVP35" s="114"/>
      <c r="BVU35" s="111"/>
      <c r="BVV35" s="112"/>
      <c r="BVW35" s="113"/>
      <c r="BVY35" s="114"/>
      <c r="BVZ35" s="114"/>
      <c r="BWE35" s="111"/>
      <c r="BWF35" s="112"/>
      <c r="BWG35" s="113"/>
      <c r="BWI35" s="114"/>
      <c r="BWJ35" s="114"/>
      <c r="BWO35" s="111"/>
      <c r="BWP35" s="112"/>
      <c r="BWQ35" s="113"/>
      <c r="BWS35" s="114"/>
      <c r="BWT35" s="114"/>
      <c r="BWY35" s="111"/>
      <c r="BWZ35" s="112"/>
      <c r="BXA35" s="113"/>
      <c r="BXC35" s="114"/>
      <c r="BXD35" s="114"/>
      <c r="BXI35" s="111"/>
      <c r="BXJ35" s="112"/>
      <c r="BXK35" s="113"/>
      <c r="BXM35" s="114"/>
      <c r="BXN35" s="114"/>
      <c r="BXS35" s="111"/>
      <c r="BXT35" s="112"/>
      <c r="BXU35" s="113"/>
      <c r="BXW35" s="114"/>
      <c r="BXX35" s="114"/>
      <c r="BYC35" s="111"/>
      <c r="BYD35" s="112"/>
      <c r="BYE35" s="113"/>
      <c r="BYG35" s="114"/>
      <c r="BYH35" s="114"/>
      <c r="BYM35" s="111"/>
      <c r="BYN35" s="112"/>
      <c r="BYO35" s="113"/>
      <c r="BYQ35" s="114"/>
      <c r="BYR35" s="114"/>
      <c r="BYW35" s="111"/>
      <c r="BYX35" s="112"/>
      <c r="BYY35" s="113"/>
      <c r="BZA35" s="114"/>
      <c r="BZB35" s="114"/>
      <c r="BZG35" s="111"/>
      <c r="BZH35" s="112"/>
      <c r="BZI35" s="113"/>
      <c r="BZK35" s="114"/>
      <c r="BZL35" s="114"/>
      <c r="BZQ35" s="111"/>
      <c r="BZR35" s="112"/>
      <c r="BZS35" s="113"/>
      <c r="BZU35" s="114"/>
      <c r="BZV35" s="114"/>
      <c r="CAA35" s="111"/>
      <c r="CAB35" s="112"/>
      <c r="CAC35" s="113"/>
      <c r="CAE35" s="114"/>
      <c r="CAF35" s="114"/>
      <c r="CAK35" s="111"/>
      <c r="CAL35" s="112"/>
      <c r="CAM35" s="113"/>
      <c r="CAO35" s="114"/>
      <c r="CAP35" s="114"/>
      <c r="CAU35" s="111"/>
      <c r="CAV35" s="112"/>
      <c r="CAW35" s="113"/>
      <c r="CAY35" s="114"/>
      <c r="CAZ35" s="114"/>
      <c r="CBE35" s="111"/>
      <c r="CBF35" s="112"/>
      <c r="CBG35" s="113"/>
      <c r="CBI35" s="114"/>
      <c r="CBJ35" s="114"/>
      <c r="CBO35" s="111"/>
      <c r="CBP35" s="112"/>
      <c r="CBQ35" s="113"/>
      <c r="CBS35" s="114"/>
      <c r="CBT35" s="114"/>
      <c r="CBY35" s="111"/>
      <c r="CBZ35" s="112"/>
      <c r="CCA35" s="113"/>
      <c r="CCC35" s="114"/>
      <c r="CCD35" s="114"/>
      <c r="CCI35" s="111"/>
      <c r="CCJ35" s="112"/>
      <c r="CCK35" s="113"/>
      <c r="CCM35" s="114"/>
      <c r="CCN35" s="114"/>
      <c r="CCS35" s="111"/>
      <c r="CCT35" s="112"/>
      <c r="CCU35" s="113"/>
      <c r="CCW35" s="114"/>
      <c r="CCX35" s="114"/>
      <c r="CDC35" s="111"/>
      <c r="CDD35" s="112"/>
      <c r="CDE35" s="113"/>
      <c r="CDG35" s="114"/>
      <c r="CDH35" s="114"/>
      <c r="CDM35" s="111"/>
      <c r="CDN35" s="112"/>
      <c r="CDO35" s="113"/>
      <c r="CDQ35" s="114"/>
      <c r="CDR35" s="114"/>
      <c r="CDW35" s="111"/>
      <c r="CDX35" s="112"/>
      <c r="CDY35" s="113"/>
      <c r="CEA35" s="114"/>
      <c r="CEB35" s="114"/>
      <c r="CEG35" s="111"/>
      <c r="CEH35" s="112"/>
      <c r="CEI35" s="113"/>
      <c r="CEK35" s="114"/>
      <c r="CEL35" s="114"/>
      <c r="CEQ35" s="111"/>
      <c r="CER35" s="112"/>
      <c r="CES35" s="113"/>
      <c r="CEU35" s="114"/>
      <c r="CEV35" s="114"/>
      <c r="CFA35" s="111"/>
      <c r="CFB35" s="112"/>
      <c r="CFC35" s="113"/>
      <c r="CFE35" s="114"/>
      <c r="CFF35" s="114"/>
      <c r="CFK35" s="111"/>
      <c r="CFL35" s="112"/>
      <c r="CFM35" s="113"/>
      <c r="CFO35" s="114"/>
      <c r="CFP35" s="114"/>
      <c r="CFU35" s="111"/>
      <c r="CFV35" s="112"/>
      <c r="CFW35" s="113"/>
      <c r="CFY35" s="114"/>
      <c r="CFZ35" s="114"/>
      <c r="CGE35" s="111"/>
      <c r="CGF35" s="112"/>
      <c r="CGG35" s="113"/>
      <c r="CGI35" s="114"/>
      <c r="CGJ35" s="114"/>
      <c r="CGO35" s="111"/>
      <c r="CGP35" s="112"/>
      <c r="CGQ35" s="113"/>
      <c r="CGS35" s="114"/>
      <c r="CGT35" s="114"/>
      <c r="CGY35" s="111"/>
      <c r="CGZ35" s="112"/>
      <c r="CHA35" s="113"/>
      <c r="CHC35" s="114"/>
      <c r="CHD35" s="114"/>
      <c r="CHI35" s="111"/>
      <c r="CHJ35" s="112"/>
      <c r="CHK35" s="113"/>
      <c r="CHM35" s="114"/>
      <c r="CHN35" s="114"/>
      <c r="CHS35" s="111"/>
      <c r="CHT35" s="112"/>
      <c r="CHU35" s="113"/>
      <c r="CHW35" s="114"/>
      <c r="CHX35" s="114"/>
      <c r="CIC35" s="111"/>
      <c r="CID35" s="112"/>
      <c r="CIE35" s="113"/>
      <c r="CIG35" s="114"/>
      <c r="CIH35" s="114"/>
      <c r="CIM35" s="111"/>
      <c r="CIN35" s="112"/>
      <c r="CIO35" s="113"/>
      <c r="CIQ35" s="114"/>
      <c r="CIR35" s="114"/>
      <c r="CIW35" s="111"/>
      <c r="CIX35" s="112"/>
      <c r="CIY35" s="113"/>
      <c r="CJA35" s="114"/>
      <c r="CJB35" s="114"/>
      <c r="CJG35" s="111"/>
      <c r="CJH35" s="112"/>
      <c r="CJI35" s="113"/>
      <c r="CJK35" s="114"/>
      <c r="CJL35" s="114"/>
      <c r="CJQ35" s="111"/>
      <c r="CJR35" s="112"/>
      <c r="CJS35" s="113"/>
      <c r="CJU35" s="114"/>
      <c r="CJV35" s="114"/>
      <c r="CKA35" s="111"/>
      <c r="CKB35" s="112"/>
      <c r="CKC35" s="113"/>
      <c r="CKE35" s="114"/>
      <c r="CKF35" s="114"/>
      <c r="CKK35" s="111"/>
      <c r="CKL35" s="112"/>
      <c r="CKM35" s="113"/>
      <c r="CKO35" s="114"/>
      <c r="CKP35" s="114"/>
      <c r="CKU35" s="111"/>
      <c r="CKV35" s="112"/>
      <c r="CKW35" s="113"/>
      <c r="CKY35" s="114"/>
      <c r="CKZ35" s="114"/>
      <c r="CLE35" s="111"/>
      <c r="CLF35" s="112"/>
      <c r="CLG35" s="113"/>
      <c r="CLI35" s="114"/>
      <c r="CLJ35" s="114"/>
      <c r="CLO35" s="111"/>
      <c r="CLP35" s="112"/>
      <c r="CLQ35" s="113"/>
      <c r="CLS35" s="114"/>
      <c r="CLT35" s="114"/>
      <c r="CLY35" s="111"/>
      <c r="CLZ35" s="112"/>
      <c r="CMA35" s="113"/>
      <c r="CMC35" s="114"/>
      <c r="CMD35" s="114"/>
      <c r="CMI35" s="111"/>
      <c r="CMJ35" s="112"/>
      <c r="CMK35" s="113"/>
      <c r="CMM35" s="114"/>
      <c r="CMN35" s="114"/>
      <c r="CMS35" s="111"/>
      <c r="CMT35" s="112"/>
      <c r="CMU35" s="113"/>
      <c r="CMW35" s="114"/>
      <c r="CMX35" s="114"/>
      <c r="CNC35" s="111"/>
      <c r="CND35" s="112"/>
      <c r="CNE35" s="113"/>
      <c r="CNG35" s="114"/>
      <c r="CNH35" s="114"/>
      <c r="CNM35" s="111"/>
      <c r="CNN35" s="112"/>
      <c r="CNO35" s="113"/>
      <c r="CNQ35" s="114"/>
      <c r="CNR35" s="114"/>
      <c r="CNW35" s="111"/>
      <c r="CNX35" s="112"/>
      <c r="CNY35" s="113"/>
      <c r="COA35" s="114"/>
      <c r="COB35" s="114"/>
      <c r="COG35" s="111"/>
      <c r="COH35" s="112"/>
      <c r="COI35" s="113"/>
      <c r="COK35" s="114"/>
      <c r="COL35" s="114"/>
      <c r="COQ35" s="111"/>
      <c r="COR35" s="112"/>
      <c r="COS35" s="113"/>
      <c r="COU35" s="114"/>
      <c r="COV35" s="114"/>
      <c r="CPA35" s="111"/>
      <c r="CPB35" s="112"/>
      <c r="CPC35" s="113"/>
      <c r="CPE35" s="114"/>
      <c r="CPF35" s="114"/>
      <c r="CPK35" s="111"/>
      <c r="CPL35" s="112"/>
      <c r="CPM35" s="113"/>
      <c r="CPO35" s="114"/>
      <c r="CPP35" s="114"/>
      <c r="CPU35" s="111"/>
      <c r="CPV35" s="112"/>
      <c r="CPW35" s="113"/>
      <c r="CPY35" s="114"/>
      <c r="CPZ35" s="114"/>
      <c r="CQE35" s="111"/>
      <c r="CQF35" s="112"/>
      <c r="CQG35" s="113"/>
      <c r="CQI35" s="114"/>
      <c r="CQJ35" s="114"/>
      <c r="CQO35" s="111"/>
      <c r="CQP35" s="112"/>
      <c r="CQQ35" s="113"/>
      <c r="CQS35" s="114"/>
      <c r="CQT35" s="114"/>
      <c r="CQY35" s="111"/>
      <c r="CQZ35" s="112"/>
      <c r="CRA35" s="113"/>
      <c r="CRC35" s="114"/>
      <c r="CRD35" s="114"/>
      <c r="CRI35" s="111"/>
      <c r="CRJ35" s="112"/>
      <c r="CRK35" s="113"/>
      <c r="CRM35" s="114"/>
      <c r="CRN35" s="114"/>
      <c r="CRS35" s="111"/>
      <c r="CRT35" s="112"/>
      <c r="CRU35" s="113"/>
      <c r="CRW35" s="114"/>
      <c r="CRX35" s="114"/>
      <c r="CSC35" s="111"/>
      <c r="CSD35" s="112"/>
      <c r="CSE35" s="113"/>
      <c r="CSG35" s="114"/>
      <c r="CSH35" s="114"/>
      <c r="CSM35" s="111"/>
      <c r="CSN35" s="112"/>
      <c r="CSO35" s="113"/>
      <c r="CSQ35" s="114"/>
      <c r="CSR35" s="114"/>
      <c r="CSW35" s="111"/>
      <c r="CSX35" s="112"/>
      <c r="CSY35" s="113"/>
      <c r="CTA35" s="114"/>
      <c r="CTB35" s="114"/>
      <c r="CTG35" s="111"/>
      <c r="CTH35" s="112"/>
      <c r="CTI35" s="113"/>
      <c r="CTK35" s="114"/>
      <c r="CTL35" s="114"/>
      <c r="CTQ35" s="111"/>
      <c r="CTR35" s="112"/>
      <c r="CTS35" s="113"/>
      <c r="CTU35" s="114"/>
      <c r="CTV35" s="114"/>
      <c r="CUA35" s="111"/>
      <c r="CUB35" s="112"/>
      <c r="CUC35" s="113"/>
      <c r="CUE35" s="114"/>
      <c r="CUF35" s="114"/>
      <c r="CUK35" s="111"/>
      <c r="CUL35" s="112"/>
      <c r="CUM35" s="113"/>
      <c r="CUO35" s="114"/>
      <c r="CUP35" s="114"/>
      <c r="CUU35" s="111"/>
      <c r="CUV35" s="112"/>
      <c r="CUW35" s="113"/>
      <c r="CUY35" s="114"/>
      <c r="CUZ35" s="114"/>
      <c r="CVE35" s="111"/>
      <c r="CVF35" s="112"/>
      <c r="CVG35" s="113"/>
      <c r="CVI35" s="114"/>
      <c r="CVJ35" s="114"/>
      <c r="CVO35" s="111"/>
      <c r="CVP35" s="112"/>
      <c r="CVQ35" s="113"/>
      <c r="CVS35" s="114"/>
      <c r="CVT35" s="114"/>
      <c r="CVY35" s="111"/>
      <c r="CVZ35" s="112"/>
      <c r="CWA35" s="113"/>
      <c r="CWC35" s="114"/>
      <c r="CWD35" s="114"/>
      <c r="CWI35" s="111"/>
      <c r="CWJ35" s="112"/>
      <c r="CWK35" s="113"/>
      <c r="CWM35" s="114"/>
      <c r="CWN35" s="114"/>
      <c r="CWS35" s="111"/>
      <c r="CWT35" s="112"/>
      <c r="CWU35" s="113"/>
      <c r="CWW35" s="114"/>
      <c r="CWX35" s="114"/>
      <c r="CXC35" s="111"/>
      <c r="CXD35" s="112"/>
      <c r="CXE35" s="113"/>
      <c r="CXG35" s="114"/>
      <c r="CXH35" s="114"/>
      <c r="CXM35" s="111"/>
      <c r="CXN35" s="112"/>
      <c r="CXO35" s="113"/>
      <c r="CXQ35" s="114"/>
      <c r="CXR35" s="114"/>
      <c r="CXW35" s="111"/>
      <c r="CXX35" s="112"/>
      <c r="CXY35" s="113"/>
      <c r="CYA35" s="114"/>
      <c r="CYB35" s="114"/>
      <c r="CYG35" s="111"/>
      <c r="CYH35" s="112"/>
      <c r="CYI35" s="113"/>
      <c r="CYK35" s="114"/>
      <c r="CYL35" s="114"/>
      <c r="CYQ35" s="111"/>
      <c r="CYR35" s="112"/>
      <c r="CYS35" s="113"/>
      <c r="CYU35" s="114"/>
      <c r="CYV35" s="114"/>
      <c r="CZA35" s="111"/>
      <c r="CZB35" s="112"/>
      <c r="CZC35" s="113"/>
      <c r="CZE35" s="114"/>
      <c r="CZF35" s="114"/>
      <c r="CZK35" s="111"/>
      <c r="CZL35" s="112"/>
      <c r="CZM35" s="113"/>
      <c r="CZO35" s="114"/>
      <c r="CZP35" s="114"/>
      <c r="CZU35" s="111"/>
      <c r="CZV35" s="112"/>
      <c r="CZW35" s="113"/>
      <c r="CZY35" s="114"/>
      <c r="CZZ35" s="114"/>
      <c r="DAE35" s="111"/>
      <c r="DAF35" s="112"/>
      <c r="DAG35" s="113"/>
      <c r="DAI35" s="114"/>
      <c r="DAJ35" s="114"/>
      <c r="DAO35" s="111"/>
      <c r="DAP35" s="112"/>
      <c r="DAQ35" s="113"/>
      <c r="DAS35" s="114"/>
      <c r="DAT35" s="114"/>
      <c r="DAY35" s="111"/>
      <c r="DAZ35" s="112"/>
      <c r="DBA35" s="113"/>
      <c r="DBC35" s="114"/>
      <c r="DBD35" s="114"/>
      <c r="DBI35" s="111"/>
      <c r="DBJ35" s="112"/>
      <c r="DBK35" s="113"/>
      <c r="DBM35" s="114"/>
      <c r="DBN35" s="114"/>
      <c r="DBS35" s="111"/>
      <c r="DBT35" s="112"/>
      <c r="DBU35" s="113"/>
      <c r="DBW35" s="114"/>
      <c r="DBX35" s="114"/>
      <c r="DCC35" s="111"/>
      <c r="DCD35" s="112"/>
      <c r="DCE35" s="113"/>
      <c r="DCG35" s="114"/>
      <c r="DCH35" s="114"/>
      <c r="DCM35" s="111"/>
      <c r="DCN35" s="112"/>
      <c r="DCO35" s="113"/>
      <c r="DCQ35" s="114"/>
      <c r="DCR35" s="114"/>
      <c r="DCW35" s="111"/>
      <c r="DCX35" s="112"/>
      <c r="DCY35" s="113"/>
      <c r="DDA35" s="114"/>
      <c r="DDB35" s="114"/>
      <c r="DDG35" s="111"/>
      <c r="DDH35" s="112"/>
      <c r="DDI35" s="113"/>
      <c r="DDK35" s="114"/>
      <c r="DDL35" s="114"/>
      <c r="DDQ35" s="111"/>
      <c r="DDR35" s="112"/>
      <c r="DDS35" s="113"/>
      <c r="DDU35" s="114"/>
      <c r="DDV35" s="114"/>
      <c r="DEA35" s="111"/>
      <c r="DEB35" s="112"/>
      <c r="DEC35" s="113"/>
      <c r="DEE35" s="114"/>
      <c r="DEF35" s="114"/>
      <c r="DEK35" s="111"/>
      <c r="DEL35" s="112"/>
      <c r="DEM35" s="113"/>
      <c r="DEO35" s="114"/>
      <c r="DEP35" s="114"/>
      <c r="DEU35" s="111"/>
      <c r="DEV35" s="112"/>
      <c r="DEW35" s="113"/>
      <c r="DEY35" s="114"/>
      <c r="DEZ35" s="114"/>
      <c r="DFE35" s="111"/>
      <c r="DFF35" s="112"/>
      <c r="DFG35" s="113"/>
      <c r="DFI35" s="114"/>
      <c r="DFJ35" s="114"/>
      <c r="DFO35" s="111"/>
      <c r="DFP35" s="112"/>
      <c r="DFQ35" s="113"/>
      <c r="DFS35" s="114"/>
      <c r="DFT35" s="114"/>
      <c r="DFY35" s="111"/>
      <c r="DFZ35" s="112"/>
      <c r="DGA35" s="113"/>
      <c r="DGC35" s="114"/>
      <c r="DGD35" s="114"/>
      <c r="DGI35" s="111"/>
      <c r="DGJ35" s="112"/>
      <c r="DGK35" s="113"/>
      <c r="DGM35" s="114"/>
      <c r="DGN35" s="114"/>
      <c r="DGS35" s="111"/>
      <c r="DGT35" s="112"/>
      <c r="DGU35" s="113"/>
      <c r="DGW35" s="114"/>
      <c r="DGX35" s="114"/>
      <c r="DHC35" s="111"/>
      <c r="DHD35" s="112"/>
      <c r="DHE35" s="113"/>
      <c r="DHG35" s="114"/>
      <c r="DHH35" s="114"/>
      <c r="DHM35" s="111"/>
      <c r="DHN35" s="112"/>
      <c r="DHO35" s="113"/>
      <c r="DHQ35" s="114"/>
      <c r="DHR35" s="114"/>
      <c r="DHW35" s="111"/>
      <c r="DHX35" s="112"/>
      <c r="DHY35" s="113"/>
      <c r="DIA35" s="114"/>
      <c r="DIB35" s="114"/>
      <c r="DIG35" s="111"/>
      <c r="DIH35" s="112"/>
      <c r="DII35" s="113"/>
      <c r="DIK35" s="114"/>
      <c r="DIL35" s="114"/>
      <c r="DIQ35" s="111"/>
      <c r="DIR35" s="112"/>
      <c r="DIS35" s="113"/>
      <c r="DIU35" s="114"/>
      <c r="DIV35" s="114"/>
      <c r="DJA35" s="111"/>
      <c r="DJB35" s="112"/>
      <c r="DJC35" s="113"/>
      <c r="DJE35" s="114"/>
      <c r="DJF35" s="114"/>
      <c r="DJK35" s="111"/>
      <c r="DJL35" s="112"/>
      <c r="DJM35" s="113"/>
      <c r="DJO35" s="114"/>
      <c r="DJP35" s="114"/>
      <c r="DJU35" s="111"/>
      <c r="DJV35" s="112"/>
      <c r="DJW35" s="113"/>
      <c r="DJY35" s="114"/>
      <c r="DJZ35" s="114"/>
      <c r="DKE35" s="111"/>
      <c r="DKF35" s="112"/>
      <c r="DKG35" s="113"/>
      <c r="DKI35" s="114"/>
      <c r="DKJ35" s="114"/>
      <c r="DKO35" s="111"/>
      <c r="DKP35" s="112"/>
      <c r="DKQ35" s="113"/>
      <c r="DKS35" s="114"/>
      <c r="DKT35" s="114"/>
      <c r="DKY35" s="111"/>
      <c r="DKZ35" s="112"/>
      <c r="DLA35" s="113"/>
      <c r="DLC35" s="114"/>
      <c r="DLD35" s="114"/>
      <c r="DLI35" s="111"/>
      <c r="DLJ35" s="112"/>
      <c r="DLK35" s="113"/>
      <c r="DLM35" s="114"/>
      <c r="DLN35" s="114"/>
      <c r="DLS35" s="111"/>
      <c r="DLT35" s="112"/>
      <c r="DLU35" s="113"/>
      <c r="DLW35" s="114"/>
      <c r="DLX35" s="114"/>
      <c r="DMC35" s="111"/>
      <c r="DMD35" s="112"/>
      <c r="DME35" s="113"/>
      <c r="DMG35" s="114"/>
      <c r="DMH35" s="114"/>
      <c r="DMM35" s="111"/>
      <c r="DMN35" s="112"/>
      <c r="DMO35" s="113"/>
      <c r="DMQ35" s="114"/>
      <c r="DMR35" s="114"/>
      <c r="DMW35" s="111"/>
      <c r="DMX35" s="112"/>
      <c r="DMY35" s="113"/>
      <c r="DNA35" s="114"/>
      <c r="DNB35" s="114"/>
      <c r="DNG35" s="111"/>
      <c r="DNH35" s="112"/>
      <c r="DNI35" s="113"/>
      <c r="DNK35" s="114"/>
      <c r="DNL35" s="114"/>
      <c r="DNQ35" s="111"/>
      <c r="DNR35" s="112"/>
      <c r="DNS35" s="113"/>
      <c r="DNU35" s="114"/>
      <c r="DNV35" s="114"/>
      <c r="DOA35" s="111"/>
      <c r="DOB35" s="112"/>
      <c r="DOC35" s="113"/>
      <c r="DOE35" s="114"/>
      <c r="DOF35" s="114"/>
      <c r="DOK35" s="111"/>
      <c r="DOL35" s="112"/>
      <c r="DOM35" s="113"/>
      <c r="DOO35" s="114"/>
      <c r="DOP35" s="114"/>
      <c r="DOU35" s="111"/>
      <c r="DOV35" s="112"/>
      <c r="DOW35" s="113"/>
      <c r="DOY35" s="114"/>
      <c r="DOZ35" s="114"/>
      <c r="DPE35" s="111"/>
      <c r="DPF35" s="112"/>
      <c r="DPG35" s="113"/>
      <c r="DPI35" s="114"/>
      <c r="DPJ35" s="114"/>
      <c r="DPO35" s="111"/>
      <c r="DPP35" s="112"/>
      <c r="DPQ35" s="113"/>
      <c r="DPS35" s="114"/>
      <c r="DPT35" s="114"/>
      <c r="DPY35" s="111"/>
      <c r="DPZ35" s="112"/>
      <c r="DQA35" s="113"/>
      <c r="DQC35" s="114"/>
      <c r="DQD35" s="114"/>
      <c r="DQI35" s="111"/>
      <c r="DQJ35" s="112"/>
      <c r="DQK35" s="113"/>
      <c r="DQM35" s="114"/>
      <c r="DQN35" s="114"/>
      <c r="DQS35" s="111"/>
      <c r="DQT35" s="112"/>
      <c r="DQU35" s="113"/>
      <c r="DQW35" s="114"/>
      <c r="DQX35" s="114"/>
      <c r="DRC35" s="111"/>
      <c r="DRD35" s="112"/>
      <c r="DRE35" s="113"/>
      <c r="DRG35" s="114"/>
      <c r="DRH35" s="114"/>
      <c r="DRM35" s="111"/>
      <c r="DRN35" s="112"/>
      <c r="DRO35" s="113"/>
      <c r="DRQ35" s="114"/>
      <c r="DRR35" s="114"/>
      <c r="DRW35" s="111"/>
      <c r="DRX35" s="112"/>
      <c r="DRY35" s="113"/>
      <c r="DSA35" s="114"/>
      <c r="DSB35" s="114"/>
      <c r="DSG35" s="111"/>
      <c r="DSH35" s="112"/>
      <c r="DSI35" s="113"/>
      <c r="DSK35" s="114"/>
      <c r="DSL35" s="114"/>
      <c r="DSQ35" s="111"/>
      <c r="DSR35" s="112"/>
      <c r="DSS35" s="113"/>
      <c r="DSU35" s="114"/>
      <c r="DSV35" s="114"/>
      <c r="DTA35" s="111"/>
      <c r="DTB35" s="112"/>
      <c r="DTC35" s="113"/>
      <c r="DTE35" s="114"/>
      <c r="DTF35" s="114"/>
      <c r="DTK35" s="111"/>
      <c r="DTL35" s="112"/>
      <c r="DTM35" s="113"/>
      <c r="DTO35" s="114"/>
      <c r="DTP35" s="114"/>
      <c r="DTU35" s="111"/>
      <c r="DTV35" s="112"/>
      <c r="DTW35" s="113"/>
      <c r="DTY35" s="114"/>
      <c r="DTZ35" s="114"/>
      <c r="DUE35" s="111"/>
      <c r="DUF35" s="112"/>
      <c r="DUG35" s="113"/>
      <c r="DUI35" s="114"/>
      <c r="DUJ35" s="114"/>
      <c r="DUO35" s="111"/>
      <c r="DUP35" s="112"/>
      <c r="DUQ35" s="113"/>
      <c r="DUS35" s="114"/>
      <c r="DUT35" s="114"/>
      <c r="DUY35" s="111"/>
      <c r="DUZ35" s="112"/>
      <c r="DVA35" s="113"/>
      <c r="DVC35" s="114"/>
      <c r="DVD35" s="114"/>
      <c r="DVI35" s="111"/>
      <c r="DVJ35" s="112"/>
      <c r="DVK35" s="113"/>
      <c r="DVM35" s="114"/>
      <c r="DVN35" s="114"/>
      <c r="DVS35" s="111"/>
      <c r="DVT35" s="112"/>
      <c r="DVU35" s="113"/>
      <c r="DVW35" s="114"/>
      <c r="DVX35" s="114"/>
      <c r="DWC35" s="111"/>
      <c r="DWD35" s="112"/>
      <c r="DWE35" s="113"/>
      <c r="DWG35" s="114"/>
      <c r="DWH35" s="114"/>
      <c r="DWM35" s="111"/>
      <c r="DWN35" s="112"/>
      <c r="DWO35" s="113"/>
      <c r="DWQ35" s="114"/>
      <c r="DWR35" s="114"/>
      <c r="DWW35" s="111"/>
      <c r="DWX35" s="112"/>
      <c r="DWY35" s="113"/>
      <c r="DXA35" s="114"/>
      <c r="DXB35" s="114"/>
      <c r="DXG35" s="111"/>
      <c r="DXH35" s="112"/>
      <c r="DXI35" s="113"/>
      <c r="DXK35" s="114"/>
      <c r="DXL35" s="114"/>
      <c r="DXQ35" s="111"/>
      <c r="DXR35" s="112"/>
      <c r="DXS35" s="113"/>
      <c r="DXU35" s="114"/>
      <c r="DXV35" s="114"/>
      <c r="DYA35" s="111"/>
      <c r="DYB35" s="112"/>
      <c r="DYC35" s="113"/>
      <c r="DYE35" s="114"/>
      <c r="DYF35" s="114"/>
      <c r="DYK35" s="111"/>
      <c r="DYL35" s="112"/>
      <c r="DYM35" s="113"/>
      <c r="DYO35" s="114"/>
      <c r="DYP35" s="114"/>
      <c r="DYU35" s="111"/>
      <c r="DYV35" s="112"/>
      <c r="DYW35" s="113"/>
      <c r="DYY35" s="114"/>
      <c r="DYZ35" s="114"/>
      <c r="DZE35" s="111"/>
      <c r="DZF35" s="112"/>
      <c r="DZG35" s="113"/>
      <c r="DZI35" s="114"/>
      <c r="DZJ35" s="114"/>
      <c r="DZO35" s="111"/>
      <c r="DZP35" s="112"/>
      <c r="DZQ35" s="113"/>
      <c r="DZS35" s="114"/>
      <c r="DZT35" s="114"/>
      <c r="DZY35" s="111"/>
      <c r="DZZ35" s="112"/>
      <c r="EAA35" s="113"/>
      <c r="EAC35" s="114"/>
      <c r="EAD35" s="114"/>
      <c r="EAI35" s="111"/>
      <c r="EAJ35" s="112"/>
      <c r="EAK35" s="113"/>
      <c r="EAM35" s="114"/>
      <c r="EAN35" s="114"/>
      <c r="EAS35" s="111"/>
      <c r="EAT35" s="112"/>
      <c r="EAU35" s="113"/>
      <c r="EAW35" s="114"/>
      <c r="EAX35" s="114"/>
      <c r="EBC35" s="111"/>
      <c r="EBD35" s="112"/>
      <c r="EBE35" s="113"/>
      <c r="EBG35" s="114"/>
      <c r="EBH35" s="114"/>
      <c r="EBM35" s="111"/>
      <c r="EBN35" s="112"/>
      <c r="EBO35" s="113"/>
      <c r="EBQ35" s="114"/>
      <c r="EBR35" s="114"/>
      <c r="EBW35" s="111"/>
      <c r="EBX35" s="112"/>
      <c r="EBY35" s="113"/>
      <c r="ECA35" s="114"/>
      <c r="ECB35" s="114"/>
      <c r="ECG35" s="111"/>
      <c r="ECH35" s="112"/>
      <c r="ECI35" s="113"/>
      <c r="ECK35" s="114"/>
      <c r="ECL35" s="114"/>
      <c r="ECQ35" s="111"/>
      <c r="ECR35" s="112"/>
      <c r="ECS35" s="113"/>
      <c r="ECU35" s="114"/>
      <c r="ECV35" s="114"/>
      <c r="EDA35" s="111"/>
      <c r="EDB35" s="112"/>
      <c r="EDC35" s="113"/>
      <c r="EDE35" s="114"/>
      <c r="EDF35" s="114"/>
      <c r="EDK35" s="111"/>
      <c r="EDL35" s="112"/>
      <c r="EDM35" s="113"/>
      <c r="EDO35" s="114"/>
      <c r="EDP35" s="114"/>
      <c r="EDU35" s="111"/>
      <c r="EDV35" s="112"/>
      <c r="EDW35" s="113"/>
      <c r="EDY35" s="114"/>
      <c r="EDZ35" s="114"/>
      <c r="EEE35" s="111"/>
      <c r="EEF35" s="112"/>
      <c r="EEG35" s="113"/>
      <c r="EEI35" s="114"/>
      <c r="EEJ35" s="114"/>
      <c r="EEO35" s="111"/>
      <c r="EEP35" s="112"/>
      <c r="EEQ35" s="113"/>
      <c r="EES35" s="114"/>
      <c r="EET35" s="114"/>
      <c r="EEY35" s="111"/>
      <c r="EEZ35" s="112"/>
      <c r="EFA35" s="113"/>
      <c r="EFC35" s="114"/>
      <c r="EFD35" s="114"/>
      <c r="EFI35" s="111"/>
      <c r="EFJ35" s="112"/>
      <c r="EFK35" s="113"/>
      <c r="EFM35" s="114"/>
      <c r="EFN35" s="114"/>
      <c r="EFS35" s="111"/>
      <c r="EFT35" s="112"/>
      <c r="EFU35" s="113"/>
      <c r="EFW35" s="114"/>
      <c r="EFX35" s="114"/>
      <c r="EGC35" s="111"/>
      <c r="EGD35" s="112"/>
      <c r="EGE35" s="113"/>
      <c r="EGG35" s="114"/>
      <c r="EGH35" s="114"/>
      <c r="EGM35" s="111"/>
      <c r="EGN35" s="112"/>
      <c r="EGO35" s="113"/>
      <c r="EGQ35" s="114"/>
      <c r="EGR35" s="114"/>
      <c r="EGW35" s="111"/>
      <c r="EGX35" s="112"/>
      <c r="EGY35" s="113"/>
      <c r="EHA35" s="114"/>
      <c r="EHB35" s="114"/>
      <c r="EHG35" s="111"/>
      <c r="EHH35" s="112"/>
      <c r="EHI35" s="113"/>
      <c r="EHK35" s="114"/>
      <c r="EHL35" s="114"/>
      <c r="EHQ35" s="111"/>
      <c r="EHR35" s="112"/>
      <c r="EHS35" s="113"/>
      <c r="EHU35" s="114"/>
      <c r="EHV35" s="114"/>
      <c r="EIA35" s="111"/>
      <c r="EIB35" s="112"/>
      <c r="EIC35" s="113"/>
      <c r="EIE35" s="114"/>
      <c r="EIF35" s="114"/>
      <c r="EIK35" s="111"/>
      <c r="EIL35" s="112"/>
      <c r="EIM35" s="113"/>
      <c r="EIO35" s="114"/>
      <c r="EIP35" s="114"/>
      <c r="EIU35" s="111"/>
      <c r="EIV35" s="112"/>
      <c r="EIW35" s="113"/>
      <c r="EIY35" s="114"/>
      <c r="EIZ35" s="114"/>
      <c r="EJE35" s="111"/>
      <c r="EJF35" s="112"/>
      <c r="EJG35" s="113"/>
      <c r="EJI35" s="114"/>
      <c r="EJJ35" s="114"/>
      <c r="EJO35" s="111"/>
      <c r="EJP35" s="112"/>
      <c r="EJQ35" s="113"/>
      <c r="EJS35" s="114"/>
      <c r="EJT35" s="114"/>
      <c r="EJY35" s="111"/>
      <c r="EJZ35" s="112"/>
      <c r="EKA35" s="113"/>
      <c r="EKC35" s="114"/>
      <c r="EKD35" s="114"/>
      <c r="EKI35" s="111"/>
      <c r="EKJ35" s="112"/>
      <c r="EKK35" s="113"/>
      <c r="EKM35" s="114"/>
      <c r="EKN35" s="114"/>
      <c r="EKS35" s="111"/>
      <c r="EKT35" s="112"/>
      <c r="EKU35" s="113"/>
      <c r="EKW35" s="114"/>
      <c r="EKX35" s="114"/>
      <c r="ELC35" s="111"/>
      <c r="ELD35" s="112"/>
      <c r="ELE35" s="113"/>
      <c r="ELG35" s="114"/>
      <c r="ELH35" s="114"/>
      <c r="ELM35" s="111"/>
      <c r="ELN35" s="112"/>
      <c r="ELO35" s="113"/>
      <c r="ELQ35" s="114"/>
      <c r="ELR35" s="114"/>
      <c r="ELW35" s="111"/>
      <c r="ELX35" s="112"/>
      <c r="ELY35" s="113"/>
      <c r="EMA35" s="114"/>
      <c r="EMB35" s="114"/>
      <c r="EMG35" s="111"/>
      <c r="EMH35" s="112"/>
      <c r="EMI35" s="113"/>
      <c r="EMK35" s="114"/>
      <c r="EML35" s="114"/>
      <c r="EMQ35" s="111"/>
      <c r="EMR35" s="112"/>
      <c r="EMS35" s="113"/>
      <c r="EMU35" s="114"/>
      <c r="EMV35" s="114"/>
      <c r="ENA35" s="111"/>
      <c r="ENB35" s="112"/>
      <c r="ENC35" s="113"/>
      <c r="ENE35" s="114"/>
      <c r="ENF35" s="114"/>
      <c r="ENK35" s="111"/>
      <c r="ENL35" s="112"/>
      <c r="ENM35" s="113"/>
      <c r="ENO35" s="114"/>
      <c r="ENP35" s="114"/>
      <c r="ENU35" s="111"/>
      <c r="ENV35" s="112"/>
      <c r="ENW35" s="113"/>
      <c r="ENY35" s="114"/>
      <c r="ENZ35" s="114"/>
      <c r="EOE35" s="111"/>
      <c r="EOF35" s="112"/>
      <c r="EOG35" s="113"/>
      <c r="EOI35" s="114"/>
      <c r="EOJ35" s="114"/>
      <c r="EOO35" s="111"/>
      <c r="EOP35" s="112"/>
      <c r="EOQ35" s="113"/>
      <c r="EOS35" s="114"/>
      <c r="EOT35" s="114"/>
      <c r="EOY35" s="111"/>
      <c r="EOZ35" s="112"/>
      <c r="EPA35" s="113"/>
      <c r="EPC35" s="114"/>
      <c r="EPD35" s="114"/>
      <c r="EPI35" s="111"/>
      <c r="EPJ35" s="112"/>
      <c r="EPK35" s="113"/>
      <c r="EPM35" s="114"/>
      <c r="EPN35" s="114"/>
      <c r="EPS35" s="111"/>
      <c r="EPT35" s="112"/>
      <c r="EPU35" s="113"/>
      <c r="EPW35" s="114"/>
      <c r="EPX35" s="114"/>
      <c r="EQC35" s="111"/>
      <c r="EQD35" s="112"/>
      <c r="EQE35" s="113"/>
      <c r="EQG35" s="114"/>
      <c r="EQH35" s="114"/>
      <c r="EQM35" s="111"/>
      <c r="EQN35" s="112"/>
      <c r="EQO35" s="113"/>
      <c r="EQQ35" s="114"/>
      <c r="EQR35" s="114"/>
      <c r="EQW35" s="111"/>
      <c r="EQX35" s="112"/>
      <c r="EQY35" s="113"/>
      <c r="ERA35" s="114"/>
      <c r="ERB35" s="114"/>
      <c r="ERG35" s="111"/>
      <c r="ERH35" s="112"/>
      <c r="ERI35" s="113"/>
      <c r="ERK35" s="114"/>
      <c r="ERL35" s="114"/>
      <c r="ERQ35" s="111"/>
      <c r="ERR35" s="112"/>
      <c r="ERS35" s="113"/>
      <c r="ERU35" s="114"/>
      <c r="ERV35" s="114"/>
      <c r="ESA35" s="111"/>
      <c r="ESB35" s="112"/>
      <c r="ESC35" s="113"/>
      <c r="ESE35" s="114"/>
      <c r="ESF35" s="114"/>
      <c r="ESK35" s="111"/>
      <c r="ESL35" s="112"/>
      <c r="ESM35" s="113"/>
      <c r="ESO35" s="114"/>
      <c r="ESP35" s="114"/>
      <c r="ESU35" s="111"/>
      <c r="ESV35" s="112"/>
      <c r="ESW35" s="113"/>
      <c r="ESY35" s="114"/>
      <c r="ESZ35" s="114"/>
      <c r="ETE35" s="111"/>
      <c r="ETF35" s="112"/>
      <c r="ETG35" s="113"/>
      <c r="ETI35" s="114"/>
      <c r="ETJ35" s="114"/>
      <c r="ETO35" s="111"/>
      <c r="ETP35" s="112"/>
      <c r="ETQ35" s="113"/>
      <c r="ETS35" s="114"/>
      <c r="ETT35" s="114"/>
      <c r="ETY35" s="111"/>
      <c r="ETZ35" s="112"/>
      <c r="EUA35" s="113"/>
      <c r="EUC35" s="114"/>
      <c r="EUD35" s="114"/>
      <c r="EUI35" s="111"/>
      <c r="EUJ35" s="112"/>
      <c r="EUK35" s="113"/>
      <c r="EUM35" s="114"/>
      <c r="EUN35" s="114"/>
      <c r="EUS35" s="111"/>
      <c r="EUT35" s="112"/>
      <c r="EUU35" s="113"/>
      <c r="EUW35" s="114"/>
      <c r="EUX35" s="114"/>
      <c r="EVC35" s="111"/>
      <c r="EVD35" s="112"/>
      <c r="EVE35" s="113"/>
      <c r="EVG35" s="114"/>
      <c r="EVH35" s="114"/>
      <c r="EVM35" s="111"/>
      <c r="EVN35" s="112"/>
      <c r="EVO35" s="113"/>
      <c r="EVQ35" s="114"/>
      <c r="EVR35" s="114"/>
      <c r="EVW35" s="111"/>
      <c r="EVX35" s="112"/>
      <c r="EVY35" s="113"/>
      <c r="EWA35" s="114"/>
      <c r="EWB35" s="114"/>
      <c r="EWG35" s="111"/>
      <c r="EWH35" s="112"/>
      <c r="EWI35" s="113"/>
      <c r="EWK35" s="114"/>
      <c r="EWL35" s="114"/>
      <c r="EWQ35" s="111"/>
      <c r="EWR35" s="112"/>
      <c r="EWS35" s="113"/>
      <c r="EWU35" s="114"/>
      <c r="EWV35" s="114"/>
      <c r="EXA35" s="111"/>
      <c r="EXB35" s="112"/>
      <c r="EXC35" s="113"/>
      <c r="EXE35" s="114"/>
      <c r="EXF35" s="114"/>
      <c r="EXK35" s="111"/>
      <c r="EXL35" s="112"/>
      <c r="EXM35" s="113"/>
      <c r="EXO35" s="114"/>
      <c r="EXP35" s="114"/>
      <c r="EXU35" s="111"/>
      <c r="EXV35" s="112"/>
      <c r="EXW35" s="113"/>
      <c r="EXY35" s="114"/>
      <c r="EXZ35" s="114"/>
      <c r="EYE35" s="111"/>
      <c r="EYF35" s="112"/>
      <c r="EYG35" s="113"/>
      <c r="EYI35" s="114"/>
      <c r="EYJ35" s="114"/>
      <c r="EYO35" s="111"/>
      <c r="EYP35" s="112"/>
      <c r="EYQ35" s="113"/>
      <c r="EYS35" s="114"/>
      <c r="EYT35" s="114"/>
      <c r="EYY35" s="111"/>
      <c r="EYZ35" s="112"/>
      <c r="EZA35" s="113"/>
      <c r="EZC35" s="114"/>
      <c r="EZD35" s="114"/>
      <c r="EZI35" s="111"/>
      <c r="EZJ35" s="112"/>
      <c r="EZK35" s="113"/>
      <c r="EZM35" s="114"/>
      <c r="EZN35" s="114"/>
      <c r="EZS35" s="111"/>
      <c r="EZT35" s="112"/>
      <c r="EZU35" s="113"/>
      <c r="EZW35" s="114"/>
      <c r="EZX35" s="114"/>
      <c r="FAC35" s="111"/>
      <c r="FAD35" s="112"/>
      <c r="FAE35" s="113"/>
      <c r="FAG35" s="114"/>
      <c r="FAH35" s="114"/>
      <c r="FAM35" s="111"/>
      <c r="FAN35" s="112"/>
      <c r="FAO35" s="113"/>
      <c r="FAQ35" s="114"/>
      <c r="FAR35" s="114"/>
      <c r="FAW35" s="111"/>
      <c r="FAX35" s="112"/>
      <c r="FAY35" s="113"/>
      <c r="FBA35" s="114"/>
      <c r="FBB35" s="114"/>
      <c r="FBG35" s="111"/>
      <c r="FBH35" s="112"/>
      <c r="FBI35" s="113"/>
      <c r="FBK35" s="114"/>
      <c r="FBL35" s="114"/>
      <c r="FBQ35" s="111"/>
      <c r="FBR35" s="112"/>
      <c r="FBS35" s="113"/>
      <c r="FBU35" s="114"/>
      <c r="FBV35" s="114"/>
      <c r="FCA35" s="111"/>
      <c r="FCB35" s="112"/>
      <c r="FCC35" s="113"/>
      <c r="FCE35" s="114"/>
      <c r="FCF35" s="114"/>
      <c r="FCK35" s="111"/>
      <c r="FCL35" s="112"/>
      <c r="FCM35" s="113"/>
      <c r="FCO35" s="114"/>
      <c r="FCP35" s="114"/>
      <c r="FCU35" s="111"/>
      <c r="FCV35" s="112"/>
      <c r="FCW35" s="113"/>
      <c r="FCY35" s="114"/>
      <c r="FCZ35" s="114"/>
      <c r="FDE35" s="111"/>
      <c r="FDF35" s="112"/>
      <c r="FDG35" s="113"/>
      <c r="FDI35" s="114"/>
      <c r="FDJ35" s="114"/>
      <c r="FDO35" s="111"/>
      <c r="FDP35" s="112"/>
      <c r="FDQ35" s="113"/>
      <c r="FDS35" s="114"/>
      <c r="FDT35" s="114"/>
      <c r="FDY35" s="111"/>
      <c r="FDZ35" s="112"/>
      <c r="FEA35" s="113"/>
      <c r="FEC35" s="114"/>
      <c r="FED35" s="114"/>
      <c r="FEI35" s="111"/>
      <c r="FEJ35" s="112"/>
      <c r="FEK35" s="113"/>
      <c r="FEM35" s="114"/>
      <c r="FEN35" s="114"/>
      <c r="FES35" s="111"/>
      <c r="FET35" s="112"/>
      <c r="FEU35" s="113"/>
      <c r="FEW35" s="114"/>
      <c r="FEX35" s="114"/>
      <c r="FFC35" s="111"/>
      <c r="FFD35" s="112"/>
      <c r="FFE35" s="113"/>
      <c r="FFG35" s="114"/>
      <c r="FFH35" s="114"/>
      <c r="FFM35" s="111"/>
      <c r="FFN35" s="112"/>
      <c r="FFO35" s="113"/>
      <c r="FFQ35" s="114"/>
      <c r="FFR35" s="114"/>
      <c r="FFW35" s="111"/>
      <c r="FFX35" s="112"/>
      <c r="FFY35" s="113"/>
      <c r="FGA35" s="114"/>
      <c r="FGB35" s="114"/>
      <c r="FGG35" s="111"/>
      <c r="FGH35" s="112"/>
      <c r="FGI35" s="113"/>
      <c r="FGK35" s="114"/>
      <c r="FGL35" s="114"/>
      <c r="FGQ35" s="111"/>
      <c r="FGR35" s="112"/>
      <c r="FGS35" s="113"/>
      <c r="FGU35" s="114"/>
      <c r="FGV35" s="114"/>
      <c r="FHA35" s="111"/>
      <c r="FHB35" s="112"/>
      <c r="FHC35" s="113"/>
      <c r="FHE35" s="114"/>
      <c r="FHF35" s="114"/>
      <c r="FHK35" s="111"/>
      <c r="FHL35" s="112"/>
      <c r="FHM35" s="113"/>
      <c r="FHO35" s="114"/>
      <c r="FHP35" s="114"/>
      <c r="FHU35" s="111"/>
      <c r="FHV35" s="112"/>
      <c r="FHW35" s="113"/>
      <c r="FHY35" s="114"/>
      <c r="FHZ35" s="114"/>
      <c r="FIE35" s="111"/>
      <c r="FIF35" s="112"/>
      <c r="FIG35" s="113"/>
      <c r="FII35" s="114"/>
      <c r="FIJ35" s="114"/>
      <c r="FIO35" s="111"/>
      <c r="FIP35" s="112"/>
      <c r="FIQ35" s="113"/>
      <c r="FIS35" s="114"/>
      <c r="FIT35" s="114"/>
      <c r="FIY35" s="111"/>
      <c r="FIZ35" s="112"/>
      <c r="FJA35" s="113"/>
      <c r="FJC35" s="114"/>
      <c r="FJD35" s="114"/>
      <c r="FJI35" s="111"/>
      <c r="FJJ35" s="112"/>
      <c r="FJK35" s="113"/>
      <c r="FJM35" s="114"/>
      <c r="FJN35" s="114"/>
      <c r="FJS35" s="111"/>
      <c r="FJT35" s="112"/>
      <c r="FJU35" s="113"/>
      <c r="FJW35" s="114"/>
      <c r="FJX35" s="114"/>
      <c r="FKC35" s="111"/>
      <c r="FKD35" s="112"/>
      <c r="FKE35" s="113"/>
      <c r="FKG35" s="114"/>
      <c r="FKH35" s="114"/>
      <c r="FKM35" s="111"/>
      <c r="FKN35" s="112"/>
      <c r="FKO35" s="113"/>
      <c r="FKQ35" s="114"/>
      <c r="FKR35" s="114"/>
      <c r="FKW35" s="111"/>
      <c r="FKX35" s="112"/>
      <c r="FKY35" s="113"/>
      <c r="FLA35" s="114"/>
      <c r="FLB35" s="114"/>
      <c r="FLG35" s="111"/>
      <c r="FLH35" s="112"/>
      <c r="FLI35" s="113"/>
      <c r="FLK35" s="114"/>
      <c r="FLL35" s="114"/>
      <c r="FLQ35" s="111"/>
      <c r="FLR35" s="112"/>
      <c r="FLS35" s="113"/>
      <c r="FLU35" s="114"/>
      <c r="FLV35" s="114"/>
      <c r="FMA35" s="111"/>
      <c r="FMB35" s="112"/>
      <c r="FMC35" s="113"/>
      <c r="FME35" s="114"/>
      <c r="FMF35" s="114"/>
      <c r="FMK35" s="111"/>
      <c r="FML35" s="112"/>
      <c r="FMM35" s="113"/>
      <c r="FMO35" s="114"/>
      <c r="FMP35" s="114"/>
      <c r="FMU35" s="111"/>
      <c r="FMV35" s="112"/>
      <c r="FMW35" s="113"/>
      <c r="FMY35" s="114"/>
      <c r="FMZ35" s="114"/>
      <c r="FNE35" s="111"/>
      <c r="FNF35" s="112"/>
      <c r="FNG35" s="113"/>
      <c r="FNI35" s="114"/>
      <c r="FNJ35" s="114"/>
      <c r="FNO35" s="111"/>
      <c r="FNP35" s="112"/>
      <c r="FNQ35" s="113"/>
      <c r="FNS35" s="114"/>
      <c r="FNT35" s="114"/>
      <c r="FNY35" s="111"/>
      <c r="FNZ35" s="112"/>
      <c r="FOA35" s="113"/>
      <c r="FOC35" s="114"/>
      <c r="FOD35" s="114"/>
      <c r="FOI35" s="111"/>
      <c r="FOJ35" s="112"/>
      <c r="FOK35" s="113"/>
      <c r="FOM35" s="114"/>
      <c r="FON35" s="114"/>
      <c r="FOS35" s="111"/>
      <c r="FOT35" s="112"/>
      <c r="FOU35" s="113"/>
      <c r="FOW35" s="114"/>
      <c r="FOX35" s="114"/>
      <c r="FPC35" s="111"/>
      <c r="FPD35" s="112"/>
      <c r="FPE35" s="113"/>
      <c r="FPG35" s="114"/>
      <c r="FPH35" s="114"/>
      <c r="FPM35" s="111"/>
      <c r="FPN35" s="112"/>
      <c r="FPO35" s="113"/>
      <c r="FPQ35" s="114"/>
      <c r="FPR35" s="114"/>
      <c r="FPW35" s="111"/>
      <c r="FPX35" s="112"/>
      <c r="FPY35" s="113"/>
      <c r="FQA35" s="114"/>
      <c r="FQB35" s="114"/>
      <c r="FQG35" s="111"/>
      <c r="FQH35" s="112"/>
      <c r="FQI35" s="113"/>
      <c r="FQK35" s="114"/>
      <c r="FQL35" s="114"/>
      <c r="FQQ35" s="111"/>
      <c r="FQR35" s="112"/>
      <c r="FQS35" s="113"/>
      <c r="FQU35" s="114"/>
      <c r="FQV35" s="114"/>
      <c r="FRA35" s="111"/>
      <c r="FRB35" s="112"/>
      <c r="FRC35" s="113"/>
      <c r="FRE35" s="114"/>
      <c r="FRF35" s="114"/>
      <c r="FRK35" s="111"/>
      <c r="FRL35" s="112"/>
      <c r="FRM35" s="113"/>
      <c r="FRO35" s="114"/>
      <c r="FRP35" s="114"/>
      <c r="FRU35" s="111"/>
      <c r="FRV35" s="112"/>
      <c r="FRW35" s="113"/>
      <c r="FRY35" s="114"/>
      <c r="FRZ35" s="114"/>
      <c r="FSE35" s="111"/>
      <c r="FSF35" s="112"/>
      <c r="FSG35" s="113"/>
      <c r="FSI35" s="114"/>
      <c r="FSJ35" s="114"/>
      <c r="FSO35" s="111"/>
      <c r="FSP35" s="112"/>
      <c r="FSQ35" s="113"/>
      <c r="FSS35" s="114"/>
      <c r="FST35" s="114"/>
      <c r="FSY35" s="111"/>
      <c r="FSZ35" s="112"/>
      <c r="FTA35" s="113"/>
      <c r="FTC35" s="114"/>
      <c r="FTD35" s="114"/>
      <c r="FTI35" s="111"/>
      <c r="FTJ35" s="112"/>
      <c r="FTK35" s="113"/>
      <c r="FTM35" s="114"/>
      <c r="FTN35" s="114"/>
      <c r="FTS35" s="111"/>
      <c r="FTT35" s="112"/>
      <c r="FTU35" s="113"/>
      <c r="FTW35" s="114"/>
      <c r="FTX35" s="114"/>
      <c r="FUC35" s="111"/>
      <c r="FUD35" s="112"/>
      <c r="FUE35" s="113"/>
      <c r="FUG35" s="114"/>
      <c r="FUH35" s="114"/>
      <c r="FUM35" s="111"/>
      <c r="FUN35" s="112"/>
      <c r="FUO35" s="113"/>
      <c r="FUQ35" s="114"/>
      <c r="FUR35" s="114"/>
      <c r="FUW35" s="111"/>
      <c r="FUX35" s="112"/>
      <c r="FUY35" s="113"/>
      <c r="FVA35" s="114"/>
      <c r="FVB35" s="114"/>
      <c r="FVG35" s="111"/>
      <c r="FVH35" s="112"/>
      <c r="FVI35" s="113"/>
      <c r="FVK35" s="114"/>
      <c r="FVL35" s="114"/>
      <c r="FVQ35" s="111"/>
      <c r="FVR35" s="112"/>
      <c r="FVS35" s="113"/>
      <c r="FVU35" s="114"/>
      <c r="FVV35" s="114"/>
      <c r="FWA35" s="111"/>
      <c r="FWB35" s="112"/>
      <c r="FWC35" s="113"/>
      <c r="FWE35" s="114"/>
      <c r="FWF35" s="114"/>
      <c r="FWK35" s="111"/>
      <c r="FWL35" s="112"/>
      <c r="FWM35" s="113"/>
      <c r="FWO35" s="114"/>
      <c r="FWP35" s="114"/>
      <c r="FWU35" s="111"/>
      <c r="FWV35" s="112"/>
      <c r="FWW35" s="113"/>
      <c r="FWY35" s="114"/>
      <c r="FWZ35" s="114"/>
      <c r="FXE35" s="111"/>
      <c r="FXF35" s="112"/>
      <c r="FXG35" s="113"/>
      <c r="FXI35" s="114"/>
      <c r="FXJ35" s="114"/>
      <c r="FXO35" s="111"/>
      <c r="FXP35" s="112"/>
      <c r="FXQ35" s="113"/>
      <c r="FXS35" s="114"/>
      <c r="FXT35" s="114"/>
      <c r="FXY35" s="111"/>
      <c r="FXZ35" s="112"/>
      <c r="FYA35" s="113"/>
      <c r="FYC35" s="114"/>
      <c r="FYD35" s="114"/>
      <c r="FYI35" s="111"/>
      <c r="FYJ35" s="112"/>
      <c r="FYK35" s="113"/>
      <c r="FYM35" s="114"/>
      <c r="FYN35" s="114"/>
      <c r="FYS35" s="111"/>
      <c r="FYT35" s="112"/>
      <c r="FYU35" s="113"/>
      <c r="FYW35" s="114"/>
      <c r="FYX35" s="114"/>
      <c r="FZC35" s="111"/>
      <c r="FZD35" s="112"/>
      <c r="FZE35" s="113"/>
      <c r="FZG35" s="114"/>
      <c r="FZH35" s="114"/>
      <c r="FZM35" s="111"/>
      <c r="FZN35" s="112"/>
      <c r="FZO35" s="113"/>
      <c r="FZQ35" s="114"/>
      <c r="FZR35" s="114"/>
      <c r="FZW35" s="111"/>
      <c r="FZX35" s="112"/>
      <c r="FZY35" s="113"/>
      <c r="GAA35" s="114"/>
      <c r="GAB35" s="114"/>
      <c r="GAG35" s="111"/>
      <c r="GAH35" s="112"/>
      <c r="GAI35" s="113"/>
      <c r="GAK35" s="114"/>
      <c r="GAL35" s="114"/>
      <c r="GAQ35" s="111"/>
      <c r="GAR35" s="112"/>
      <c r="GAS35" s="113"/>
      <c r="GAU35" s="114"/>
      <c r="GAV35" s="114"/>
      <c r="GBA35" s="111"/>
      <c r="GBB35" s="112"/>
      <c r="GBC35" s="113"/>
      <c r="GBE35" s="114"/>
      <c r="GBF35" s="114"/>
      <c r="GBK35" s="111"/>
      <c r="GBL35" s="112"/>
      <c r="GBM35" s="113"/>
      <c r="GBO35" s="114"/>
      <c r="GBP35" s="114"/>
      <c r="GBU35" s="111"/>
      <c r="GBV35" s="112"/>
      <c r="GBW35" s="113"/>
      <c r="GBY35" s="114"/>
      <c r="GBZ35" s="114"/>
      <c r="GCE35" s="111"/>
      <c r="GCF35" s="112"/>
      <c r="GCG35" s="113"/>
      <c r="GCI35" s="114"/>
      <c r="GCJ35" s="114"/>
      <c r="GCO35" s="111"/>
      <c r="GCP35" s="112"/>
      <c r="GCQ35" s="113"/>
      <c r="GCS35" s="114"/>
      <c r="GCT35" s="114"/>
      <c r="GCY35" s="111"/>
      <c r="GCZ35" s="112"/>
      <c r="GDA35" s="113"/>
      <c r="GDC35" s="114"/>
      <c r="GDD35" s="114"/>
      <c r="GDI35" s="111"/>
      <c r="GDJ35" s="112"/>
      <c r="GDK35" s="113"/>
      <c r="GDM35" s="114"/>
      <c r="GDN35" s="114"/>
      <c r="GDS35" s="111"/>
      <c r="GDT35" s="112"/>
      <c r="GDU35" s="113"/>
      <c r="GDW35" s="114"/>
      <c r="GDX35" s="114"/>
      <c r="GEC35" s="111"/>
      <c r="GED35" s="112"/>
      <c r="GEE35" s="113"/>
      <c r="GEG35" s="114"/>
      <c r="GEH35" s="114"/>
      <c r="GEM35" s="111"/>
      <c r="GEN35" s="112"/>
      <c r="GEO35" s="113"/>
      <c r="GEQ35" s="114"/>
      <c r="GER35" s="114"/>
      <c r="GEW35" s="111"/>
      <c r="GEX35" s="112"/>
      <c r="GEY35" s="113"/>
      <c r="GFA35" s="114"/>
      <c r="GFB35" s="114"/>
      <c r="GFG35" s="111"/>
      <c r="GFH35" s="112"/>
      <c r="GFI35" s="113"/>
      <c r="GFK35" s="114"/>
      <c r="GFL35" s="114"/>
      <c r="GFQ35" s="111"/>
      <c r="GFR35" s="112"/>
      <c r="GFS35" s="113"/>
      <c r="GFU35" s="114"/>
      <c r="GFV35" s="114"/>
      <c r="GGA35" s="111"/>
      <c r="GGB35" s="112"/>
      <c r="GGC35" s="113"/>
      <c r="GGE35" s="114"/>
      <c r="GGF35" s="114"/>
      <c r="GGK35" s="111"/>
      <c r="GGL35" s="112"/>
      <c r="GGM35" s="113"/>
      <c r="GGO35" s="114"/>
      <c r="GGP35" s="114"/>
      <c r="GGU35" s="111"/>
      <c r="GGV35" s="112"/>
      <c r="GGW35" s="113"/>
      <c r="GGY35" s="114"/>
      <c r="GGZ35" s="114"/>
      <c r="GHE35" s="111"/>
      <c r="GHF35" s="112"/>
      <c r="GHG35" s="113"/>
      <c r="GHI35" s="114"/>
      <c r="GHJ35" s="114"/>
      <c r="GHO35" s="111"/>
      <c r="GHP35" s="112"/>
      <c r="GHQ35" s="113"/>
      <c r="GHS35" s="114"/>
      <c r="GHT35" s="114"/>
      <c r="GHY35" s="111"/>
      <c r="GHZ35" s="112"/>
      <c r="GIA35" s="113"/>
      <c r="GIC35" s="114"/>
      <c r="GID35" s="114"/>
      <c r="GII35" s="111"/>
      <c r="GIJ35" s="112"/>
      <c r="GIK35" s="113"/>
      <c r="GIM35" s="114"/>
      <c r="GIN35" s="114"/>
      <c r="GIS35" s="111"/>
      <c r="GIT35" s="112"/>
      <c r="GIU35" s="113"/>
      <c r="GIW35" s="114"/>
      <c r="GIX35" s="114"/>
      <c r="GJC35" s="111"/>
      <c r="GJD35" s="112"/>
      <c r="GJE35" s="113"/>
      <c r="GJG35" s="114"/>
      <c r="GJH35" s="114"/>
      <c r="GJM35" s="111"/>
      <c r="GJN35" s="112"/>
      <c r="GJO35" s="113"/>
      <c r="GJQ35" s="114"/>
      <c r="GJR35" s="114"/>
      <c r="GJW35" s="111"/>
      <c r="GJX35" s="112"/>
      <c r="GJY35" s="113"/>
      <c r="GKA35" s="114"/>
      <c r="GKB35" s="114"/>
      <c r="GKG35" s="111"/>
      <c r="GKH35" s="112"/>
      <c r="GKI35" s="113"/>
      <c r="GKK35" s="114"/>
      <c r="GKL35" s="114"/>
      <c r="GKQ35" s="111"/>
      <c r="GKR35" s="112"/>
      <c r="GKS35" s="113"/>
      <c r="GKU35" s="114"/>
      <c r="GKV35" s="114"/>
      <c r="GLA35" s="111"/>
      <c r="GLB35" s="112"/>
      <c r="GLC35" s="113"/>
      <c r="GLE35" s="114"/>
      <c r="GLF35" s="114"/>
      <c r="GLK35" s="111"/>
      <c r="GLL35" s="112"/>
      <c r="GLM35" s="113"/>
      <c r="GLO35" s="114"/>
      <c r="GLP35" s="114"/>
      <c r="GLU35" s="111"/>
      <c r="GLV35" s="112"/>
      <c r="GLW35" s="113"/>
      <c r="GLY35" s="114"/>
      <c r="GLZ35" s="114"/>
      <c r="GME35" s="111"/>
      <c r="GMF35" s="112"/>
      <c r="GMG35" s="113"/>
      <c r="GMI35" s="114"/>
      <c r="GMJ35" s="114"/>
      <c r="GMO35" s="111"/>
      <c r="GMP35" s="112"/>
      <c r="GMQ35" s="113"/>
      <c r="GMS35" s="114"/>
      <c r="GMT35" s="114"/>
      <c r="GMY35" s="111"/>
      <c r="GMZ35" s="112"/>
      <c r="GNA35" s="113"/>
      <c r="GNC35" s="114"/>
      <c r="GND35" s="114"/>
      <c r="GNI35" s="111"/>
      <c r="GNJ35" s="112"/>
      <c r="GNK35" s="113"/>
      <c r="GNM35" s="114"/>
      <c r="GNN35" s="114"/>
      <c r="GNS35" s="111"/>
      <c r="GNT35" s="112"/>
      <c r="GNU35" s="113"/>
      <c r="GNW35" s="114"/>
      <c r="GNX35" s="114"/>
      <c r="GOC35" s="111"/>
      <c r="GOD35" s="112"/>
      <c r="GOE35" s="113"/>
      <c r="GOG35" s="114"/>
      <c r="GOH35" s="114"/>
      <c r="GOM35" s="111"/>
      <c r="GON35" s="112"/>
      <c r="GOO35" s="113"/>
      <c r="GOQ35" s="114"/>
      <c r="GOR35" s="114"/>
      <c r="GOW35" s="111"/>
      <c r="GOX35" s="112"/>
      <c r="GOY35" s="113"/>
      <c r="GPA35" s="114"/>
      <c r="GPB35" s="114"/>
      <c r="GPG35" s="111"/>
      <c r="GPH35" s="112"/>
      <c r="GPI35" s="113"/>
      <c r="GPK35" s="114"/>
      <c r="GPL35" s="114"/>
      <c r="GPQ35" s="111"/>
      <c r="GPR35" s="112"/>
      <c r="GPS35" s="113"/>
      <c r="GPU35" s="114"/>
      <c r="GPV35" s="114"/>
      <c r="GQA35" s="111"/>
      <c r="GQB35" s="112"/>
      <c r="GQC35" s="113"/>
      <c r="GQE35" s="114"/>
      <c r="GQF35" s="114"/>
      <c r="GQK35" s="111"/>
      <c r="GQL35" s="112"/>
      <c r="GQM35" s="113"/>
      <c r="GQO35" s="114"/>
      <c r="GQP35" s="114"/>
      <c r="GQU35" s="111"/>
      <c r="GQV35" s="112"/>
      <c r="GQW35" s="113"/>
      <c r="GQY35" s="114"/>
      <c r="GQZ35" s="114"/>
      <c r="GRE35" s="111"/>
      <c r="GRF35" s="112"/>
      <c r="GRG35" s="113"/>
      <c r="GRI35" s="114"/>
      <c r="GRJ35" s="114"/>
      <c r="GRO35" s="111"/>
      <c r="GRP35" s="112"/>
      <c r="GRQ35" s="113"/>
      <c r="GRS35" s="114"/>
      <c r="GRT35" s="114"/>
      <c r="GRY35" s="111"/>
      <c r="GRZ35" s="112"/>
      <c r="GSA35" s="113"/>
      <c r="GSC35" s="114"/>
      <c r="GSD35" s="114"/>
      <c r="GSI35" s="111"/>
      <c r="GSJ35" s="112"/>
      <c r="GSK35" s="113"/>
      <c r="GSM35" s="114"/>
      <c r="GSN35" s="114"/>
      <c r="GSS35" s="111"/>
      <c r="GST35" s="112"/>
      <c r="GSU35" s="113"/>
      <c r="GSW35" s="114"/>
      <c r="GSX35" s="114"/>
      <c r="GTC35" s="111"/>
      <c r="GTD35" s="112"/>
      <c r="GTE35" s="113"/>
      <c r="GTG35" s="114"/>
      <c r="GTH35" s="114"/>
      <c r="GTM35" s="111"/>
      <c r="GTN35" s="112"/>
      <c r="GTO35" s="113"/>
      <c r="GTQ35" s="114"/>
      <c r="GTR35" s="114"/>
      <c r="GTW35" s="111"/>
      <c r="GTX35" s="112"/>
      <c r="GTY35" s="113"/>
      <c r="GUA35" s="114"/>
      <c r="GUB35" s="114"/>
      <c r="GUG35" s="111"/>
      <c r="GUH35" s="112"/>
      <c r="GUI35" s="113"/>
      <c r="GUK35" s="114"/>
      <c r="GUL35" s="114"/>
      <c r="GUQ35" s="111"/>
      <c r="GUR35" s="112"/>
      <c r="GUS35" s="113"/>
      <c r="GUU35" s="114"/>
      <c r="GUV35" s="114"/>
      <c r="GVA35" s="111"/>
      <c r="GVB35" s="112"/>
      <c r="GVC35" s="113"/>
      <c r="GVE35" s="114"/>
      <c r="GVF35" s="114"/>
      <c r="GVK35" s="111"/>
      <c r="GVL35" s="112"/>
      <c r="GVM35" s="113"/>
      <c r="GVO35" s="114"/>
      <c r="GVP35" s="114"/>
      <c r="GVU35" s="111"/>
      <c r="GVV35" s="112"/>
      <c r="GVW35" s="113"/>
      <c r="GVY35" s="114"/>
      <c r="GVZ35" s="114"/>
      <c r="GWE35" s="111"/>
      <c r="GWF35" s="112"/>
      <c r="GWG35" s="113"/>
      <c r="GWI35" s="114"/>
      <c r="GWJ35" s="114"/>
      <c r="GWO35" s="111"/>
      <c r="GWP35" s="112"/>
      <c r="GWQ35" s="113"/>
      <c r="GWS35" s="114"/>
      <c r="GWT35" s="114"/>
      <c r="GWY35" s="111"/>
      <c r="GWZ35" s="112"/>
      <c r="GXA35" s="113"/>
      <c r="GXC35" s="114"/>
      <c r="GXD35" s="114"/>
      <c r="GXI35" s="111"/>
      <c r="GXJ35" s="112"/>
      <c r="GXK35" s="113"/>
      <c r="GXM35" s="114"/>
      <c r="GXN35" s="114"/>
      <c r="GXS35" s="111"/>
      <c r="GXT35" s="112"/>
      <c r="GXU35" s="113"/>
      <c r="GXW35" s="114"/>
      <c r="GXX35" s="114"/>
      <c r="GYC35" s="111"/>
      <c r="GYD35" s="112"/>
      <c r="GYE35" s="113"/>
      <c r="GYG35" s="114"/>
      <c r="GYH35" s="114"/>
      <c r="GYM35" s="111"/>
      <c r="GYN35" s="112"/>
      <c r="GYO35" s="113"/>
      <c r="GYQ35" s="114"/>
      <c r="GYR35" s="114"/>
      <c r="GYW35" s="111"/>
      <c r="GYX35" s="112"/>
      <c r="GYY35" s="113"/>
      <c r="GZA35" s="114"/>
      <c r="GZB35" s="114"/>
      <c r="GZG35" s="111"/>
      <c r="GZH35" s="112"/>
      <c r="GZI35" s="113"/>
      <c r="GZK35" s="114"/>
      <c r="GZL35" s="114"/>
      <c r="GZQ35" s="111"/>
      <c r="GZR35" s="112"/>
      <c r="GZS35" s="113"/>
      <c r="GZU35" s="114"/>
      <c r="GZV35" s="114"/>
      <c r="HAA35" s="111"/>
      <c r="HAB35" s="112"/>
      <c r="HAC35" s="113"/>
      <c r="HAE35" s="114"/>
      <c r="HAF35" s="114"/>
      <c r="HAK35" s="111"/>
      <c r="HAL35" s="112"/>
      <c r="HAM35" s="113"/>
      <c r="HAO35" s="114"/>
      <c r="HAP35" s="114"/>
      <c r="HAU35" s="111"/>
      <c r="HAV35" s="112"/>
      <c r="HAW35" s="113"/>
      <c r="HAY35" s="114"/>
      <c r="HAZ35" s="114"/>
      <c r="HBE35" s="111"/>
      <c r="HBF35" s="112"/>
      <c r="HBG35" s="113"/>
      <c r="HBI35" s="114"/>
      <c r="HBJ35" s="114"/>
      <c r="HBO35" s="111"/>
      <c r="HBP35" s="112"/>
      <c r="HBQ35" s="113"/>
      <c r="HBS35" s="114"/>
      <c r="HBT35" s="114"/>
      <c r="HBY35" s="111"/>
      <c r="HBZ35" s="112"/>
      <c r="HCA35" s="113"/>
      <c r="HCC35" s="114"/>
      <c r="HCD35" s="114"/>
      <c r="HCI35" s="111"/>
      <c r="HCJ35" s="112"/>
      <c r="HCK35" s="113"/>
      <c r="HCM35" s="114"/>
      <c r="HCN35" s="114"/>
      <c r="HCS35" s="111"/>
      <c r="HCT35" s="112"/>
      <c r="HCU35" s="113"/>
      <c r="HCW35" s="114"/>
      <c r="HCX35" s="114"/>
      <c r="HDC35" s="111"/>
      <c r="HDD35" s="112"/>
      <c r="HDE35" s="113"/>
      <c r="HDG35" s="114"/>
      <c r="HDH35" s="114"/>
      <c r="HDM35" s="111"/>
      <c r="HDN35" s="112"/>
      <c r="HDO35" s="113"/>
      <c r="HDQ35" s="114"/>
      <c r="HDR35" s="114"/>
      <c r="HDW35" s="111"/>
      <c r="HDX35" s="112"/>
      <c r="HDY35" s="113"/>
      <c r="HEA35" s="114"/>
      <c r="HEB35" s="114"/>
      <c r="HEG35" s="111"/>
      <c r="HEH35" s="112"/>
      <c r="HEI35" s="113"/>
      <c r="HEK35" s="114"/>
      <c r="HEL35" s="114"/>
      <c r="HEQ35" s="111"/>
      <c r="HER35" s="112"/>
      <c r="HES35" s="113"/>
      <c r="HEU35" s="114"/>
      <c r="HEV35" s="114"/>
      <c r="HFA35" s="111"/>
      <c r="HFB35" s="112"/>
      <c r="HFC35" s="113"/>
      <c r="HFE35" s="114"/>
      <c r="HFF35" s="114"/>
      <c r="HFK35" s="111"/>
      <c r="HFL35" s="112"/>
      <c r="HFM35" s="113"/>
      <c r="HFO35" s="114"/>
      <c r="HFP35" s="114"/>
      <c r="HFU35" s="111"/>
      <c r="HFV35" s="112"/>
      <c r="HFW35" s="113"/>
      <c r="HFY35" s="114"/>
      <c r="HFZ35" s="114"/>
      <c r="HGE35" s="111"/>
      <c r="HGF35" s="112"/>
      <c r="HGG35" s="113"/>
      <c r="HGI35" s="114"/>
      <c r="HGJ35" s="114"/>
      <c r="HGO35" s="111"/>
      <c r="HGP35" s="112"/>
      <c r="HGQ35" s="113"/>
      <c r="HGS35" s="114"/>
      <c r="HGT35" s="114"/>
      <c r="HGY35" s="111"/>
      <c r="HGZ35" s="112"/>
      <c r="HHA35" s="113"/>
      <c r="HHC35" s="114"/>
      <c r="HHD35" s="114"/>
      <c r="HHI35" s="111"/>
      <c r="HHJ35" s="112"/>
      <c r="HHK35" s="113"/>
      <c r="HHM35" s="114"/>
      <c r="HHN35" s="114"/>
      <c r="HHS35" s="111"/>
      <c r="HHT35" s="112"/>
      <c r="HHU35" s="113"/>
      <c r="HHW35" s="114"/>
      <c r="HHX35" s="114"/>
      <c r="HIC35" s="111"/>
      <c r="HID35" s="112"/>
      <c r="HIE35" s="113"/>
      <c r="HIG35" s="114"/>
      <c r="HIH35" s="114"/>
      <c r="HIM35" s="111"/>
      <c r="HIN35" s="112"/>
      <c r="HIO35" s="113"/>
      <c r="HIQ35" s="114"/>
      <c r="HIR35" s="114"/>
      <c r="HIW35" s="111"/>
      <c r="HIX35" s="112"/>
      <c r="HIY35" s="113"/>
      <c r="HJA35" s="114"/>
      <c r="HJB35" s="114"/>
      <c r="HJG35" s="111"/>
      <c r="HJH35" s="112"/>
      <c r="HJI35" s="113"/>
      <c r="HJK35" s="114"/>
      <c r="HJL35" s="114"/>
      <c r="HJQ35" s="111"/>
      <c r="HJR35" s="112"/>
      <c r="HJS35" s="113"/>
      <c r="HJU35" s="114"/>
      <c r="HJV35" s="114"/>
      <c r="HKA35" s="111"/>
      <c r="HKB35" s="112"/>
      <c r="HKC35" s="113"/>
      <c r="HKE35" s="114"/>
      <c r="HKF35" s="114"/>
      <c r="HKK35" s="111"/>
      <c r="HKL35" s="112"/>
      <c r="HKM35" s="113"/>
      <c r="HKO35" s="114"/>
      <c r="HKP35" s="114"/>
      <c r="HKU35" s="111"/>
      <c r="HKV35" s="112"/>
      <c r="HKW35" s="113"/>
      <c r="HKY35" s="114"/>
      <c r="HKZ35" s="114"/>
      <c r="HLE35" s="111"/>
      <c r="HLF35" s="112"/>
      <c r="HLG35" s="113"/>
      <c r="HLI35" s="114"/>
      <c r="HLJ35" s="114"/>
      <c r="HLO35" s="111"/>
      <c r="HLP35" s="112"/>
      <c r="HLQ35" s="113"/>
      <c r="HLS35" s="114"/>
      <c r="HLT35" s="114"/>
      <c r="HLY35" s="111"/>
      <c r="HLZ35" s="112"/>
      <c r="HMA35" s="113"/>
      <c r="HMC35" s="114"/>
      <c r="HMD35" s="114"/>
      <c r="HMI35" s="111"/>
      <c r="HMJ35" s="112"/>
      <c r="HMK35" s="113"/>
      <c r="HMM35" s="114"/>
      <c r="HMN35" s="114"/>
      <c r="HMS35" s="111"/>
      <c r="HMT35" s="112"/>
      <c r="HMU35" s="113"/>
      <c r="HMW35" s="114"/>
      <c r="HMX35" s="114"/>
      <c r="HNC35" s="111"/>
      <c r="HND35" s="112"/>
      <c r="HNE35" s="113"/>
      <c r="HNG35" s="114"/>
      <c r="HNH35" s="114"/>
      <c r="HNM35" s="111"/>
      <c r="HNN35" s="112"/>
      <c r="HNO35" s="113"/>
      <c r="HNQ35" s="114"/>
      <c r="HNR35" s="114"/>
      <c r="HNW35" s="111"/>
      <c r="HNX35" s="112"/>
      <c r="HNY35" s="113"/>
      <c r="HOA35" s="114"/>
      <c r="HOB35" s="114"/>
      <c r="HOG35" s="111"/>
      <c r="HOH35" s="112"/>
      <c r="HOI35" s="113"/>
      <c r="HOK35" s="114"/>
      <c r="HOL35" s="114"/>
      <c r="HOQ35" s="111"/>
      <c r="HOR35" s="112"/>
      <c r="HOS35" s="113"/>
      <c r="HOU35" s="114"/>
      <c r="HOV35" s="114"/>
      <c r="HPA35" s="111"/>
      <c r="HPB35" s="112"/>
      <c r="HPC35" s="113"/>
      <c r="HPE35" s="114"/>
      <c r="HPF35" s="114"/>
      <c r="HPK35" s="111"/>
      <c r="HPL35" s="112"/>
      <c r="HPM35" s="113"/>
      <c r="HPO35" s="114"/>
      <c r="HPP35" s="114"/>
      <c r="HPU35" s="111"/>
      <c r="HPV35" s="112"/>
      <c r="HPW35" s="113"/>
      <c r="HPY35" s="114"/>
      <c r="HPZ35" s="114"/>
      <c r="HQE35" s="111"/>
      <c r="HQF35" s="112"/>
      <c r="HQG35" s="113"/>
      <c r="HQI35" s="114"/>
      <c r="HQJ35" s="114"/>
      <c r="HQO35" s="111"/>
      <c r="HQP35" s="112"/>
      <c r="HQQ35" s="113"/>
      <c r="HQS35" s="114"/>
      <c r="HQT35" s="114"/>
      <c r="HQY35" s="111"/>
      <c r="HQZ35" s="112"/>
      <c r="HRA35" s="113"/>
      <c r="HRC35" s="114"/>
      <c r="HRD35" s="114"/>
      <c r="HRI35" s="111"/>
      <c r="HRJ35" s="112"/>
      <c r="HRK35" s="113"/>
      <c r="HRM35" s="114"/>
      <c r="HRN35" s="114"/>
      <c r="HRS35" s="111"/>
      <c r="HRT35" s="112"/>
      <c r="HRU35" s="113"/>
      <c r="HRW35" s="114"/>
      <c r="HRX35" s="114"/>
      <c r="HSC35" s="111"/>
      <c r="HSD35" s="112"/>
      <c r="HSE35" s="113"/>
      <c r="HSG35" s="114"/>
      <c r="HSH35" s="114"/>
      <c r="HSM35" s="111"/>
      <c r="HSN35" s="112"/>
      <c r="HSO35" s="113"/>
      <c r="HSQ35" s="114"/>
      <c r="HSR35" s="114"/>
      <c r="HSW35" s="111"/>
      <c r="HSX35" s="112"/>
      <c r="HSY35" s="113"/>
      <c r="HTA35" s="114"/>
      <c r="HTB35" s="114"/>
      <c r="HTG35" s="111"/>
      <c r="HTH35" s="112"/>
      <c r="HTI35" s="113"/>
      <c r="HTK35" s="114"/>
      <c r="HTL35" s="114"/>
      <c r="HTQ35" s="111"/>
      <c r="HTR35" s="112"/>
      <c r="HTS35" s="113"/>
      <c r="HTU35" s="114"/>
      <c r="HTV35" s="114"/>
      <c r="HUA35" s="111"/>
      <c r="HUB35" s="112"/>
      <c r="HUC35" s="113"/>
      <c r="HUE35" s="114"/>
      <c r="HUF35" s="114"/>
      <c r="HUK35" s="111"/>
      <c r="HUL35" s="112"/>
      <c r="HUM35" s="113"/>
      <c r="HUO35" s="114"/>
      <c r="HUP35" s="114"/>
      <c r="HUU35" s="111"/>
      <c r="HUV35" s="112"/>
      <c r="HUW35" s="113"/>
      <c r="HUY35" s="114"/>
      <c r="HUZ35" s="114"/>
      <c r="HVE35" s="111"/>
      <c r="HVF35" s="112"/>
      <c r="HVG35" s="113"/>
      <c r="HVI35" s="114"/>
      <c r="HVJ35" s="114"/>
      <c r="HVO35" s="111"/>
      <c r="HVP35" s="112"/>
      <c r="HVQ35" s="113"/>
      <c r="HVS35" s="114"/>
      <c r="HVT35" s="114"/>
      <c r="HVY35" s="111"/>
      <c r="HVZ35" s="112"/>
      <c r="HWA35" s="113"/>
      <c r="HWC35" s="114"/>
      <c r="HWD35" s="114"/>
      <c r="HWI35" s="111"/>
      <c r="HWJ35" s="112"/>
      <c r="HWK35" s="113"/>
      <c r="HWM35" s="114"/>
      <c r="HWN35" s="114"/>
      <c r="HWS35" s="111"/>
      <c r="HWT35" s="112"/>
      <c r="HWU35" s="113"/>
      <c r="HWW35" s="114"/>
      <c r="HWX35" s="114"/>
      <c r="HXC35" s="111"/>
      <c r="HXD35" s="112"/>
      <c r="HXE35" s="113"/>
      <c r="HXG35" s="114"/>
      <c r="HXH35" s="114"/>
      <c r="HXM35" s="111"/>
      <c r="HXN35" s="112"/>
      <c r="HXO35" s="113"/>
      <c r="HXQ35" s="114"/>
      <c r="HXR35" s="114"/>
      <c r="HXW35" s="111"/>
      <c r="HXX35" s="112"/>
      <c r="HXY35" s="113"/>
      <c r="HYA35" s="114"/>
      <c r="HYB35" s="114"/>
      <c r="HYG35" s="111"/>
      <c r="HYH35" s="112"/>
      <c r="HYI35" s="113"/>
      <c r="HYK35" s="114"/>
      <c r="HYL35" s="114"/>
      <c r="HYQ35" s="111"/>
      <c r="HYR35" s="112"/>
      <c r="HYS35" s="113"/>
      <c r="HYU35" s="114"/>
      <c r="HYV35" s="114"/>
      <c r="HZA35" s="111"/>
      <c r="HZB35" s="112"/>
      <c r="HZC35" s="113"/>
      <c r="HZE35" s="114"/>
      <c r="HZF35" s="114"/>
      <c r="HZK35" s="111"/>
      <c r="HZL35" s="112"/>
      <c r="HZM35" s="113"/>
      <c r="HZO35" s="114"/>
      <c r="HZP35" s="114"/>
      <c r="HZU35" s="111"/>
      <c r="HZV35" s="112"/>
      <c r="HZW35" s="113"/>
      <c r="HZY35" s="114"/>
      <c r="HZZ35" s="114"/>
      <c r="IAE35" s="111"/>
      <c r="IAF35" s="112"/>
      <c r="IAG35" s="113"/>
      <c r="IAI35" s="114"/>
      <c r="IAJ35" s="114"/>
      <c r="IAO35" s="111"/>
      <c r="IAP35" s="112"/>
      <c r="IAQ35" s="113"/>
      <c r="IAS35" s="114"/>
      <c r="IAT35" s="114"/>
      <c r="IAY35" s="111"/>
      <c r="IAZ35" s="112"/>
      <c r="IBA35" s="113"/>
      <c r="IBC35" s="114"/>
      <c r="IBD35" s="114"/>
      <c r="IBI35" s="111"/>
      <c r="IBJ35" s="112"/>
      <c r="IBK35" s="113"/>
      <c r="IBM35" s="114"/>
      <c r="IBN35" s="114"/>
      <c r="IBS35" s="111"/>
      <c r="IBT35" s="112"/>
      <c r="IBU35" s="113"/>
      <c r="IBW35" s="114"/>
      <c r="IBX35" s="114"/>
      <c r="ICC35" s="111"/>
      <c r="ICD35" s="112"/>
      <c r="ICE35" s="113"/>
      <c r="ICG35" s="114"/>
      <c r="ICH35" s="114"/>
      <c r="ICM35" s="111"/>
      <c r="ICN35" s="112"/>
      <c r="ICO35" s="113"/>
      <c r="ICQ35" s="114"/>
      <c r="ICR35" s="114"/>
      <c r="ICW35" s="111"/>
      <c r="ICX35" s="112"/>
      <c r="ICY35" s="113"/>
      <c r="IDA35" s="114"/>
      <c r="IDB35" s="114"/>
      <c r="IDG35" s="111"/>
      <c r="IDH35" s="112"/>
      <c r="IDI35" s="113"/>
      <c r="IDK35" s="114"/>
      <c r="IDL35" s="114"/>
      <c r="IDQ35" s="111"/>
      <c r="IDR35" s="112"/>
      <c r="IDS35" s="113"/>
      <c r="IDU35" s="114"/>
      <c r="IDV35" s="114"/>
      <c r="IEA35" s="111"/>
      <c r="IEB35" s="112"/>
      <c r="IEC35" s="113"/>
      <c r="IEE35" s="114"/>
      <c r="IEF35" s="114"/>
      <c r="IEK35" s="111"/>
      <c r="IEL35" s="112"/>
      <c r="IEM35" s="113"/>
      <c r="IEO35" s="114"/>
      <c r="IEP35" s="114"/>
      <c r="IEU35" s="111"/>
      <c r="IEV35" s="112"/>
      <c r="IEW35" s="113"/>
      <c r="IEY35" s="114"/>
      <c r="IEZ35" s="114"/>
      <c r="IFE35" s="111"/>
      <c r="IFF35" s="112"/>
      <c r="IFG35" s="113"/>
      <c r="IFI35" s="114"/>
      <c r="IFJ35" s="114"/>
      <c r="IFO35" s="111"/>
      <c r="IFP35" s="112"/>
      <c r="IFQ35" s="113"/>
      <c r="IFS35" s="114"/>
      <c r="IFT35" s="114"/>
      <c r="IFY35" s="111"/>
      <c r="IFZ35" s="112"/>
      <c r="IGA35" s="113"/>
      <c r="IGC35" s="114"/>
      <c r="IGD35" s="114"/>
      <c r="IGI35" s="111"/>
      <c r="IGJ35" s="112"/>
      <c r="IGK35" s="113"/>
      <c r="IGM35" s="114"/>
      <c r="IGN35" s="114"/>
      <c r="IGS35" s="111"/>
      <c r="IGT35" s="112"/>
      <c r="IGU35" s="113"/>
      <c r="IGW35" s="114"/>
      <c r="IGX35" s="114"/>
      <c r="IHC35" s="111"/>
      <c r="IHD35" s="112"/>
      <c r="IHE35" s="113"/>
      <c r="IHG35" s="114"/>
      <c r="IHH35" s="114"/>
      <c r="IHM35" s="111"/>
      <c r="IHN35" s="112"/>
      <c r="IHO35" s="113"/>
      <c r="IHQ35" s="114"/>
      <c r="IHR35" s="114"/>
      <c r="IHW35" s="111"/>
      <c r="IHX35" s="112"/>
      <c r="IHY35" s="113"/>
      <c r="IIA35" s="114"/>
      <c r="IIB35" s="114"/>
      <c r="IIG35" s="111"/>
      <c r="IIH35" s="112"/>
      <c r="III35" s="113"/>
      <c r="IIK35" s="114"/>
      <c r="IIL35" s="114"/>
      <c r="IIQ35" s="111"/>
      <c r="IIR35" s="112"/>
      <c r="IIS35" s="113"/>
      <c r="IIU35" s="114"/>
      <c r="IIV35" s="114"/>
      <c r="IJA35" s="111"/>
      <c r="IJB35" s="112"/>
      <c r="IJC35" s="113"/>
      <c r="IJE35" s="114"/>
      <c r="IJF35" s="114"/>
      <c r="IJK35" s="111"/>
      <c r="IJL35" s="112"/>
      <c r="IJM35" s="113"/>
      <c r="IJO35" s="114"/>
      <c r="IJP35" s="114"/>
      <c r="IJU35" s="111"/>
      <c r="IJV35" s="112"/>
      <c r="IJW35" s="113"/>
      <c r="IJY35" s="114"/>
      <c r="IJZ35" s="114"/>
      <c r="IKE35" s="111"/>
      <c r="IKF35" s="112"/>
      <c r="IKG35" s="113"/>
      <c r="IKI35" s="114"/>
      <c r="IKJ35" s="114"/>
      <c r="IKO35" s="111"/>
      <c r="IKP35" s="112"/>
      <c r="IKQ35" s="113"/>
      <c r="IKS35" s="114"/>
      <c r="IKT35" s="114"/>
      <c r="IKY35" s="111"/>
      <c r="IKZ35" s="112"/>
      <c r="ILA35" s="113"/>
      <c r="ILC35" s="114"/>
      <c r="ILD35" s="114"/>
      <c r="ILI35" s="111"/>
      <c r="ILJ35" s="112"/>
      <c r="ILK35" s="113"/>
      <c r="ILM35" s="114"/>
      <c r="ILN35" s="114"/>
      <c r="ILS35" s="111"/>
      <c r="ILT35" s="112"/>
      <c r="ILU35" s="113"/>
      <c r="ILW35" s="114"/>
      <c r="ILX35" s="114"/>
      <c r="IMC35" s="111"/>
      <c r="IMD35" s="112"/>
      <c r="IME35" s="113"/>
      <c r="IMG35" s="114"/>
      <c r="IMH35" s="114"/>
      <c r="IMM35" s="111"/>
      <c r="IMN35" s="112"/>
      <c r="IMO35" s="113"/>
      <c r="IMQ35" s="114"/>
      <c r="IMR35" s="114"/>
      <c r="IMW35" s="111"/>
      <c r="IMX35" s="112"/>
      <c r="IMY35" s="113"/>
      <c r="INA35" s="114"/>
      <c r="INB35" s="114"/>
      <c r="ING35" s="111"/>
      <c r="INH35" s="112"/>
      <c r="INI35" s="113"/>
      <c r="INK35" s="114"/>
      <c r="INL35" s="114"/>
      <c r="INQ35" s="111"/>
      <c r="INR35" s="112"/>
      <c r="INS35" s="113"/>
      <c r="INU35" s="114"/>
      <c r="INV35" s="114"/>
      <c r="IOA35" s="111"/>
      <c r="IOB35" s="112"/>
      <c r="IOC35" s="113"/>
      <c r="IOE35" s="114"/>
      <c r="IOF35" s="114"/>
      <c r="IOK35" s="111"/>
      <c r="IOL35" s="112"/>
      <c r="IOM35" s="113"/>
      <c r="IOO35" s="114"/>
      <c r="IOP35" s="114"/>
      <c r="IOU35" s="111"/>
      <c r="IOV35" s="112"/>
      <c r="IOW35" s="113"/>
      <c r="IOY35" s="114"/>
      <c r="IOZ35" s="114"/>
      <c r="IPE35" s="111"/>
      <c r="IPF35" s="112"/>
      <c r="IPG35" s="113"/>
      <c r="IPI35" s="114"/>
      <c r="IPJ35" s="114"/>
      <c r="IPO35" s="111"/>
      <c r="IPP35" s="112"/>
      <c r="IPQ35" s="113"/>
      <c r="IPS35" s="114"/>
      <c r="IPT35" s="114"/>
      <c r="IPY35" s="111"/>
      <c r="IPZ35" s="112"/>
      <c r="IQA35" s="113"/>
      <c r="IQC35" s="114"/>
      <c r="IQD35" s="114"/>
      <c r="IQI35" s="111"/>
      <c r="IQJ35" s="112"/>
      <c r="IQK35" s="113"/>
      <c r="IQM35" s="114"/>
      <c r="IQN35" s="114"/>
      <c r="IQS35" s="111"/>
      <c r="IQT35" s="112"/>
      <c r="IQU35" s="113"/>
      <c r="IQW35" s="114"/>
      <c r="IQX35" s="114"/>
      <c r="IRC35" s="111"/>
      <c r="IRD35" s="112"/>
      <c r="IRE35" s="113"/>
      <c r="IRG35" s="114"/>
      <c r="IRH35" s="114"/>
      <c r="IRM35" s="111"/>
      <c r="IRN35" s="112"/>
      <c r="IRO35" s="113"/>
      <c r="IRQ35" s="114"/>
      <c r="IRR35" s="114"/>
      <c r="IRW35" s="111"/>
      <c r="IRX35" s="112"/>
      <c r="IRY35" s="113"/>
      <c r="ISA35" s="114"/>
      <c r="ISB35" s="114"/>
      <c r="ISG35" s="111"/>
      <c r="ISH35" s="112"/>
      <c r="ISI35" s="113"/>
      <c r="ISK35" s="114"/>
      <c r="ISL35" s="114"/>
      <c r="ISQ35" s="111"/>
      <c r="ISR35" s="112"/>
      <c r="ISS35" s="113"/>
      <c r="ISU35" s="114"/>
      <c r="ISV35" s="114"/>
      <c r="ITA35" s="111"/>
      <c r="ITB35" s="112"/>
      <c r="ITC35" s="113"/>
      <c r="ITE35" s="114"/>
      <c r="ITF35" s="114"/>
      <c r="ITK35" s="111"/>
      <c r="ITL35" s="112"/>
      <c r="ITM35" s="113"/>
      <c r="ITO35" s="114"/>
      <c r="ITP35" s="114"/>
      <c r="ITU35" s="111"/>
      <c r="ITV35" s="112"/>
      <c r="ITW35" s="113"/>
      <c r="ITY35" s="114"/>
      <c r="ITZ35" s="114"/>
      <c r="IUE35" s="111"/>
      <c r="IUF35" s="112"/>
      <c r="IUG35" s="113"/>
      <c r="IUI35" s="114"/>
      <c r="IUJ35" s="114"/>
      <c r="IUO35" s="111"/>
      <c r="IUP35" s="112"/>
      <c r="IUQ35" s="113"/>
      <c r="IUS35" s="114"/>
      <c r="IUT35" s="114"/>
      <c r="IUY35" s="111"/>
      <c r="IUZ35" s="112"/>
      <c r="IVA35" s="113"/>
      <c r="IVC35" s="114"/>
      <c r="IVD35" s="114"/>
      <c r="IVI35" s="111"/>
      <c r="IVJ35" s="112"/>
      <c r="IVK35" s="113"/>
      <c r="IVM35" s="114"/>
      <c r="IVN35" s="114"/>
      <c r="IVS35" s="111"/>
      <c r="IVT35" s="112"/>
      <c r="IVU35" s="113"/>
      <c r="IVW35" s="114"/>
      <c r="IVX35" s="114"/>
      <c r="IWC35" s="111"/>
      <c r="IWD35" s="112"/>
      <c r="IWE35" s="113"/>
      <c r="IWG35" s="114"/>
      <c r="IWH35" s="114"/>
      <c r="IWM35" s="111"/>
      <c r="IWN35" s="112"/>
      <c r="IWO35" s="113"/>
      <c r="IWQ35" s="114"/>
      <c r="IWR35" s="114"/>
      <c r="IWW35" s="111"/>
      <c r="IWX35" s="112"/>
      <c r="IWY35" s="113"/>
      <c r="IXA35" s="114"/>
      <c r="IXB35" s="114"/>
      <c r="IXG35" s="111"/>
      <c r="IXH35" s="112"/>
      <c r="IXI35" s="113"/>
      <c r="IXK35" s="114"/>
      <c r="IXL35" s="114"/>
      <c r="IXQ35" s="111"/>
      <c r="IXR35" s="112"/>
      <c r="IXS35" s="113"/>
      <c r="IXU35" s="114"/>
      <c r="IXV35" s="114"/>
      <c r="IYA35" s="111"/>
      <c r="IYB35" s="112"/>
      <c r="IYC35" s="113"/>
      <c r="IYE35" s="114"/>
      <c r="IYF35" s="114"/>
      <c r="IYK35" s="111"/>
      <c r="IYL35" s="112"/>
      <c r="IYM35" s="113"/>
      <c r="IYO35" s="114"/>
      <c r="IYP35" s="114"/>
      <c r="IYU35" s="111"/>
      <c r="IYV35" s="112"/>
      <c r="IYW35" s="113"/>
      <c r="IYY35" s="114"/>
      <c r="IYZ35" s="114"/>
      <c r="IZE35" s="111"/>
      <c r="IZF35" s="112"/>
      <c r="IZG35" s="113"/>
      <c r="IZI35" s="114"/>
      <c r="IZJ35" s="114"/>
      <c r="IZO35" s="111"/>
      <c r="IZP35" s="112"/>
      <c r="IZQ35" s="113"/>
      <c r="IZS35" s="114"/>
      <c r="IZT35" s="114"/>
      <c r="IZY35" s="111"/>
      <c r="IZZ35" s="112"/>
      <c r="JAA35" s="113"/>
      <c r="JAC35" s="114"/>
      <c r="JAD35" s="114"/>
      <c r="JAI35" s="111"/>
      <c r="JAJ35" s="112"/>
      <c r="JAK35" s="113"/>
      <c r="JAM35" s="114"/>
      <c r="JAN35" s="114"/>
      <c r="JAS35" s="111"/>
      <c r="JAT35" s="112"/>
      <c r="JAU35" s="113"/>
      <c r="JAW35" s="114"/>
      <c r="JAX35" s="114"/>
      <c r="JBC35" s="111"/>
      <c r="JBD35" s="112"/>
      <c r="JBE35" s="113"/>
      <c r="JBG35" s="114"/>
      <c r="JBH35" s="114"/>
      <c r="JBM35" s="111"/>
      <c r="JBN35" s="112"/>
      <c r="JBO35" s="113"/>
      <c r="JBQ35" s="114"/>
      <c r="JBR35" s="114"/>
      <c r="JBW35" s="111"/>
      <c r="JBX35" s="112"/>
      <c r="JBY35" s="113"/>
      <c r="JCA35" s="114"/>
      <c r="JCB35" s="114"/>
      <c r="JCG35" s="111"/>
      <c r="JCH35" s="112"/>
      <c r="JCI35" s="113"/>
      <c r="JCK35" s="114"/>
      <c r="JCL35" s="114"/>
      <c r="JCQ35" s="111"/>
      <c r="JCR35" s="112"/>
      <c r="JCS35" s="113"/>
      <c r="JCU35" s="114"/>
      <c r="JCV35" s="114"/>
      <c r="JDA35" s="111"/>
      <c r="JDB35" s="112"/>
      <c r="JDC35" s="113"/>
      <c r="JDE35" s="114"/>
      <c r="JDF35" s="114"/>
      <c r="JDK35" s="111"/>
      <c r="JDL35" s="112"/>
      <c r="JDM35" s="113"/>
      <c r="JDO35" s="114"/>
      <c r="JDP35" s="114"/>
      <c r="JDU35" s="111"/>
      <c r="JDV35" s="112"/>
      <c r="JDW35" s="113"/>
      <c r="JDY35" s="114"/>
      <c r="JDZ35" s="114"/>
      <c r="JEE35" s="111"/>
      <c r="JEF35" s="112"/>
      <c r="JEG35" s="113"/>
      <c r="JEI35" s="114"/>
      <c r="JEJ35" s="114"/>
      <c r="JEO35" s="111"/>
      <c r="JEP35" s="112"/>
      <c r="JEQ35" s="113"/>
      <c r="JES35" s="114"/>
      <c r="JET35" s="114"/>
      <c r="JEY35" s="111"/>
      <c r="JEZ35" s="112"/>
      <c r="JFA35" s="113"/>
      <c r="JFC35" s="114"/>
      <c r="JFD35" s="114"/>
      <c r="JFI35" s="111"/>
      <c r="JFJ35" s="112"/>
      <c r="JFK35" s="113"/>
      <c r="JFM35" s="114"/>
      <c r="JFN35" s="114"/>
      <c r="JFS35" s="111"/>
      <c r="JFT35" s="112"/>
      <c r="JFU35" s="113"/>
      <c r="JFW35" s="114"/>
      <c r="JFX35" s="114"/>
      <c r="JGC35" s="111"/>
      <c r="JGD35" s="112"/>
      <c r="JGE35" s="113"/>
      <c r="JGG35" s="114"/>
      <c r="JGH35" s="114"/>
      <c r="JGM35" s="111"/>
      <c r="JGN35" s="112"/>
      <c r="JGO35" s="113"/>
      <c r="JGQ35" s="114"/>
      <c r="JGR35" s="114"/>
      <c r="JGW35" s="111"/>
      <c r="JGX35" s="112"/>
      <c r="JGY35" s="113"/>
      <c r="JHA35" s="114"/>
      <c r="JHB35" s="114"/>
      <c r="JHG35" s="111"/>
      <c r="JHH35" s="112"/>
      <c r="JHI35" s="113"/>
      <c r="JHK35" s="114"/>
      <c r="JHL35" s="114"/>
      <c r="JHQ35" s="111"/>
      <c r="JHR35" s="112"/>
      <c r="JHS35" s="113"/>
      <c r="JHU35" s="114"/>
      <c r="JHV35" s="114"/>
      <c r="JIA35" s="111"/>
      <c r="JIB35" s="112"/>
      <c r="JIC35" s="113"/>
      <c r="JIE35" s="114"/>
      <c r="JIF35" s="114"/>
      <c r="JIK35" s="111"/>
      <c r="JIL35" s="112"/>
      <c r="JIM35" s="113"/>
      <c r="JIO35" s="114"/>
      <c r="JIP35" s="114"/>
      <c r="JIU35" s="111"/>
      <c r="JIV35" s="112"/>
      <c r="JIW35" s="113"/>
      <c r="JIY35" s="114"/>
      <c r="JIZ35" s="114"/>
      <c r="JJE35" s="111"/>
      <c r="JJF35" s="112"/>
      <c r="JJG35" s="113"/>
      <c r="JJI35" s="114"/>
      <c r="JJJ35" s="114"/>
      <c r="JJO35" s="111"/>
      <c r="JJP35" s="112"/>
      <c r="JJQ35" s="113"/>
      <c r="JJS35" s="114"/>
      <c r="JJT35" s="114"/>
      <c r="JJY35" s="111"/>
      <c r="JJZ35" s="112"/>
      <c r="JKA35" s="113"/>
      <c r="JKC35" s="114"/>
      <c r="JKD35" s="114"/>
      <c r="JKI35" s="111"/>
      <c r="JKJ35" s="112"/>
      <c r="JKK35" s="113"/>
      <c r="JKM35" s="114"/>
      <c r="JKN35" s="114"/>
      <c r="JKS35" s="111"/>
      <c r="JKT35" s="112"/>
      <c r="JKU35" s="113"/>
      <c r="JKW35" s="114"/>
      <c r="JKX35" s="114"/>
      <c r="JLC35" s="111"/>
      <c r="JLD35" s="112"/>
      <c r="JLE35" s="113"/>
      <c r="JLG35" s="114"/>
      <c r="JLH35" s="114"/>
      <c r="JLM35" s="111"/>
      <c r="JLN35" s="112"/>
      <c r="JLO35" s="113"/>
      <c r="JLQ35" s="114"/>
      <c r="JLR35" s="114"/>
      <c r="JLW35" s="111"/>
      <c r="JLX35" s="112"/>
      <c r="JLY35" s="113"/>
      <c r="JMA35" s="114"/>
      <c r="JMB35" s="114"/>
      <c r="JMG35" s="111"/>
      <c r="JMH35" s="112"/>
      <c r="JMI35" s="113"/>
      <c r="JMK35" s="114"/>
      <c r="JML35" s="114"/>
      <c r="JMQ35" s="111"/>
      <c r="JMR35" s="112"/>
      <c r="JMS35" s="113"/>
      <c r="JMU35" s="114"/>
      <c r="JMV35" s="114"/>
      <c r="JNA35" s="111"/>
      <c r="JNB35" s="112"/>
      <c r="JNC35" s="113"/>
      <c r="JNE35" s="114"/>
      <c r="JNF35" s="114"/>
      <c r="JNK35" s="111"/>
      <c r="JNL35" s="112"/>
      <c r="JNM35" s="113"/>
      <c r="JNO35" s="114"/>
      <c r="JNP35" s="114"/>
      <c r="JNU35" s="111"/>
      <c r="JNV35" s="112"/>
      <c r="JNW35" s="113"/>
      <c r="JNY35" s="114"/>
      <c r="JNZ35" s="114"/>
      <c r="JOE35" s="111"/>
      <c r="JOF35" s="112"/>
      <c r="JOG35" s="113"/>
      <c r="JOI35" s="114"/>
      <c r="JOJ35" s="114"/>
      <c r="JOO35" s="111"/>
      <c r="JOP35" s="112"/>
      <c r="JOQ35" s="113"/>
      <c r="JOS35" s="114"/>
      <c r="JOT35" s="114"/>
      <c r="JOY35" s="111"/>
      <c r="JOZ35" s="112"/>
      <c r="JPA35" s="113"/>
      <c r="JPC35" s="114"/>
      <c r="JPD35" s="114"/>
      <c r="JPI35" s="111"/>
      <c r="JPJ35" s="112"/>
      <c r="JPK35" s="113"/>
      <c r="JPM35" s="114"/>
      <c r="JPN35" s="114"/>
      <c r="JPS35" s="111"/>
      <c r="JPT35" s="112"/>
      <c r="JPU35" s="113"/>
      <c r="JPW35" s="114"/>
      <c r="JPX35" s="114"/>
      <c r="JQC35" s="111"/>
      <c r="JQD35" s="112"/>
      <c r="JQE35" s="113"/>
      <c r="JQG35" s="114"/>
      <c r="JQH35" s="114"/>
      <c r="JQM35" s="111"/>
      <c r="JQN35" s="112"/>
      <c r="JQO35" s="113"/>
      <c r="JQQ35" s="114"/>
      <c r="JQR35" s="114"/>
      <c r="JQW35" s="111"/>
      <c r="JQX35" s="112"/>
      <c r="JQY35" s="113"/>
      <c r="JRA35" s="114"/>
      <c r="JRB35" s="114"/>
      <c r="JRG35" s="111"/>
      <c r="JRH35" s="112"/>
      <c r="JRI35" s="113"/>
      <c r="JRK35" s="114"/>
      <c r="JRL35" s="114"/>
      <c r="JRQ35" s="111"/>
      <c r="JRR35" s="112"/>
      <c r="JRS35" s="113"/>
      <c r="JRU35" s="114"/>
      <c r="JRV35" s="114"/>
      <c r="JSA35" s="111"/>
      <c r="JSB35" s="112"/>
      <c r="JSC35" s="113"/>
      <c r="JSE35" s="114"/>
      <c r="JSF35" s="114"/>
      <c r="JSK35" s="111"/>
      <c r="JSL35" s="112"/>
      <c r="JSM35" s="113"/>
      <c r="JSO35" s="114"/>
      <c r="JSP35" s="114"/>
      <c r="JSU35" s="111"/>
      <c r="JSV35" s="112"/>
      <c r="JSW35" s="113"/>
      <c r="JSY35" s="114"/>
      <c r="JSZ35" s="114"/>
      <c r="JTE35" s="111"/>
      <c r="JTF35" s="112"/>
      <c r="JTG35" s="113"/>
      <c r="JTI35" s="114"/>
      <c r="JTJ35" s="114"/>
      <c r="JTO35" s="111"/>
      <c r="JTP35" s="112"/>
      <c r="JTQ35" s="113"/>
      <c r="JTS35" s="114"/>
      <c r="JTT35" s="114"/>
      <c r="JTY35" s="111"/>
      <c r="JTZ35" s="112"/>
      <c r="JUA35" s="113"/>
      <c r="JUC35" s="114"/>
      <c r="JUD35" s="114"/>
      <c r="JUI35" s="111"/>
      <c r="JUJ35" s="112"/>
      <c r="JUK35" s="113"/>
      <c r="JUM35" s="114"/>
      <c r="JUN35" s="114"/>
      <c r="JUS35" s="111"/>
      <c r="JUT35" s="112"/>
      <c r="JUU35" s="113"/>
      <c r="JUW35" s="114"/>
      <c r="JUX35" s="114"/>
      <c r="JVC35" s="111"/>
      <c r="JVD35" s="112"/>
      <c r="JVE35" s="113"/>
      <c r="JVG35" s="114"/>
      <c r="JVH35" s="114"/>
      <c r="JVM35" s="111"/>
      <c r="JVN35" s="112"/>
      <c r="JVO35" s="113"/>
      <c r="JVQ35" s="114"/>
      <c r="JVR35" s="114"/>
      <c r="JVW35" s="111"/>
      <c r="JVX35" s="112"/>
      <c r="JVY35" s="113"/>
      <c r="JWA35" s="114"/>
      <c r="JWB35" s="114"/>
      <c r="JWG35" s="111"/>
      <c r="JWH35" s="112"/>
      <c r="JWI35" s="113"/>
      <c r="JWK35" s="114"/>
      <c r="JWL35" s="114"/>
      <c r="JWQ35" s="111"/>
      <c r="JWR35" s="112"/>
      <c r="JWS35" s="113"/>
      <c r="JWU35" s="114"/>
      <c r="JWV35" s="114"/>
      <c r="JXA35" s="111"/>
      <c r="JXB35" s="112"/>
      <c r="JXC35" s="113"/>
      <c r="JXE35" s="114"/>
      <c r="JXF35" s="114"/>
      <c r="JXK35" s="111"/>
      <c r="JXL35" s="112"/>
      <c r="JXM35" s="113"/>
      <c r="JXO35" s="114"/>
      <c r="JXP35" s="114"/>
      <c r="JXU35" s="111"/>
      <c r="JXV35" s="112"/>
      <c r="JXW35" s="113"/>
      <c r="JXY35" s="114"/>
      <c r="JXZ35" s="114"/>
      <c r="JYE35" s="111"/>
      <c r="JYF35" s="112"/>
      <c r="JYG35" s="113"/>
      <c r="JYI35" s="114"/>
      <c r="JYJ35" s="114"/>
      <c r="JYO35" s="111"/>
      <c r="JYP35" s="112"/>
      <c r="JYQ35" s="113"/>
      <c r="JYS35" s="114"/>
      <c r="JYT35" s="114"/>
      <c r="JYY35" s="111"/>
      <c r="JYZ35" s="112"/>
      <c r="JZA35" s="113"/>
      <c r="JZC35" s="114"/>
      <c r="JZD35" s="114"/>
      <c r="JZI35" s="111"/>
      <c r="JZJ35" s="112"/>
      <c r="JZK35" s="113"/>
      <c r="JZM35" s="114"/>
      <c r="JZN35" s="114"/>
      <c r="JZS35" s="111"/>
      <c r="JZT35" s="112"/>
      <c r="JZU35" s="113"/>
      <c r="JZW35" s="114"/>
      <c r="JZX35" s="114"/>
      <c r="KAC35" s="111"/>
      <c r="KAD35" s="112"/>
      <c r="KAE35" s="113"/>
      <c r="KAG35" s="114"/>
      <c r="KAH35" s="114"/>
      <c r="KAM35" s="111"/>
      <c r="KAN35" s="112"/>
      <c r="KAO35" s="113"/>
      <c r="KAQ35" s="114"/>
      <c r="KAR35" s="114"/>
      <c r="KAW35" s="111"/>
      <c r="KAX35" s="112"/>
      <c r="KAY35" s="113"/>
      <c r="KBA35" s="114"/>
      <c r="KBB35" s="114"/>
      <c r="KBG35" s="111"/>
      <c r="KBH35" s="112"/>
      <c r="KBI35" s="113"/>
      <c r="KBK35" s="114"/>
      <c r="KBL35" s="114"/>
      <c r="KBQ35" s="111"/>
      <c r="KBR35" s="112"/>
      <c r="KBS35" s="113"/>
      <c r="KBU35" s="114"/>
      <c r="KBV35" s="114"/>
      <c r="KCA35" s="111"/>
      <c r="KCB35" s="112"/>
      <c r="KCC35" s="113"/>
      <c r="KCE35" s="114"/>
      <c r="KCF35" s="114"/>
      <c r="KCK35" s="111"/>
      <c r="KCL35" s="112"/>
      <c r="KCM35" s="113"/>
      <c r="KCO35" s="114"/>
      <c r="KCP35" s="114"/>
      <c r="KCU35" s="111"/>
      <c r="KCV35" s="112"/>
      <c r="KCW35" s="113"/>
      <c r="KCY35" s="114"/>
      <c r="KCZ35" s="114"/>
      <c r="KDE35" s="111"/>
      <c r="KDF35" s="112"/>
      <c r="KDG35" s="113"/>
      <c r="KDI35" s="114"/>
      <c r="KDJ35" s="114"/>
      <c r="KDO35" s="111"/>
      <c r="KDP35" s="112"/>
      <c r="KDQ35" s="113"/>
      <c r="KDS35" s="114"/>
      <c r="KDT35" s="114"/>
      <c r="KDY35" s="111"/>
      <c r="KDZ35" s="112"/>
      <c r="KEA35" s="113"/>
      <c r="KEC35" s="114"/>
      <c r="KED35" s="114"/>
      <c r="KEI35" s="111"/>
      <c r="KEJ35" s="112"/>
      <c r="KEK35" s="113"/>
      <c r="KEM35" s="114"/>
      <c r="KEN35" s="114"/>
      <c r="KES35" s="111"/>
      <c r="KET35" s="112"/>
      <c r="KEU35" s="113"/>
      <c r="KEW35" s="114"/>
      <c r="KEX35" s="114"/>
      <c r="KFC35" s="111"/>
      <c r="KFD35" s="112"/>
      <c r="KFE35" s="113"/>
      <c r="KFG35" s="114"/>
      <c r="KFH35" s="114"/>
      <c r="KFM35" s="111"/>
      <c r="KFN35" s="112"/>
      <c r="KFO35" s="113"/>
      <c r="KFQ35" s="114"/>
      <c r="KFR35" s="114"/>
      <c r="KFW35" s="111"/>
      <c r="KFX35" s="112"/>
      <c r="KFY35" s="113"/>
      <c r="KGA35" s="114"/>
      <c r="KGB35" s="114"/>
      <c r="KGG35" s="111"/>
      <c r="KGH35" s="112"/>
      <c r="KGI35" s="113"/>
      <c r="KGK35" s="114"/>
      <c r="KGL35" s="114"/>
      <c r="KGQ35" s="111"/>
      <c r="KGR35" s="112"/>
      <c r="KGS35" s="113"/>
      <c r="KGU35" s="114"/>
      <c r="KGV35" s="114"/>
      <c r="KHA35" s="111"/>
      <c r="KHB35" s="112"/>
      <c r="KHC35" s="113"/>
      <c r="KHE35" s="114"/>
      <c r="KHF35" s="114"/>
      <c r="KHK35" s="111"/>
      <c r="KHL35" s="112"/>
      <c r="KHM35" s="113"/>
      <c r="KHO35" s="114"/>
      <c r="KHP35" s="114"/>
      <c r="KHU35" s="111"/>
      <c r="KHV35" s="112"/>
      <c r="KHW35" s="113"/>
      <c r="KHY35" s="114"/>
      <c r="KHZ35" s="114"/>
      <c r="KIE35" s="111"/>
      <c r="KIF35" s="112"/>
      <c r="KIG35" s="113"/>
      <c r="KII35" s="114"/>
      <c r="KIJ35" s="114"/>
      <c r="KIO35" s="111"/>
      <c r="KIP35" s="112"/>
      <c r="KIQ35" s="113"/>
      <c r="KIS35" s="114"/>
      <c r="KIT35" s="114"/>
      <c r="KIY35" s="111"/>
      <c r="KIZ35" s="112"/>
      <c r="KJA35" s="113"/>
      <c r="KJC35" s="114"/>
      <c r="KJD35" s="114"/>
      <c r="KJI35" s="111"/>
      <c r="KJJ35" s="112"/>
      <c r="KJK35" s="113"/>
      <c r="KJM35" s="114"/>
      <c r="KJN35" s="114"/>
      <c r="KJS35" s="111"/>
      <c r="KJT35" s="112"/>
      <c r="KJU35" s="113"/>
      <c r="KJW35" s="114"/>
      <c r="KJX35" s="114"/>
      <c r="KKC35" s="111"/>
      <c r="KKD35" s="112"/>
      <c r="KKE35" s="113"/>
      <c r="KKG35" s="114"/>
      <c r="KKH35" s="114"/>
      <c r="KKM35" s="111"/>
      <c r="KKN35" s="112"/>
      <c r="KKO35" s="113"/>
      <c r="KKQ35" s="114"/>
      <c r="KKR35" s="114"/>
      <c r="KKW35" s="111"/>
      <c r="KKX35" s="112"/>
      <c r="KKY35" s="113"/>
      <c r="KLA35" s="114"/>
      <c r="KLB35" s="114"/>
      <c r="KLG35" s="111"/>
      <c r="KLH35" s="112"/>
      <c r="KLI35" s="113"/>
      <c r="KLK35" s="114"/>
      <c r="KLL35" s="114"/>
      <c r="KLQ35" s="111"/>
      <c r="KLR35" s="112"/>
      <c r="KLS35" s="113"/>
      <c r="KLU35" s="114"/>
      <c r="KLV35" s="114"/>
      <c r="KMA35" s="111"/>
      <c r="KMB35" s="112"/>
      <c r="KMC35" s="113"/>
      <c r="KME35" s="114"/>
      <c r="KMF35" s="114"/>
      <c r="KMK35" s="111"/>
      <c r="KML35" s="112"/>
      <c r="KMM35" s="113"/>
      <c r="KMO35" s="114"/>
      <c r="KMP35" s="114"/>
      <c r="KMU35" s="111"/>
      <c r="KMV35" s="112"/>
      <c r="KMW35" s="113"/>
      <c r="KMY35" s="114"/>
      <c r="KMZ35" s="114"/>
      <c r="KNE35" s="111"/>
      <c r="KNF35" s="112"/>
      <c r="KNG35" s="113"/>
      <c r="KNI35" s="114"/>
      <c r="KNJ35" s="114"/>
      <c r="KNO35" s="111"/>
      <c r="KNP35" s="112"/>
      <c r="KNQ35" s="113"/>
      <c r="KNS35" s="114"/>
      <c r="KNT35" s="114"/>
      <c r="KNY35" s="111"/>
      <c r="KNZ35" s="112"/>
      <c r="KOA35" s="113"/>
      <c r="KOC35" s="114"/>
      <c r="KOD35" s="114"/>
      <c r="KOI35" s="111"/>
      <c r="KOJ35" s="112"/>
      <c r="KOK35" s="113"/>
      <c r="KOM35" s="114"/>
      <c r="KON35" s="114"/>
      <c r="KOS35" s="111"/>
      <c r="KOT35" s="112"/>
      <c r="KOU35" s="113"/>
      <c r="KOW35" s="114"/>
      <c r="KOX35" s="114"/>
      <c r="KPC35" s="111"/>
      <c r="KPD35" s="112"/>
      <c r="KPE35" s="113"/>
      <c r="KPG35" s="114"/>
      <c r="KPH35" s="114"/>
      <c r="KPM35" s="111"/>
      <c r="KPN35" s="112"/>
      <c r="KPO35" s="113"/>
      <c r="KPQ35" s="114"/>
      <c r="KPR35" s="114"/>
      <c r="KPW35" s="111"/>
      <c r="KPX35" s="112"/>
      <c r="KPY35" s="113"/>
      <c r="KQA35" s="114"/>
      <c r="KQB35" s="114"/>
      <c r="KQG35" s="111"/>
      <c r="KQH35" s="112"/>
      <c r="KQI35" s="113"/>
      <c r="KQK35" s="114"/>
      <c r="KQL35" s="114"/>
      <c r="KQQ35" s="111"/>
      <c r="KQR35" s="112"/>
      <c r="KQS35" s="113"/>
      <c r="KQU35" s="114"/>
      <c r="KQV35" s="114"/>
      <c r="KRA35" s="111"/>
      <c r="KRB35" s="112"/>
      <c r="KRC35" s="113"/>
      <c r="KRE35" s="114"/>
      <c r="KRF35" s="114"/>
      <c r="KRK35" s="111"/>
      <c r="KRL35" s="112"/>
      <c r="KRM35" s="113"/>
      <c r="KRO35" s="114"/>
      <c r="KRP35" s="114"/>
      <c r="KRU35" s="111"/>
      <c r="KRV35" s="112"/>
      <c r="KRW35" s="113"/>
      <c r="KRY35" s="114"/>
      <c r="KRZ35" s="114"/>
      <c r="KSE35" s="111"/>
      <c r="KSF35" s="112"/>
      <c r="KSG35" s="113"/>
      <c r="KSI35" s="114"/>
      <c r="KSJ35" s="114"/>
      <c r="KSO35" s="111"/>
      <c r="KSP35" s="112"/>
      <c r="KSQ35" s="113"/>
      <c r="KSS35" s="114"/>
      <c r="KST35" s="114"/>
      <c r="KSY35" s="111"/>
      <c r="KSZ35" s="112"/>
      <c r="KTA35" s="113"/>
      <c r="KTC35" s="114"/>
      <c r="KTD35" s="114"/>
      <c r="KTI35" s="111"/>
      <c r="KTJ35" s="112"/>
      <c r="KTK35" s="113"/>
      <c r="KTM35" s="114"/>
      <c r="KTN35" s="114"/>
      <c r="KTS35" s="111"/>
      <c r="KTT35" s="112"/>
      <c r="KTU35" s="113"/>
      <c r="KTW35" s="114"/>
      <c r="KTX35" s="114"/>
      <c r="KUC35" s="111"/>
      <c r="KUD35" s="112"/>
      <c r="KUE35" s="113"/>
      <c r="KUG35" s="114"/>
      <c r="KUH35" s="114"/>
      <c r="KUM35" s="111"/>
      <c r="KUN35" s="112"/>
      <c r="KUO35" s="113"/>
      <c r="KUQ35" s="114"/>
      <c r="KUR35" s="114"/>
      <c r="KUW35" s="111"/>
      <c r="KUX35" s="112"/>
      <c r="KUY35" s="113"/>
      <c r="KVA35" s="114"/>
      <c r="KVB35" s="114"/>
      <c r="KVG35" s="111"/>
      <c r="KVH35" s="112"/>
      <c r="KVI35" s="113"/>
      <c r="KVK35" s="114"/>
      <c r="KVL35" s="114"/>
      <c r="KVQ35" s="111"/>
      <c r="KVR35" s="112"/>
      <c r="KVS35" s="113"/>
      <c r="KVU35" s="114"/>
      <c r="KVV35" s="114"/>
      <c r="KWA35" s="111"/>
      <c r="KWB35" s="112"/>
      <c r="KWC35" s="113"/>
      <c r="KWE35" s="114"/>
      <c r="KWF35" s="114"/>
      <c r="KWK35" s="111"/>
      <c r="KWL35" s="112"/>
      <c r="KWM35" s="113"/>
      <c r="KWO35" s="114"/>
      <c r="KWP35" s="114"/>
      <c r="KWU35" s="111"/>
      <c r="KWV35" s="112"/>
      <c r="KWW35" s="113"/>
      <c r="KWY35" s="114"/>
      <c r="KWZ35" s="114"/>
      <c r="KXE35" s="111"/>
      <c r="KXF35" s="112"/>
      <c r="KXG35" s="113"/>
      <c r="KXI35" s="114"/>
      <c r="KXJ35" s="114"/>
      <c r="KXO35" s="111"/>
      <c r="KXP35" s="112"/>
      <c r="KXQ35" s="113"/>
      <c r="KXS35" s="114"/>
      <c r="KXT35" s="114"/>
      <c r="KXY35" s="111"/>
      <c r="KXZ35" s="112"/>
      <c r="KYA35" s="113"/>
      <c r="KYC35" s="114"/>
      <c r="KYD35" s="114"/>
      <c r="KYI35" s="111"/>
      <c r="KYJ35" s="112"/>
      <c r="KYK35" s="113"/>
      <c r="KYM35" s="114"/>
      <c r="KYN35" s="114"/>
      <c r="KYS35" s="111"/>
      <c r="KYT35" s="112"/>
      <c r="KYU35" s="113"/>
      <c r="KYW35" s="114"/>
      <c r="KYX35" s="114"/>
      <c r="KZC35" s="111"/>
      <c r="KZD35" s="112"/>
      <c r="KZE35" s="113"/>
      <c r="KZG35" s="114"/>
      <c r="KZH35" s="114"/>
      <c r="KZM35" s="111"/>
      <c r="KZN35" s="112"/>
      <c r="KZO35" s="113"/>
      <c r="KZQ35" s="114"/>
      <c r="KZR35" s="114"/>
      <c r="KZW35" s="111"/>
      <c r="KZX35" s="112"/>
      <c r="KZY35" s="113"/>
      <c r="LAA35" s="114"/>
      <c r="LAB35" s="114"/>
      <c r="LAG35" s="111"/>
      <c r="LAH35" s="112"/>
      <c r="LAI35" s="113"/>
      <c r="LAK35" s="114"/>
      <c r="LAL35" s="114"/>
      <c r="LAQ35" s="111"/>
      <c r="LAR35" s="112"/>
      <c r="LAS35" s="113"/>
      <c r="LAU35" s="114"/>
      <c r="LAV35" s="114"/>
      <c r="LBA35" s="111"/>
      <c r="LBB35" s="112"/>
      <c r="LBC35" s="113"/>
      <c r="LBE35" s="114"/>
      <c r="LBF35" s="114"/>
      <c r="LBK35" s="111"/>
      <c r="LBL35" s="112"/>
      <c r="LBM35" s="113"/>
      <c r="LBO35" s="114"/>
      <c r="LBP35" s="114"/>
      <c r="LBU35" s="111"/>
      <c r="LBV35" s="112"/>
      <c r="LBW35" s="113"/>
      <c r="LBY35" s="114"/>
      <c r="LBZ35" s="114"/>
      <c r="LCE35" s="111"/>
      <c r="LCF35" s="112"/>
      <c r="LCG35" s="113"/>
      <c r="LCI35" s="114"/>
      <c r="LCJ35" s="114"/>
      <c r="LCO35" s="111"/>
      <c r="LCP35" s="112"/>
      <c r="LCQ35" s="113"/>
      <c r="LCS35" s="114"/>
      <c r="LCT35" s="114"/>
      <c r="LCY35" s="111"/>
      <c r="LCZ35" s="112"/>
      <c r="LDA35" s="113"/>
      <c r="LDC35" s="114"/>
      <c r="LDD35" s="114"/>
      <c r="LDI35" s="111"/>
      <c r="LDJ35" s="112"/>
      <c r="LDK35" s="113"/>
      <c r="LDM35" s="114"/>
      <c r="LDN35" s="114"/>
      <c r="LDS35" s="111"/>
      <c r="LDT35" s="112"/>
      <c r="LDU35" s="113"/>
      <c r="LDW35" s="114"/>
      <c r="LDX35" s="114"/>
      <c r="LEC35" s="111"/>
      <c r="LED35" s="112"/>
      <c r="LEE35" s="113"/>
      <c r="LEG35" s="114"/>
      <c r="LEH35" s="114"/>
      <c r="LEM35" s="111"/>
      <c r="LEN35" s="112"/>
      <c r="LEO35" s="113"/>
      <c r="LEQ35" s="114"/>
      <c r="LER35" s="114"/>
      <c r="LEW35" s="111"/>
      <c r="LEX35" s="112"/>
      <c r="LEY35" s="113"/>
      <c r="LFA35" s="114"/>
      <c r="LFB35" s="114"/>
      <c r="LFG35" s="111"/>
      <c r="LFH35" s="112"/>
      <c r="LFI35" s="113"/>
      <c r="LFK35" s="114"/>
      <c r="LFL35" s="114"/>
      <c r="LFQ35" s="111"/>
      <c r="LFR35" s="112"/>
      <c r="LFS35" s="113"/>
      <c r="LFU35" s="114"/>
      <c r="LFV35" s="114"/>
      <c r="LGA35" s="111"/>
      <c r="LGB35" s="112"/>
      <c r="LGC35" s="113"/>
      <c r="LGE35" s="114"/>
      <c r="LGF35" s="114"/>
      <c r="LGK35" s="111"/>
      <c r="LGL35" s="112"/>
      <c r="LGM35" s="113"/>
      <c r="LGO35" s="114"/>
      <c r="LGP35" s="114"/>
      <c r="LGU35" s="111"/>
      <c r="LGV35" s="112"/>
      <c r="LGW35" s="113"/>
      <c r="LGY35" s="114"/>
      <c r="LGZ35" s="114"/>
      <c r="LHE35" s="111"/>
      <c r="LHF35" s="112"/>
      <c r="LHG35" s="113"/>
      <c r="LHI35" s="114"/>
      <c r="LHJ35" s="114"/>
      <c r="LHO35" s="111"/>
      <c r="LHP35" s="112"/>
      <c r="LHQ35" s="113"/>
      <c r="LHS35" s="114"/>
      <c r="LHT35" s="114"/>
      <c r="LHY35" s="111"/>
      <c r="LHZ35" s="112"/>
      <c r="LIA35" s="113"/>
      <c r="LIC35" s="114"/>
      <c r="LID35" s="114"/>
      <c r="LII35" s="111"/>
      <c r="LIJ35" s="112"/>
      <c r="LIK35" s="113"/>
      <c r="LIM35" s="114"/>
      <c r="LIN35" s="114"/>
      <c r="LIS35" s="111"/>
      <c r="LIT35" s="112"/>
      <c r="LIU35" s="113"/>
      <c r="LIW35" s="114"/>
      <c r="LIX35" s="114"/>
      <c r="LJC35" s="111"/>
      <c r="LJD35" s="112"/>
      <c r="LJE35" s="113"/>
      <c r="LJG35" s="114"/>
      <c r="LJH35" s="114"/>
      <c r="LJM35" s="111"/>
      <c r="LJN35" s="112"/>
      <c r="LJO35" s="113"/>
      <c r="LJQ35" s="114"/>
      <c r="LJR35" s="114"/>
      <c r="LJW35" s="111"/>
      <c r="LJX35" s="112"/>
      <c r="LJY35" s="113"/>
      <c r="LKA35" s="114"/>
      <c r="LKB35" s="114"/>
      <c r="LKG35" s="111"/>
      <c r="LKH35" s="112"/>
      <c r="LKI35" s="113"/>
      <c r="LKK35" s="114"/>
      <c r="LKL35" s="114"/>
      <c r="LKQ35" s="111"/>
      <c r="LKR35" s="112"/>
      <c r="LKS35" s="113"/>
      <c r="LKU35" s="114"/>
      <c r="LKV35" s="114"/>
      <c r="LLA35" s="111"/>
      <c r="LLB35" s="112"/>
      <c r="LLC35" s="113"/>
      <c r="LLE35" s="114"/>
      <c r="LLF35" s="114"/>
      <c r="LLK35" s="111"/>
      <c r="LLL35" s="112"/>
      <c r="LLM35" s="113"/>
      <c r="LLO35" s="114"/>
      <c r="LLP35" s="114"/>
      <c r="LLU35" s="111"/>
      <c r="LLV35" s="112"/>
      <c r="LLW35" s="113"/>
      <c r="LLY35" s="114"/>
      <c r="LLZ35" s="114"/>
      <c r="LME35" s="111"/>
      <c r="LMF35" s="112"/>
      <c r="LMG35" s="113"/>
      <c r="LMI35" s="114"/>
      <c r="LMJ35" s="114"/>
      <c r="LMO35" s="111"/>
      <c r="LMP35" s="112"/>
      <c r="LMQ35" s="113"/>
      <c r="LMS35" s="114"/>
      <c r="LMT35" s="114"/>
      <c r="LMY35" s="111"/>
      <c r="LMZ35" s="112"/>
      <c r="LNA35" s="113"/>
      <c r="LNC35" s="114"/>
      <c r="LND35" s="114"/>
      <c r="LNI35" s="111"/>
      <c r="LNJ35" s="112"/>
      <c r="LNK35" s="113"/>
      <c r="LNM35" s="114"/>
      <c r="LNN35" s="114"/>
      <c r="LNS35" s="111"/>
      <c r="LNT35" s="112"/>
      <c r="LNU35" s="113"/>
      <c r="LNW35" s="114"/>
      <c r="LNX35" s="114"/>
      <c r="LOC35" s="111"/>
      <c r="LOD35" s="112"/>
      <c r="LOE35" s="113"/>
      <c r="LOG35" s="114"/>
      <c r="LOH35" s="114"/>
      <c r="LOM35" s="111"/>
      <c r="LON35" s="112"/>
      <c r="LOO35" s="113"/>
      <c r="LOQ35" s="114"/>
      <c r="LOR35" s="114"/>
      <c r="LOW35" s="111"/>
      <c r="LOX35" s="112"/>
      <c r="LOY35" s="113"/>
      <c r="LPA35" s="114"/>
      <c r="LPB35" s="114"/>
      <c r="LPG35" s="111"/>
      <c r="LPH35" s="112"/>
      <c r="LPI35" s="113"/>
      <c r="LPK35" s="114"/>
      <c r="LPL35" s="114"/>
      <c r="LPQ35" s="111"/>
      <c r="LPR35" s="112"/>
      <c r="LPS35" s="113"/>
      <c r="LPU35" s="114"/>
      <c r="LPV35" s="114"/>
      <c r="LQA35" s="111"/>
      <c r="LQB35" s="112"/>
      <c r="LQC35" s="113"/>
      <c r="LQE35" s="114"/>
      <c r="LQF35" s="114"/>
      <c r="LQK35" s="111"/>
      <c r="LQL35" s="112"/>
      <c r="LQM35" s="113"/>
      <c r="LQO35" s="114"/>
      <c r="LQP35" s="114"/>
      <c r="LQU35" s="111"/>
      <c r="LQV35" s="112"/>
      <c r="LQW35" s="113"/>
      <c r="LQY35" s="114"/>
      <c r="LQZ35" s="114"/>
      <c r="LRE35" s="111"/>
      <c r="LRF35" s="112"/>
      <c r="LRG35" s="113"/>
      <c r="LRI35" s="114"/>
      <c r="LRJ35" s="114"/>
      <c r="LRO35" s="111"/>
      <c r="LRP35" s="112"/>
      <c r="LRQ35" s="113"/>
      <c r="LRS35" s="114"/>
      <c r="LRT35" s="114"/>
      <c r="LRY35" s="111"/>
      <c r="LRZ35" s="112"/>
      <c r="LSA35" s="113"/>
      <c r="LSC35" s="114"/>
      <c r="LSD35" s="114"/>
      <c r="LSI35" s="111"/>
      <c r="LSJ35" s="112"/>
      <c r="LSK35" s="113"/>
      <c r="LSM35" s="114"/>
      <c r="LSN35" s="114"/>
      <c r="LSS35" s="111"/>
      <c r="LST35" s="112"/>
      <c r="LSU35" s="113"/>
      <c r="LSW35" s="114"/>
      <c r="LSX35" s="114"/>
      <c r="LTC35" s="111"/>
      <c r="LTD35" s="112"/>
      <c r="LTE35" s="113"/>
      <c r="LTG35" s="114"/>
      <c r="LTH35" s="114"/>
      <c r="LTM35" s="111"/>
      <c r="LTN35" s="112"/>
      <c r="LTO35" s="113"/>
      <c r="LTQ35" s="114"/>
      <c r="LTR35" s="114"/>
      <c r="LTW35" s="111"/>
      <c r="LTX35" s="112"/>
      <c r="LTY35" s="113"/>
      <c r="LUA35" s="114"/>
      <c r="LUB35" s="114"/>
      <c r="LUG35" s="111"/>
      <c r="LUH35" s="112"/>
      <c r="LUI35" s="113"/>
      <c r="LUK35" s="114"/>
      <c r="LUL35" s="114"/>
      <c r="LUQ35" s="111"/>
      <c r="LUR35" s="112"/>
      <c r="LUS35" s="113"/>
      <c r="LUU35" s="114"/>
      <c r="LUV35" s="114"/>
      <c r="LVA35" s="111"/>
      <c r="LVB35" s="112"/>
      <c r="LVC35" s="113"/>
      <c r="LVE35" s="114"/>
      <c r="LVF35" s="114"/>
      <c r="LVK35" s="111"/>
      <c r="LVL35" s="112"/>
      <c r="LVM35" s="113"/>
      <c r="LVO35" s="114"/>
      <c r="LVP35" s="114"/>
      <c r="LVU35" s="111"/>
      <c r="LVV35" s="112"/>
      <c r="LVW35" s="113"/>
      <c r="LVY35" s="114"/>
      <c r="LVZ35" s="114"/>
      <c r="LWE35" s="111"/>
      <c r="LWF35" s="112"/>
      <c r="LWG35" s="113"/>
      <c r="LWI35" s="114"/>
      <c r="LWJ35" s="114"/>
      <c r="LWO35" s="111"/>
      <c r="LWP35" s="112"/>
      <c r="LWQ35" s="113"/>
      <c r="LWS35" s="114"/>
      <c r="LWT35" s="114"/>
      <c r="LWY35" s="111"/>
      <c r="LWZ35" s="112"/>
      <c r="LXA35" s="113"/>
      <c r="LXC35" s="114"/>
      <c r="LXD35" s="114"/>
      <c r="LXI35" s="111"/>
      <c r="LXJ35" s="112"/>
      <c r="LXK35" s="113"/>
      <c r="LXM35" s="114"/>
      <c r="LXN35" s="114"/>
      <c r="LXS35" s="111"/>
      <c r="LXT35" s="112"/>
      <c r="LXU35" s="113"/>
      <c r="LXW35" s="114"/>
      <c r="LXX35" s="114"/>
      <c r="LYC35" s="111"/>
      <c r="LYD35" s="112"/>
      <c r="LYE35" s="113"/>
      <c r="LYG35" s="114"/>
      <c r="LYH35" s="114"/>
      <c r="LYM35" s="111"/>
      <c r="LYN35" s="112"/>
      <c r="LYO35" s="113"/>
      <c r="LYQ35" s="114"/>
      <c r="LYR35" s="114"/>
      <c r="LYW35" s="111"/>
      <c r="LYX35" s="112"/>
      <c r="LYY35" s="113"/>
      <c r="LZA35" s="114"/>
      <c r="LZB35" s="114"/>
      <c r="LZG35" s="111"/>
      <c r="LZH35" s="112"/>
      <c r="LZI35" s="113"/>
      <c r="LZK35" s="114"/>
      <c r="LZL35" s="114"/>
      <c r="LZQ35" s="111"/>
      <c r="LZR35" s="112"/>
      <c r="LZS35" s="113"/>
      <c r="LZU35" s="114"/>
      <c r="LZV35" s="114"/>
      <c r="MAA35" s="111"/>
      <c r="MAB35" s="112"/>
      <c r="MAC35" s="113"/>
      <c r="MAE35" s="114"/>
      <c r="MAF35" s="114"/>
      <c r="MAK35" s="111"/>
      <c r="MAL35" s="112"/>
      <c r="MAM35" s="113"/>
      <c r="MAO35" s="114"/>
      <c r="MAP35" s="114"/>
      <c r="MAU35" s="111"/>
      <c r="MAV35" s="112"/>
      <c r="MAW35" s="113"/>
      <c r="MAY35" s="114"/>
      <c r="MAZ35" s="114"/>
      <c r="MBE35" s="111"/>
      <c r="MBF35" s="112"/>
      <c r="MBG35" s="113"/>
      <c r="MBI35" s="114"/>
      <c r="MBJ35" s="114"/>
      <c r="MBO35" s="111"/>
      <c r="MBP35" s="112"/>
      <c r="MBQ35" s="113"/>
      <c r="MBS35" s="114"/>
      <c r="MBT35" s="114"/>
      <c r="MBY35" s="111"/>
      <c r="MBZ35" s="112"/>
      <c r="MCA35" s="113"/>
      <c r="MCC35" s="114"/>
      <c r="MCD35" s="114"/>
      <c r="MCI35" s="111"/>
      <c r="MCJ35" s="112"/>
      <c r="MCK35" s="113"/>
      <c r="MCM35" s="114"/>
      <c r="MCN35" s="114"/>
      <c r="MCS35" s="111"/>
      <c r="MCT35" s="112"/>
      <c r="MCU35" s="113"/>
      <c r="MCW35" s="114"/>
      <c r="MCX35" s="114"/>
      <c r="MDC35" s="111"/>
      <c r="MDD35" s="112"/>
      <c r="MDE35" s="113"/>
      <c r="MDG35" s="114"/>
      <c r="MDH35" s="114"/>
      <c r="MDM35" s="111"/>
      <c r="MDN35" s="112"/>
      <c r="MDO35" s="113"/>
      <c r="MDQ35" s="114"/>
      <c r="MDR35" s="114"/>
      <c r="MDW35" s="111"/>
      <c r="MDX35" s="112"/>
      <c r="MDY35" s="113"/>
      <c r="MEA35" s="114"/>
      <c r="MEB35" s="114"/>
      <c r="MEG35" s="111"/>
      <c r="MEH35" s="112"/>
      <c r="MEI35" s="113"/>
      <c r="MEK35" s="114"/>
      <c r="MEL35" s="114"/>
      <c r="MEQ35" s="111"/>
      <c r="MER35" s="112"/>
      <c r="MES35" s="113"/>
      <c r="MEU35" s="114"/>
      <c r="MEV35" s="114"/>
      <c r="MFA35" s="111"/>
      <c r="MFB35" s="112"/>
      <c r="MFC35" s="113"/>
      <c r="MFE35" s="114"/>
      <c r="MFF35" s="114"/>
      <c r="MFK35" s="111"/>
      <c r="MFL35" s="112"/>
      <c r="MFM35" s="113"/>
      <c r="MFO35" s="114"/>
      <c r="MFP35" s="114"/>
      <c r="MFU35" s="111"/>
      <c r="MFV35" s="112"/>
      <c r="MFW35" s="113"/>
      <c r="MFY35" s="114"/>
      <c r="MFZ35" s="114"/>
      <c r="MGE35" s="111"/>
      <c r="MGF35" s="112"/>
      <c r="MGG35" s="113"/>
      <c r="MGI35" s="114"/>
      <c r="MGJ35" s="114"/>
      <c r="MGO35" s="111"/>
      <c r="MGP35" s="112"/>
      <c r="MGQ35" s="113"/>
      <c r="MGS35" s="114"/>
      <c r="MGT35" s="114"/>
      <c r="MGY35" s="111"/>
      <c r="MGZ35" s="112"/>
      <c r="MHA35" s="113"/>
      <c r="MHC35" s="114"/>
      <c r="MHD35" s="114"/>
      <c r="MHI35" s="111"/>
      <c r="MHJ35" s="112"/>
      <c r="MHK35" s="113"/>
      <c r="MHM35" s="114"/>
      <c r="MHN35" s="114"/>
      <c r="MHS35" s="111"/>
      <c r="MHT35" s="112"/>
      <c r="MHU35" s="113"/>
      <c r="MHW35" s="114"/>
      <c r="MHX35" s="114"/>
      <c r="MIC35" s="111"/>
      <c r="MID35" s="112"/>
      <c r="MIE35" s="113"/>
      <c r="MIG35" s="114"/>
      <c r="MIH35" s="114"/>
      <c r="MIM35" s="111"/>
      <c r="MIN35" s="112"/>
      <c r="MIO35" s="113"/>
      <c r="MIQ35" s="114"/>
      <c r="MIR35" s="114"/>
      <c r="MIW35" s="111"/>
      <c r="MIX35" s="112"/>
      <c r="MIY35" s="113"/>
      <c r="MJA35" s="114"/>
      <c r="MJB35" s="114"/>
      <c r="MJG35" s="111"/>
      <c r="MJH35" s="112"/>
      <c r="MJI35" s="113"/>
      <c r="MJK35" s="114"/>
      <c r="MJL35" s="114"/>
      <c r="MJQ35" s="111"/>
      <c r="MJR35" s="112"/>
      <c r="MJS35" s="113"/>
      <c r="MJU35" s="114"/>
      <c r="MJV35" s="114"/>
      <c r="MKA35" s="111"/>
      <c r="MKB35" s="112"/>
      <c r="MKC35" s="113"/>
      <c r="MKE35" s="114"/>
      <c r="MKF35" s="114"/>
      <c r="MKK35" s="111"/>
      <c r="MKL35" s="112"/>
      <c r="MKM35" s="113"/>
      <c r="MKO35" s="114"/>
      <c r="MKP35" s="114"/>
      <c r="MKU35" s="111"/>
      <c r="MKV35" s="112"/>
      <c r="MKW35" s="113"/>
      <c r="MKY35" s="114"/>
      <c r="MKZ35" s="114"/>
      <c r="MLE35" s="111"/>
      <c r="MLF35" s="112"/>
      <c r="MLG35" s="113"/>
      <c r="MLI35" s="114"/>
      <c r="MLJ35" s="114"/>
      <c r="MLO35" s="111"/>
      <c r="MLP35" s="112"/>
      <c r="MLQ35" s="113"/>
      <c r="MLS35" s="114"/>
      <c r="MLT35" s="114"/>
      <c r="MLY35" s="111"/>
      <c r="MLZ35" s="112"/>
      <c r="MMA35" s="113"/>
      <c r="MMC35" s="114"/>
      <c r="MMD35" s="114"/>
      <c r="MMI35" s="111"/>
      <c r="MMJ35" s="112"/>
      <c r="MMK35" s="113"/>
      <c r="MMM35" s="114"/>
      <c r="MMN35" s="114"/>
      <c r="MMS35" s="111"/>
      <c r="MMT35" s="112"/>
      <c r="MMU35" s="113"/>
      <c r="MMW35" s="114"/>
      <c r="MMX35" s="114"/>
      <c r="MNC35" s="111"/>
      <c r="MND35" s="112"/>
      <c r="MNE35" s="113"/>
      <c r="MNG35" s="114"/>
      <c r="MNH35" s="114"/>
      <c r="MNM35" s="111"/>
      <c r="MNN35" s="112"/>
      <c r="MNO35" s="113"/>
      <c r="MNQ35" s="114"/>
      <c r="MNR35" s="114"/>
      <c r="MNW35" s="111"/>
      <c r="MNX35" s="112"/>
      <c r="MNY35" s="113"/>
      <c r="MOA35" s="114"/>
      <c r="MOB35" s="114"/>
      <c r="MOG35" s="111"/>
      <c r="MOH35" s="112"/>
      <c r="MOI35" s="113"/>
      <c r="MOK35" s="114"/>
      <c r="MOL35" s="114"/>
      <c r="MOQ35" s="111"/>
      <c r="MOR35" s="112"/>
      <c r="MOS35" s="113"/>
      <c r="MOU35" s="114"/>
      <c r="MOV35" s="114"/>
      <c r="MPA35" s="111"/>
      <c r="MPB35" s="112"/>
      <c r="MPC35" s="113"/>
      <c r="MPE35" s="114"/>
      <c r="MPF35" s="114"/>
      <c r="MPK35" s="111"/>
      <c r="MPL35" s="112"/>
      <c r="MPM35" s="113"/>
      <c r="MPO35" s="114"/>
      <c r="MPP35" s="114"/>
      <c r="MPU35" s="111"/>
      <c r="MPV35" s="112"/>
      <c r="MPW35" s="113"/>
      <c r="MPY35" s="114"/>
      <c r="MPZ35" s="114"/>
      <c r="MQE35" s="111"/>
      <c r="MQF35" s="112"/>
      <c r="MQG35" s="113"/>
      <c r="MQI35" s="114"/>
      <c r="MQJ35" s="114"/>
      <c r="MQO35" s="111"/>
      <c r="MQP35" s="112"/>
      <c r="MQQ35" s="113"/>
      <c r="MQS35" s="114"/>
      <c r="MQT35" s="114"/>
      <c r="MQY35" s="111"/>
      <c r="MQZ35" s="112"/>
      <c r="MRA35" s="113"/>
      <c r="MRC35" s="114"/>
      <c r="MRD35" s="114"/>
      <c r="MRI35" s="111"/>
      <c r="MRJ35" s="112"/>
      <c r="MRK35" s="113"/>
      <c r="MRM35" s="114"/>
      <c r="MRN35" s="114"/>
      <c r="MRS35" s="111"/>
      <c r="MRT35" s="112"/>
      <c r="MRU35" s="113"/>
      <c r="MRW35" s="114"/>
      <c r="MRX35" s="114"/>
      <c r="MSC35" s="111"/>
      <c r="MSD35" s="112"/>
      <c r="MSE35" s="113"/>
      <c r="MSG35" s="114"/>
      <c r="MSH35" s="114"/>
      <c r="MSM35" s="111"/>
      <c r="MSN35" s="112"/>
      <c r="MSO35" s="113"/>
      <c r="MSQ35" s="114"/>
      <c r="MSR35" s="114"/>
      <c r="MSW35" s="111"/>
      <c r="MSX35" s="112"/>
      <c r="MSY35" s="113"/>
      <c r="MTA35" s="114"/>
      <c r="MTB35" s="114"/>
      <c r="MTG35" s="111"/>
      <c r="MTH35" s="112"/>
      <c r="MTI35" s="113"/>
      <c r="MTK35" s="114"/>
      <c r="MTL35" s="114"/>
      <c r="MTQ35" s="111"/>
      <c r="MTR35" s="112"/>
      <c r="MTS35" s="113"/>
      <c r="MTU35" s="114"/>
      <c r="MTV35" s="114"/>
      <c r="MUA35" s="111"/>
      <c r="MUB35" s="112"/>
      <c r="MUC35" s="113"/>
      <c r="MUE35" s="114"/>
      <c r="MUF35" s="114"/>
      <c r="MUK35" s="111"/>
      <c r="MUL35" s="112"/>
      <c r="MUM35" s="113"/>
      <c r="MUO35" s="114"/>
      <c r="MUP35" s="114"/>
      <c r="MUU35" s="111"/>
      <c r="MUV35" s="112"/>
      <c r="MUW35" s="113"/>
      <c r="MUY35" s="114"/>
      <c r="MUZ35" s="114"/>
      <c r="MVE35" s="111"/>
      <c r="MVF35" s="112"/>
      <c r="MVG35" s="113"/>
      <c r="MVI35" s="114"/>
      <c r="MVJ35" s="114"/>
      <c r="MVO35" s="111"/>
      <c r="MVP35" s="112"/>
      <c r="MVQ35" s="113"/>
      <c r="MVS35" s="114"/>
      <c r="MVT35" s="114"/>
      <c r="MVY35" s="111"/>
      <c r="MVZ35" s="112"/>
      <c r="MWA35" s="113"/>
      <c r="MWC35" s="114"/>
      <c r="MWD35" s="114"/>
      <c r="MWI35" s="111"/>
      <c r="MWJ35" s="112"/>
      <c r="MWK35" s="113"/>
      <c r="MWM35" s="114"/>
      <c r="MWN35" s="114"/>
      <c r="MWS35" s="111"/>
      <c r="MWT35" s="112"/>
      <c r="MWU35" s="113"/>
      <c r="MWW35" s="114"/>
      <c r="MWX35" s="114"/>
      <c r="MXC35" s="111"/>
      <c r="MXD35" s="112"/>
      <c r="MXE35" s="113"/>
      <c r="MXG35" s="114"/>
      <c r="MXH35" s="114"/>
      <c r="MXM35" s="111"/>
      <c r="MXN35" s="112"/>
      <c r="MXO35" s="113"/>
      <c r="MXQ35" s="114"/>
      <c r="MXR35" s="114"/>
      <c r="MXW35" s="111"/>
      <c r="MXX35" s="112"/>
      <c r="MXY35" s="113"/>
      <c r="MYA35" s="114"/>
      <c r="MYB35" s="114"/>
      <c r="MYG35" s="111"/>
      <c r="MYH35" s="112"/>
      <c r="MYI35" s="113"/>
      <c r="MYK35" s="114"/>
      <c r="MYL35" s="114"/>
      <c r="MYQ35" s="111"/>
      <c r="MYR35" s="112"/>
      <c r="MYS35" s="113"/>
      <c r="MYU35" s="114"/>
      <c r="MYV35" s="114"/>
      <c r="MZA35" s="111"/>
      <c r="MZB35" s="112"/>
      <c r="MZC35" s="113"/>
      <c r="MZE35" s="114"/>
      <c r="MZF35" s="114"/>
      <c r="MZK35" s="111"/>
      <c r="MZL35" s="112"/>
      <c r="MZM35" s="113"/>
      <c r="MZO35" s="114"/>
      <c r="MZP35" s="114"/>
      <c r="MZU35" s="111"/>
      <c r="MZV35" s="112"/>
      <c r="MZW35" s="113"/>
      <c r="MZY35" s="114"/>
      <c r="MZZ35" s="114"/>
      <c r="NAE35" s="111"/>
      <c r="NAF35" s="112"/>
      <c r="NAG35" s="113"/>
      <c r="NAI35" s="114"/>
      <c r="NAJ35" s="114"/>
      <c r="NAO35" s="111"/>
      <c r="NAP35" s="112"/>
      <c r="NAQ35" s="113"/>
      <c r="NAS35" s="114"/>
      <c r="NAT35" s="114"/>
      <c r="NAY35" s="111"/>
      <c r="NAZ35" s="112"/>
      <c r="NBA35" s="113"/>
      <c r="NBC35" s="114"/>
      <c r="NBD35" s="114"/>
      <c r="NBI35" s="111"/>
      <c r="NBJ35" s="112"/>
      <c r="NBK35" s="113"/>
      <c r="NBM35" s="114"/>
      <c r="NBN35" s="114"/>
      <c r="NBS35" s="111"/>
      <c r="NBT35" s="112"/>
      <c r="NBU35" s="113"/>
      <c r="NBW35" s="114"/>
      <c r="NBX35" s="114"/>
      <c r="NCC35" s="111"/>
      <c r="NCD35" s="112"/>
      <c r="NCE35" s="113"/>
      <c r="NCG35" s="114"/>
      <c r="NCH35" s="114"/>
      <c r="NCM35" s="111"/>
      <c r="NCN35" s="112"/>
      <c r="NCO35" s="113"/>
      <c r="NCQ35" s="114"/>
      <c r="NCR35" s="114"/>
      <c r="NCW35" s="111"/>
      <c r="NCX35" s="112"/>
      <c r="NCY35" s="113"/>
      <c r="NDA35" s="114"/>
      <c r="NDB35" s="114"/>
      <c r="NDG35" s="111"/>
      <c r="NDH35" s="112"/>
      <c r="NDI35" s="113"/>
      <c r="NDK35" s="114"/>
      <c r="NDL35" s="114"/>
      <c r="NDQ35" s="111"/>
      <c r="NDR35" s="112"/>
      <c r="NDS35" s="113"/>
      <c r="NDU35" s="114"/>
      <c r="NDV35" s="114"/>
      <c r="NEA35" s="111"/>
      <c r="NEB35" s="112"/>
      <c r="NEC35" s="113"/>
      <c r="NEE35" s="114"/>
      <c r="NEF35" s="114"/>
      <c r="NEK35" s="111"/>
      <c r="NEL35" s="112"/>
      <c r="NEM35" s="113"/>
      <c r="NEO35" s="114"/>
      <c r="NEP35" s="114"/>
      <c r="NEU35" s="111"/>
      <c r="NEV35" s="112"/>
      <c r="NEW35" s="113"/>
      <c r="NEY35" s="114"/>
      <c r="NEZ35" s="114"/>
      <c r="NFE35" s="111"/>
      <c r="NFF35" s="112"/>
      <c r="NFG35" s="113"/>
      <c r="NFI35" s="114"/>
      <c r="NFJ35" s="114"/>
      <c r="NFO35" s="111"/>
      <c r="NFP35" s="112"/>
      <c r="NFQ35" s="113"/>
      <c r="NFS35" s="114"/>
      <c r="NFT35" s="114"/>
      <c r="NFY35" s="111"/>
      <c r="NFZ35" s="112"/>
      <c r="NGA35" s="113"/>
      <c r="NGC35" s="114"/>
      <c r="NGD35" s="114"/>
      <c r="NGI35" s="111"/>
      <c r="NGJ35" s="112"/>
      <c r="NGK35" s="113"/>
      <c r="NGM35" s="114"/>
      <c r="NGN35" s="114"/>
      <c r="NGS35" s="111"/>
      <c r="NGT35" s="112"/>
      <c r="NGU35" s="113"/>
      <c r="NGW35" s="114"/>
      <c r="NGX35" s="114"/>
      <c r="NHC35" s="111"/>
      <c r="NHD35" s="112"/>
      <c r="NHE35" s="113"/>
      <c r="NHG35" s="114"/>
      <c r="NHH35" s="114"/>
      <c r="NHM35" s="111"/>
      <c r="NHN35" s="112"/>
      <c r="NHO35" s="113"/>
      <c r="NHQ35" s="114"/>
      <c r="NHR35" s="114"/>
      <c r="NHW35" s="111"/>
      <c r="NHX35" s="112"/>
      <c r="NHY35" s="113"/>
      <c r="NIA35" s="114"/>
      <c r="NIB35" s="114"/>
      <c r="NIG35" s="111"/>
      <c r="NIH35" s="112"/>
      <c r="NII35" s="113"/>
      <c r="NIK35" s="114"/>
      <c r="NIL35" s="114"/>
      <c r="NIQ35" s="111"/>
      <c r="NIR35" s="112"/>
      <c r="NIS35" s="113"/>
      <c r="NIU35" s="114"/>
      <c r="NIV35" s="114"/>
      <c r="NJA35" s="111"/>
      <c r="NJB35" s="112"/>
      <c r="NJC35" s="113"/>
      <c r="NJE35" s="114"/>
      <c r="NJF35" s="114"/>
      <c r="NJK35" s="111"/>
      <c r="NJL35" s="112"/>
      <c r="NJM35" s="113"/>
      <c r="NJO35" s="114"/>
      <c r="NJP35" s="114"/>
      <c r="NJU35" s="111"/>
      <c r="NJV35" s="112"/>
      <c r="NJW35" s="113"/>
      <c r="NJY35" s="114"/>
      <c r="NJZ35" s="114"/>
      <c r="NKE35" s="111"/>
      <c r="NKF35" s="112"/>
      <c r="NKG35" s="113"/>
      <c r="NKI35" s="114"/>
      <c r="NKJ35" s="114"/>
      <c r="NKO35" s="111"/>
      <c r="NKP35" s="112"/>
      <c r="NKQ35" s="113"/>
      <c r="NKS35" s="114"/>
      <c r="NKT35" s="114"/>
      <c r="NKY35" s="111"/>
      <c r="NKZ35" s="112"/>
      <c r="NLA35" s="113"/>
      <c r="NLC35" s="114"/>
      <c r="NLD35" s="114"/>
      <c r="NLI35" s="111"/>
      <c r="NLJ35" s="112"/>
      <c r="NLK35" s="113"/>
      <c r="NLM35" s="114"/>
      <c r="NLN35" s="114"/>
      <c r="NLS35" s="111"/>
      <c r="NLT35" s="112"/>
      <c r="NLU35" s="113"/>
      <c r="NLW35" s="114"/>
      <c r="NLX35" s="114"/>
      <c r="NMC35" s="111"/>
      <c r="NMD35" s="112"/>
      <c r="NME35" s="113"/>
      <c r="NMG35" s="114"/>
      <c r="NMH35" s="114"/>
      <c r="NMM35" s="111"/>
      <c r="NMN35" s="112"/>
      <c r="NMO35" s="113"/>
      <c r="NMQ35" s="114"/>
      <c r="NMR35" s="114"/>
      <c r="NMW35" s="111"/>
      <c r="NMX35" s="112"/>
      <c r="NMY35" s="113"/>
      <c r="NNA35" s="114"/>
      <c r="NNB35" s="114"/>
      <c r="NNG35" s="111"/>
      <c r="NNH35" s="112"/>
      <c r="NNI35" s="113"/>
      <c r="NNK35" s="114"/>
      <c r="NNL35" s="114"/>
      <c r="NNQ35" s="111"/>
      <c r="NNR35" s="112"/>
      <c r="NNS35" s="113"/>
      <c r="NNU35" s="114"/>
      <c r="NNV35" s="114"/>
      <c r="NOA35" s="111"/>
      <c r="NOB35" s="112"/>
      <c r="NOC35" s="113"/>
      <c r="NOE35" s="114"/>
      <c r="NOF35" s="114"/>
      <c r="NOK35" s="111"/>
      <c r="NOL35" s="112"/>
      <c r="NOM35" s="113"/>
      <c r="NOO35" s="114"/>
      <c r="NOP35" s="114"/>
      <c r="NOU35" s="111"/>
      <c r="NOV35" s="112"/>
      <c r="NOW35" s="113"/>
      <c r="NOY35" s="114"/>
      <c r="NOZ35" s="114"/>
      <c r="NPE35" s="111"/>
      <c r="NPF35" s="112"/>
      <c r="NPG35" s="113"/>
      <c r="NPI35" s="114"/>
      <c r="NPJ35" s="114"/>
      <c r="NPO35" s="111"/>
      <c r="NPP35" s="112"/>
      <c r="NPQ35" s="113"/>
      <c r="NPS35" s="114"/>
      <c r="NPT35" s="114"/>
      <c r="NPY35" s="111"/>
      <c r="NPZ35" s="112"/>
      <c r="NQA35" s="113"/>
      <c r="NQC35" s="114"/>
      <c r="NQD35" s="114"/>
      <c r="NQI35" s="111"/>
      <c r="NQJ35" s="112"/>
      <c r="NQK35" s="113"/>
      <c r="NQM35" s="114"/>
      <c r="NQN35" s="114"/>
      <c r="NQS35" s="111"/>
      <c r="NQT35" s="112"/>
      <c r="NQU35" s="113"/>
      <c r="NQW35" s="114"/>
      <c r="NQX35" s="114"/>
      <c r="NRC35" s="111"/>
      <c r="NRD35" s="112"/>
      <c r="NRE35" s="113"/>
      <c r="NRG35" s="114"/>
      <c r="NRH35" s="114"/>
      <c r="NRM35" s="111"/>
      <c r="NRN35" s="112"/>
      <c r="NRO35" s="113"/>
      <c r="NRQ35" s="114"/>
      <c r="NRR35" s="114"/>
      <c r="NRW35" s="111"/>
      <c r="NRX35" s="112"/>
      <c r="NRY35" s="113"/>
      <c r="NSA35" s="114"/>
      <c r="NSB35" s="114"/>
      <c r="NSG35" s="111"/>
      <c r="NSH35" s="112"/>
      <c r="NSI35" s="113"/>
      <c r="NSK35" s="114"/>
      <c r="NSL35" s="114"/>
      <c r="NSQ35" s="111"/>
      <c r="NSR35" s="112"/>
      <c r="NSS35" s="113"/>
      <c r="NSU35" s="114"/>
      <c r="NSV35" s="114"/>
      <c r="NTA35" s="111"/>
      <c r="NTB35" s="112"/>
      <c r="NTC35" s="113"/>
      <c r="NTE35" s="114"/>
      <c r="NTF35" s="114"/>
      <c r="NTK35" s="111"/>
      <c r="NTL35" s="112"/>
      <c r="NTM35" s="113"/>
      <c r="NTO35" s="114"/>
      <c r="NTP35" s="114"/>
      <c r="NTU35" s="111"/>
      <c r="NTV35" s="112"/>
      <c r="NTW35" s="113"/>
      <c r="NTY35" s="114"/>
      <c r="NTZ35" s="114"/>
      <c r="NUE35" s="111"/>
      <c r="NUF35" s="112"/>
      <c r="NUG35" s="113"/>
      <c r="NUI35" s="114"/>
      <c r="NUJ35" s="114"/>
      <c r="NUO35" s="111"/>
      <c r="NUP35" s="112"/>
      <c r="NUQ35" s="113"/>
      <c r="NUS35" s="114"/>
      <c r="NUT35" s="114"/>
      <c r="NUY35" s="111"/>
      <c r="NUZ35" s="112"/>
      <c r="NVA35" s="113"/>
      <c r="NVC35" s="114"/>
      <c r="NVD35" s="114"/>
      <c r="NVI35" s="111"/>
      <c r="NVJ35" s="112"/>
      <c r="NVK35" s="113"/>
      <c r="NVM35" s="114"/>
      <c r="NVN35" s="114"/>
      <c r="NVS35" s="111"/>
      <c r="NVT35" s="112"/>
      <c r="NVU35" s="113"/>
      <c r="NVW35" s="114"/>
      <c r="NVX35" s="114"/>
      <c r="NWC35" s="111"/>
      <c r="NWD35" s="112"/>
      <c r="NWE35" s="113"/>
      <c r="NWG35" s="114"/>
      <c r="NWH35" s="114"/>
      <c r="NWM35" s="111"/>
      <c r="NWN35" s="112"/>
      <c r="NWO35" s="113"/>
      <c r="NWQ35" s="114"/>
      <c r="NWR35" s="114"/>
      <c r="NWW35" s="111"/>
      <c r="NWX35" s="112"/>
      <c r="NWY35" s="113"/>
      <c r="NXA35" s="114"/>
      <c r="NXB35" s="114"/>
      <c r="NXG35" s="111"/>
      <c r="NXH35" s="112"/>
      <c r="NXI35" s="113"/>
      <c r="NXK35" s="114"/>
      <c r="NXL35" s="114"/>
      <c r="NXQ35" s="111"/>
      <c r="NXR35" s="112"/>
      <c r="NXS35" s="113"/>
      <c r="NXU35" s="114"/>
      <c r="NXV35" s="114"/>
      <c r="NYA35" s="111"/>
      <c r="NYB35" s="112"/>
      <c r="NYC35" s="113"/>
      <c r="NYE35" s="114"/>
      <c r="NYF35" s="114"/>
      <c r="NYK35" s="111"/>
      <c r="NYL35" s="112"/>
      <c r="NYM35" s="113"/>
      <c r="NYO35" s="114"/>
      <c r="NYP35" s="114"/>
      <c r="NYU35" s="111"/>
      <c r="NYV35" s="112"/>
      <c r="NYW35" s="113"/>
      <c r="NYY35" s="114"/>
      <c r="NYZ35" s="114"/>
      <c r="NZE35" s="111"/>
      <c r="NZF35" s="112"/>
      <c r="NZG35" s="113"/>
      <c r="NZI35" s="114"/>
      <c r="NZJ35" s="114"/>
      <c r="NZO35" s="111"/>
      <c r="NZP35" s="112"/>
      <c r="NZQ35" s="113"/>
      <c r="NZS35" s="114"/>
      <c r="NZT35" s="114"/>
      <c r="NZY35" s="111"/>
      <c r="NZZ35" s="112"/>
      <c r="OAA35" s="113"/>
      <c r="OAC35" s="114"/>
      <c r="OAD35" s="114"/>
      <c r="OAI35" s="111"/>
      <c r="OAJ35" s="112"/>
      <c r="OAK35" s="113"/>
      <c r="OAM35" s="114"/>
      <c r="OAN35" s="114"/>
      <c r="OAS35" s="111"/>
      <c r="OAT35" s="112"/>
      <c r="OAU35" s="113"/>
      <c r="OAW35" s="114"/>
      <c r="OAX35" s="114"/>
      <c r="OBC35" s="111"/>
      <c r="OBD35" s="112"/>
      <c r="OBE35" s="113"/>
      <c r="OBG35" s="114"/>
      <c r="OBH35" s="114"/>
      <c r="OBM35" s="111"/>
      <c r="OBN35" s="112"/>
      <c r="OBO35" s="113"/>
      <c r="OBQ35" s="114"/>
      <c r="OBR35" s="114"/>
      <c r="OBW35" s="111"/>
      <c r="OBX35" s="112"/>
      <c r="OBY35" s="113"/>
      <c r="OCA35" s="114"/>
      <c r="OCB35" s="114"/>
      <c r="OCG35" s="111"/>
      <c r="OCH35" s="112"/>
      <c r="OCI35" s="113"/>
      <c r="OCK35" s="114"/>
      <c r="OCL35" s="114"/>
      <c r="OCQ35" s="111"/>
      <c r="OCR35" s="112"/>
      <c r="OCS35" s="113"/>
      <c r="OCU35" s="114"/>
      <c r="OCV35" s="114"/>
      <c r="ODA35" s="111"/>
      <c r="ODB35" s="112"/>
      <c r="ODC35" s="113"/>
      <c r="ODE35" s="114"/>
      <c r="ODF35" s="114"/>
      <c r="ODK35" s="111"/>
      <c r="ODL35" s="112"/>
      <c r="ODM35" s="113"/>
      <c r="ODO35" s="114"/>
      <c r="ODP35" s="114"/>
      <c r="ODU35" s="111"/>
      <c r="ODV35" s="112"/>
      <c r="ODW35" s="113"/>
      <c r="ODY35" s="114"/>
      <c r="ODZ35" s="114"/>
      <c r="OEE35" s="111"/>
      <c r="OEF35" s="112"/>
      <c r="OEG35" s="113"/>
      <c r="OEI35" s="114"/>
      <c r="OEJ35" s="114"/>
      <c r="OEO35" s="111"/>
      <c r="OEP35" s="112"/>
      <c r="OEQ35" s="113"/>
      <c r="OES35" s="114"/>
      <c r="OET35" s="114"/>
      <c r="OEY35" s="111"/>
      <c r="OEZ35" s="112"/>
      <c r="OFA35" s="113"/>
      <c r="OFC35" s="114"/>
      <c r="OFD35" s="114"/>
      <c r="OFI35" s="111"/>
      <c r="OFJ35" s="112"/>
      <c r="OFK35" s="113"/>
      <c r="OFM35" s="114"/>
      <c r="OFN35" s="114"/>
      <c r="OFS35" s="111"/>
      <c r="OFT35" s="112"/>
      <c r="OFU35" s="113"/>
      <c r="OFW35" s="114"/>
      <c r="OFX35" s="114"/>
      <c r="OGC35" s="111"/>
      <c r="OGD35" s="112"/>
      <c r="OGE35" s="113"/>
      <c r="OGG35" s="114"/>
      <c r="OGH35" s="114"/>
      <c r="OGM35" s="111"/>
      <c r="OGN35" s="112"/>
      <c r="OGO35" s="113"/>
      <c r="OGQ35" s="114"/>
      <c r="OGR35" s="114"/>
      <c r="OGW35" s="111"/>
      <c r="OGX35" s="112"/>
      <c r="OGY35" s="113"/>
      <c r="OHA35" s="114"/>
      <c r="OHB35" s="114"/>
      <c r="OHG35" s="111"/>
      <c r="OHH35" s="112"/>
      <c r="OHI35" s="113"/>
      <c r="OHK35" s="114"/>
      <c r="OHL35" s="114"/>
      <c r="OHQ35" s="111"/>
      <c r="OHR35" s="112"/>
      <c r="OHS35" s="113"/>
      <c r="OHU35" s="114"/>
      <c r="OHV35" s="114"/>
      <c r="OIA35" s="111"/>
      <c r="OIB35" s="112"/>
      <c r="OIC35" s="113"/>
      <c r="OIE35" s="114"/>
      <c r="OIF35" s="114"/>
      <c r="OIK35" s="111"/>
      <c r="OIL35" s="112"/>
      <c r="OIM35" s="113"/>
      <c r="OIO35" s="114"/>
      <c r="OIP35" s="114"/>
      <c r="OIU35" s="111"/>
      <c r="OIV35" s="112"/>
      <c r="OIW35" s="113"/>
      <c r="OIY35" s="114"/>
      <c r="OIZ35" s="114"/>
      <c r="OJE35" s="111"/>
      <c r="OJF35" s="112"/>
      <c r="OJG35" s="113"/>
      <c r="OJI35" s="114"/>
      <c r="OJJ35" s="114"/>
      <c r="OJO35" s="111"/>
      <c r="OJP35" s="112"/>
      <c r="OJQ35" s="113"/>
      <c r="OJS35" s="114"/>
      <c r="OJT35" s="114"/>
      <c r="OJY35" s="111"/>
      <c r="OJZ35" s="112"/>
      <c r="OKA35" s="113"/>
      <c r="OKC35" s="114"/>
      <c r="OKD35" s="114"/>
      <c r="OKI35" s="111"/>
      <c r="OKJ35" s="112"/>
      <c r="OKK35" s="113"/>
      <c r="OKM35" s="114"/>
      <c r="OKN35" s="114"/>
      <c r="OKS35" s="111"/>
      <c r="OKT35" s="112"/>
      <c r="OKU35" s="113"/>
      <c r="OKW35" s="114"/>
      <c r="OKX35" s="114"/>
      <c r="OLC35" s="111"/>
      <c r="OLD35" s="112"/>
      <c r="OLE35" s="113"/>
      <c r="OLG35" s="114"/>
      <c r="OLH35" s="114"/>
      <c r="OLM35" s="111"/>
      <c r="OLN35" s="112"/>
      <c r="OLO35" s="113"/>
      <c r="OLQ35" s="114"/>
      <c r="OLR35" s="114"/>
      <c r="OLW35" s="111"/>
      <c r="OLX35" s="112"/>
      <c r="OLY35" s="113"/>
      <c r="OMA35" s="114"/>
      <c r="OMB35" s="114"/>
      <c r="OMG35" s="111"/>
      <c r="OMH35" s="112"/>
      <c r="OMI35" s="113"/>
      <c r="OMK35" s="114"/>
      <c r="OML35" s="114"/>
      <c r="OMQ35" s="111"/>
      <c r="OMR35" s="112"/>
      <c r="OMS35" s="113"/>
      <c r="OMU35" s="114"/>
      <c r="OMV35" s="114"/>
      <c r="ONA35" s="111"/>
      <c r="ONB35" s="112"/>
      <c r="ONC35" s="113"/>
      <c r="ONE35" s="114"/>
      <c r="ONF35" s="114"/>
      <c r="ONK35" s="111"/>
      <c r="ONL35" s="112"/>
      <c r="ONM35" s="113"/>
      <c r="ONO35" s="114"/>
      <c r="ONP35" s="114"/>
      <c r="ONU35" s="111"/>
      <c r="ONV35" s="112"/>
      <c r="ONW35" s="113"/>
      <c r="ONY35" s="114"/>
      <c r="ONZ35" s="114"/>
      <c r="OOE35" s="111"/>
      <c r="OOF35" s="112"/>
      <c r="OOG35" s="113"/>
      <c r="OOI35" s="114"/>
      <c r="OOJ35" s="114"/>
      <c r="OOO35" s="111"/>
      <c r="OOP35" s="112"/>
      <c r="OOQ35" s="113"/>
      <c r="OOS35" s="114"/>
      <c r="OOT35" s="114"/>
      <c r="OOY35" s="111"/>
      <c r="OOZ35" s="112"/>
      <c r="OPA35" s="113"/>
      <c r="OPC35" s="114"/>
      <c r="OPD35" s="114"/>
      <c r="OPI35" s="111"/>
      <c r="OPJ35" s="112"/>
      <c r="OPK35" s="113"/>
      <c r="OPM35" s="114"/>
      <c r="OPN35" s="114"/>
      <c r="OPS35" s="111"/>
      <c r="OPT35" s="112"/>
      <c r="OPU35" s="113"/>
      <c r="OPW35" s="114"/>
      <c r="OPX35" s="114"/>
      <c r="OQC35" s="111"/>
      <c r="OQD35" s="112"/>
      <c r="OQE35" s="113"/>
      <c r="OQG35" s="114"/>
      <c r="OQH35" s="114"/>
      <c r="OQM35" s="111"/>
      <c r="OQN35" s="112"/>
      <c r="OQO35" s="113"/>
      <c r="OQQ35" s="114"/>
      <c r="OQR35" s="114"/>
      <c r="OQW35" s="111"/>
      <c r="OQX35" s="112"/>
      <c r="OQY35" s="113"/>
      <c r="ORA35" s="114"/>
      <c r="ORB35" s="114"/>
      <c r="ORG35" s="111"/>
      <c r="ORH35" s="112"/>
      <c r="ORI35" s="113"/>
      <c r="ORK35" s="114"/>
      <c r="ORL35" s="114"/>
      <c r="ORQ35" s="111"/>
      <c r="ORR35" s="112"/>
      <c r="ORS35" s="113"/>
      <c r="ORU35" s="114"/>
      <c r="ORV35" s="114"/>
      <c r="OSA35" s="111"/>
      <c r="OSB35" s="112"/>
      <c r="OSC35" s="113"/>
      <c r="OSE35" s="114"/>
      <c r="OSF35" s="114"/>
      <c r="OSK35" s="111"/>
      <c r="OSL35" s="112"/>
      <c r="OSM35" s="113"/>
      <c r="OSO35" s="114"/>
      <c r="OSP35" s="114"/>
      <c r="OSU35" s="111"/>
      <c r="OSV35" s="112"/>
      <c r="OSW35" s="113"/>
      <c r="OSY35" s="114"/>
      <c r="OSZ35" s="114"/>
      <c r="OTE35" s="111"/>
      <c r="OTF35" s="112"/>
      <c r="OTG35" s="113"/>
      <c r="OTI35" s="114"/>
      <c r="OTJ35" s="114"/>
      <c r="OTO35" s="111"/>
      <c r="OTP35" s="112"/>
      <c r="OTQ35" s="113"/>
      <c r="OTS35" s="114"/>
      <c r="OTT35" s="114"/>
      <c r="OTY35" s="111"/>
      <c r="OTZ35" s="112"/>
      <c r="OUA35" s="113"/>
      <c r="OUC35" s="114"/>
      <c r="OUD35" s="114"/>
      <c r="OUI35" s="111"/>
      <c r="OUJ35" s="112"/>
      <c r="OUK35" s="113"/>
      <c r="OUM35" s="114"/>
      <c r="OUN35" s="114"/>
      <c r="OUS35" s="111"/>
      <c r="OUT35" s="112"/>
      <c r="OUU35" s="113"/>
      <c r="OUW35" s="114"/>
      <c r="OUX35" s="114"/>
      <c r="OVC35" s="111"/>
      <c r="OVD35" s="112"/>
      <c r="OVE35" s="113"/>
      <c r="OVG35" s="114"/>
      <c r="OVH35" s="114"/>
      <c r="OVM35" s="111"/>
      <c r="OVN35" s="112"/>
      <c r="OVO35" s="113"/>
      <c r="OVQ35" s="114"/>
      <c r="OVR35" s="114"/>
      <c r="OVW35" s="111"/>
      <c r="OVX35" s="112"/>
      <c r="OVY35" s="113"/>
      <c r="OWA35" s="114"/>
      <c r="OWB35" s="114"/>
      <c r="OWG35" s="111"/>
      <c r="OWH35" s="112"/>
      <c r="OWI35" s="113"/>
      <c r="OWK35" s="114"/>
      <c r="OWL35" s="114"/>
      <c r="OWQ35" s="111"/>
      <c r="OWR35" s="112"/>
      <c r="OWS35" s="113"/>
      <c r="OWU35" s="114"/>
      <c r="OWV35" s="114"/>
      <c r="OXA35" s="111"/>
      <c r="OXB35" s="112"/>
      <c r="OXC35" s="113"/>
      <c r="OXE35" s="114"/>
      <c r="OXF35" s="114"/>
      <c r="OXK35" s="111"/>
      <c r="OXL35" s="112"/>
      <c r="OXM35" s="113"/>
      <c r="OXO35" s="114"/>
      <c r="OXP35" s="114"/>
      <c r="OXU35" s="111"/>
      <c r="OXV35" s="112"/>
      <c r="OXW35" s="113"/>
      <c r="OXY35" s="114"/>
      <c r="OXZ35" s="114"/>
      <c r="OYE35" s="111"/>
      <c r="OYF35" s="112"/>
      <c r="OYG35" s="113"/>
      <c r="OYI35" s="114"/>
      <c r="OYJ35" s="114"/>
      <c r="OYO35" s="111"/>
      <c r="OYP35" s="112"/>
      <c r="OYQ35" s="113"/>
      <c r="OYS35" s="114"/>
      <c r="OYT35" s="114"/>
      <c r="OYY35" s="111"/>
      <c r="OYZ35" s="112"/>
      <c r="OZA35" s="113"/>
      <c r="OZC35" s="114"/>
      <c r="OZD35" s="114"/>
      <c r="OZI35" s="111"/>
      <c r="OZJ35" s="112"/>
      <c r="OZK35" s="113"/>
      <c r="OZM35" s="114"/>
      <c r="OZN35" s="114"/>
      <c r="OZS35" s="111"/>
      <c r="OZT35" s="112"/>
      <c r="OZU35" s="113"/>
      <c r="OZW35" s="114"/>
      <c r="OZX35" s="114"/>
      <c r="PAC35" s="111"/>
      <c r="PAD35" s="112"/>
      <c r="PAE35" s="113"/>
      <c r="PAG35" s="114"/>
      <c r="PAH35" s="114"/>
      <c r="PAM35" s="111"/>
      <c r="PAN35" s="112"/>
      <c r="PAO35" s="113"/>
      <c r="PAQ35" s="114"/>
      <c r="PAR35" s="114"/>
      <c r="PAW35" s="111"/>
      <c r="PAX35" s="112"/>
      <c r="PAY35" s="113"/>
      <c r="PBA35" s="114"/>
      <c r="PBB35" s="114"/>
      <c r="PBG35" s="111"/>
      <c r="PBH35" s="112"/>
      <c r="PBI35" s="113"/>
      <c r="PBK35" s="114"/>
      <c r="PBL35" s="114"/>
      <c r="PBQ35" s="111"/>
      <c r="PBR35" s="112"/>
      <c r="PBS35" s="113"/>
      <c r="PBU35" s="114"/>
      <c r="PBV35" s="114"/>
      <c r="PCA35" s="111"/>
      <c r="PCB35" s="112"/>
      <c r="PCC35" s="113"/>
      <c r="PCE35" s="114"/>
      <c r="PCF35" s="114"/>
      <c r="PCK35" s="111"/>
      <c r="PCL35" s="112"/>
      <c r="PCM35" s="113"/>
      <c r="PCO35" s="114"/>
      <c r="PCP35" s="114"/>
      <c r="PCU35" s="111"/>
      <c r="PCV35" s="112"/>
      <c r="PCW35" s="113"/>
      <c r="PCY35" s="114"/>
      <c r="PCZ35" s="114"/>
      <c r="PDE35" s="111"/>
      <c r="PDF35" s="112"/>
      <c r="PDG35" s="113"/>
      <c r="PDI35" s="114"/>
      <c r="PDJ35" s="114"/>
      <c r="PDO35" s="111"/>
      <c r="PDP35" s="112"/>
      <c r="PDQ35" s="113"/>
      <c r="PDS35" s="114"/>
      <c r="PDT35" s="114"/>
      <c r="PDY35" s="111"/>
      <c r="PDZ35" s="112"/>
      <c r="PEA35" s="113"/>
      <c r="PEC35" s="114"/>
      <c r="PED35" s="114"/>
      <c r="PEI35" s="111"/>
      <c r="PEJ35" s="112"/>
      <c r="PEK35" s="113"/>
      <c r="PEM35" s="114"/>
      <c r="PEN35" s="114"/>
      <c r="PES35" s="111"/>
      <c r="PET35" s="112"/>
      <c r="PEU35" s="113"/>
      <c r="PEW35" s="114"/>
      <c r="PEX35" s="114"/>
      <c r="PFC35" s="111"/>
      <c r="PFD35" s="112"/>
      <c r="PFE35" s="113"/>
      <c r="PFG35" s="114"/>
      <c r="PFH35" s="114"/>
      <c r="PFM35" s="111"/>
      <c r="PFN35" s="112"/>
      <c r="PFO35" s="113"/>
      <c r="PFQ35" s="114"/>
      <c r="PFR35" s="114"/>
      <c r="PFW35" s="111"/>
      <c r="PFX35" s="112"/>
      <c r="PFY35" s="113"/>
      <c r="PGA35" s="114"/>
      <c r="PGB35" s="114"/>
      <c r="PGG35" s="111"/>
      <c r="PGH35" s="112"/>
      <c r="PGI35" s="113"/>
      <c r="PGK35" s="114"/>
      <c r="PGL35" s="114"/>
      <c r="PGQ35" s="111"/>
      <c r="PGR35" s="112"/>
      <c r="PGS35" s="113"/>
      <c r="PGU35" s="114"/>
      <c r="PGV35" s="114"/>
      <c r="PHA35" s="111"/>
      <c r="PHB35" s="112"/>
      <c r="PHC35" s="113"/>
      <c r="PHE35" s="114"/>
      <c r="PHF35" s="114"/>
      <c r="PHK35" s="111"/>
      <c r="PHL35" s="112"/>
      <c r="PHM35" s="113"/>
      <c r="PHO35" s="114"/>
      <c r="PHP35" s="114"/>
      <c r="PHU35" s="111"/>
      <c r="PHV35" s="112"/>
      <c r="PHW35" s="113"/>
      <c r="PHY35" s="114"/>
      <c r="PHZ35" s="114"/>
      <c r="PIE35" s="111"/>
      <c r="PIF35" s="112"/>
      <c r="PIG35" s="113"/>
      <c r="PII35" s="114"/>
      <c r="PIJ35" s="114"/>
      <c r="PIO35" s="111"/>
      <c r="PIP35" s="112"/>
      <c r="PIQ35" s="113"/>
      <c r="PIS35" s="114"/>
      <c r="PIT35" s="114"/>
      <c r="PIY35" s="111"/>
      <c r="PIZ35" s="112"/>
      <c r="PJA35" s="113"/>
      <c r="PJC35" s="114"/>
      <c r="PJD35" s="114"/>
      <c r="PJI35" s="111"/>
      <c r="PJJ35" s="112"/>
      <c r="PJK35" s="113"/>
      <c r="PJM35" s="114"/>
      <c r="PJN35" s="114"/>
      <c r="PJS35" s="111"/>
      <c r="PJT35" s="112"/>
      <c r="PJU35" s="113"/>
      <c r="PJW35" s="114"/>
      <c r="PJX35" s="114"/>
      <c r="PKC35" s="111"/>
      <c r="PKD35" s="112"/>
      <c r="PKE35" s="113"/>
      <c r="PKG35" s="114"/>
      <c r="PKH35" s="114"/>
      <c r="PKM35" s="111"/>
      <c r="PKN35" s="112"/>
      <c r="PKO35" s="113"/>
      <c r="PKQ35" s="114"/>
      <c r="PKR35" s="114"/>
      <c r="PKW35" s="111"/>
      <c r="PKX35" s="112"/>
      <c r="PKY35" s="113"/>
      <c r="PLA35" s="114"/>
      <c r="PLB35" s="114"/>
      <c r="PLG35" s="111"/>
      <c r="PLH35" s="112"/>
      <c r="PLI35" s="113"/>
      <c r="PLK35" s="114"/>
      <c r="PLL35" s="114"/>
      <c r="PLQ35" s="111"/>
      <c r="PLR35" s="112"/>
      <c r="PLS35" s="113"/>
      <c r="PLU35" s="114"/>
      <c r="PLV35" s="114"/>
      <c r="PMA35" s="111"/>
      <c r="PMB35" s="112"/>
      <c r="PMC35" s="113"/>
      <c r="PME35" s="114"/>
      <c r="PMF35" s="114"/>
      <c r="PMK35" s="111"/>
      <c r="PML35" s="112"/>
      <c r="PMM35" s="113"/>
      <c r="PMO35" s="114"/>
      <c r="PMP35" s="114"/>
      <c r="PMU35" s="111"/>
      <c r="PMV35" s="112"/>
      <c r="PMW35" s="113"/>
      <c r="PMY35" s="114"/>
      <c r="PMZ35" s="114"/>
      <c r="PNE35" s="111"/>
      <c r="PNF35" s="112"/>
      <c r="PNG35" s="113"/>
      <c r="PNI35" s="114"/>
      <c r="PNJ35" s="114"/>
      <c r="PNO35" s="111"/>
      <c r="PNP35" s="112"/>
      <c r="PNQ35" s="113"/>
      <c r="PNS35" s="114"/>
      <c r="PNT35" s="114"/>
      <c r="PNY35" s="111"/>
      <c r="PNZ35" s="112"/>
      <c r="POA35" s="113"/>
      <c r="POC35" s="114"/>
      <c r="POD35" s="114"/>
      <c r="POI35" s="111"/>
      <c r="POJ35" s="112"/>
      <c r="POK35" s="113"/>
      <c r="POM35" s="114"/>
      <c r="PON35" s="114"/>
      <c r="POS35" s="111"/>
      <c r="POT35" s="112"/>
      <c r="POU35" s="113"/>
      <c r="POW35" s="114"/>
      <c r="POX35" s="114"/>
      <c r="PPC35" s="111"/>
      <c r="PPD35" s="112"/>
      <c r="PPE35" s="113"/>
      <c r="PPG35" s="114"/>
      <c r="PPH35" s="114"/>
      <c r="PPM35" s="111"/>
      <c r="PPN35" s="112"/>
      <c r="PPO35" s="113"/>
      <c r="PPQ35" s="114"/>
      <c r="PPR35" s="114"/>
      <c r="PPW35" s="111"/>
      <c r="PPX35" s="112"/>
      <c r="PPY35" s="113"/>
      <c r="PQA35" s="114"/>
      <c r="PQB35" s="114"/>
      <c r="PQG35" s="111"/>
      <c r="PQH35" s="112"/>
      <c r="PQI35" s="113"/>
      <c r="PQK35" s="114"/>
      <c r="PQL35" s="114"/>
      <c r="PQQ35" s="111"/>
      <c r="PQR35" s="112"/>
      <c r="PQS35" s="113"/>
      <c r="PQU35" s="114"/>
      <c r="PQV35" s="114"/>
      <c r="PRA35" s="111"/>
      <c r="PRB35" s="112"/>
      <c r="PRC35" s="113"/>
      <c r="PRE35" s="114"/>
      <c r="PRF35" s="114"/>
      <c r="PRK35" s="111"/>
      <c r="PRL35" s="112"/>
      <c r="PRM35" s="113"/>
      <c r="PRO35" s="114"/>
      <c r="PRP35" s="114"/>
      <c r="PRU35" s="111"/>
      <c r="PRV35" s="112"/>
      <c r="PRW35" s="113"/>
      <c r="PRY35" s="114"/>
      <c r="PRZ35" s="114"/>
      <c r="PSE35" s="111"/>
      <c r="PSF35" s="112"/>
      <c r="PSG35" s="113"/>
      <c r="PSI35" s="114"/>
      <c r="PSJ35" s="114"/>
      <c r="PSO35" s="111"/>
      <c r="PSP35" s="112"/>
      <c r="PSQ35" s="113"/>
      <c r="PSS35" s="114"/>
      <c r="PST35" s="114"/>
      <c r="PSY35" s="111"/>
      <c r="PSZ35" s="112"/>
      <c r="PTA35" s="113"/>
      <c r="PTC35" s="114"/>
      <c r="PTD35" s="114"/>
      <c r="PTI35" s="111"/>
      <c r="PTJ35" s="112"/>
      <c r="PTK35" s="113"/>
      <c r="PTM35" s="114"/>
      <c r="PTN35" s="114"/>
      <c r="PTS35" s="111"/>
      <c r="PTT35" s="112"/>
      <c r="PTU35" s="113"/>
      <c r="PTW35" s="114"/>
      <c r="PTX35" s="114"/>
      <c r="PUC35" s="111"/>
      <c r="PUD35" s="112"/>
      <c r="PUE35" s="113"/>
      <c r="PUG35" s="114"/>
      <c r="PUH35" s="114"/>
      <c r="PUM35" s="111"/>
      <c r="PUN35" s="112"/>
      <c r="PUO35" s="113"/>
      <c r="PUQ35" s="114"/>
      <c r="PUR35" s="114"/>
      <c r="PUW35" s="111"/>
      <c r="PUX35" s="112"/>
      <c r="PUY35" s="113"/>
      <c r="PVA35" s="114"/>
      <c r="PVB35" s="114"/>
      <c r="PVG35" s="111"/>
      <c r="PVH35" s="112"/>
      <c r="PVI35" s="113"/>
      <c r="PVK35" s="114"/>
      <c r="PVL35" s="114"/>
      <c r="PVQ35" s="111"/>
      <c r="PVR35" s="112"/>
      <c r="PVS35" s="113"/>
      <c r="PVU35" s="114"/>
      <c r="PVV35" s="114"/>
      <c r="PWA35" s="111"/>
      <c r="PWB35" s="112"/>
      <c r="PWC35" s="113"/>
      <c r="PWE35" s="114"/>
      <c r="PWF35" s="114"/>
      <c r="PWK35" s="111"/>
      <c r="PWL35" s="112"/>
      <c r="PWM35" s="113"/>
      <c r="PWO35" s="114"/>
      <c r="PWP35" s="114"/>
      <c r="PWU35" s="111"/>
      <c r="PWV35" s="112"/>
      <c r="PWW35" s="113"/>
      <c r="PWY35" s="114"/>
      <c r="PWZ35" s="114"/>
      <c r="PXE35" s="111"/>
      <c r="PXF35" s="112"/>
      <c r="PXG35" s="113"/>
      <c r="PXI35" s="114"/>
      <c r="PXJ35" s="114"/>
      <c r="PXO35" s="111"/>
      <c r="PXP35" s="112"/>
      <c r="PXQ35" s="113"/>
      <c r="PXS35" s="114"/>
      <c r="PXT35" s="114"/>
      <c r="PXY35" s="111"/>
      <c r="PXZ35" s="112"/>
      <c r="PYA35" s="113"/>
      <c r="PYC35" s="114"/>
      <c r="PYD35" s="114"/>
      <c r="PYI35" s="111"/>
      <c r="PYJ35" s="112"/>
      <c r="PYK35" s="113"/>
      <c r="PYM35" s="114"/>
      <c r="PYN35" s="114"/>
      <c r="PYS35" s="111"/>
      <c r="PYT35" s="112"/>
      <c r="PYU35" s="113"/>
      <c r="PYW35" s="114"/>
      <c r="PYX35" s="114"/>
      <c r="PZC35" s="111"/>
      <c r="PZD35" s="112"/>
      <c r="PZE35" s="113"/>
      <c r="PZG35" s="114"/>
      <c r="PZH35" s="114"/>
      <c r="PZM35" s="111"/>
      <c r="PZN35" s="112"/>
      <c r="PZO35" s="113"/>
      <c r="PZQ35" s="114"/>
      <c r="PZR35" s="114"/>
      <c r="PZW35" s="111"/>
      <c r="PZX35" s="112"/>
      <c r="PZY35" s="113"/>
      <c r="QAA35" s="114"/>
      <c r="QAB35" s="114"/>
      <c r="QAG35" s="111"/>
      <c r="QAH35" s="112"/>
      <c r="QAI35" s="113"/>
      <c r="QAK35" s="114"/>
      <c r="QAL35" s="114"/>
      <c r="QAQ35" s="111"/>
      <c r="QAR35" s="112"/>
      <c r="QAS35" s="113"/>
      <c r="QAU35" s="114"/>
      <c r="QAV35" s="114"/>
      <c r="QBA35" s="111"/>
      <c r="QBB35" s="112"/>
      <c r="QBC35" s="113"/>
      <c r="QBE35" s="114"/>
      <c r="QBF35" s="114"/>
      <c r="QBK35" s="111"/>
      <c r="QBL35" s="112"/>
      <c r="QBM35" s="113"/>
      <c r="QBO35" s="114"/>
      <c r="QBP35" s="114"/>
      <c r="QBU35" s="111"/>
      <c r="QBV35" s="112"/>
      <c r="QBW35" s="113"/>
      <c r="QBY35" s="114"/>
      <c r="QBZ35" s="114"/>
      <c r="QCE35" s="111"/>
      <c r="QCF35" s="112"/>
      <c r="QCG35" s="113"/>
      <c r="QCI35" s="114"/>
      <c r="QCJ35" s="114"/>
      <c r="QCO35" s="111"/>
      <c r="QCP35" s="112"/>
      <c r="QCQ35" s="113"/>
      <c r="QCS35" s="114"/>
      <c r="QCT35" s="114"/>
      <c r="QCY35" s="111"/>
      <c r="QCZ35" s="112"/>
      <c r="QDA35" s="113"/>
      <c r="QDC35" s="114"/>
      <c r="QDD35" s="114"/>
      <c r="QDI35" s="111"/>
      <c r="QDJ35" s="112"/>
      <c r="QDK35" s="113"/>
      <c r="QDM35" s="114"/>
      <c r="QDN35" s="114"/>
      <c r="QDS35" s="111"/>
      <c r="QDT35" s="112"/>
      <c r="QDU35" s="113"/>
      <c r="QDW35" s="114"/>
      <c r="QDX35" s="114"/>
      <c r="QEC35" s="111"/>
      <c r="QED35" s="112"/>
      <c r="QEE35" s="113"/>
      <c r="QEG35" s="114"/>
      <c r="QEH35" s="114"/>
      <c r="QEM35" s="111"/>
      <c r="QEN35" s="112"/>
      <c r="QEO35" s="113"/>
      <c r="QEQ35" s="114"/>
      <c r="QER35" s="114"/>
      <c r="QEW35" s="111"/>
      <c r="QEX35" s="112"/>
      <c r="QEY35" s="113"/>
      <c r="QFA35" s="114"/>
      <c r="QFB35" s="114"/>
      <c r="QFG35" s="111"/>
      <c r="QFH35" s="112"/>
      <c r="QFI35" s="113"/>
      <c r="QFK35" s="114"/>
      <c r="QFL35" s="114"/>
      <c r="QFQ35" s="111"/>
      <c r="QFR35" s="112"/>
      <c r="QFS35" s="113"/>
      <c r="QFU35" s="114"/>
      <c r="QFV35" s="114"/>
      <c r="QGA35" s="111"/>
      <c r="QGB35" s="112"/>
      <c r="QGC35" s="113"/>
      <c r="QGE35" s="114"/>
      <c r="QGF35" s="114"/>
      <c r="QGK35" s="111"/>
      <c r="QGL35" s="112"/>
      <c r="QGM35" s="113"/>
      <c r="QGO35" s="114"/>
      <c r="QGP35" s="114"/>
      <c r="QGU35" s="111"/>
      <c r="QGV35" s="112"/>
      <c r="QGW35" s="113"/>
      <c r="QGY35" s="114"/>
      <c r="QGZ35" s="114"/>
      <c r="QHE35" s="111"/>
      <c r="QHF35" s="112"/>
      <c r="QHG35" s="113"/>
      <c r="QHI35" s="114"/>
      <c r="QHJ35" s="114"/>
      <c r="QHO35" s="111"/>
      <c r="QHP35" s="112"/>
      <c r="QHQ35" s="113"/>
      <c r="QHS35" s="114"/>
      <c r="QHT35" s="114"/>
      <c r="QHY35" s="111"/>
      <c r="QHZ35" s="112"/>
      <c r="QIA35" s="113"/>
      <c r="QIC35" s="114"/>
      <c r="QID35" s="114"/>
      <c r="QII35" s="111"/>
      <c r="QIJ35" s="112"/>
      <c r="QIK35" s="113"/>
      <c r="QIM35" s="114"/>
      <c r="QIN35" s="114"/>
      <c r="QIS35" s="111"/>
      <c r="QIT35" s="112"/>
      <c r="QIU35" s="113"/>
      <c r="QIW35" s="114"/>
      <c r="QIX35" s="114"/>
      <c r="QJC35" s="111"/>
      <c r="QJD35" s="112"/>
      <c r="QJE35" s="113"/>
      <c r="QJG35" s="114"/>
      <c r="QJH35" s="114"/>
      <c r="QJM35" s="111"/>
      <c r="QJN35" s="112"/>
      <c r="QJO35" s="113"/>
      <c r="QJQ35" s="114"/>
      <c r="QJR35" s="114"/>
      <c r="QJW35" s="111"/>
      <c r="QJX35" s="112"/>
      <c r="QJY35" s="113"/>
      <c r="QKA35" s="114"/>
      <c r="QKB35" s="114"/>
      <c r="QKG35" s="111"/>
      <c r="QKH35" s="112"/>
      <c r="QKI35" s="113"/>
      <c r="QKK35" s="114"/>
      <c r="QKL35" s="114"/>
      <c r="QKQ35" s="111"/>
      <c r="QKR35" s="112"/>
      <c r="QKS35" s="113"/>
      <c r="QKU35" s="114"/>
      <c r="QKV35" s="114"/>
      <c r="QLA35" s="111"/>
      <c r="QLB35" s="112"/>
      <c r="QLC35" s="113"/>
      <c r="QLE35" s="114"/>
      <c r="QLF35" s="114"/>
      <c r="QLK35" s="111"/>
      <c r="QLL35" s="112"/>
      <c r="QLM35" s="113"/>
      <c r="QLO35" s="114"/>
      <c r="QLP35" s="114"/>
      <c r="QLU35" s="111"/>
      <c r="QLV35" s="112"/>
      <c r="QLW35" s="113"/>
      <c r="QLY35" s="114"/>
      <c r="QLZ35" s="114"/>
      <c r="QME35" s="111"/>
      <c r="QMF35" s="112"/>
      <c r="QMG35" s="113"/>
      <c r="QMI35" s="114"/>
      <c r="QMJ35" s="114"/>
      <c r="QMO35" s="111"/>
      <c r="QMP35" s="112"/>
      <c r="QMQ35" s="113"/>
      <c r="QMS35" s="114"/>
      <c r="QMT35" s="114"/>
      <c r="QMY35" s="111"/>
      <c r="QMZ35" s="112"/>
      <c r="QNA35" s="113"/>
      <c r="QNC35" s="114"/>
      <c r="QND35" s="114"/>
      <c r="QNI35" s="111"/>
      <c r="QNJ35" s="112"/>
      <c r="QNK35" s="113"/>
      <c r="QNM35" s="114"/>
      <c r="QNN35" s="114"/>
      <c r="QNS35" s="111"/>
      <c r="QNT35" s="112"/>
      <c r="QNU35" s="113"/>
      <c r="QNW35" s="114"/>
      <c r="QNX35" s="114"/>
      <c r="QOC35" s="111"/>
      <c r="QOD35" s="112"/>
      <c r="QOE35" s="113"/>
      <c r="QOG35" s="114"/>
      <c r="QOH35" s="114"/>
      <c r="QOM35" s="111"/>
      <c r="QON35" s="112"/>
      <c r="QOO35" s="113"/>
      <c r="QOQ35" s="114"/>
      <c r="QOR35" s="114"/>
      <c r="QOW35" s="111"/>
      <c r="QOX35" s="112"/>
      <c r="QOY35" s="113"/>
      <c r="QPA35" s="114"/>
      <c r="QPB35" s="114"/>
      <c r="QPG35" s="111"/>
      <c r="QPH35" s="112"/>
      <c r="QPI35" s="113"/>
      <c r="QPK35" s="114"/>
      <c r="QPL35" s="114"/>
      <c r="QPQ35" s="111"/>
      <c r="QPR35" s="112"/>
      <c r="QPS35" s="113"/>
      <c r="QPU35" s="114"/>
      <c r="QPV35" s="114"/>
      <c r="QQA35" s="111"/>
      <c r="QQB35" s="112"/>
      <c r="QQC35" s="113"/>
      <c r="QQE35" s="114"/>
      <c r="QQF35" s="114"/>
      <c r="QQK35" s="111"/>
      <c r="QQL35" s="112"/>
      <c r="QQM35" s="113"/>
      <c r="QQO35" s="114"/>
      <c r="QQP35" s="114"/>
      <c r="QQU35" s="111"/>
      <c r="QQV35" s="112"/>
      <c r="QQW35" s="113"/>
      <c r="QQY35" s="114"/>
      <c r="QQZ35" s="114"/>
      <c r="QRE35" s="111"/>
      <c r="QRF35" s="112"/>
      <c r="QRG35" s="113"/>
      <c r="QRI35" s="114"/>
      <c r="QRJ35" s="114"/>
      <c r="QRO35" s="111"/>
      <c r="QRP35" s="112"/>
      <c r="QRQ35" s="113"/>
      <c r="QRS35" s="114"/>
      <c r="QRT35" s="114"/>
      <c r="QRY35" s="111"/>
      <c r="QRZ35" s="112"/>
      <c r="QSA35" s="113"/>
      <c r="QSC35" s="114"/>
      <c r="QSD35" s="114"/>
      <c r="QSI35" s="111"/>
      <c r="QSJ35" s="112"/>
      <c r="QSK35" s="113"/>
      <c r="QSM35" s="114"/>
      <c r="QSN35" s="114"/>
      <c r="QSS35" s="111"/>
      <c r="QST35" s="112"/>
      <c r="QSU35" s="113"/>
      <c r="QSW35" s="114"/>
      <c r="QSX35" s="114"/>
      <c r="QTC35" s="111"/>
      <c r="QTD35" s="112"/>
      <c r="QTE35" s="113"/>
      <c r="QTG35" s="114"/>
      <c r="QTH35" s="114"/>
      <c r="QTM35" s="111"/>
      <c r="QTN35" s="112"/>
      <c r="QTO35" s="113"/>
      <c r="QTQ35" s="114"/>
      <c r="QTR35" s="114"/>
      <c r="QTW35" s="111"/>
      <c r="QTX35" s="112"/>
      <c r="QTY35" s="113"/>
      <c r="QUA35" s="114"/>
      <c r="QUB35" s="114"/>
      <c r="QUG35" s="111"/>
      <c r="QUH35" s="112"/>
      <c r="QUI35" s="113"/>
      <c r="QUK35" s="114"/>
      <c r="QUL35" s="114"/>
      <c r="QUQ35" s="111"/>
      <c r="QUR35" s="112"/>
      <c r="QUS35" s="113"/>
      <c r="QUU35" s="114"/>
      <c r="QUV35" s="114"/>
      <c r="QVA35" s="111"/>
      <c r="QVB35" s="112"/>
      <c r="QVC35" s="113"/>
      <c r="QVE35" s="114"/>
      <c r="QVF35" s="114"/>
      <c r="QVK35" s="111"/>
      <c r="QVL35" s="112"/>
      <c r="QVM35" s="113"/>
      <c r="QVO35" s="114"/>
      <c r="QVP35" s="114"/>
      <c r="QVU35" s="111"/>
      <c r="QVV35" s="112"/>
      <c r="QVW35" s="113"/>
      <c r="QVY35" s="114"/>
      <c r="QVZ35" s="114"/>
      <c r="QWE35" s="111"/>
      <c r="QWF35" s="112"/>
      <c r="QWG35" s="113"/>
      <c r="QWI35" s="114"/>
      <c r="QWJ35" s="114"/>
      <c r="QWO35" s="111"/>
      <c r="QWP35" s="112"/>
      <c r="QWQ35" s="113"/>
      <c r="QWS35" s="114"/>
      <c r="QWT35" s="114"/>
      <c r="QWY35" s="111"/>
      <c r="QWZ35" s="112"/>
      <c r="QXA35" s="113"/>
      <c r="QXC35" s="114"/>
      <c r="QXD35" s="114"/>
      <c r="QXI35" s="111"/>
      <c r="QXJ35" s="112"/>
      <c r="QXK35" s="113"/>
      <c r="QXM35" s="114"/>
      <c r="QXN35" s="114"/>
      <c r="QXS35" s="111"/>
      <c r="QXT35" s="112"/>
      <c r="QXU35" s="113"/>
      <c r="QXW35" s="114"/>
      <c r="QXX35" s="114"/>
      <c r="QYC35" s="111"/>
      <c r="QYD35" s="112"/>
      <c r="QYE35" s="113"/>
      <c r="QYG35" s="114"/>
      <c r="QYH35" s="114"/>
      <c r="QYM35" s="111"/>
      <c r="QYN35" s="112"/>
      <c r="QYO35" s="113"/>
      <c r="QYQ35" s="114"/>
      <c r="QYR35" s="114"/>
      <c r="QYW35" s="111"/>
      <c r="QYX35" s="112"/>
      <c r="QYY35" s="113"/>
      <c r="QZA35" s="114"/>
      <c r="QZB35" s="114"/>
      <c r="QZG35" s="111"/>
      <c r="QZH35" s="112"/>
      <c r="QZI35" s="113"/>
      <c r="QZK35" s="114"/>
      <c r="QZL35" s="114"/>
      <c r="QZQ35" s="111"/>
      <c r="QZR35" s="112"/>
      <c r="QZS35" s="113"/>
      <c r="QZU35" s="114"/>
      <c r="QZV35" s="114"/>
      <c r="RAA35" s="111"/>
      <c r="RAB35" s="112"/>
      <c r="RAC35" s="113"/>
      <c r="RAE35" s="114"/>
      <c r="RAF35" s="114"/>
      <c r="RAK35" s="111"/>
      <c r="RAL35" s="112"/>
      <c r="RAM35" s="113"/>
      <c r="RAO35" s="114"/>
      <c r="RAP35" s="114"/>
      <c r="RAU35" s="111"/>
      <c r="RAV35" s="112"/>
      <c r="RAW35" s="113"/>
      <c r="RAY35" s="114"/>
      <c r="RAZ35" s="114"/>
      <c r="RBE35" s="111"/>
      <c r="RBF35" s="112"/>
      <c r="RBG35" s="113"/>
      <c r="RBI35" s="114"/>
      <c r="RBJ35" s="114"/>
      <c r="RBO35" s="111"/>
      <c r="RBP35" s="112"/>
      <c r="RBQ35" s="113"/>
      <c r="RBS35" s="114"/>
      <c r="RBT35" s="114"/>
      <c r="RBY35" s="111"/>
      <c r="RBZ35" s="112"/>
      <c r="RCA35" s="113"/>
      <c r="RCC35" s="114"/>
      <c r="RCD35" s="114"/>
      <c r="RCI35" s="111"/>
      <c r="RCJ35" s="112"/>
      <c r="RCK35" s="113"/>
      <c r="RCM35" s="114"/>
      <c r="RCN35" s="114"/>
      <c r="RCS35" s="111"/>
      <c r="RCT35" s="112"/>
      <c r="RCU35" s="113"/>
      <c r="RCW35" s="114"/>
      <c r="RCX35" s="114"/>
      <c r="RDC35" s="111"/>
      <c r="RDD35" s="112"/>
      <c r="RDE35" s="113"/>
      <c r="RDG35" s="114"/>
      <c r="RDH35" s="114"/>
      <c r="RDM35" s="111"/>
      <c r="RDN35" s="112"/>
      <c r="RDO35" s="113"/>
      <c r="RDQ35" s="114"/>
      <c r="RDR35" s="114"/>
      <c r="RDW35" s="111"/>
      <c r="RDX35" s="112"/>
      <c r="RDY35" s="113"/>
      <c r="REA35" s="114"/>
      <c r="REB35" s="114"/>
      <c r="REG35" s="111"/>
      <c r="REH35" s="112"/>
      <c r="REI35" s="113"/>
      <c r="REK35" s="114"/>
      <c r="REL35" s="114"/>
      <c r="REQ35" s="111"/>
      <c r="RER35" s="112"/>
      <c r="RES35" s="113"/>
      <c r="REU35" s="114"/>
      <c r="REV35" s="114"/>
      <c r="RFA35" s="111"/>
      <c r="RFB35" s="112"/>
      <c r="RFC35" s="113"/>
      <c r="RFE35" s="114"/>
      <c r="RFF35" s="114"/>
      <c r="RFK35" s="111"/>
      <c r="RFL35" s="112"/>
      <c r="RFM35" s="113"/>
      <c r="RFO35" s="114"/>
      <c r="RFP35" s="114"/>
      <c r="RFU35" s="111"/>
      <c r="RFV35" s="112"/>
      <c r="RFW35" s="113"/>
      <c r="RFY35" s="114"/>
      <c r="RFZ35" s="114"/>
      <c r="RGE35" s="111"/>
      <c r="RGF35" s="112"/>
      <c r="RGG35" s="113"/>
      <c r="RGI35" s="114"/>
      <c r="RGJ35" s="114"/>
      <c r="RGO35" s="111"/>
      <c r="RGP35" s="112"/>
      <c r="RGQ35" s="113"/>
      <c r="RGS35" s="114"/>
      <c r="RGT35" s="114"/>
      <c r="RGY35" s="111"/>
      <c r="RGZ35" s="112"/>
      <c r="RHA35" s="113"/>
      <c r="RHC35" s="114"/>
      <c r="RHD35" s="114"/>
      <c r="RHI35" s="111"/>
      <c r="RHJ35" s="112"/>
      <c r="RHK35" s="113"/>
      <c r="RHM35" s="114"/>
      <c r="RHN35" s="114"/>
      <c r="RHS35" s="111"/>
      <c r="RHT35" s="112"/>
      <c r="RHU35" s="113"/>
      <c r="RHW35" s="114"/>
      <c r="RHX35" s="114"/>
      <c r="RIC35" s="111"/>
      <c r="RID35" s="112"/>
      <c r="RIE35" s="113"/>
      <c r="RIG35" s="114"/>
      <c r="RIH35" s="114"/>
      <c r="RIM35" s="111"/>
      <c r="RIN35" s="112"/>
      <c r="RIO35" s="113"/>
      <c r="RIQ35" s="114"/>
      <c r="RIR35" s="114"/>
      <c r="RIW35" s="111"/>
      <c r="RIX35" s="112"/>
      <c r="RIY35" s="113"/>
      <c r="RJA35" s="114"/>
      <c r="RJB35" s="114"/>
      <c r="RJG35" s="111"/>
      <c r="RJH35" s="112"/>
      <c r="RJI35" s="113"/>
      <c r="RJK35" s="114"/>
      <c r="RJL35" s="114"/>
      <c r="RJQ35" s="111"/>
      <c r="RJR35" s="112"/>
      <c r="RJS35" s="113"/>
      <c r="RJU35" s="114"/>
      <c r="RJV35" s="114"/>
      <c r="RKA35" s="111"/>
      <c r="RKB35" s="112"/>
      <c r="RKC35" s="113"/>
      <c r="RKE35" s="114"/>
      <c r="RKF35" s="114"/>
      <c r="RKK35" s="111"/>
      <c r="RKL35" s="112"/>
      <c r="RKM35" s="113"/>
      <c r="RKO35" s="114"/>
      <c r="RKP35" s="114"/>
      <c r="RKU35" s="111"/>
      <c r="RKV35" s="112"/>
      <c r="RKW35" s="113"/>
      <c r="RKY35" s="114"/>
      <c r="RKZ35" s="114"/>
      <c r="RLE35" s="111"/>
      <c r="RLF35" s="112"/>
      <c r="RLG35" s="113"/>
      <c r="RLI35" s="114"/>
      <c r="RLJ35" s="114"/>
      <c r="RLO35" s="111"/>
      <c r="RLP35" s="112"/>
      <c r="RLQ35" s="113"/>
      <c r="RLS35" s="114"/>
      <c r="RLT35" s="114"/>
      <c r="RLY35" s="111"/>
      <c r="RLZ35" s="112"/>
      <c r="RMA35" s="113"/>
      <c r="RMC35" s="114"/>
      <c r="RMD35" s="114"/>
      <c r="RMI35" s="111"/>
      <c r="RMJ35" s="112"/>
      <c r="RMK35" s="113"/>
      <c r="RMM35" s="114"/>
      <c r="RMN35" s="114"/>
      <c r="RMS35" s="111"/>
      <c r="RMT35" s="112"/>
      <c r="RMU35" s="113"/>
      <c r="RMW35" s="114"/>
      <c r="RMX35" s="114"/>
      <c r="RNC35" s="111"/>
      <c r="RND35" s="112"/>
      <c r="RNE35" s="113"/>
      <c r="RNG35" s="114"/>
      <c r="RNH35" s="114"/>
      <c r="RNM35" s="111"/>
      <c r="RNN35" s="112"/>
      <c r="RNO35" s="113"/>
      <c r="RNQ35" s="114"/>
      <c r="RNR35" s="114"/>
      <c r="RNW35" s="111"/>
      <c r="RNX35" s="112"/>
      <c r="RNY35" s="113"/>
      <c r="ROA35" s="114"/>
      <c r="ROB35" s="114"/>
      <c r="ROG35" s="111"/>
      <c r="ROH35" s="112"/>
      <c r="ROI35" s="113"/>
      <c r="ROK35" s="114"/>
      <c r="ROL35" s="114"/>
      <c r="ROQ35" s="111"/>
      <c r="ROR35" s="112"/>
      <c r="ROS35" s="113"/>
      <c r="ROU35" s="114"/>
      <c r="ROV35" s="114"/>
      <c r="RPA35" s="111"/>
      <c r="RPB35" s="112"/>
      <c r="RPC35" s="113"/>
      <c r="RPE35" s="114"/>
      <c r="RPF35" s="114"/>
      <c r="RPK35" s="111"/>
      <c r="RPL35" s="112"/>
      <c r="RPM35" s="113"/>
      <c r="RPO35" s="114"/>
      <c r="RPP35" s="114"/>
      <c r="RPU35" s="111"/>
      <c r="RPV35" s="112"/>
      <c r="RPW35" s="113"/>
      <c r="RPY35" s="114"/>
      <c r="RPZ35" s="114"/>
      <c r="RQE35" s="111"/>
      <c r="RQF35" s="112"/>
      <c r="RQG35" s="113"/>
      <c r="RQI35" s="114"/>
      <c r="RQJ35" s="114"/>
      <c r="RQO35" s="111"/>
      <c r="RQP35" s="112"/>
      <c r="RQQ35" s="113"/>
      <c r="RQS35" s="114"/>
      <c r="RQT35" s="114"/>
      <c r="RQY35" s="111"/>
      <c r="RQZ35" s="112"/>
      <c r="RRA35" s="113"/>
      <c r="RRC35" s="114"/>
      <c r="RRD35" s="114"/>
      <c r="RRI35" s="111"/>
      <c r="RRJ35" s="112"/>
      <c r="RRK35" s="113"/>
      <c r="RRM35" s="114"/>
      <c r="RRN35" s="114"/>
      <c r="RRS35" s="111"/>
      <c r="RRT35" s="112"/>
      <c r="RRU35" s="113"/>
      <c r="RRW35" s="114"/>
      <c r="RRX35" s="114"/>
      <c r="RSC35" s="111"/>
      <c r="RSD35" s="112"/>
      <c r="RSE35" s="113"/>
      <c r="RSG35" s="114"/>
      <c r="RSH35" s="114"/>
      <c r="RSM35" s="111"/>
      <c r="RSN35" s="112"/>
      <c r="RSO35" s="113"/>
      <c r="RSQ35" s="114"/>
      <c r="RSR35" s="114"/>
      <c r="RSW35" s="111"/>
      <c r="RSX35" s="112"/>
      <c r="RSY35" s="113"/>
      <c r="RTA35" s="114"/>
      <c r="RTB35" s="114"/>
      <c r="RTG35" s="111"/>
      <c r="RTH35" s="112"/>
      <c r="RTI35" s="113"/>
      <c r="RTK35" s="114"/>
      <c r="RTL35" s="114"/>
      <c r="RTQ35" s="111"/>
      <c r="RTR35" s="112"/>
      <c r="RTS35" s="113"/>
      <c r="RTU35" s="114"/>
      <c r="RTV35" s="114"/>
      <c r="RUA35" s="111"/>
      <c r="RUB35" s="112"/>
      <c r="RUC35" s="113"/>
      <c r="RUE35" s="114"/>
      <c r="RUF35" s="114"/>
      <c r="RUK35" s="111"/>
      <c r="RUL35" s="112"/>
      <c r="RUM35" s="113"/>
      <c r="RUO35" s="114"/>
      <c r="RUP35" s="114"/>
      <c r="RUU35" s="111"/>
      <c r="RUV35" s="112"/>
      <c r="RUW35" s="113"/>
      <c r="RUY35" s="114"/>
      <c r="RUZ35" s="114"/>
      <c r="RVE35" s="111"/>
      <c r="RVF35" s="112"/>
      <c r="RVG35" s="113"/>
      <c r="RVI35" s="114"/>
      <c r="RVJ35" s="114"/>
      <c r="RVO35" s="111"/>
      <c r="RVP35" s="112"/>
      <c r="RVQ35" s="113"/>
      <c r="RVS35" s="114"/>
      <c r="RVT35" s="114"/>
      <c r="RVY35" s="111"/>
      <c r="RVZ35" s="112"/>
      <c r="RWA35" s="113"/>
      <c r="RWC35" s="114"/>
      <c r="RWD35" s="114"/>
      <c r="RWI35" s="111"/>
      <c r="RWJ35" s="112"/>
      <c r="RWK35" s="113"/>
      <c r="RWM35" s="114"/>
      <c r="RWN35" s="114"/>
      <c r="RWS35" s="111"/>
      <c r="RWT35" s="112"/>
      <c r="RWU35" s="113"/>
      <c r="RWW35" s="114"/>
      <c r="RWX35" s="114"/>
      <c r="RXC35" s="111"/>
      <c r="RXD35" s="112"/>
      <c r="RXE35" s="113"/>
      <c r="RXG35" s="114"/>
      <c r="RXH35" s="114"/>
      <c r="RXM35" s="111"/>
      <c r="RXN35" s="112"/>
      <c r="RXO35" s="113"/>
      <c r="RXQ35" s="114"/>
      <c r="RXR35" s="114"/>
      <c r="RXW35" s="111"/>
      <c r="RXX35" s="112"/>
      <c r="RXY35" s="113"/>
      <c r="RYA35" s="114"/>
      <c r="RYB35" s="114"/>
      <c r="RYG35" s="111"/>
      <c r="RYH35" s="112"/>
      <c r="RYI35" s="113"/>
      <c r="RYK35" s="114"/>
      <c r="RYL35" s="114"/>
      <c r="RYQ35" s="111"/>
      <c r="RYR35" s="112"/>
      <c r="RYS35" s="113"/>
      <c r="RYU35" s="114"/>
      <c r="RYV35" s="114"/>
      <c r="RZA35" s="111"/>
      <c r="RZB35" s="112"/>
      <c r="RZC35" s="113"/>
      <c r="RZE35" s="114"/>
      <c r="RZF35" s="114"/>
      <c r="RZK35" s="111"/>
      <c r="RZL35" s="112"/>
      <c r="RZM35" s="113"/>
      <c r="RZO35" s="114"/>
      <c r="RZP35" s="114"/>
      <c r="RZU35" s="111"/>
      <c r="RZV35" s="112"/>
      <c r="RZW35" s="113"/>
      <c r="RZY35" s="114"/>
      <c r="RZZ35" s="114"/>
      <c r="SAE35" s="111"/>
      <c r="SAF35" s="112"/>
      <c r="SAG35" s="113"/>
      <c r="SAI35" s="114"/>
      <c r="SAJ35" s="114"/>
      <c r="SAO35" s="111"/>
      <c r="SAP35" s="112"/>
      <c r="SAQ35" s="113"/>
      <c r="SAS35" s="114"/>
      <c r="SAT35" s="114"/>
      <c r="SAY35" s="111"/>
      <c r="SAZ35" s="112"/>
      <c r="SBA35" s="113"/>
      <c r="SBC35" s="114"/>
      <c r="SBD35" s="114"/>
      <c r="SBI35" s="111"/>
      <c r="SBJ35" s="112"/>
      <c r="SBK35" s="113"/>
      <c r="SBM35" s="114"/>
      <c r="SBN35" s="114"/>
      <c r="SBS35" s="111"/>
      <c r="SBT35" s="112"/>
      <c r="SBU35" s="113"/>
      <c r="SBW35" s="114"/>
      <c r="SBX35" s="114"/>
      <c r="SCC35" s="111"/>
      <c r="SCD35" s="112"/>
      <c r="SCE35" s="113"/>
      <c r="SCG35" s="114"/>
      <c r="SCH35" s="114"/>
      <c r="SCM35" s="111"/>
      <c r="SCN35" s="112"/>
      <c r="SCO35" s="113"/>
      <c r="SCQ35" s="114"/>
      <c r="SCR35" s="114"/>
      <c r="SCW35" s="111"/>
      <c r="SCX35" s="112"/>
      <c r="SCY35" s="113"/>
      <c r="SDA35" s="114"/>
      <c r="SDB35" s="114"/>
      <c r="SDG35" s="111"/>
      <c r="SDH35" s="112"/>
      <c r="SDI35" s="113"/>
      <c r="SDK35" s="114"/>
      <c r="SDL35" s="114"/>
      <c r="SDQ35" s="111"/>
      <c r="SDR35" s="112"/>
      <c r="SDS35" s="113"/>
      <c r="SDU35" s="114"/>
      <c r="SDV35" s="114"/>
      <c r="SEA35" s="111"/>
      <c r="SEB35" s="112"/>
      <c r="SEC35" s="113"/>
      <c r="SEE35" s="114"/>
      <c r="SEF35" s="114"/>
      <c r="SEK35" s="111"/>
      <c r="SEL35" s="112"/>
      <c r="SEM35" s="113"/>
      <c r="SEO35" s="114"/>
      <c r="SEP35" s="114"/>
      <c r="SEU35" s="111"/>
      <c r="SEV35" s="112"/>
      <c r="SEW35" s="113"/>
      <c r="SEY35" s="114"/>
      <c r="SEZ35" s="114"/>
      <c r="SFE35" s="111"/>
      <c r="SFF35" s="112"/>
      <c r="SFG35" s="113"/>
      <c r="SFI35" s="114"/>
      <c r="SFJ35" s="114"/>
      <c r="SFO35" s="111"/>
      <c r="SFP35" s="112"/>
      <c r="SFQ35" s="113"/>
      <c r="SFS35" s="114"/>
      <c r="SFT35" s="114"/>
      <c r="SFY35" s="111"/>
      <c r="SFZ35" s="112"/>
      <c r="SGA35" s="113"/>
      <c r="SGC35" s="114"/>
      <c r="SGD35" s="114"/>
      <c r="SGI35" s="111"/>
      <c r="SGJ35" s="112"/>
      <c r="SGK35" s="113"/>
      <c r="SGM35" s="114"/>
      <c r="SGN35" s="114"/>
      <c r="SGS35" s="111"/>
      <c r="SGT35" s="112"/>
      <c r="SGU35" s="113"/>
      <c r="SGW35" s="114"/>
      <c r="SGX35" s="114"/>
      <c r="SHC35" s="111"/>
      <c r="SHD35" s="112"/>
      <c r="SHE35" s="113"/>
      <c r="SHG35" s="114"/>
      <c r="SHH35" s="114"/>
      <c r="SHM35" s="111"/>
      <c r="SHN35" s="112"/>
      <c r="SHO35" s="113"/>
      <c r="SHQ35" s="114"/>
      <c r="SHR35" s="114"/>
      <c r="SHW35" s="111"/>
      <c r="SHX35" s="112"/>
      <c r="SHY35" s="113"/>
      <c r="SIA35" s="114"/>
      <c r="SIB35" s="114"/>
      <c r="SIG35" s="111"/>
      <c r="SIH35" s="112"/>
      <c r="SII35" s="113"/>
      <c r="SIK35" s="114"/>
      <c r="SIL35" s="114"/>
      <c r="SIQ35" s="111"/>
      <c r="SIR35" s="112"/>
      <c r="SIS35" s="113"/>
      <c r="SIU35" s="114"/>
      <c r="SIV35" s="114"/>
      <c r="SJA35" s="111"/>
      <c r="SJB35" s="112"/>
      <c r="SJC35" s="113"/>
      <c r="SJE35" s="114"/>
      <c r="SJF35" s="114"/>
      <c r="SJK35" s="111"/>
      <c r="SJL35" s="112"/>
      <c r="SJM35" s="113"/>
      <c r="SJO35" s="114"/>
      <c r="SJP35" s="114"/>
      <c r="SJU35" s="111"/>
      <c r="SJV35" s="112"/>
      <c r="SJW35" s="113"/>
      <c r="SJY35" s="114"/>
      <c r="SJZ35" s="114"/>
      <c r="SKE35" s="111"/>
      <c r="SKF35" s="112"/>
      <c r="SKG35" s="113"/>
      <c r="SKI35" s="114"/>
      <c r="SKJ35" s="114"/>
      <c r="SKO35" s="111"/>
      <c r="SKP35" s="112"/>
      <c r="SKQ35" s="113"/>
      <c r="SKS35" s="114"/>
      <c r="SKT35" s="114"/>
      <c r="SKY35" s="111"/>
      <c r="SKZ35" s="112"/>
      <c r="SLA35" s="113"/>
      <c r="SLC35" s="114"/>
      <c r="SLD35" s="114"/>
      <c r="SLI35" s="111"/>
      <c r="SLJ35" s="112"/>
      <c r="SLK35" s="113"/>
      <c r="SLM35" s="114"/>
      <c r="SLN35" s="114"/>
      <c r="SLS35" s="111"/>
      <c r="SLT35" s="112"/>
      <c r="SLU35" s="113"/>
      <c r="SLW35" s="114"/>
      <c r="SLX35" s="114"/>
      <c r="SMC35" s="111"/>
      <c r="SMD35" s="112"/>
      <c r="SME35" s="113"/>
      <c r="SMG35" s="114"/>
      <c r="SMH35" s="114"/>
      <c r="SMM35" s="111"/>
      <c r="SMN35" s="112"/>
      <c r="SMO35" s="113"/>
      <c r="SMQ35" s="114"/>
      <c r="SMR35" s="114"/>
      <c r="SMW35" s="111"/>
      <c r="SMX35" s="112"/>
      <c r="SMY35" s="113"/>
      <c r="SNA35" s="114"/>
      <c r="SNB35" s="114"/>
      <c r="SNG35" s="111"/>
      <c r="SNH35" s="112"/>
      <c r="SNI35" s="113"/>
      <c r="SNK35" s="114"/>
      <c r="SNL35" s="114"/>
      <c r="SNQ35" s="111"/>
      <c r="SNR35" s="112"/>
      <c r="SNS35" s="113"/>
      <c r="SNU35" s="114"/>
      <c r="SNV35" s="114"/>
      <c r="SOA35" s="111"/>
      <c r="SOB35" s="112"/>
      <c r="SOC35" s="113"/>
      <c r="SOE35" s="114"/>
      <c r="SOF35" s="114"/>
      <c r="SOK35" s="111"/>
      <c r="SOL35" s="112"/>
      <c r="SOM35" s="113"/>
      <c r="SOO35" s="114"/>
      <c r="SOP35" s="114"/>
      <c r="SOU35" s="111"/>
      <c r="SOV35" s="112"/>
      <c r="SOW35" s="113"/>
      <c r="SOY35" s="114"/>
      <c r="SOZ35" s="114"/>
      <c r="SPE35" s="111"/>
      <c r="SPF35" s="112"/>
      <c r="SPG35" s="113"/>
      <c r="SPI35" s="114"/>
      <c r="SPJ35" s="114"/>
      <c r="SPO35" s="111"/>
      <c r="SPP35" s="112"/>
      <c r="SPQ35" s="113"/>
      <c r="SPS35" s="114"/>
      <c r="SPT35" s="114"/>
      <c r="SPY35" s="111"/>
      <c r="SPZ35" s="112"/>
      <c r="SQA35" s="113"/>
      <c r="SQC35" s="114"/>
      <c r="SQD35" s="114"/>
      <c r="SQI35" s="111"/>
      <c r="SQJ35" s="112"/>
      <c r="SQK35" s="113"/>
      <c r="SQM35" s="114"/>
      <c r="SQN35" s="114"/>
      <c r="SQS35" s="111"/>
      <c r="SQT35" s="112"/>
      <c r="SQU35" s="113"/>
      <c r="SQW35" s="114"/>
      <c r="SQX35" s="114"/>
      <c r="SRC35" s="111"/>
      <c r="SRD35" s="112"/>
      <c r="SRE35" s="113"/>
      <c r="SRG35" s="114"/>
      <c r="SRH35" s="114"/>
      <c r="SRM35" s="111"/>
      <c r="SRN35" s="112"/>
      <c r="SRO35" s="113"/>
      <c r="SRQ35" s="114"/>
      <c r="SRR35" s="114"/>
      <c r="SRW35" s="111"/>
      <c r="SRX35" s="112"/>
      <c r="SRY35" s="113"/>
      <c r="SSA35" s="114"/>
      <c r="SSB35" s="114"/>
      <c r="SSG35" s="111"/>
      <c r="SSH35" s="112"/>
      <c r="SSI35" s="113"/>
      <c r="SSK35" s="114"/>
      <c r="SSL35" s="114"/>
      <c r="SSQ35" s="111"/>
      <c r="SSR35" s="112"/>
      <c r="SSS35" s="113"/>
      <c r="SSU35" s="114"/>
      <c r="SSV35" s="114"/>
      <c r="STA35" s="111"/>
      <c r="STB35" s="112"/>
      <c r="STC35" s="113"/>
      <c r="STE35" s="114"/>
      <c r="STF35" s="114"/>
      <c r="STK35" s="111"/>
      <c r="STL35" s="112"/>
      <c r="STM35" s="113"/>
      <c r="STO35" s="114"/>
      <c r="STP35" s="114"/>
      <c r="STU35" s="111"/>
      <c r="STV35" s="112"/>
      <c r="STW35" s="113"/>
      <c r="STY35" s="114"/>
      <c r="STZ35" s="114"/>
      <c r="SUE35" s="111"/>
      <c r="SUF35" s="112"/>
      <c r="SUG35" s="113"/>
      <c r="SUI35" s="114"/>
      <c r="SUJ35" s="114"/>
      <c r="SUO35" s="111"/>
      <c r="SUP35" s="112"/>
      <c r="SUQ35" s="113"/>
      <c r="SUS35" s="114"/>
      <c r="SUT35" s="114"/>
      <c r="SUY35" s="111"/>
      <c r="SUZ35" s="112"/>
      <c r="SVA35" s="113"/>
      <c r="SVC35" s="114"/>
      <c r="SVD35" s="114"/>
      <c r="SVI35" s="111"/>
      <c r="SVJ35" s="112"/>
      <c r="SVK35" s="113"/>
      <c r="SVM35" s="114"/>
      <c r="SVN35" s="114"/>
      <c r="SVS35" s="111"/>
      <c r="SVT35" s="112"/>
      <c r="SVU35" s="113"/>
      <c r="SVW35" s="114"/>
      <c r="SVX35" s="114"/>
      <c r="SWC35" s="111"/>
      <c r="SWD35" s="112"/>
      <c r="SWE35" s="113"/>
      <c r="SWG35" s="114"/>
      <c r="SWH35" s="114"/>
      <c r="SWM35" s="111"/>
      <c r="SWN35" s="112"/>
      <c r="SWO35" s="113"/>
      <c r="SWQ35" s="114"/>
      <c r="SWR35" s="114"/>
      <c r="SWW35" s="111"/>
      <c r="SWX35" s="112"/>
      <c r="SWY35" s="113"/>
      <c r="SXA35" s="114"/>
      <c r="SXB35" s="114"/>
      <c r="SXG35" s="111"/>
      <c r="SXH35" s="112"/>
      <c r="SXI35" s="113"/>
      <c r="SXK35" s="114"/>
      <c r="SXL35" s="114"/>
      <c r="SXQ35" s="111"/>
      <c r="SXR35" s="112"/>
      <c r="SXS35" s="113"/>
      <c r="SXU35" s="114"/>
      <c r="SXV35" s="114"/>
      <c r="SYA35" s="111"/>
      <c r="SYB35" s="112"/>
      <c r="SYC35" s="113"/>
      <c r="SYE35" s="114"/>
      <c r="SYF35" s="114"/>
      <c r="SYK35" s="111"/>
      <c r="SYL35" s="112"/>
      <c r="SYM35" s="113"/>
      <c r="SYO35" s="114"/>
      <c r="SYP35" s="114"/>
      <c r="SYU35" s="111"/>
      <c r="SYV35" s="112"/>
      <c r="SYW35" s="113"/>
      <c r="SYY35" s="114"/>
      <c r="SYZ35" s="114"/>
      <c r="SZE35" s="111"/>
      <c r="SZF35" s="112"/>
      <c r="SZG35" s="113"/>
      <c r="SZI35" s="114"/>
      <c r="SZJ35" s="114"/>
      <c r="SZO35" s="111"/>
      <c r="SZP35" s="112"/>
      <c r="SZQ35" s="113"/>
      <c r="SZS35" s="114"/>
      <c r="SZT35" s="114"/>
      <c r="SZY35" s="111"/>
      <c r="SZZ35" s="112"/>
      <c r="TAA35" s="113"/>
      <c r="TAC35" s="114"/>
      <c r="TAD35" s="114"/>
      <c r="TAI35" s="111"/>
      <c r="TAJ35" s="112"/>
      <c r="TAK35" s="113"/>
      <c r="TAM35" s="114"/>
      <c r="TAN35" s="114"/>
      <c r="TAS35" s="111"/>
      <c r="TAT35" s="112"/>
      <c r="TAU35" s="113"/>
      <c r="TAW35" s="114"/>
      <c r="TAX35" s="114"/>
      <c r="TBC35" s="111"/>
      <c r="TBD35" s="112"/>
      <c r="TBE35" s="113"/>
      <c r="TBG35" s="114"/>
      <c r="TBH35" s="114"/>
      <c r="TBM35" s="111"/>
      <c r="TBN35" s="112"/>
      <c r="TBO35" s="113"/>
      <c r="TBQ35" s="114"/>
      <c r="TBR35" s="114"/>
      <c r="TBW35" s="111"/>
      <c r="TBX35" s="112"/>
      <c r="TBY35" s="113"/>
      <c r="TCA35" s="114"/>
      <c r="TCB35" s="114"/>
      <c r="TCG35" s="111"/>
      <c r="TCH35" s="112"/>
      <c r="TCI35" s="113"/>
      <c r="TCK35" s="114"/>
      <c r="TCL35" s="114"/>
      <c r="TCQ35" s="111"/>
      <c r="TCR35" s="112"/>
      <c r="TCS35" s="113"/>
      <c r="TCU35" s="114"/>
      <c r="TCV35" s="114"/>
      <c r="TDA35" s="111"/>
      <c r="TDB35" s="112"/>
      <c r="TDC35" s="113"/>
      <c r="TDE35" s="114"/>
      <c r="TDF35" s="114"/>
      <c r="TDK35" s="111"/>
      <c r="TDL35" s="112"/>
      <c r="TDM35" s="113"/>
      <c r="TDO35" s="114"/>
      <c r="TDP35" s="114"/>
      <c r="TDU35" s="111"/>
      <c r="TDV35" s="112"/>
      <c r="TDW35" s="113"/>
      <c r="TDY35" s="114"/>
      <c r="TDZ35" s="114"/>
      <c r="TEE35" s="111"/>
      <c r="TEF35" s="112"/>
      <c r="TEG35" s="113"/>
      <c r="TEI35" s="114"/>
      <c r="TEJ35" s="114"/>
      <c r="TEO35" s="111"/>
      <c r="TEP35" s="112"/>
      <c r="TEQ35" s="113"/>
      <c r="TES35" s="114"/>
      <c r="TET35" s="114"/>
      <c r="TEY35" s="111"/>
      <c r="TEZ35" s="112"/>
      <c r="TFA35" s="113"/>
      <c r="TFC35" s="114"/>
      <c r="TFD35" s="114"/>
      <c r="TFI35" s="111"/>
      <c r="TFJ35" s="112"/>
      <c r="TFK35" s="113"/>
      <c r="TFM35" s="114"/>
      <c r="TFN35" s="114"/>
      <c r="TFS35" s="111"/>
      <c r="TFT35" s="112"/>
      <c r="TFU35" s="113"/>
      <c r="TFW35" s="114"/>
      <c r="TFX35" s="114"/>
      <c r="TGC35" s="111"/>
      <c r="TGD35" s="112"/>
      <c r="TGE35" s="113"/>
      <c r="TGG35" s="114"/>
      <c r="TGH35" s="114"/>
      <c r="TGM35" s="111"/>
      <c r="TGN35" s="112"/>
      <c r="TGO35" s="113"/>
      <c r="TGQ35" s="114"/>
      <c r="TGR35" s="114"/>
      <c r="TGW35" s="111"/>
      <c r="TGX35" s="112"/>
      <c r="TGY35" s="113"/>
      <c r="THA35" s="114"/>
      <c r="THB35" s="114"/>
      <c r="THG35" s="111"/>
      <c r="THH35" s="112"/>
      <c r="THI35" s="113"/>
      <c r="THK35" s="114"/>
      <c r="THL35" s="114"/>
      <c r="THQ35" s="111"/>
      <c r="THR35" s="112"/>
      <c r="THS35" s="113"/>
      <c r="THU35" s="114"/>
      <c r="THV35" s="114"/>
      <c r="TIA35" s="111"/>
      <c r="TIB35" s="112"/>
      <c r="TIC35" s="113"/>
      <c r="TIE35" s="114"/>
      <c r="TIF35" s="114"/>
      <c r="TIK35" s="111"/>
      <c r="TIL35" s="112"/>
      <c r="TIM35" s="113"/>
      <c r="TIO35" s="114"/>
      <c r="TIP35" s="114"/>
      <c r="TIU35" s="111"/>
      <c r="TIV35" s="112"/>
      <c r="TIW35" s="113"/>
      <c r="TIY35" s="114"/>
      <c r="TIZ35" s="114"/>
      <c r="TJE35" s="111"/>
      <c r="TJF35" s="112"/>
      <c r="TJG35" s="113"/>
      <c r="TJI35" s="114"/>
      <c r="TJJ35" s="114"/>
      <c r="TJO35" s="111"/>
      <c r="TJP35" s="112"/>
      <c r="TJQ35" s="113"/>
      <c r="TJS35" s="114"/>
      <c r="TJT35" s="114"/>
      <c r="TJY35" s="111"/>
      <c r="TJZ35" s="112"/>
      <c r="TKA35" s="113"/>
      <c r="TKC35" s="114"/>
      <c r="TKD35" s="114"/>
      <c r="TKI35" s="111"/>
      <c r="TKJ35" s="112"/>
      <c r="TKK35" s="113"/>
      <c r="TKM35" s="114"/>
      <c r="TKN35" s="114"/>
      <c r="TKS35" s="111"/>
      <c r="TKT35" s="112"/>
      <c r="TKU35" s="113"/>
      <c r="TKW35" s="114"/>
      <c r="TKX35" s="114"/>
      <c r="TLC35" s="111"/>
      <c r="TLD35" s="112"/>
      <c r="TLE35" s="113"/>
      <c r="TLG35" s="114"/>
      <c r="TLH35" s="114"/>
      <c r="TLM35" s="111"/>
      <c r="TLN35" s="112"/>
      <c r="TLO35" s="113"/>
      <c r="TLQ35" s="114"/>
      <c r="TLR35" s="114"/>
      <c r="TLW35" s="111"/>
      <c r="TLX35" s="112"/>
      <c r="TLY35" s="113"/>
      <c r="TMA35" s="114"/>
      <c r="TMB35" s="114"/>
      <c r="TMG35" s="111"/>
      <c r="TMH35" s="112"/>
      <c r="TMI35" s="113"/>
      <c r="TMK35" s="114"/>
      <c r="TML35" s="114"/>
      <c r="TMQ35" s="111"/>
      <c r="TMR35" s="112"/>
      <c r="TMS35" s="113"/>
      <c r="TMU35" s="114"/>
      <c r="TMV35" s="114"/>
      <c r="TNA35" s="111"/>
      <c r="TNB35" s="112"/>
      <c r="TNC35" s="113"/>
      <c r="TNE35" s="114"/>
      <c r="TNF35" s="114"/>
      <c r="TNK35" s="111"/>
      <c r="TNL35" s="112"/>
      <c r="TNM35" s="113"/>
      <c r="TNO35" s="114"/>
      <c r="TNP35" s="114"/>
      <c r="TNU35" s="111"/>
      <c r="TNV35" s="112"/>
      <c r="TNW35" s="113"/>
      <c r="TNY35" s="114"/>
      <c r="TNZ35" s="114"/>
      <c r="TOE35" s="111"/>
      <c r="TOF35" s="112"/>
      <c r="TOG35" s="113"/>
      <c r="TOI35" s="114"/>
      <c r="TOJ35" s="114"/>
      <c r="TOO35" s="111"/>
      <c r="TOP35" s="112"/>
      <c r="TOQ35" s="113"/>
      <c r="TOS35" s="114"/>
      <c r="TOT35" s="114"/>
      <c r="TOY35" s="111"/>
      <c r="TOZ35" s="112"/>
      <c r="TPA35" s="113"/>
      <c r="TPC35" s="114"/>
      <c r="TPD35" s="114"/>
      <c r="TPI35" s="111"/>
      <c r="TPJ35" s="112"/>
      <c r="TPK35" s="113"/>
      <c r="TPM35" s="114"/>
      <c r="TPN35" s="114"/>
      <c r="TPS35" s="111"/>
      <c r="TPT35" s="112"/>
      <c r="TPU35" s="113"/>
      <c r="TPW35" s="114"/>
      <c r="TPX35" s="114"/>
      <c r="TQC35" s="111"/>
      <c r="TQD35" s="112"/>
      <c r="TQE35" s="113"/>
      <c r="TQG35" s="114"/>
      <c r="TQH35" s="114"/>
      <c r="TQM35" s="111"/>
      <c r="TQN35" s="112"/>
      <c r="TQO35" s="113"/>
      <c r="TQQ35" s="114"/>
      <c r="TQR35" s="114"/>
      <c r="TQW35" s="111"/>
      <c r="TQX35" s="112"/>
      <c r="TQY35" s="113"/>
      <c r="TRA35" s="114"/>
      <c r="TRB35" s="114"/>
      <c r="TRG35" s="111"/>
      <c r="TRH35" s="112"/>
      <c r="TRI35" s="113"/>
      <c r="TRK35" s="114"/>
      <c r="TRL35" s="114"/>
      <c r="TRQ35" s="111"/>
      <c r="TRR35" s="112"/>
      <c r="TRS35" s="113"/>
      <c r="TRU35" s="114"/>
      <c r="TRV35" s="114"/>
      <c r="TSA35" s="111"/>
      <c r="TSB35" s="112"/>
      <c r="TSC35" s="113"/>
      <c r="TSE35" s="114"/>
      <c r="TSF35" s="114"/>
      <c r="TSK35" s="111"/>
      <c r="TSL35" s="112"/>
      <c r="TSM35" s="113"/>
      <c r="TSO35" s="114"/>
      <c r="TSP35" s="114"/>
      <c r="TSU35" s="111"/>
      <c r="TSV35" s="112"/>
      <c r="TSW35" s="113"/>
      <c r="TSY35" s="114"/>
      <c r="TSZ35" s="114"/>
      <c r="TTE35" s="111"/>
      <c r="TTF35" s="112"/>
      <c r="TTG35" s="113"/>
      <c r="TTI35" s="114"/>
      <c r="TTJ35" s="114"/>
      <c r="TTO35" s="111"/>
      <c r="TTP35" s="112"/>
      <c r="TTQ35" s="113"/>
      <c r="TTS35" s="114"/>
      <c r="TTT35" s="114"/>
      <c r="TTY35" s="111"/>
      <c r="TTZ35" s="112"/>
      <c r="TUA35" s="113"/>
      <c r="TUC35" s="114"/>
      <c r="TUD35" s="114"/>
      <c r="TUI35" s="111"/>
      <c r="TUJ35" s="112"/>
      <c r="TUK35" s="113"/>
      <c r="TUM35" s="114"/>
      <c r="TUN35" s="114"/>
      <c r="TUS35" s="111"/>
      <c r="TUT35" s="112"/>
      <c r="TUU35" s="113"/>
      <c r="TUW35" s="114"/>
      <c r="TUX35" s="114"/>
      <c r="TVC35" s="111"/>
      <c r="TVD35" s="112"/>
      <c r="TVE35" s="113"/>
      <c r="TVG35" s="114"/>
      <c r="TVH35" s="114"/>
      <c r="TVM35" s="111"/>
      <c r="TVN35" s="112"/>
      <c r="TVO35" s="113"/>
      <c r="TVQ35" s="114"/>
      <c r="TVR35" s="114"/>
      <c r="TVW35" s="111"/>
      <c r="TVX35" s="112"/>
      <c r="TVY35" s="113"/>
      <c r="TWA35" s="114"/>
      <c r="TWB35" s="114"/>
      <c r="TWG35" s="111"/>
      <c r="TWH35" s="112"/>
      <c r="TWI35" s="113"/>
      <c r="TWK35" s="114"/>
      <c r="TWL35" s="114"/>
      <c r="TWQ35" s="111"/>
      <c r="TWR35" s="112"/>
      <c r="TWS35" s="113"/>
      <c r="TWU35" s="114"/>
      <c r="TWV35" s="114"/>
      <c r="TXA35" s="111"/>
      <c r="TXB35" s="112"/>
      <c r="TXC35" s="113"/>
      <c r="TXE35" s="114"/>
      <c r="TXF35" s="114"/>
      <c r="TXK35" s="111"/>
      <c r="TXL35" s="112"/>
      <c r="TXM35" s="113"/>
      <c r="TXO35" s="114"/>
      <c r="TXP35" s="114"/>
      <c r="TXU35" s="111"/>
      <c r="TXV35" s="112"/>
      <c r="TXW35" s="113"/>
      <c r="TXY35" s="114"/>
      <c r="TXZ35" s="114"/>
      <c r="TYE35" s="111"/>
      <c r="TYF35" s="112"/>
      <c r="TYG35" s="113"/>
      <c r="TYI35" s="114"/>
      <c r="TYJ35" s="114"/>
      <c r="TYO35" s="111"/>
      <c r="TYP35" s="112"/>
      <c r="TYQ35" s="113"/>
      <c r="TYS35" s="114"/>
      <c r="TYT35" s="114"/>
      <c r="TYY35" s="111"/>
      <c r="TYZ35" s="112"/>
      <c r="TZA35" s="113"/>
      <c r="TZC35" s="114"/>
      <c r="TZD35" s="114"/>
      <c r="TZI35" s="111"/>
      <c r="TZJ35" s="112"/>
      <c r="TZK35" s="113"/>
      <c r="TZM35" s="114"/>
      <c r="TZN35" s="114"/>
      <c r="TZS35" s="111"/>
      <c r="TZT35" s="112"/>
      <c r="TZU35" s="113"/>
      <c r="TZW35" s="114"/>
      <c r="TZX35" s="114"/>
      <c r="UAC35" s="111"/>
      <c r="UAD35" s="112"/>
      <c r="UAE35" s="113"/>
      <c r="UAG35" s="114"/>
      <c r="UAH35" s="114"/>
      <c r="UAM35" s="111"/>
      <c r="UAN35" s="112"/>
      <c r="UAO35" s="113"/>
      <c r="UAQ35" s="114"/>
      <c r="UAR35" s="114"/>
      <c r="UAW35" s="111"/>
      <c r="UAX35" s="112"/>
      <c r="UAY35" s="113"/>
      <c r="UBA35" s="114"/>
      <c r="UBB35" s="114"/>
      <c r="UBG35" s="111"/>
      <c r="UBH35" s="112"/>
      <c r="UBI35" s="113"/>
      <c r="UBK35" s="114"/>
      <c r="UBL35" s="114"/>
      <c r="UBQ35" s="111"/>
      <c r="UBR35" s="112"/>
      <c r="UBS35" s="113"/>
      <c r="UBU35" s="114"/>
      <c r="UBV35" s="114"/>
      <c r="UCA35" s="111"/>
      <c r="UCB35" s="112"/>
      <c r="UCC35" s="113"/>
      <c r="UCE35" s="114"/>
      <c r="UCF35" s="114"/>
      <c r="UCK35" s="111"/>
      <c r="UCL35" s="112"/>
      <c r="UCM35" s="113"/>
      <c r="UCO35" s="114"/>
      <c r="UCP35" s="114"/>
      <c r="UCU35" s="111"/>
      <c r="UCV35" s="112"/>
      <c r="UCW35" s="113"/>
      <c r="UCY35" s="114"/>
      <c r="UCZ35" s="114"/>
      <c r="UDE35" s="111"/>
      <c r="UDF35" s="112"/>
      <c r="UDG35" s="113"/>
      <c r="UDI35" s="114"/>
      <c r="UDJ35" s="114"/>
      <c r="UDO35" s="111"/>
      <c r="UDP35" s="112"/>
      <c r="UDQ35" s="113"/>
      <c r="UDS35" s="114"/>
      <c r="UDT35" s="114"/>
      <c r="UDY35" s="111"/>
      <c r="UDZ35" s="112"/>
      <c r="UEA35" s="113"/>
      <c r="UEC35" s="114"/>
      <c r="UED35" s="114"/>
      <c r="UEI35" s="111"/>
      <c r="UEJ35" s="112"/>
      <c r="UEK35" s="113"/>
      <c r="UEM35" s="114"/>
      <c r="UEN35" s="114"/>
      <c r="UES35" s="111"/>
      <c r="UET35" s="112"/>
      <c r="UEU35" s="113"/>
      <c r="UEW35" s="114"/>
      <c r="UEX35" s="114"/>
      <c r="UFC35" s="111"/>
      <c r="UFD35" s="112"/>
      <c r="UFE35" s="113"/>
      <c r="UFG35" s="114"/>
      <c r="UFH35" s="114"/>
      <c r="UFM35" s="111"/>
      <c r="UFN35" s="112"/>
      <c r="UFO35" s="113"/>
      <c r="UFQ35" s="114"/>
      <c r="UFR35" s="114"/>
      <c r="UFW35" s="111"/>
      <c r="UFX35" s="112"/>
      <c r="UFY35" s="113"/>
      <c r="UGA35" s="114"/>
      <c r="UGB35" s="114"/>
      <c r="UGG35" s="111"/>
      <c r="UGH35" s="112"/>
      <c r="UGI35" s="113"/>
      <c r="UGK35" s="114"/>
      <c r="UGL35" s="114"/>
      <c r="UGQ35" s="111"/>
      <c r="UGR35" s="112"/>
      <c r="UGS35" s="113"/>
      <c r="UGU35" s="114"/>
      <c r="UGV35" s="114"/>
      <c r="UHA35" s="111"/>
      <c r="UHB35" s="112"/>
      <c r="UHC35" s="113"/>
      <c r="UHE35" s="114"/>
      <c r="UHF35" s="114"/>
      <c r="UHK35" s="111"/>
      <c r="UHL35" s="112"/>
      <c r="UHM35" s="113"/>
      <c r="UHO35" s="114"/>
      <c r="UHP35" s="114"/>
      <c r="UHU35" s="111"/>
      <c r="UHV35" s="112"/>
      <c r="UHW35" s="113"/>
      <c r="UHY35" s="114"/>
      <c r="UHZ35" s="114"/>
      <c r="UIE35" s="111"/>
      <c r="UIF35" s="112"/>
      <c r="UIG35" s="113"/>
      <c r="UII35" s="114"/>
      <c r="UIJ35" s="114"/>
      <c r="UIO35" s="111"/>
      <c r="UIP35" s="112"/>
      <c r="UIQ35" s="113"/>
      <c r="UIS35" s="114"/>
      <c r="UIT35" s="114"/>
      <c r="UIY35" s="111"/>
      <c r="UIZ35" s="112"/>
      <c r="UJA35" s="113"/>
      <c r="UJC35" s="114"/>
      <c r="UJD35" s="114"/>
      <c r="UJI35" s="111"/>
      <c r="UJJ35" s="112"/>
      <c r="UJK35" s="113"/>
      <c r="UJM35" s="114"/>
      <c r="UJN35" s="114"/>
      <c r="UJS35" s="111"/>
      <c r="UJT35" s="112"/>
      <c r="UJU35" s="113"/>
      <c r="UJW35" s="114"/>
      <c r="UJX35" s="114"/>
      <c r="UKC35" s="111"/>
      <c r="UKD35" s="112"/>
      <c r="UKE35" s="113"/>
      <c r="UKG35" s="114"/>
      <c r="UKH35" s="114"/>
      <c r="UKM35" s="111"/>
      <c r="UKN35" s="112"/>
      <c r="UKO35" s="113"/>
      <c r="UKQ35" s="114"/>
      <c r="UKR35" s="114"/>
      <c r="UKW35" s="111"/>
      <c r="UKX35" s="112"/>
      <c r="UKY35" s="113"/>
      <c r="ULA35" s="114"/>
      <c r="ULB35" s="114"/>
      <c r="ULG35" s="111"/>
      <c r="ULH35" s="112"/>
      <c r="ULI35" s="113"/>
      <c r="ULK35" s="114"/>
      <c r="ULL35" s="114"/>
      <c r="ULQ35" s="111"/>
      <c r="ULR35" s="112"/>
      <c r="ULS35" s="113"/>
      <c r="ULU35" s="114"/>
      <c r="ULV35" s="114"/>
      <c r="UMA35" s="111"/>
      <c r="UMB35" s="112"/>
      <c r="UMC35" s="113"/>
      <c r="UME35" s="114"/>
      <c r="UMF35" s="114"/>
      <c r="UMK35" s="111"/>
      <c r="UML35" s="112"/>
      <c r="UMM35" s="113"/>
      <c r="UMO35" s="114"/>
      <c r="UMP35" s="114"/>
      <c r="UMU35" s="111"/>
      <c r="UMV35" s="112"/>
      <c r="UMW35" s="113"/>
      <c r="UMY35" s="114"/>
      <c r="UMZ35" s="114"/>
      <c r="UNE35" s="111"/>
      <c r="UNF35" s="112"/>
      <c r="UNG35" s="113"/>
      <c r="UNI35" s="114"/>
      <c r="UNJ35" s="114"/>
      <c r="UNO35" s="111"/>
      <c r="UNP35" s="112"/>
      <c r="UNQ35" s="113"/>
      <c r="UNS35" s="114"/>
      <c r="UNT35" s="114"/>
      <c r="UNY35" s="111"/>
      <c r="UNZ35" s="112"/>
      <c r="UOA35" s="113"/>
      <c r="UOC35" s="114"/>
      <c r="UOD35" s="114"/>
      <c r="UOI35" s="111"/>
      <c r="UOJ35" s="112"/>
      <c r="UOK35" s="113"/>
      <c r="UOM35" s="114"/>
      <c r="UON35" s="114"/>
      <c r="UOS35" s="111"/>
      <c r="UOT35" s="112"/>
      <c r="UOU35" s="113"/>
      <c r="UOW35" s="114"/>
      <c r="UOX35" s="114"/>
      <c r="UPC35" s="111"/>
      <c r="UPD35" s="112"/>
      <c r="UPE35" s="113"/>
      <c r="UPG35" s="114"/>
      <c r="UPH35" s="114"/>
      <c r="UPM35" s="111"/>
      <c r="UPN35" s="112"/>
      <c r="UPO35" s="113"/>
      <c r="UPQ35" s="114"/>
      <c r="UPR35" s="114"/>
      <c r="UPW35" s="111"/>
      <c r="UPX35" s="112"/>
      <c r="UPY35" s="113"/>
      <c r="UQA35" s="114"/>
      <c r="UQB35" s="114"/>
      <c r="UQG35" s="111"/>
      <c r="UQH35" s="112"/>
      <c r="UQI35" s="113"/>
      <c r="UQK35" s="114"/>
      <c r="UQL35" s="114"/>
      <c r="UQQ35" s="111"/>
      <c r="UQR35" s="112"/>
      <c r="UQS35" s="113"/>
      <c r="UQU35" s="114"/>
      <c r="UQV35" s="114"/>
      <c r="URA35" s="111"/>
      <c r="URB35" s="112"/>
      <c r="URC35" s="113"/>
      <c r="URE35" s="114"/>
      <c r="URF35" s="114"/>
      <c r="URK35" s="111"/>
      <c r="URL35" s="112"/>
      <c r="URM35" s="113"/>
      <c r="URO35" s="114"/>
      <c r="URP35" s="114"/>
      <c r="URU35" s="111"/>
      <c r="URV35" s="112"/>
      <c r="URW35" s="113"/>
      <c r="URY35" s="114"/>
      <c r="URZ35" s="114"/>
      <c r="USE35" s="111"/>
      <c r="USF35" s="112"/>
      <c r="USG35" s="113"/>
      <c r="USI35" s="114"/>
      <c r="USJ35" s="114"/>
      <c r="USO35" s="111"/>
      <c r="USP35" s="112"/>
      <c r="USQ35" s="113"/>
      <c r="USS35" s="114"/>
      <c r="UST35" s="114"/>
      <c r="USY35" s="111"/>
      <c r="USZ35" s="112"/>
      <c r="UTA35" s="113"/>
      <c r="UTC35" s="114"/>
      <c r="UTD35" s="114"/>
      <c r="UTI35" s="111"/>
      <c r="UTJ35" s="112"/>
      <c r="UTK35" s="113"/>
      <c r="UTM35" s="114"/>
      <c r="UTN35" s="114"/>
      <c r="UTS35" s="111"/>
      <c r="UTT35" s="112"/>
      <c r="UTU35" s="113"/>
      <c r="UTW35" s="114"/>
      <c r="UTX35" s="114"/>
      <c r="UUC35" s="111"/>
      <c r="UUD35" s="112"/>
      <c r="UUE35" s="113"/>
      <c r="UUG35" s="114"/>
      <c r="UUH35" s="114"/>
      <c r="UUM35" s="111"/>
      <c r="UUN35" s="112"/>
      <c r="UUO35" s="113"/>
      <c r="UUQ35" s="114"/>
      <c r="UUR35" s="114"/>
      <c r="UUW35" s="111"/>
      <c r="UUX35" s="112"/>
      <c r="UUY35" s="113"/>
      <c r="UVA35" s="114"/>
      <c r="UVB35" s="114"/>
      <c r="UVG35" s="111"/>
      <c r="UVH35" s="112"/>
      <c r="UVI35" s="113"/>
      <c r="UVK35" s="114"/>
      <c r="UVL35" s="114"/>
      <c r="UVQ35" s="111"/>
      <c r="UVR35" s="112"/>
      <c r="UVS35" s="113"/>
      <c r="UVU35" s="114"/>
      <c r="UVV35" s="114"/>
      <c r="UWA35" s="111"/>
      <c r="UWB35" s="112"/>
      <c r="UWC35" s="113"/>
      <c r="UWE35" s="114"/>
      <c r="UWF35" s="114"/>
      <c r="UWK35" s="111"/>
      <c r="UWL35" s="112"/>
      <c r="UWM35" s="113"/>
      <c r="UWO35" s="114"/>
      <c r="UWP35" s="114"/>
      <c r="UWU35" s="111"/>
      <c r="UWV35" s="112"/>
      <c r="UWW35" s="113"/>
      <c r="UWY35" s="114"/>
      <c r="UWZ35" s="114"/>
      <c r="UXE35" s="111"/>
      <c r="UXF35" s="112"/>
      <c r="UXG35" s="113"/>
      <c r="UXI35" s="114"/>
      <c r="UXJ35" s="114"/>
      <c r="UXO35" s="111"/>
      <c r="UXP35" s="112"/>
      <c r="UXQ35" s="113"/>
      <c r="UXS35" s="114"/>
      <c r="UXT35" s="114"/>
      <c r="UXY35" s="111"/>
      <c r="UXZ35" s="112"/>
      <c r="UYA35" s="113"/>
      <c r="UYC35" s="114"/>
      <c r="UYD35" s="114"/>
      <c r="UYI35" s="111"/>
      <c r="UYJ35" s="112"/>
      <c r="UYK35" s="113"/>
      <c r="UYM35" s="114"/>
      <c r="UYN35" s="114"/>
      <c r="UYS35" s="111"/>
      <c r="UYT35" s="112"/>
      <c r="UYU35" s="113"/>
      <c r="UYW35" s="114"/>
      <c r="UYX35" s="114"/>
      <c r="UZC35" s="111"/>
      <c r="UZD35" s="112"/>
      <c r="UZE35" s="113"/>
      <c r="UZG35" s="114"/>
      <c r="UZH35" s="114"/>
      <c r="UZM35" s="111"/>
      <c r="UZN35" s="112"/>
      <c r="UZO35" s="113"/>
      <c r="UZQ35" s="114"/>
      <c r="UZR35" s="114"/>
      <c r="UZW35" s="111"/>
      <c r="UZX35" s="112"/>
      <c r="UZY35" s="113"/>
      <c r="VAA35" s="114"/>
      <c r="VAB35" s="114"/>
      <c r="VAG35" s="111"/>
      <c r="VAH35" s="112"/>
      <c r="VAI35" s="113"/>
      <c r="VAK35" s="114"/>
      <c r="VAL35" s="114"/>
      <c r="VAQ35" s="111"/>
      <c r="VAR35" s="112"/>
      <c r="VAS35" s="113"/>
      <c r="VAU35" s="114"/>
      <c r="VAV35" s="114"/>
      <c r="VBA35" s="111"/>
      <c r="VBB35" s="112"/>
      <c r="VBC35" s="113"/>
      <c r="VBE35" s="114"/>
      <c r="VBF35" s="114"/>
      <c r="VBK35" s="111"/>
      <c r="VBL35" s="112"/>
      <c r="VBM35" s="113"/>
      <c r="VBO35" s="114"/>
      <c r="VBP35" s="114"/>
      <c r="VBU35" s="111"/>
      <c r="VBV35" s="112"/>
      <c r="VBW35" s="113"/>
      <c r="VBY35" s="114"/>
      <c r="VBZ35" s="114"/>
      <c r="VCE35" s="111"/>
      <c r="VCF35" s="112"/>
      <c r="VCG35" s="113"/>
      <c r="VCI35" s="114"/>
      <c r="VCJ35" s="114"/>
      <c r="VCO35" s="111"/>
      <c r="VCP35" s="112"/>
      <c r="VCQ35" s="113"/>
      <c r="VCS35" s="114"/>
      <c r="VCT35" s="114"/>
      <c r="VCY35" s="111"/>
      <c r="VCZ35" s="112"/>
      <c r="VDA35" s="113"/>
      <c r="VDC35" s="114"/>
      <c r="VDD35" s="114"/>
      <c r="VDI35" s="111"/>
      <c r="VDJ35" s="112"/>
      <c r="VDK35" s="113"/>
      <c r="VDM35" s="114"/>
      <c r="VDN35" s="114"/>
      <c r="VDS35" s="111"/>
      <c r="VDT35" s="112"/>
      <c r="VDU35" s="113"/>
      <c r="VDW35" s="114"/>
      <c r="VDX35" s="114"/>
      <c r="VEC35" s="111"/>
      <c r="VED35" s="112"/>
      <c r="VEE35" s="113"/>
      <c r="VEG35" s="114"/>
      <c r="VEH35" s="114"/>
      <c r="VEM35" s="111"/>
      <c r="VEN35" s="112"/>
      <c r="VEO35" s="113"/>
      <c r="VEQ35" s="114"/>
      <c r="VER35" s="114"/>
      <c r="VEW35" s="111"/>
      <c r="VEX35" s="112"/>
      <c r="VEY35" s="113"/>
      <c r="VFA35" s="114"/>
      <c r="VFB35" s="114"/>
      <c r="VFG35" s="111"/>
      <c r="VFH35" s="112"/>
      <c r="VFI35" s="113"/>
      <c r="VFK35" s="114"/>
      <c r="VFL35" s="114"/>
      <c r="VFQ35" s="111"/>
      <c r="VFR35" s="112"/>
      <c r="VFS35" s="113"/>
      <c r="VFU35" s="114"/>
      <c r="VFV35" s="114"/>
      <c r="VGA35" s="111"/>
      <c r="VGB35" s="112"/>
      <c r="VGC35" s="113"/>
      <c r="VGE35" s="114"/>
      <c r="VGF35" s="114"/>
      <c r="VGK35" s="111"/>
      <c r="VGL35" s="112"/>
      <c r="VGM35" s="113"/>
      <c r="VGO35" s="114"/>
      <c r="VGP35" s="114"/>
      <c r="VGU35" s="111"/>
      <c r="VGV35" s="112"/>
      <c r="VGW35" s="113"/>
      <c r="VGY35" s="114"/>
      <c r="VGZ35" s="114"/>
      <c r="VHE35" s="111"/>
      <c r="VHF35" s="112"/>
      <c r="VHG35" s="113"/>
      <c r="VHI35" s="114"/>
      <c r="VHJ35" s="114"/>
      <c r="VHO35" s="111"/>
      <c r="VHP35" s="112"/>
      <c r="VHQ35" s="113"/>
      <c r="VHS35" s="114"/>
      <c r="VHT35" s="114"/>
      <c r="VHY35" s="111"/>
      <c r="VHZ35" s="112"/>
      <c r="VIA35" s="113"/>
      <c r="VIC35" s="114"/>
      <c r="VID35" s="114"/>
      <c r="VII35" s="111"/>
      <c r="VIJ35" s="112"/>
      <c r="VIK35" s="113"/>
      <c r="VIM35" s="114"/>
      <c r="VIN35" s="114"/>
      <c r="VIS35" s="111"/>
      <c r="VIT35" s="112"/>
      <c r="VIU35" s="113"/>
      <c r="VIW35" s="114"/>
      <c r="VIX35" s="114"/>
      <c r="VJC35" s="111"/>
      <c r="VJD35" s="112"/>
      <c r="VJE35" s="113"/>
      <c r="VJG35" s="114"/>
      <c r="VJH35" s="114"/>
      <c r="VJM35" s="111"/>
      <c r="VJN35" s="112"/>
      <c r="VJO35" s="113"/>
      <c r="VJQ35" s="114"/>
      <c r="VJR35" s="114"/>
      <c r="VJW35" s="111"/>
      <c r="VJX35" s="112"/>
      <c r="VJY35" s="113"/>
      <c r="VKA35" s="114"/>
      <c r="VKB35" s="114"/>
      <c r="VKG35" s="111"/>
      <c r="VKH35" s="112"/>
      <c r="VKI35" s="113"/>
      <c r="VKK35" s="114"/>
      <c r="VKL35" s="114"/>
      <c r="VKQ35" s="111"/>
      <c r="VKR35" s="112"/>
      <c r="VKS35" s="113"/>
      <c r="VKU35" s="114"/>
      <c r="VKV35" s="114"/>
      <c r="VLA35" s="111"/>
      <c r="VLB35" s="112"/>
      <c r="VLC35" s="113"/>
      <c r="VLE35" s="114"/>
      <c r="VLF35" s="114"/>
      <c r="VLK35" s="111"/>
      <c r="VLL35" s="112"/>
      <c r="VLM35" s="113"/>
      <c r="VLO35" s="114"/>
      <c r="VLP35" s="114"/>
      <c r="VLU35" s="111"/>
      <c r="VLV35" s="112"/>
      <c r="VLW35" s="113"/>
      <c r="VLY35" s="114"/>
      <c r="VLZ35" s="114"/>
      <c r="VME35" s="111"/>
      <c r="VMF35" s="112"/>
      <c r="VMG35" s="113"/>
      <c r="VMI35" s="114"/>
      <c r="VMJ35" s="114"/>
      <c r="VMO35" s="111"/>
      <c r="VMP35" s="112"/>
      <c r="VMQ35" s="113"/>
      <c r="VMS35" s="114"/>
      <c r="VMT35" s="114"/>
      <c r="VMY35" s="111"/>
      <c r="VMZ35" s="112"/>
      <c r="VNA35" s="113"/>
      <c r="VNC35" s="114"/>
      <c r="VND35" s="114"/>
      <c r="VNI35" s="111"/>
      <c r="VNJ35" s="112"/>
      <c r="VNK35" s="113"/>
      <c r="VNM35" s="114"/>
      <c r="VNN35" s="114"/>
      <c r="VNS35" s="111"/>
      <c r="VNT35" s="112"/>
      <c r="VNU35" s="113"/>
      <c r="VNW35" s="114"/>
      <c r="VNX35" s="114"/>
      <c r="VOC35" s="111"/>
      <c r="VOD35" s="112"/>
      <c r="VOE35" s="113"/>
      <c r="VOG35" s="114"/>
      <c r="VOH35" s="114"/>
      <c r="VOM35" s="111"/>
      <c r="VON35" s="112"/>
      <c r="VOO35" s="113"/>
      <c r="VOQ35" s="114"/>
      <c r="VOR35" s="114"/>
      <c r="VOW35" s="111"/>
      <c r="VOX35" s="112"/>
      <c r="VOY35" s="113"/>
      <c r="VPA35" s="114"/>
      <c r="VPB35" s="114"/>
      <c r="VPG35" s="111"/>
      <c r="VPH35" s="112"/>
      <c r="VPI35" s="113"/>
      <c r="VPK35" s="114"/>
      <c r="VPL35" s="114"/>
      <c r="VPQ35" s="111"/>
      <c r="VPR35" s="112"/>
      <c r="VPS35" s="113"/>
      <c r="VPU35" s="114"/>
      <c r="VPV35" s="114"/>
      <c r="VQA35" s="111"/>
      <c r="VQB35" s="112"/>
      <c r="VQC35" s="113"/>
      <c r="VQE35" s="114"/>
      <c r="VQF35" s="114"/>
      <c r="VQK35" s="111"/>
      <c r="VQL35" s="112"/>
      <c r="VQM35" s="113"/>
      <c r="VQO35" s="114"/>
      <c r="VQP35" s="114"/>
      <c r="VQU35" s="111"/>
      <c r="VQV35" s="112"/>
      <c r="VQW35" s="113"/>
      <c r="VQY35" s="114"/>
      <c r="VQZ35" s="114"/>
      <c r="VRE35" s="111"/>
      <c r="VRF35" s="112"/>
      <c r="VRG35" s="113"/>
      <c r="VRI35" s="114"/>
      <c r="VRJ35" s="114"/>
      <c r="VRO35" s="111"/>
      <c r="VRP35" s="112"/>
      <c r="VRQ35" s="113"/>
      <c r="VRS35" s="114"/>
      <c r="VRT35" s="114"/>
      <c r="VRY35" s="111"/>
      <c r="VRZ35" s="112"/>
      <c r="VSA35" s="113"/>
      <c r="VSC35" s="114"/>
      <c r="VSD35" s="114"/>
      <c r="VSI35" s="111"/>
      <c r="VSJ35" s="112"/>
      <c r="VSK35" s="113"/>
      <c r="VSM35" s="114"/>
      <c r="VSN35" s="114"/>
      <c r="VSS35" s="111"/>
      <c r="VST35" s="112"/>
      <c r="VSU35" s="113"/>
      <c r="VSW35" s="114"/>
      <c r="VSX35" s="114"/>
      <c r="VTC35" s="111"/>
      <c r="VTD35" s="112"/>
      <c r="VTE35" s="113"/>
      <c r="VTG35" s="114"/>
      <c r="VTH35" s="114"/>
      <c r="VTM35" s="111"/>
      <c r="VTN35" s="112"/>
      <c r="VTO35" s="113"/>
      <c r="VTQ35" s="114"/>
      <c r="VTR35" s="114"/>
      <c r="VTW35" s="111"/>
      <c r="VTX35" s="112"/>
      <c r="VTY35" s="113"/>
      <c r="VUA35" s="114"/>
      <c r="VUB35" s="114"/>
      <c r="VUG35" s="111"/>
      <c r="VUH35" s="112"/>
      <c r="VUI35" s="113"/>
      <c r="VUK35" s="114"/>
      <c r="VUL35" s="114"/>
      <c r="VUQ35" s="111"/>
      <c r="VUR35" s="112"/>
      <c r="VUS35" s="113"/>
      <c r="VUU35" s="114"/>
      <c r="VUV35" s="114"/>
      <c r="VVA35" s="111"/>
      <c r="VVB35" s="112"/>
      <c r="VVC35" s="113"/>
      <c r="VVE35" s="114"/>
      <c r="VVF35" s="114"/>
      <c r="VVK35" s="111"/>
      <c r="VVL35" s="112"/>
      <c r="VVM35" s="113"/>
      <c r="VVO35" s="114"/>
      <c r="VVP35" s="114"/>
      <c r="VVU35" s="111"/>
      <c r="VVV35" s="112"/>
      <c r="VVW35" s="113"/>
      <c r="VVY35" s="114"/>
      <c r="VVZ35" s="114"/>
      <c r="VWE35" s="111"/>
      <c r="VWF35" s="112"/>
      <c r="VWG35" s="113"/>
      <c r="VWI35" s="114"/>
      <c r="VWJ35" s="114"/>
      <c r="VWO35" s="111"/>
      <c r="VWP35" s="112"/>
      <c r="VWQ35" s="113"/>
      <c r="VWS35" s="114"/>
      <c r="VWT35" s="114"/>
      <c r="VWY35" s="111"/>
      <c r="VWZ35" s="112"/>
      <c r="VXA35" s="113"/>
      <c r="VXC35" s="114"/>
      <c r="VXD35" s="114"/>
      <c r="VXI35" s="111"/>
      <c r="VXJ35" s="112"/>
      <c r="VXK35" s="113"/>
      <c r="VXM35" s="114"/>
      <c r="VXN35" s="114"/>
      <c r="VXS35" s="111"/>
      <c r="VXT35" s="112"/>
      <c r="VXU35" s="113"/>
      <c r="VXW35" s="114"/>
      <c r="VXX35" s="114"/>
      <c r="VYC35" s="111"/>
      <c r="VYD35" s="112"/>
      <c r="VYE35" s="113"/>
      <c r="VYG35" s="114"/>
      <c r="VYH35" s="114"/>
      <c r="VYM35" s="111"/>
      <c r="VYN35" s="112"/>
      <c r="VYO35" s="113"/>
      <c r="VYQ35" s="114"/>
      <c r="VYR35" s="114"/>
      <c r="VYW35" s="111"/>
      <c r="VYX35" s="112"/>
      <c r="VYY35" s="113"/>
      <c r="VZA35" s="114"/>
      <c r="VZB35" s="114"/>
      <c r="VZG35" s="111"/>
      <c r="VZH35" s="112"/>
      <c r="VZI35" s="113"/>
      <c r="VZK35" s="114"/>
      <c r="VZL35" s="114"/>
      <c r="VZQ35" s="111"/>
      <c r="VZR35" s="112"/>
      <c r="VZS35" s="113"/>
      <c r="VZU35" s="114"/>
      <c r="VZV35" s="114"/>
      <c r="WAA35" s="111"/>
      <c r="WAB35" s="112"/>
      <c r="WAC35" s="113"/>
      <c r="WAE35" s="114"/>
      <c r="WAF35" s="114"/>
      <c r="WAK35" s="111"/>
      <c r="WAL35" s="112"/>
      <c r="WAM35" s="113"/>
      <c r="WAO35" s="114"/>
      <c r="WAP35" s="114"/>
      <c r="WAU35" s="111"/>
      <c r="WAV35" s="112"/>
      <c r="WAW35" s="113"/>
      <c r="WAY35" s="114"/>
      <c r="WAZ35" s="114"/>
      <c r="WBE35" s="111"/>
      <c r="WBF35" s="112"/>
      <c r="WBG35" s="113"/>
      <c r="WBI35" s="114"/>
      <c r="WBJ35" s="114"/>
      <c r="WBO35" s="111"/>
      <c r="WBP35" s="112"/>
      <c r="WBQ35" s="113"/>
      <c r="WBS35" s="114"/>
      <c r="WBT35" s="114"/>
      <c r="WBY35" s="111"/>
      <c r="WBZ35" s="112"/>
      <c r="WCA35" s="113"/>
      <c r="WCC35" s="114"/>
      <c r="WCD35" s="114"/>
      <c r="WCI35" s="111"/>
      <c r="WCJ35" s="112"/>
      <c r="WCK35" s="113"/>
      <c r="WCM35" s="114"/>
      <c r="WCN35" s="114"/>
      <c r="WCS35" s="111"/>
      <c r="WCT35" s="112"/>
      <c r="WCU35" s="113"/>
      <c r="WCW35" s="114"/>
      <c r="WCX35" s="114"/>
      <c r="WDC35" s="111"/>
      <c r="WDD35" s="112"/>
      <c r="WDE35" s="113"/>
      <c r="WDG35" s="114"/>
      <c r="WDH35" s="114"/>
      <c r="WDM35" s="111"/>
      <c r="WDN35" s="112"/>
      <c r="WDO35" s="113"/>
      <c r="WDQ35" s="114"/>
      <c r="WDR35" s="114"/>
      <c r="WDW35" s="111"/>
      <c r="WDX35" s="112"/>
      <c r="WDY35" s="113"/>
      <c r="WEA35" s="114"/>
      <c r="WEB35" s="114"/>
      <c r="WEG35" s="111"/>
      <c r="WEH35" s="112"/>
      <c r="WEI35" s="113"/>
      <c r="WEK35" s="114"/>
      <c r="WEL35" s="114"/>
      <c r="WEQ35" s="111"/>
      <c r="WER35" s="112"/>
      <c r="WES35" s="113"/>
      <c r="WEU35" s="114"/>
      <c r="WEV35" s="114"/>
      <c r="WFA35" s="111"/>
      <c r="WFB35" s="112"/>
      <c r="WFC35" s="113"/>
      <c r="WFE35" s="114"/>
      <c r="WFF35" s="114"/>
      <c r="WFK35" s="111"/>
      <c r="WFL35" s="112"/>
      <c r="WFM35" s="113"/>
      <c r="WFO35" s="114"/>
      <c r="WFP35" s="114"/>
      <c r="WFU35" s="111"/>
      <c r="WFV35" s="112"/>
      <c r="WFW35" s="113"/>
      <c r="WFY35" s="114"/>
      <c r="WFZ35" s="114"/>
      <c r="WGE35" s="111"/>
      <c r="WGF35" s="112"/>
      <c r="WGG35" s="113"/>
      <c r="WGI35" s="114"/>
      <c r="WGJ35" s="114"/>
      <c r="WGO35" s="111"/>
      <c r="WGP35" s="112"/>
      <c r="WGQ35" s="113"/>
      <c r="WGS35" s="114"/>
      <c r="WGT35" s="114"/>
      <c r="WGY35" s="111"/>
      <c r="WGZ35" s="112"/>
      <c r="WHA35" s="113"/>
      <c r="WHC35" s="114"/>
      <c r="WHD35" s="114"/>
      <c r="WHI35" s="111"/>
      <c r="WHJ35" s="112"/>
      <c r="WHK35" s="113"/>
      <c r="WHM35" s="114"/>
      <c r="WHN35" s="114"/>
      <c r="WHS35" s="111"/>
      <c r="WHT35" s="112"/>
      <c r="WHU35" s="113"/>
      <c r="WHW35" s="114"/>
      <c r="WHX35" s="114"/>
      <c r="WIC35" s="111"/>
      <c r="WID35" s="112"/>
      <c r="WIE35" s="113"/>
      <c r="WIG35" s="114"/>
      <c r="WIH35" s="114"/>
      <c r="WIM35" s="111"/>
      <c r="WIN35" s="112"/>
      <c r="WIO35" s="113"/>
      <c r="WIQ35" s="114"/>
      <c r="WIR35" s="114"/>
      <c r="WIW35" s="111"/>
      <c r="WIX35" s="112"/>
      <c r="WIY35" s="113"/>
      <c r="WJA35" s="114"/>
      <c r="WJB35" s="114"/>
      <c r="WJG35" s="111"/>
      <c r="WJH35" s="112"/>
      <c r="WJI35" s="113"/>
      <c r="WJK35" s="114"/>
      <c r="WJL35" s="114"/>
      <c r="WJQ35" s="111"/>
      <c r="WJR35" s="112"/>
      <c r="WJS35" s="113"/>
      <c r="WJU35" s="114"/>
      <c r="WJV35" s="114"/>
      <c r="WKA35" s="111"/>
      <c r="WKB35" s="112"/>
      <c r="WKC35" s="113"/>
      <c r="WKE35" s="114"/>
      <c r="WKF35" s="114"/>
      <c r="WKK35" s="111"/>
      <c r="WKL35" s="112"/>
      <c r="WKM35" s="113"/>
      <c r="WKO35" s="114"/>
      <c r="WKP35" s="114"/>
      <c r="WKU35" s="111"/>
      <c r="WKV35" s="112"/>
      <c r="WKW35" s="113"/>
      <c r="WKY35" s="114"/>
      <c r="WKZ35" s="114"/>
      <c r="WLE35" s="111"/>
      <c r="WLF35" s="112"/>
      <c r="WLG35" s="113"/>
      <c r="WLI35" s="114"/>
      <c r="WLJ35" s="114"/>
      <c r="WLO35" s="111"/>
      <c r="WLP35" s="112"/>
      <c r="WLQ35" s="113"/>
      <c r="WLS35" s="114"/>
      <c r="WLT35" s="114"/>
      <c r="WLY35" s="111"/>
      <c r="WLZ35" s="112"/>
      <c r="WMA35" s="113"/>
      <c r="WMC35" s="114"/>
      <c r="WMD35" s="114"/>
      <c r="WMI35" s="111"/>
      <c r="WMJ35" s="112"/>
      <c r="WMK35" s="113"/>
      <c r="WMM35" s="114"/>
      <c r="WMN35" s="114"/>
      <c r="WMS35" s="111"/>
      <c r="WMT35" s="112"/>
      <c r="WMU35" s="113"/>
      <c r="WMW35" s="114"/>
      <c r="WMX35" s="114"/>
      <c r="WNC35" s="111"/>
      <c r="WND35" s="112"/>
      <c r="WNE35" s="113"/>
      <c r="WNG35" s="114"/>
      <c r="WNH35" s="114"/>
      <c r="WNM35" s="111"/>
      <c r="WNN35" s="112"/>
      <c r="WNO35" s="113"/>
      <c r="WNQ35" s="114"/>
      <c r="WNR35" s="114"/>
      <c r="WNW35" s="111"/>
      <c r="WNX35" s="112"/>
      <c r="WNY35" s="113"/>
      <c r="WOA35" s="114"/>
      <c r="WOB35" s="114"/>
      <c r="WOG35" s="111"/>
      <c r="WOH35" s="112"/>
      <c r="WOI35" s="113"/>
      <c r="WOK35" s="114"/>
      <c r="WOL35" s="114"/>
      <c r="WOQ35" s="111"/>
      <c r="WOR35" s="112"/>
      <c r="WOS35" s="113"/>
      <c r="WOU35" s="114"/>
      <c r="WOV35" s="114"/>
      <c r="WPA35" s="111"/>
      <c r="WPB35" s="112"/>
      <c r="WPC35" s="113"/>
      <c r="WPE35" s="114"/>
      <c r="WPF35" s="114"/>
      <c r="WPK35" s="111"/>
      <c r="WPL35" s="112"/>
      <c r="WPM35" s="113"/>
      <c r="WPO35" s="114"/>
      <c r="WPP35" s="114"/>
      <c r="WPU35" s="111"/>
      <c r="WPV35" s="112"/>
      <c r="WPW35" s="113"/>
      <c r="WPY35" s="114"/>
      <c r="WPZ35" s="114"/>
      <c r="WQE35" s="111"/>
      <c r="WQF35" s="112"/>
      <c r="WQG35" s="113"/>
      <c r="WQI35" s="114"/>
      <c r="WQJ35" s="114"/>
      <c r="WQO35" s="111"/>
      <c r="WQP35" s="112"/>
      <c r="WQQ35" s="113"/>
      <c r="WQS35" s="114"/>
      <c r="WQT35" s="114"/>
      <c r="WQY35" s="111"/>
      <c r="WQZ35" s="112"/>
      <c r="WRA35" s="113"/>
      <c r="WRC35" s="114"/>
      <c r="WRD35" s="114"/>
      <c r="WRI35" s="111"/>
      <c r="WRJ35" s="112"/>
      <c r="WRK35" s="113"/>
      <c r="WRM35" s="114"/>
      <c r="WRN35" s="114"/>
      <c r="WRS35" s="111"/>
      <c r="WRT35" s="112"/>
      <c r="WRU35" s="113"/>
      <c r="WRW35" s="114"/>
      <c r="WRX35" s="114"/>
      <c r="WSC35" s="111"/>
      <c r="WSD35" s="112"/>
      <c r="WSE35" s="113"/>
      <c r="WSG35" s="114"/>
      <c r="WSH35" s="114"/>
      <c r="WSM35" s="111"/>
      <c r="WSN35" s="112"/>
      <c r="WSO35" s="113"/>
      <c r="WSQ35" s="114"/>
      <c r="WSR35" s="114"/>
      <c r="WSW35" s="111"/>
      <c r="WSX35" s="112"/>
      <c r="WSY35" s="113"/>
      <c r="WTA35" s="114"/>
      <c r="WTB35" s="114"/>
      <c r="WTG35" s="111"/>
      <c r="WTH35" s="112"/>
      <c r="WTI35" s="113"/>
      <c r="WTK35" s="114"/>
      <c r="WTL35" s="114"/>
      <c r="WTQ35" s="111"/>
      <c r="WTR35" s="112"/>
      <c r="WTS35" s="113"/>
      <c r="WTU35" s="114"/>
      <c r="WTV35" s="114"/>
      <c r="WUA35" s="111"/>
      <c r="WUB35" s="112"/>
      <c r="WUC35" s="113"/>
      <c r="WUE35" s="114"/>
      <c r="WUF35" s="114"/>
      <c r="WUK35" s="111"/>
      <c r="WUL35" s="112"/>
      <c r="WUM35" s="113"/>
      <c r="WUO35" s="114"/>
      <c r="WUP35" s="114"/>
      <c r="WUU35" s="111"/>
      <c r="WUV35" s="112"/>
      <c r="WUW35" s="113"/>
      <c r="WUY35" s="114"/>
      <c r="WUZ35" s="114"/>
      <c r="WVE35" s="111"/>
      <c r="WVF35" s="112"/>
      <c r="WVG35" s="113"/>
      <c r="WVI35" s="114"/>
      <c r="WVJ35" s="114"/>
      <c r="WVO35" s="111"/>
      <c r="WVP35" s="112"/>
      <c r="WVQ35" s="113"/>
      <c r="WVS35" s="114"/>
      <c r="WVT35" s="114"/>
      <c r="WVY35" s="111"/>
      <c r="WVZ35" s="112"/>
      <c r="WWA35" s="113"/>
      <c r="WWC35" s="114"/>
      <c r="WWD35" s="114"/>
      <c r="WWI35" s="111"/>
      <c r="WWJ35" s="112"/>
      <c r="WWK35" s="113"/>
      <c r="WWM35" s="114"/>
      <c r="WWN35" s="114"/>
      <c r="WWS35" s="111"/>
      <c r="WWT35" s="112"/>
      <c r="WWU35" s="113"/>
      <c r="WWW35" s="114"/>
      <c r="WWX35" s="114"/>
      <c r="WXC35" s="111"/>
      <c r="WXD35" s="112"/>
      <c r="WXE35" s="113"/>
      <c r="WXG35" s="114"/>
      <c r="WXH35" s="114"/>
      <c r="WXM35" s="111"/>
      <c r="WXN35" s="112"/>
      <c r="WXO35" s="113"/>
      <c r="WXQ35" s="114"/>
      <c r="WXR35" s="114"/>
      <c r="WXW35" s="111"/>
      <c r="WXX35" s="112"/>
      <c r="WXY35" s="113"/>
      <c r="WYA35" s="114"/>
      <c r="WYB35" s="114"/>
      <c r="WYG35" s="111"/>
      <c r="WYH35" s="112"/>
      <c r="WYI35" s="113"/>
      <c r="WYK35" s="114"/>
      <c r="WYL35" s="114"/>
      <c r="WYQ35" s="111"/>
      <c r="WYR35" s="112"/>
      <c r="WYS35" s="113"/>
      <c r="WYU35" s="114"/>
      <c r="WYV35" s="114"/>
      <c r="WZA35" s="111"/>
      <c r="WZB35" s="112"/>
      <c r="WZC35" s="113"/>
      <c r="WZE35" s="114"/>
      <c r="WZF35" s="114"/>
      <c r="WZK35" s="111"/>
      <c r="WZL35" s="112"/>
      <c r="WZM35" s="113"/>
      <c r="WZO35" s="114"/>
      <c r="WZP35" s="114"/>
      <c r="WZU35" s="111"/>
      <c r="WZV35" s="112"/>
      <c r="WZW35" s="113"/>
      <c r="WZY35" s="114"/>
      <c r="WZZ35" s="114"/>
      <c r="XAE35" s="111"/>
      <c r="XAF35" s="112"/>
      <c r="XAG35" s="113"/>
      <c r="XAI35" s="114"/>
      <c r="XAJ35" s="114"/>
      <c r="XAO35" s="111"/>
      <c r="XAP35" s="112"/>
      <c r="XAQ35" s="113"/>
      <c r="XAS35" s="114"/>
      <c r="XAT35" s="114"/>
      <c r="XAY35" s="111"/>
      <c r="XAZ35" s="112"/>
      <c r="XBA35" s="113"/>
      <c r="XBC35" s="114"/>
      <c r="XBD35" s="114"/>
      <c r="XBI35" s="111"/>
      <c r="XBJ35" s="112"/>
      <c r="XBK35" s="113"/>
      <c r="XBM35" s="114"/>
      <c r="XBN35" s="114"/>
      <c r="XBS35" s="111"/>
      <c r="XBT35" s="112"/>
      <c r="XBU35" s="113"/>
      <c r="XBW35" s="114"/>
      <c r="XBX35" s="114"/>
      <c r="XCC35" s="111"/>
      <c r="XCD35" s="112"/>
      <c r="XCE35" s="113"/>
      <c r="XCG35" s="114"/>
      <c r="XCH35" s="114"/>
      <c r="XCM35" s="111"/>
      <c r="XCN35" s="112"/>
      <c r="XCO35" s="113"/>
      <c r="XCQ35" s="114"/>
      <c r="XCR35" s="114"/>
      <c r="XCW35" s="111"/>
      <c r="XCX35" s="112"/>
      <c r="XCY35" s="113"/>
      <c r="XDA35" s="114"/>
      <c r="XDB35" s="114"/>
      <c r="XDG35" s="111"/>
      <c r="XDH35" s="112"/>
      <c r="XDI35" s="113"/>
      <c r="XDK35" s="114"/>
      <c r="XDL35" s="114"/>
      <c r="XDQ35" s="111"/>
      <c r="XDR35" s="112"/>
      <c r="XDS35" s="113"/>
      <c r="XDU35" s="114"/>
      <c r="XDV35" s="114"/>
      <c r="XEA35" s="111"/>
      <c r="XEB35" s="112"/>
      <c r="XEC35" s="113"/>
      <c r="XEE35" s="114"/>
      <c r="XEF35" s="114"/>
      <c r="XEK35" s="111"/>
      <c r="XEL35" s="112"/>
      <c r="XEM35" s="113"/>
      <c r="XEO35" s="114"/>
      <c r="XEP35" s="114"/>
      <c r="XEU35" s="111"/>
      <c r="XEV35" s="112"/>
      <c r="XEW35" s="113"/>
      <c r="XEY35" s="114"/>
      <c r="XEZ35" s="114"/>
    </row>
    <row r="36" spans="1:1020 1025:2047 2049:3070 3075:5120 5125:6140 6145:7167 7169:8190 8195:10240 10245:11260 11265:12287 12289:13310 13315:15360 15365:16380" s="311" customFormat="1" outlineLevel="1" x14ac:dyDescent="0.25">
      <c r="A36" s="301" t="s">
        <v>152</v>
      </c>
      <c r="B36" s="302"/>
      <c r="C36" s="303"/>
      <c r="D36" s="302" t="s">
        <v>4419</v>
      </c>
      <c r="E36" s="302"/>
      <c r="F36" s="304"/>
      <c r="G36" s="305"/>
      <c r="H36" s="302"/>
      <c r="I36" s="306">
        <f>ROUND(SUM(I37:I39),2)</f>
        <v>70378.710000000006</v>
      </c>
      <c r="J36" s="307">
        <f>ROUND(SUM(J37:J39),2)</f>
        <v>93777.01</v>
      </c>
      <c r="K36" s="309"/>
      <c r="L36" s="310">
        <f t="shared" si="8"/>
        <v>0</v>
      </c>
      <c r="N36" s="560">
        <f>SUM(J37:J39)</f>
        <v>93777.010000000009</v>
      </c>
      <c r="O36" s="564">
        <f t="shared" si="0"/>
        <v>0</v>
      </c>
      <c r="Q36" s="311">
        <f t="shared" si="1"/>
        <v>0</v>
      </c>
    </row>
    <row r="37" spans="1:1020 1025:2047 2049:3070 3075:5120 5125:6140 6145:7167 7169:8190 8195:10240 10245:11260 11265:12287 12289:13310 13315:15360 15365:16380" s="36" customFormat="1" ht="78.75" outlineLevel="2" x14ac:dyDescent="0.25">
      <c r="A37" s="270" t="s">
        <v>154</v>
      </c>
      <c r="B37" s="271" t="s">
        <v>77</v>
      </c>
      <c r="C37" s="271" t="s">
        <v>155</v>
      </c>
      <c r="D37" s="272" t="s">
        <v>156</v>
      </c>
      <c r="E37" s="271" t="s">
        <v>122</v>
      </c>
      <c r="F37" s="273">
        <v>11.55</v>
      </c>
      <c r="G37" s="274">
        <v>124.47</v>
      </c>
      <c r="H37" s="275">
        <f>ROUND(G37*ROUND(1+(33.25/100),4),2)</f>
        <v>165.86</v>
      </c>
      <c r="I37" s="275">
        <f>ROUND(ROUND(F37,2)*ROUND(G37,2),2)</f>
        <v>1437.63</v>
      </c>
      <c r="J37" s="276">
        <f>ROUND(ROUND(F37,2)*ROUND(H37,2),2)</f>
        <v>1915.68</v>
      </c>
      <c r="K37" s="155"/>
      <c r="L37" s="40">
        <f t="shared" si="8"/>
        <v>1915.6830000000002</v>
      </c>
      <c r="O37" s="561">
        <f t="shared" si="0"/>
        <v>1915.68</v>
      </c>
      <c r="Q37" s="36">
        <f t="shared" si="1"/>
        <v>1915.6830000000002</v>
      </c>
    </row>
    <row r="38" spans="1:1020 1025:2047 2049:3070 3075:5120 5125:6140 6145:7167 7169:8190 8195:10240 10245:11260 11265:12287 12289:13310 13315:15360 15365:16380" s="36" customFormat="1" ht="22.5" outlineLevel="2" x14ac:dyDescent="0.25">
      <c r="A38" s="270" t="s">
        <v>157</v>
      </c>
      <c r="B38" s="271" t="s">
        <v>4322</v>
      </c>
      <c r="C38" s="271">
        <v>120303</v>
      </c>
      <c r="D38" s="272" t="s">
        <v>159</v>
      </c>
      <c r="E38" s="271" t="s">
        <v>54</v>
      </c>
      <c r="F38" s="273">
        <v>626</v>
      </c>
      <c r="G38" s="274">
        <v>65.959999999999994</v>
      </c>
      <c r="H38" s="275">
        <f>ROUND(G38*ROUND(1+(33.25/100),4),2)</f>
        <v>87.89</v>
      </c>
      <c r="I38" s="275">
        <f>ROUND(ROUND(F38,2)*ROUND(G38,2),2)</f>
        <v>41290.959999999999</v>
      </c>
      <c r="J38" s="276">
        <f>ROUND(ROUND(F38,2)*ROUND(H38,2),2)</f>
        <v>55019.14</v>
      </c>
      <c r="K38" s="155"/>
      <c r="L38" s="40">
        <f t="shared" si="8"/>
        <v>55019.14</v>
      </c>
      <c r="O38" s="561">
        <f t="shared" si="0"/>
        <v>55019.14</v>
      </c>
      <c r="Q38" s="36">
        <f t="shared" si="1"/>
        <v>55019.14</v>
      </c>
    </row>
    <row r="39" spans="1:1020 1025:2047 2049:3070 3075:5120 5125:6140 6145:7167 7169:8190 8195:10240 10245:11260 11265:12287 12289:13310 13315:15360 15365:16380" s="36" customFormat="1" ht="45" outlineLevel="2" x14ac:dyDescent="0.25">
      <c r="A39" s="270" t="s">
        <v>160</v>
      </c>
      <c r="B39" s="271" t="s">
        <v>4322</v>
      </c>
      <c r="C39" s="271">
        <v>50605</v>
      </c>
      <c r="D39" s="272" t="s">
        <v>162</v>
      </c>
      <c r="E39" s="271" t="s">
        <v>54</v>
      </c>
      <c r="F39" s="273">
        <v>389</v>
      </c>
      <c r="G39" s="274">
        <v>71.08</v>
      </c>
      <c r="H39" s="275">
        <f>ROUND(G39*ROUND(1+(33.25/100),4),2)</f>
        <v>94.71</v>
      </c>
      <c r="I39" s="275">
        <f>ROUND(ROUND(F39,2)*ROUND(G39,2),2)</f>
        <v>27650.12</v>
      </c>
      <c r="J39" s="276">
        <f>ROUND(ROUND(F39,2)*ROUND(H39,2),2)</f>
        <v>36842.19</v>
      </c>
      <c r="K39" s="155"/>
      <c r="L39" s="40">
        <f t="shared" si="8"/>
        <v>36842.189999999995</v>
      </c>
      <c r="O39" s="561">
        <f t="shared" si="0"/>
        <v>36842.19</v>
      </c>
      <c r="Q39" s="36">
        <f t="shared" si="1"/>
        <v>36842.189999999995</v>
      </c>
    </row>
    <row r="40" spans="1:1020 1025:2047 2049:3070 3075:5120 5125:6140 6145:7167 7169:8190 8195:10240 10245:11260 11265:12287 12289:13310 13315:15360 15365:16380" s="311" customFormat="1" outlineLevel="1" x14ac:dyDescent="0.25">
      <c r="A40" s="301" t="s">
        <v>163</v>
      </c>
      <c r="B40" s="302"/>
      <c r="C40" s="308"/>
      <c r="D40" s="302" t="s">
        <v>4420</v>
      </c>
      <c r="E40" s="302"/>
      <c r="F40" s="304"/>
      <c r="G40" s="305"/>
      <c r="H40" s="302"/>
      <c r="I40" s="306">
        <f>ROUND(SUM(I41:I45),2)</f>
        <v>105651.38</v>
      </c>
      <c r="J40" s="307">
        <f>ROUND(SUM(J41:J45),2)</f>
        <v>140783.65</v>
      </c>
      <c r="K40" s="309"/>
      <c r="L40" s="310">
        <f t="shared" si="8"/>
        <v>0</v>
      </c>
      <c r="N40" s="560">
        <f>SUM(J41:J45)</f>
        <v>140783.65000000002</v>
      </c>
      <c r="O40" s="564">
        <f t="shared" si="0"/>
        <v>0</v>
      </c>
      <c r="Q40" s="311">
        <f t="shared" si="1"/>
        <v>0</v>
      </c>
    </row>
    <row r="41" spans="1:1020 1025:2047 2049:3070 3075:5120 5125:6140 6145:7167 7169:8190 8195:10240 10245:11260 11265:12287 12289:13310 13315:15360 15365:16380" s="36" customFormat="1" ht="22.5" outlineLevel="2" x14ac:dyDescent="0.25">
      <c r="A41" s="270" t="s">
        <v>164</v>
      </c>
      <c r="B41" s="271" t="s">
        <v>4322</v>
      </c>
      <c r="C41" s="271">
        <v>160707</v>
      </c>
      <c r="D41" s="272" t="s">
        <v>166</v>
      </c>
      <c r="E41" s="271" t="s">
        <v>54</v>
      </c>
      <c r="F41" s="273">
        <v>1980</v>
      </c>
      <c r="G41" s="274">
        <v>30.79</v>
      </c>
      <c r="H41" s="275">
        <f>ROUND(G41*ROUND(1+(33.25/100),4),2)</f>
        <v>41.03</v>
      </c>
      <c r="I41" s="275">
        <f>ROUND(ROUND(F41,2)*ROUND(G41,2),2)</f>
        <v>60964.2</v>
      </c>
      <c r="J41" s="276">
        <f>ROUND(ROUND(F41,2)*ROUND(H41,2),2)</f>
        <v>81239.399999999994</v>
      </c>
      <c r="K41" s="155"/>
      <c r="L41" s="40">
        <f t="shared" si="8"/>
        <v>81239.400000000009</v>
      </c>
      <c r="O41" s="561">
        <f t="shared" si="0"/>
        <v>81239.399999999994</v>
      </c>
      <c r="Q41" s="36">
        <f t="shared" si="1"/>
        <v>81239.400000000009</v>
      </c>
    </row>
    <row r="42" spans="1:1020 1025:2047 2049:3070 3075:5120 5125:6140 6145:7167 7169:8190 8195:10240 10245:11260 11265:12287 12289:13310 13315:15360 15365:16380" s="36" customFormat="1" ht="45" outlineLevel="2" x14ac:dyDescent="0.25">
      <c r="A42" s="270" t="s">
        <v>167</v>
      </c>
      <c r="B42" s="271" t="s">
        <v>4322</v>
      </c>
      <c r="C42" s="271">
        <v>120241</v>
      </c>
      <c r="D42" s="272" t="s">
        <v>169</v>
      </c>
      <c r="E42" s="271" t="s">
        <v>54</v>
      </c>
      <c r="F42" s="273">
        <v>10.02</v>
      </c>
      <c r="G42" s="274">
        <v>88.41</v>
      </c>
      <c r="H42" s="275">
        <f>ROUND(G42*ROUND(1+(33.25/100),4),2)</f>
        <v>117.81</v>
      </c>
      <c r="I42" s="275">
        <f>ROUND(ROUND(F42,2)*ROUND(G42,2),2)</f>
        <v>885.87</v>
      </c>
      <c r="J42" s="276">
        <f>ROUND(ROUND(F42,2)*ROUND(H42,2),2)</f>
        <v>1180.46</v>
      </c>
      <c r="K42" s="155"/>
      <c r="L42" s="40">
        <f t="shared" si="8"/>
        <v>1180.4562000000001</v>
      </c>
      <c r="O42" s="561">
        <f t="shared" si="0"/>
        <v>1180.46</v>
      </c>
      <c r="Q42" s="36">
        <f t="shared" si="1"/>
        <v>1180.4562000000001</v>
      </c>
    </row>
    <row r="43" spans="1:1020 1025:2047 2049:3070 3075:5120 5125:6140 6145:7167 7169:8190 8195:10240 10245:11260 11265:12287 12289:13310 13315:15360 15365:16380" s="36" customFormat="1" ht="22.5" outlineLevel="2" x14ac:dyDescent="0.25">
      <c r="A43" s="270" t="s">
        <v>170</v>
      </c>
      <c r="B43" s="271" t="s">
        <v>4322</v>
      </c>
      <c r="C43" s="271">
        <v>160707</v>
      </c>
      <c r="D43" s="272" t="s">
        <v>166</v>
      </c>
      <c r="E43" s="271" t="s">
        <v>54</v>
      </c>
      <c r="F43" s="273">
        <v>498</v>
      </c>
      <c r="G43" s="274">
        <v>30.79</v>
      </c>
      <c r="H43" s="275">
        <f>ROUND(G43*ROUND(1+(33.25/100),4),2)</f>
        <v>41.03</v>
      </c>
      <c r="I43" s="275">
        <f>ROUND(ROUND(F43,2)*ROUND(G43,2),2)</f>
        <v>15333.42</v>
      </c>
      <c r="J43" s="276">
        <f>ROUND(ROUND(F43,2)*ROUND(H43,2),2)</f>
        <v>20432.939999999999</v>
      </c>
      <c r="K43" s="155"/>
      <c r="L43" s="40">
        <f t="shared" si="8"/>
        <v>20432.940000000002</v>
      </c>
      <c r="O43" s="561">
        <f t="shared" si="0"/>
        <v>20432.939999999999</v>
      </c>
      <c r="Q43" s="36">
        <f t="shared" si="1"/>
        <v>20432.940000000002</v>
      </c>
    </row>
    <row r="44" spans="1:1020 1025:2047 2049:3070 3075:5120 5125:6140 6145:7167 7169:8190 8195:10240 10245:11260 11265:12287 12289:13310 13315:15360 15365:16380" s="36" customFormat="1" outlineLevel="2" x14ac:dyDescent="0.25">
      <c r="A44" s="270" t="s">
        <v>171</v>
      </c>
      <c r="B44" s="271" t="s">
        <v>4322</v>
      </c>
      <c r="C44" s="271">
        <v>100202</v>
      </c>
      <c r="D44" s="272" t="s">
        <v>173</v>
      </c>
      <c r="E44" s="271" t="s">
        <v>54</v>
      </c>
      <c r="F44" s="273">
        <v>86</v>
      </c>
      <c r="G44" s="274">
        <v>67.239999999999995</v>
      </c>
      <c r="H44" s="275">
        <f>ROUND(G44*ROUND(1+(33.25/100),4),2)</f>
        <v>89.6</v>
      </c>
      <c r="I44" s="275">
        <f>ROUND(ROUND(F44,2)*ROUND(G44,2),2)</f>
        <v>5782.64</v>
      </c>
      <c r="J44" s="276">
        <f>ROUND(ROUND(F44,2)*ROUND(H44,2),2)</f>
        <v>7705.6</v>
      </c>
      <c r="K44" s="155"/>
      <c r="L44" s="40">
        <f t="shared" si="8"/>
        <v>7705.5999999999995</v>
      </c>
      <c r="O44" s="561">
        <f t="shared" si="0"/>
        <v>7705.6</v>
      </c>
      <c r="Q44" s="36">
        <f t="shared" si="1"/>
        <v>7705.5999999999995</v>
      </c>
    </row>
    <row r="45" spans="1:1020 1025:2047 2049:3070 3075:5120 5125:6140 6145:7167 7169:8190 8195:10240 10245:11260 11265:12287 12289:13310 13315:15360 15365:16380" s="36" customFormat="1" ht="22.5" outlineLevel="2" x14ac:dyDescent="0.25">
      <c r="A45" s="270" t="s">
        <v>174</v>
      </c>
      <c r="B45" s="271" t="s">
        <v>4322</v>
      </c>
      <c r="C45" s="271">
        <v>160708</v>
      </c>
      <c r="D45" s="272" t="s">
        <v>176</v>
      </c>
      <c r="E45" s="271" t="s">
        <v>54</v>
      </c>
      <c r="F45" s="273">
        <v>725</v>
      </c>
      <c r="G45" s="274">
        <v>31.29</v>
      </c>
      <c r="H45" s="275">
        <f>ROUND(G45*ROUND(1+(33.25/100),4),2)</f>
        <v>41.69</v>
      </c>
      <c r="I45" s="275">
        <f>ROUND(ROUND(F45,2)*ROUND(G45,2),2)</f>
        <v>22685.25</v>
      </c>
      <c r="J45" s="276">
        <f>ROUND(ROUND(F45,2)*ROUND(H45,2),2)</f>
        <v>30225.25</v>
      </c>
      <c r="K45" s="155"/>
      <c r="L45" s="40">
        <f t="shared" si="8"/>
        <v>30225.25</v>
      </c>
      <c r="O45" s="561">
        <f t="shared" si="0"/>
        <v>30225.25</v>
      </c>
      <c r="Q45" s="36">
        <f t="shared" si="1"/>
        <v>30225.25</v>
      </c>
    </row>
    <row r="46" spans="1:1020 1025:2047 2049:3070 3075:5120 5125:6140 6145:7167 7169:8190 8195:10240 10245:11260 11265:12287 12289:13310 13315:15360 15365:16380" s="311" customFormat="1" outlineLevel="1" x14ac:dyDescent="0.25">
      <c r="A46" s="301" t="s">
        <v>177</v>
      </c>
      <c r="B46" s="302"/>
      <c r="C46" s="308"/>
      <c r="D46" s="302" t="s">
        <v>178</v>
      </c>
      <c r="E46" s="302"/>
      <c r="F46" s="304"/>
      <c r="G46" s="305"/>
      <c r="H46" s="302"/>
      <c r="I46" s="306">
        <f>ROUND(SUM(I47:I54),2)</f>
        <v>74839.820000000007</v>
      </c>
      <c r="J46" s="307">
        <f>ROUND(SUM(J47:J54),2)</f>
        <v>99724.31</v>
      </c>
      <c r="K46" s="309"/>
      <c r="L46" s="310">
        <f t="shared" si="8"/>
        <v>0</v>
      </c>
      <c r="N46" s="560">
        <f>SUM(J47:J54)</f>
        <v>99724.31</v>
      </c>
      <c r="O46" s="564">
        <f t="shared" si="0"/>
        <v>0</v>
      </c>
      <c r="Q46" s="311">
        <f t="shared" si="1"/>
        <v>0</v>
      </c>
    </row>
    <row r="47" spans="1:1020 1025:2047 2049:3070 3075:5120 5125:6140 6145:7167 7169:8190 8195:10240 10245:11260 11265:12287 12289:13310 13315:15360 15365:16380" s="36" customFormat="1" ht="22.5" outlineLevel="2" x14ac:dyDescent="0.25">
      <c r="A47" s="270" t="s">
        <v>179</v>
      </c>
      <c r="B47" s="271" t="s">
        <v>4322</v>
      </c>
      <c r="C47" s="271">
        <v>130103</v>
      </c>
      <c r="D47" s="272" t="s">
        <v>181</v>
      </c>
      <c r="E47" s="271" t="s">
        <v>54</v>
      </c>
      <c r="F47" s="273">
        <v>186.68</v>
      </c>
      <c r="G47" s="274">
        <v>27.85</v>
      </c>
      <c r="H47" s="275">
        <f t="shared" ref="H47:H54" si="15">ROUND(G47*ROUND(1+(33.25/100),4),2)</f>
        <v>37.11</v>
      </c>
      <c r="I47" s="275">
        <f t="shared" ref="I47:I54" si="16">ROUND(ROUND(F47,2)*ROUND(G47,2),2)</f>
        <v>5199.04</v>
      </c>
      <c r="J47" s="276">
        <f t="shared" ref="J47:J54" si="17">ROUND(ROUND(F47,2)*ROUND(H47,2),2)</f>
        <v>6927.69</v>
      </c>
      <c r="K47" s="155"/>
      <c r="L47" s="40">
        <f t="shared" si="8"/>
        <v>6927.6948000000002</v>
      </c>
      <c r="O47" s="561">
        <f t="shared" si="0"/>
        <v>6927.69</v>
      </c>
      <c r="Q47" s="36">
        <f t="shared" si="1"/>
        <v>6927.6948000000002</v>
      </c>
    </row>
    <row r="48" spans="1:1020 1025:2047 2049:3070 3075:5120 5125:6140 6145:7167 7169:8190 8195:10240 10245:11260 11265:12287 12289:13310 13315:15360 15365:16380" s="36" customFormat="1" ht="45" outlineLevel="2" x14ac:dyDescent="0.25">
      <c r="A48" s="270" t="s">
        <v>182</v>
      </c>
      <c r="B48" s="271" t="s">
        <v>77</v>
      </c>
      <c r="C48" s="271" t="s">
        <v>183</v>
      </c>
      <c r="D48" s="272" t="s">
        <v>184</v>
      </c>
      <c r="E48" s="271" t="s">
        <v>54</v>
      </c>
      <c r="F48" s="273">
        <v>60.82</v>
      </c>
      <c r="G48" s="274">
        <v>155.6</v>
      </c>
      <c r="H48" s="275">
        <f t="shared" si="15"/>
        <v>207.34</v>
      </c>
      <c r="I48" s="275">
        <f t="shared" si="16"/>
        <v>9463.59</v>
      </c>
      <c r="J48" s="276">
        <f t="shared" si="17"/>
        <v>12610.42</v>
      </c>
      <c r="K48" s="155"/>
      <c r="L48" s="40">
        <f t="shared" si="8"/>
        <v>12610.418799999999</v>
      </c>
      <c r="O48" s="561">
        <f t="shared" si="0"/>
        <v>12610.42</v>
      </c>
      <c r="Q48" s="36">
        <f t="shared" si="1"/>
        <v>12610.418799999999</v>
      </c>
    </row>
    <row r="49" spans="1:17" s="36" customFormat="1" outlineLevel="2" x14ac:dyDescent="0.25">
      <c r="A49" s="270" t="s">
        <v>185</v>
      </c>
      <c r="B49" s="271" t="s">
        <v>82</v>
      </c>
      <c r="C49" s="271">
        <v>98685</v>
      </c>
      <c r="D49" s="272" t="s">
        <v>187</v>
      </c>
      <c r="E49" s="271" t="s">
        <v>188</v>
      </c>
      <c r="F49" s="273">
        <v>53.93</v>
      </c>
      <c r="G49" s="274">
        <v>58.28</v>
      </c>
      <c r="H49" s="275">
        <f t="shared" si="15"/>
        <v>77.66</v>
      </c>
      <c r="I49" s="275">
        <f t="shared" si="16"/>
        <v>3143.04</v>
      </c>
      <c r="J49" s="276">
        <f t="shared" si="17"/>
        <v>4188.2</v>
      </c>
      <c r="K49" s="155"/>
      <c r="L49" s="40">
        <f t="shared" si="8"/>
        <v>4188.2038000000002</v>
      </c>
      <c r="O49" s="561">
        <f t="shared" si="0"/>
        <v>4188.2</v>
      </c>
      <c r="Q49" s="36">
        <f t="shared" si="1"/>
        <v>4188.2038000000002</v>
      </c>
    </row>
    <row r="50" spans="1:17" s="36" customFormat="1" outlineLevel="2" x14ac:dyDescent="0.25">
      <c r="A50" s="270" t="s">
        <v>189</v>
      </c>
      <c r="B50" s="271" t="s">
        <v>4322</v>
      </c>
      <c r="C50" s="271">
        <v>130308</v>
      </c>
      <c r="D50" s="272" t="s">
        <v>191</v>
      </c>
      <c r="E50" s="271" t="s">
        <v>72</v>
      </c>
      <c r="F50" s="273">
        <v>5.5</v>
      </c>
      <c r="G50" s="274">
        <v>51.74</v>
      </c>
      <c r="H50" s="275">
        <f t="shared" si="15"/>
        <v>68.94</v>
      </c>
      <c r="I50" s="275">
        <f t="shared" si="16"/>
        <v>284.57</v>
      </c>
      <c r="J50" s="276">
        <f t="shared" si="17"/>
        <v>379.17</v>
      </c>
      <c r="K50" s="155"/>
      <c r="L50" s="40">
        <f t="shared" si="8"/>
        <v>379.16999999999996</v>
      </c>
      <c r="O50" s="561">
        <f t="shared" si="0"/>
        <v>379.17</v>
      </c>
      <c r="Q50" s="36">
        <f t="shared" si="1"/>
        <v>379.16999999999996</v>
      </c>
    </row>
    <row r="51" spans="1:17" s="36" customFormat="1" outlineLevel="2" x14ac:dyDescent="0.25">
      <c r="A51" s="270" t="s">
        <v>192</v>
      </c>
      <c r="B51" s="271" t="s">
        <v>4322</v>
      </c>
      <c r="C51" s="271">
        <v>100202</v>
      </c>
      <c r="D51" s="272" t="s">
        <v>173</v>
      </c>
      <c r="E51" s="271" t="s">
        <v>54</v>
      </c>
      <c r="F51" s="273">
        <v>14.43</v>
      </c>
      <c r="G51" s="274">
        <v>67.239999999999995</v>
      </c>
      <c r="H51" s="275">
        <f t="shared" si="15"/>
        <v>89.6</v>
      </c>
      <c r="I51" s="275">
        <f t="shared" si="16"/>
        <v>970.27</v>
      </c>
      <c r="J51" s="276">
        <f t="shared" si="17"/>
        <v>1292.93</v>
      </c>
      <c r="K51" s="155"/>
      <c r="L51" s="40">
        <f t="shared" si="8"/>
        <v>1292.9279999999999</v>
      </c>
      <c r="O51" s="561">
        <f t="shared" si="0"/>
        <v>1292.93</v>
      </c>
      <c r="Q51" s="36">
        <f t="shared" si="1"/>
        <v>1292.9279999999999</v>
      </c>
    </row>
    <row r="52" spans="1:17" s="36" customFormat="1" outlineLevel="2" x14ac:dyDescent="0.25">
      <c r="A52" s="270" t="s">
        <v>193</v>
      </c>
      <c r="B52" s="271" t="s">
        <v>82</v>
      </c>
      <c r="C52" s="271">
        <v>105598</v>
      </c>
      <c r="D52" s="272" t="s">
        <v>196</v>
      </c>
      <c r="E52" s="271" t="s">
        <v>197</v>
      </c>
      <c r="F52" s="273">
        <v>115.92</v>
      </c>
      <c r="G52" s="274">
        <v>2.14</v>
      </c>
      <c r="H52" s="275">
        <f t="shared" si="15"/>
        <v>2.85</v>
      </c>
      <c r="I52" s="275">
        <f t="shared" si="16"/>
        <v>248.07</v>
      </c>
      <c r="J52" s="276">
        <f t="shared" si="17"/>
        <v>330.37</v>
      </c>
      <c r="K52" s="155"/>
      <c r="L52" s="40">
        <f t="shared" si="8"/>
        <v>330.37200000000001</v>
      </c>
      <c r="O52" s="561">
        <f t="shared" si="0"/>
        <v>330.37</v>
      </c>
      <c r="Q52" s="36">
        <f t="shared" si="1"/>
        <v>330.37200000000001</v>
      </c>
    </row>
    <row r="53" spans="1:17" s="36" customFormat="1" ht="45" outlineLevel="2" x14ac:dyDescent="0.25">
      <c r="A53" s="270" t="s">
        <v>198</v>
      </c>
      <c r="B53" s="271" t="s">
        <v>4322</v>
      </c>
      <c r="C53" s="271">
        <v>200206</v>
      </c>
      <c r="D53" s="272" t="s">
        <v>200</v>
      </c>
      <c r="E53" s="271" t="s">
        <v>54</v>
      </c>
      <c r="F53" s="273">
        <v>115.92</v>
      </c>
      <c r="G53" s="274">
        <v>111.54</v>
      </c>
      <c r="H53" s="275">
        <f t="shared" si="15"/>
        <v>148.63</v>
      </c>
      <c r="I53" s="275">
        <f t="shared" si="16"/>
        <v>12929.72</v>
      </c>
      <c r="J53" s="276">
        <f t="shared" si="17"/>
        <v>17229.189999999999</v>
      </c>
      <c r="K53" s="155"/>
      <c r="L53" s="40">
        <f t="shared" si="8"/>
        <v>17229.189600000002</v>
      </c>
      <c r="O53" s="561">
        <f t="shared" si="0"/>
        <v>17229.189999999999</v>
      </c>
      <c r="Q53" s="36">
        <f t="shared" si="1"/>
        <v>17229.189600000002</v>
      </c>
    </row>
    <row r="54" spans="1:17" s="36" customFormat="1" ht="22.5" outlineLevel="2" x14ac:dyDescent="0.25">
      <c r="A54" s="270" t="s">
        <v>201</v>
      </c>
      <c r="B54" s="271" t="s">
        <v>77</v>
      </c>
      <c r="C54" s="271" t="s">
        <v>202</v>
      </c>
      <c r="D54" s="272" t="s">
        <v>203</v>
      </c>
      <c r="E54" s="271" t="s">
        <v>122</v>
      </c>
      <c r="F54" s="273">
        <v>113.92</v>
      </c>
      <c r="G54" s="274">
        <v>373.96</v>
      </c>
      <c r="H54" s="275">
        <f t="shared" si="15"/>
        <v>498.3</v>
      </c>
      <c r="I54" s="275">
        <f t="shared" si="16"/>
        <v>42601.52</v>
      </c>
      <c r="J54" s="276">
        <f t="shared" si="17"/>
        <v>56766.34</v>
      </c>
      <c r="K54" s="155"/>
      <c r="L54" s="40">
        <f t="shared" si="8"/>
        <v>56766.336000000003</v>
      </c>
      <c r="O54" s="561">
        <f t="shared" si="0"/>
        <v>56766.34</v>
      </c>
      <c r="Q54" s="36">
        <f t="shared" si="1"/>
        <v>56766.336000000003</v>
      </c>
    </row>
    <row r="55" spans="1:17" s="311" customFormat="1" outlineLevel="1" x14ac:dyDescent="0.25">
      <c r="A55" s="301" t="s">
        <v>204</v>
      </c>
      <c r="B55" s="302"/>
      <c r="C55" s="308"/>
      <c r="D55" s="302" t="s">
        <v>205</v>
      </c>
      <c r="E55" s="302"/>
      <c r="F55" s="304"/>
      <c r="G55" s="305"/>
      <c r="H55" s="302"/>
      <c r="I55" s="306">
        <f>ROUND(SUM(I56:I60),2)</f>
        <v>280757.53000000003</v>
      </c>
      <c r="J55" s="307">
        <f>ROUND(SUM(J56:J60),2)</f>
        <v>374114.21</v>
      </c>
      <c r="K55" s="309"/>
      <c r="L55" s="310">
        <f t="shared" si="8"/>
        <v>0</v>
      </c>
      <c r="N55" s="560">
        <f>SUM(J56:J60)</f>
        <v>374114.20499999996</v>
      </c>
      <c r="O55" s="564">
        <f t="shared" si="0"/>
        <v>5.0000000628642738E-3</v>
      </c>
      <c r="Q55" s="311">
        <f t="shared" si="1"/>
        <v>0</v>
      </c>
    </row>
    <row r="56" spans="1:17" s="36" customFormat="1" ht="22.5" outlineLevel="2" x14ac:dyDescent="0.25">
      <c r="A56" s="270" t="s">
        <v>206</v>
      </c>
      <c r="B56" s="271" t="s">
        <v>4322</v>
      </c>
      <c r="C56" s="271">
        <v>110210</v>
      </c>
      <c r="D56" s="272" t="s">
        <v>208</v>
      </c>
      <c r="E56" s="271" t="s">
        <v>54</v>
      </c>
      <c r="F56" s="273">
        <v>60.82</v>
      </c>
      <c r="G56" s="274">
        <v>99.96</v>
      </c>
      <c r="H56" s="275">
        <f>ROUND(G56*ROUND(1+(33.25/100),4),2)</f>
        <v>133.19999999999999</v>
      </c>
      <c r="I56" s="275">
        <f>ROUND(ROUND(F56,2)*ROUND(G56,2),2)</f>
        <v>6079.57</v>
      </c>
      <c r="J56" s="276">
        <f>ROUND(ROUND(F56,2)*ROUND(H56,2),2)</f>
        <v>8101.22</v>
      </c>
      <c r="K56" s="155"/>
      <c r="L56" s="40">
        <f t="shared" si="8"/>
        <v>8101.2239999999993</v>
      </c>
      <c r="O56" s="561">
        <f t="shared" si="0"/>
        <v>8101.22</v>
      </c>
      <c r="Q56" s="36">
        <f t="shared" si="1"/>
        <v>8101.2239999999993</v>
      </c>
    </row>
    <row r="57" spans="1:17" s="36" customFormat="1" outlineLevel="2" x14ac:dyDescent="0.25">
      <c r="A57" s="270" t="s">
        <v>209</v>
      </c>
      <c r="B57" s="271" t="s">
        <v>4322</v>
      </c>
      <c r="C57" s="271">
        <v>90302</v>
      </c>
      <c r="D57" s="272" t="s">
        <v>211</v>
      </c>
      <c r="E57" s="271" t="s">
        <v>72</v>
      </c>
      <c r="F57" s="273">
        <v>27.5</v>
      </c>
      <c r="G57" s="274">
        <v>40.93</v>
      </c>
      <c r="H57" s="275">
        <f t="shared" ref="H57:H60" si="18">ROUND(G57*ROUND(1+(33.25/100),4),2)</f>
        <v>54.54</v>
      </c>
      <c r="I57" s="275">
        <f>ROUND(ROUND(F57,2)*ROUND(G57,2),2)</f>
        <v>1125.58</v>
      </c>
      <c r="J57" s="276">
        <f>ROUND(ROUND(F57,2)*ROUND(H57,2),2)</f>
        <v>1499.85</v>
      </c>
      <c r="K57" s="155"/>
      <c r="L57" s="40">
        <f t="shared" ref="L57" si="19">F57*H57</f>
        <v>1499.85</v>
      </c>
      <c r="O57" s="561">
        <f t="shared" si="0"/>
        <v>1499.85</v>
      </c>
      <c r="Q57" s="36">
        <f t="shared" si="1"/>
        <v>1499.85</v>
      </c>
    </row>
    <row r="58" spans="1:17" s="36" customFormat="1" ht="45" outlineLevel="2" x14ac:dyDescent="0.25">
      <c r="A58" s="270" t="s">
        <v>4324</v>
      </c>
      <c r="B58" s="271" t="s">
        <v>4322</v>
      </c>
      <c r="C58" s="271" t="s">
        <v>747</v>
      </c>
      <c r="D58" s="109" t="s">
        <v>748</v>
      </c>
      <c r="E58" s="249" t="s">
        <v>54</v>
      </c>
      <c r="F58" s="250">
        <v>562.65</v>
      </c>
      <c r="G58" s="251">
        <v>227.9</v>
      </c>
      <c r="H58" s="275">
        <f t="shared" si="18"/>
        <v>303.68</v>
      </c>
      <c r="I58" s="275">
        <f t="shared" ref="I58:I60" si="20">G58*F58</f>
        <v>128227.935</v>
      </c>
      <c r="J58" s="276">
        <f t="shared" ref="J58:J60" si="21">H58*F58</f>
        <v>170865.552</v>
      </c>
      <c r="K58" s="155"/>
      <c r="L58" s="40"/>
      <c r="O58" s="561">
        <f t="shared" si="0"/>
        <v>170865.552</v>
      </c>
      <c r="Q58" s="36">
        <f t="shared" si="1"/>
        <v>170865.552</v>
      </c>
    </row>
    <row r="59" spans="1:17" s="36" customFormat="1" ht="33.75" outlineLevel="2" x14ac:dyDescent="0.25">
      <c r="A59" s="270" t="s">
        <v>4325</v>
      </c>
      <c r="B59" s="246" t="s">
        <v>82</v>
      </c>
      <c r="C59" s="271">
        <v>92561</v>
      </c>
      <c r="D59" s="277" t="s">
        <v>4321</v>
      </c>
      <c r="E59" s="253" t="s">
        <v>54</v>
      </c>
      <c r="F59" s="250">
        <v>10</v>
      </c>
      <c r="G59" s="251">
        <v>2953.67</v>
      </c>
      <c r="H59" s="275">
        <f t="shared" si="18"/>
        <v>3935.77</v>
      </c>
      <c r="I59" s="275">
        <f t="shared" si="20"/>
        <v>29536.7</v>
      </c>
      <c r="J59" s="276">
        <f t="shared" si="21"/>
        <v>39357.699999999997</v>
      </c>
      <c r="K59" s="155"/>
      <c r="L59" s="40"/>
      <c r="O59" s="561">
        <f t="shared" si="0"/>
        <v>39357.699999999997</v>
      </c>
      <c r="Q59" s="36">
        <f t="shared" si="1"/>
        <v>39357.699999999997</v>
      </c>
    </row>
    <row r="60" spans="1:17" s="36" customFormat="1" ht="22.5" outlineLevel="2" x14ac:dyDescent="0.25">
      <c r="A60" s="270" t="s">
        <v>4326</v>
      </c>
      <c r="B60" s="271" t="s">
        <v>4322</v>
      </c>
      <c r="C60" s="271" t="s">
        <v>750</v>
      </c>
      <c r="D60" s="109" t="s">
        <v>751</v>
      </c>
      <c r="E60" s="249" t="s">
        <v>54</v>
      </c>
      <c r="F60" s="250">
        <v>562.65</v>
      </c>
      <c r="G60" s="251">
        <v>205.79</v>
      </c>
      <c r="H60" s="275">
        <f t="shared" si="18"/>
        <v>274.22000000000003</v>
      </c>
      <c r="I60" s="275">
        <f t="shared" si="20"/>
        <v>115787.7435</v>
      </c>
      <c r="J60" s="276">
        <f t="shared" si="21"/>
        <v>154289.883</v>
      </c>
      <c r="K60" s="155"/>
      <c r="L60" s="40"/>
      <c r="O60" s="561">
        <f t="shared" si="0"/>
        <v>154289.883</v>
      </c>
      <c r="Q60" s="36">
        <f t="shared" si="1"/>
        <v>154289.883</v>
      </c>
    </row>
    <row r="61" spans="1:17" s="311" customFormat="1" outlineLevel="1" x14ac:dyDescent="0.25">
      <c r="A61" s="301" t="s">
        <v>212</v>
      </c>
      <c r="B61" s="302"/>
      <c r="C61" s="308"/>
      <c r="D61" s="302" t="s">
        <v>213</v>
      </c>
      <c r="E61" s="302"/>
      <c r="F61" s="304"/>
      <c r="G61" s="305"/>
      <c r="H61" s="302"/>
      <c r="I61" s="306">
        <f>ROUND(SUM(I62:I73),2)</f>
        <v>10386.56</v>
      </c>
      <c r="J61" s="307">
        <f>ROUND(SUM(J62:J73),2)</f>
        <v>13840.09</v>
      </c>
      <c r="K61" s="309"/>
      <c r="L61" s="310">
        <f t="shared" si="8"/>
        <v>0</v>
      </c>
      <c r="N61" s="560">
        <f>SUM(J62:J73)</f>
        <v>13840.09</v>
      </c>
      <c r="O61" s="564">
        <f t="shared" si="0"/>
        <v>0</v>
      </c>
      <c r="Q61" s="311">
        <f t="shared" si="1"/>
        <v>0</v>
      </c>
    </row>
    <row r="62" spans="1:17" s="36" customFormat="1" ht="45" outlineLevel="2" x14ac:dyDescent="0.25">
      <c r="A62" s="270" t="s">
        <v>214</v>
      </c>
      <c r="B62" s="271" t="s">
        <v>4322</v>
      </c>
      <c r="C62" s="271">
        <v>170608</v>
      </c>
      <c r="D62" s="272" t="s">
        <v>216</v>
      </c>
      <c r="E62" s="271" t="s">
        <v>68</v>
      </c>
      <c r="F62" s="273">
        <v>2</v>
      </c>
      <c r="G62" s="274">
        <v>1910.62</v>
      </c>
      <c r="H62" s="275">
        <f t="shared" ref="H62:H73" si="22">ROUND(G62*ROUND(1+(33.25/100),4),2)</f>
        <v>2545.9</v>
      </c>
      <c r="I62" s="275">
        <f t="shared" ref="I62:I73" si="23">ROUND(ROUND(F62,2)*ROUND(G62,2),2)</f>
        <v>3821.24</v>
      </c>
      <c r="J62" s="276">
        <f t="shared" ref="J62:J73" si="24">ROUND(ROUND(F62,2)*ROUND(H62,2),2)</f>
        <v>5091.8</v>
      </c>
      <c r="K62" s="155"/>
      <c r="L62" s="40">
        <f t="shared" si="8"/>
        <v>5091.8</v>
      </c>
      <c r="O62" s="561">
        <f t="shared" si="0"/>
        <v>5091.8</v>
      </c>
      <c r="Q62" s="36">
        <f t="shared" si="1"/>
        <v>5091.8</v>
      </c>
    </row>
    <row r="63" spans="1:17" s="36" customFormat="1" ht="22.5" outlineLevel="2" x14ac:dyDescent="0.25">
      <c r="A63" s="270" t="s">
        <v>217</v>
      </c>
      <c r="B63" s="271" t="s">
        <v>4322</v>
      </c>
      <c r="C63" s="271">
        <v>170304</v>
      </c>
      <c r="D63" s="272" t="s">
        <v>219</v>
      </c>
      <c r="E63" s="271" t="s">
        <v>68</v>
      </c>
      <c r="F63" s="273">
        <v>2</v>
      </c>
      <c r="G63" s="274">
        <v>284.67</v>
      </c>
      <c r="H63" s="275">
        <f t="shared" si="22"/>
        <v>379.32</v>
      </c>
      <c r="I63" s="275">
        <f t="shared" si="23"/>
        <v>569.34</v>
      </c>
      <c r="J63" s="276">
        <f t="shared" si="24"/>
        <v>758.64</v>
      </c>
      <c r="K63" s="155"/>
      <c r="L63" s="40">
        <f t="shared" si="8"/>
        <v>758.64</v>
      </c>
      <c r="O63" s="561">
        <f t="shared" si="0"/>
        <v>758.64</v>
      </c>
      <c r="Q63" s="36">
        <f t="shared" si="1"/>
        <v>758.64</v>
      </c>
    </row>
    <row r="64" spans="1:17" s="36" customFormat="1" ht="45" outlineLevel="2" x14ac:dyDescent="0.25">
      <c r="A64" s="270" t="s">
        <v>220</v>
      </c>
      <c r="B64" s="271" t="s">
        <v>4322</v>
      </c>
      <c r="C64" s="271">
        <v>170128</v>
      </c>
      <c r="D64" s="272" t="s">
        <v>222</v>
      </c>
      <c r="E64" s="271" t="s">
        <v>68</v>
      </c>
      <c r="F64" s="273">
        <v>1</v>
      </c>
      <c r="G64" s="274">
        <v>1539.95</v>
      </c>
      <c r="H64" s="275">
        <f t="shared" si="22"/>
        <v>2051.98</v>
      </c>
      <c r="I64" s="275">
        <f t="shared" si="23"/>
        <v>1539.95</v>
      </c>
      <c r="J64" s="276">
        <f t="shared" si="24"/>
        <v>2051.98</v>
      </c>
      <c r="K64" s="155"/>
      <c r="L64" s="40">
        <f t="shared" si="8"/>
        <v>2051.98</v>
      </c>
      <c r="O64" s="561">
        <f t="shared" si="0"/>
        <v>2051.98</v>
      </c>
      <c r="Q64" s="36">
        <f t="shared" si="1"/>
        <v>2051.98</v>
      </c>
    </row>
    <row r="65" spans="1:17" s="36" customFormat="1" outlineLevel="2" x14ac:dyDescent="0.25">
      <c r="A65" s="270" t="s">
        <v>223</v>
      </c>
      <c r="B65" s="271" t="s">
        <v>82</v>
      </c>
      <c r="C65" s="271" t="s">
        <v>224</v>
      </c>
      <c r="D65" s="272" t="s">
        <v>225</v>
      </c>
      <c r="E65" s="271" t="s">
        <v>226</v>
      </c>
      <c r="F65" s="273">
        <v>2</v>
      </c>
      <c r="G65" s="274">
        <v>76.989999999999995</v>
      </c>
      <c r="H65" s="275">
        <f t="shared" si="22"/>
        <v>102.59</v>
      </c>
      <c r="I65" s="275">
        <f t="shared" si="23"/>
        <v>153.97999999999999</v>
      </c>
      <c r="J65" s="276">
        <f t="shared" si="24"/>
        <v>205.18</v>
      </c>
      <c r="K65" s="155"/>
      <c r="L65" s="40">
        <f t="shared" si="8"/>
        <v>205.18</v>
      </c>
      <c r="O65" s="561">
        <f t="shared" si="0"/>
        <v>205.18</v>
      </c>
      <c r="Q65" s="36">
        <f t="shared" si="1"/>
        <v>205.18</v>
      </c>
    </row>
    <row r="66" spans="1:17" s="36" customFormat="1" ht="22.5" outlineLevel="2" x14ac:dyDescent="0.25">
      <c r="A66" s="270" t="s">
        <v>227</v>
      </c>
      <c r="B66" s="271" t="s">
        <v>82</v>
      </c>
      <c r="C66" s="271">
        <v>95547</v>
      </c>
      <c r="D66" s="272" t="s">
        <v>229</v>
      </c>
      <c r="E66" s="271" t="s">
        <v>226</v>
      </c>
      <c r="F66" s="273">
        <v>2</v>
      </c>
      <c r="G66" s="274">
        <v>66.59</v>
      </c>
      <c r="H66" s="275">
        <f t="shared" si="22"/>
        <v>88.73</v>
      </c>
      <c r="I66" s="275">
        <f t="shared" si="23"/>
        <v>133.18</v>
      </c>
      <c r="J66" s="276">
        <f t="shared" si="24"/>
        <v>177.46</v>
      </c>
      <c r="K66" s="155"/>
      <c r="L66" s="40">
        <f t="shared" si="8"/>
        <v>177.46</v>
      </c>
      <c r="O66" s="561">
        <f t="shared" si="0"/>
        <v>177.46</v>
      </c>
      <c r="Q66" s="36">
        <f t="shared" si="1"/>
        <v>177.46</v>
      </c>
    </row>
    <row r="67" spans="1:17" s="36" customFormat="1" ht="22.5" outlineLevel="2" x14ac:dyDescent="0.25">
      <c r="A67" s="270" t="s">
        <v>230</v>
      </c>
      <c r="B67" s="271" t="s">
        <v>4322</v>
      </c>
      <c r="C67" s="246">
        <v>170519</v>
      </c>
      <c r="D67" s="272" t="s">
        <v>232</v>
      </c>
      <c r="E67" s="271" t="s">
        <v>68</v>
      </c>
      <c r="F67" s="273">
        <v>2</v>
      </c>
      <c r="G67" s="274">
        <v>341.11</v>
      </c>
      <c r="H67" s="275">
        <f t="shared" si="22"/>
        <v>454.53</v>
      </c>
      <c r="I67" s="275">
        <f t="shared" si="23"/>
        <v>682.22</v>
      </c>
      <c r="J67" s="276">
        <f t="shared" si="24"/>
        <v>909.06</v>
      </c>
      <c r="K67" s="155"/>
      <c r="L67" s="40">
        <f t="shared" si="8"/>
        <v>909.06</v>
      </c>
      <c r="O67" s="561">
        <f t="shared" si="0"/>
        <v>909.06</v>
      </c>
      <c r="Q67" s="36">
        <f t="shared" si="1"/>
        <v>909.06</v>
      </c>
    </row>
    <row r="68" spans="1:17" s="36" customFormat="1" ht="33.75" outlineLevel="2" x14ac:dyDescent="0.25">
      <c r="A68" s="270" t="s">
        <v>233</v>
      </c>
      <c r="B68" s="271" t="s">
        <v>4322</v>
      </c>
      <c r="C68" s="246">
        <v>170601</v>
      </c>
      <c r="D68" s="272" t="s">
        <v>235</v>
      </c>
      <c r="E68" s="271" t="s">
        <v>68</v>
      </c>
      <c r="F68" s="273">
        <v>2</v>
      </c>
      <c r="G68" s="274">
        <v>135.75</v>
      </c>
      <c r="H68" s="275">
        <f t="shared" si="22"/>
        <v>180.89</v>
      </c>
      <c r="I68" s="275">
        <f t="shared" si="23"/>
        <v>271.5</v>
      </c>
      <c r="J68" s="276">
        <f t="shared" si="24"/>
        <v>361.78</v>
      </c>
      <c r="K68" s="155"/>
      <c r="L68" s="40">
        <f t="shared" si="8"/>
        <v>361.78</v>
      </c>
      <c r="O68" s="561">
        <f t="shared" si="0"/>
        <v>361.78</v>
      </c>
      <c r="Q68" s="36">
        <f t="shared" si="1"/>
        <v>361.78</v>
      </c>
    </row>
    <row r="69" spans="1:17" s="36" customFormat="1" ht="33.75" outlineLevel="2" x14ac:dyDescent="0.25">
      <c r="A69" s="270" t="s">
        <v>236</v>
      </c>
      <c r="B69" s="271" t="s">
        <v>4322</v>
      </c>
      <c r="C69" s="246">
        <v>170615</v>
      </c>
      <c r="D69" s="272" t="s">
        <v>238</v>
      </c>
      <c r="E69" s="271" t="s">
        <v>68</v>
      </c>
      <c r="F69" s="273">
        <v>1</v>
      </c>
      <c r="G69" s="274">
        <v>161.83000000000001</v>
      </c>
      <c r="H69" s="275">
        <f t="shared" si="22"/>
        <v>215.64</v>
      </c>
      <c r="I69" s="275">
        <f t="shared" si="23"/>
        <v>161.83000000000001</v>
      </c>
      <c r="J69" s="276">
        <f t="shared" si="24"/>
        <v>215.64</v>
      </c>
      <c r="K69" s="155"/>
      <c r="L69" s="40">
        <f t="shared" ref="L69:L252" si="25">F69*H69</f>
        <v>215.64</v>
      </c>
      <c r="O69" s="561">
        <f t="shared" si="0"/>
        <v>215.64</v>
      </c>
      <c r="Q69" s="36">
        <f t="shared" si="1"/>
        <v>215.64</v>
      </c>
    </row>
    <row r="70" spans="1:17" s="36" customFormat="1" ht="33.75" outlineLevel="2" x14ac:dyDescent="0.25">
      <c r="A70" s="270" t="s">
        <v>239</v>
      </c>
      <c r="B70" s="271" t="s">
        <v>4322</v>
      </c>
      <c r="C70" s="246">
        <v>170603</v>
      </c>
      <c r="D70" s="272" t="s">
        <v>241</v>
      </c>
      <c r="E70" s="271" t="s">
        <v>68</v>
      </c>
      <c r="F70" s="273">
        <v>2</v>
      </c>
      <c r="G70" s="274">
        <v>178.2</v>
      </c>
      <c r="H70" s="275">
        <f t="shared" si="22"/>
        <v>237.45</v>
      </c>
      <c r="I70" s="275">
        <f t="shared" si="23"/>
        <v>356.4</v>
      </c>
      <c r="J70" s="276">
        <f t="shared" si="24"/>
        <v>474.9</v>
      </c>
      <c r="K70" s="155"/>
      <c r="L70" s="40">
        <f t="shared" si="25"/>
        <v>474.9</v>
      </c>
      <c r="O70" s="561">
        <f t="shared" si="0"/>
        <v>474.9</v>
      </c>
      <c r="Q70" s="36">
        <f t="shared" si="1"/>
        <v>474.9</v>
      </c>
    </row>
    <row r="71" spans="1:17" s="36" customFormat="1" ht="33.75" outlineLevel="2" x14ac:dyDescent="0.25">
      <c r="A71" s="270" t="s">
        <v>242</v>
      </c>
      <c r="B71" s="271" t="s">
        <v>4322</v>
      </c>
      <c r="C71" s="246">
        <v>170115</v>
      </c>
      <c r="D71" s="272" t="s">
        <v>244</v>
      </c>
      <c r="E71" s="271" t="s">
        <v>68</v>
      </c>
      <c r="F71" s="273">
        <v>1</v>
      </c>
      <c r="G71" s="274">
        <v>355.12</v>
      </c>
      <c r="H71" s="275">
        <f t="shared" si="22"/>
        <v>473.2</v>
      </c>
      <c r="I71" s="275">
        <f t="shared" si="23"/>
        <v>355.12</v>
      </c>
      <c r="J71" s="276">
        <f t="shared" si="24"/>
        <v>473.2</v>
      </c>
      <c r="K71" s="155"/>
      <c r="L71" s="40">
        <f t="shared" si="25"/>
        <v>473.2</v>
      </c>
      <c r="O71" s="561">
        <f t="shared" si="0"/>
        <v>473.2</v>
      </c>
      <c r="Q71" s="36">
        <f t="shared" ref="Q71:Q134" si="26">F71*H71</f>
        <v>473.2</v>
      </c>
    </row>
    <row r="72" spans="1:17" s="36" customFormat="1" outlineLevel="2" x14ac:dyDescent="0.25">
      <c r="A72" s="270" t="s">
        <v>245</v>
      </c>
      <c r="B72" s="271" t="s">
        <v>77</v>
      </c>
      <c r="C72" s="246" t="s">
        <v>246</v>
      </c>
      <c r="D72" s="272" t="s">
        <v>247</v>
      </c>
      <c r="E72" s="271" t="s">
        <v>54</v>
      </c>
      <c r="F72" s="273">
        <v>0.96</v>
      </c>
      <c r="G72" s="274">
        <v>481.17</v>
      </c>
      <c r="H72" s="275">
        <f t="shared" si="22"/>
        <v>641.16</v>
      </c>
      <c r="I72" s="275">
        <f t="shared" si="23"/>
        <v>461.92</v>
      </c>
      <c r="J72" s="276">
        <f t="shared" si="24"/>
        <v>615.51</v>
      </c>
      <c r="K72" s="155"/>
      <c r="L72" s="40">
        <f t="shared" si="25"/>
        <v>615.5136</v>
      </c>
      <c r="O72" s="561">
        <f t="shared" ref="O72:O135" si="27">J72-N72</f>
        <v>615.51</v>
      </c>
      <c r="Q72" s="36">
        <f t="shared" si="26"/>
        <v>615.5136</v>
      </c>
    </row>
    <row r="73" spans="1:17" s="36" customFormat="1" ht="22.5" outlineLevel="2" x14ac:dyDescent="0.25">
      <c r="A73" s="270" t="s">
        <v>248</v>
      </c>
      <c r="B73" s="271" t="s">
        <v>77</v>
      </c>
      <c r="C73" s="246" t="s">
        <v>249</v>
      </c>
      <c r="D73" s="272" t="s">
        <v>250</v>
      </c>
      <c r="E73" s="271" t="s">
        <v>251</v>
      </c>
      <c r="F73" s="273">
        <v>2</v>
      </c>
      <c r="G73" s="274">
        <v>939.94</v>
      </c>
      <c r="H73" s="275">
        <f t="shared" si="22"/>
        <v>1252.47</v>
      </c>
      <c r="I73" s="275">
        <f t="shared" si="23"/>
        <v>1879.88</v>
      </c>
      <c r="J73" s="276">
        <f t="shared" si="24"/>
        <v>2504.94</v>
      </c>
      <c r="K73" s="155"/>
      <c r="L73" s="40">
        <f t="shared" si="25"/>
        <v>2504.94</v>
      </c>
      <c r="O73" s="561">
        <f t="shared" si="27"/>
        <v>2504.94</v>
      </c>
      <c r="Q73" s="36">
        <f t="shared" si="26"/>
        <v>2504.94</v>
      </c>
    </row>
    <row r="74" spans="1:17" s="311" customFormat="1" outlineLevel="1" x14ac:dyDescent="0.25">
      <c r="A74" s="301" t="s">
        <v>252</v>
      </c>
      <c r="B74" s="302"/>
      <c r="C74" s="312"/>
      <c r="D74" s="302" t="s">
        <v>253</v>
      </c>
      <c r="E74" s="302"/>
      <c r="F74" s="304"/>
      <c r="G74" s="305"/>
      <c r="H74" s="302"/>
      <c r="I74" s="306">
        <f>ROUND(I75+I86,2)</f>
        <v>59048.69</v>
      </c>
      <c r="J74" s="307">
        <f>ROUND(J75+J86,2)</f>
        <v>78682.16</v>
      </c>
      <c r="K74" s="309"/>
      <c r="L74" s="310">
        <f t="shared" si="25"/>
        <v>0</v>
      </c>
      <c r="O74" s="564">
        <f t="shared" si="27"/>
        <v>78682.16</v>
      </c>
      <c r="Q74" s="311">
        <f t="shared" si="26"/>
        <v>0</v>
      </c>
    </row>
    <row r="75" spans="1:17" s="36" customFormat="1" outlineLevel="2" x14ac:dyDescent="0.25">
      <c r="A75" s="288" t="s">
        <v>254</v>
      </c>
      <c r="B75" s="289"/>
      <c r="C75" s="246"/>
      <c r="D75" s="289" t="s">
        <v>255</v>
      </c>
      <c r="E75" s="289"/>
      <c r="F75" s="290"/>
      <c r="G75" s="291"/>
      <c r="H75" s="289"/>
      <c r="I75" s="292">
        <f>ROUND(SUM(I76:I85),2)</f>
        <v>32994.36</v>
      </c>
      <c r="J75" s="293">
        <f>ROUND(SUM(J76:J85),2)</f>
        <v>43964.85</v>
      </c>
      <c r="K75" s="155"/>
      <c r="L75" s="40">
        <f t="shared" si="25"/>
        <v>0</v>
      </c>
      <c r="N75" s="561">
        <f ca="1">O75+O86</f>
        <v>78682.16</v>
      </c>
      <c r="O75" s="559">
        <f t="shared" ca="1" si="27"/>
        <v>0</v>
      </c>
      <c r="Q75" s="36">
        <f t="shared" si="26"/>
        <v>0</v>
      </c>
    </row>
    <row r="76" spans="1:17" s="36" customFormat="1" ht="22.5" outlineLevel="2" x14ac:dyDescent="0.25">
      <c r="A76" s="270" t="s">
        <v>256</v>
      </c>
      <c r="B76" s="271" t="s">
        <v>4322</v>
      </c>
      <c r="C76" s="246">
        <v>71704</v>
      </c>
      <c r="D76" s="272" t="s">
        <v>258</v>
      </c>
      <c r="E76" s="271" t="s">
        <v>54</v>
      </c>
      <c r="F76" s="273">
        <v>1.89</v>
      </c>
      <c r="G76" s="274">
        <v>1014.07</v>
      </c>
      <c r="H76" s="275">
        <f t="shared" ref="H76:H85" si="28">ROUND(G76*ROUND(1+(33.25/100),4),2)</f>
        <v>1351.25</v>
      </c>
      <c r="I76" s="275">
        <f t="shared" ref="I76:I85" si="29">ROUND(ROUND(F76,2)*ROUND(G76,2),2)</f>
        <v>1916.59</v>
      </c>
      <c r="J76" s="276">
        <f t="shared" ref="J76:J85" si="30">ROUND(ROUND(F76,2)*ROUND(H76,2),2)</f>
        <v>2553.86</v>
      </c>
      <c r="K76" s="155"/>
      <c r="L76" s="40">
        <f t="shared" si="25"/>
        <v>2553.8624999999997</v>
      </c>
      <c r="O76" s="561">
        <f t="shared" si="27"/>
        <v>2553.86</v>
      </c>
      <c r="Q76" s="36">
        <f t="shared" si="26"/>
        <v>2553.8624999999997</v>
      </c>
    </row>
    <row r="77" spans="1:17" s="36" customFormat="1" ht="22.5" outlineLevel="2" x14ac:dyDescent="0.25">
      <c r="A77" s="270" t="s">
        <v>259</v>
      </c>
      <c r="B77" s="271" t="s">
        <v>77</v>
      </c>
      <c r="C77" s="246" t="s">
        <v>260</v>
      </c>
      <c r="D77" s="272" t="s">
        <v>261</v>
      </c>
      <c r="E77" s="271" t="s">
        <v>122</v>
      </c>
      <c r="F77" s="273">
        <v>1.68</v>
      </c>
      <c r="G77" s="274">
        <v>595.65</v>
      </c>
      <c r="H77" s="275">
        <f t="shared" si="28"/>
        <v>793.7</v>
      </c>
      <c r="I77" s="275">
        <f t="shared" si="29"/>
        <v>1000.69</v>
      </c>
      <c r="J77" s="276">
        <f t="shared" si="30"/>
        <v>1333.42</v>
      </c>
      <c r="K77" s="155"/>
      <c r="L77" s="40">
        <f t="shared" si="25"/>
        <v>1333.4159999999999</v>
      </c>
      <c r="O77" s="561">
        <f t="shared" si="27"/>
        <v>1333.42</v>
      </c>
      <c r="Q77" s="36">
        <f t="shared" si="26"/>
        <v>1333.4159999999999</v>
      </c>
    </row>
    <row r="78" spans="1:17" s="36" customFormat="1" outlineLevel="2" x14ac:dyDescent="0.25">
      <c r="A78" s="270" t="s">
        <v>262</v>
      </c>
      <c r="B78" s="271" t="s">
        <v>77</v>
      </c>
      <c r="C78" s="271" t="s">
        <v>263</v>
      </c>
      <c r="D78" s="272" t="s">
        <v>264</v>
      </c>
      <c r="E78" s="271" t="s">
        <v>54</v>
      </c>
      <c r="F78" s="273">
        <v>9.11</v>
      </c>
      <c r="G78" s="274">
        <v>65.39</v>
      </c>
      <c r="H78" s="275">
        <f t="shared" si="28"/>
        <v>87.13</v>
      </c>
      <c r="I78" s="275">
        <f t="shared" si="29"/>
        <v>595.70000000000005</v>
      </c>
      <c r="J78" s="276">
        <f t="shared" si="30"/>
        <v>793.75</v>
      </c>
      <c r="K78" s="155"/>
      <c r="L78" s="40">
        <f t="shared" si="25"/>
        <v>793.75429999999994</v>
      </c>
      <c r="O78" s="561">
        <f t="shared" si="27"/>
        <v>793.75</v>
      </c>
      <c r="Q78" s="36">
        <f t="shared" si="26"/>
        <v>793.75429999999994</v>
      </c>
    </row>
    <row r="79" spans="1:17" s="36" customFormat="1" ht="22.5" outlineLevel="2" x14ac:dyDescent="0.25">
      <c r="A79" s="270" t="s">
        <v>265</v>
      </c>
      <c r="B79" s="271" t="s">
        <v>77</v>
      </c>
      <c r="C79" s="271" t="s">
        <v>266</v>
      </c>
      <c r="D79" s="272" t="s">
        <v>267</v>
      </c>
      <c r="E79" s="271" t="s">
        <v>54</v>
      </c>
      <c r="F79" s="273">
        <v>51.32</v>
      </c>
      <c r="G79" s="274">
        <v>346.47</v>
      </c>
      <c r="H79" s="275">
        <f t="shared" si="28"/>
        <v>461.67</v>
      </c>
      <c r="I79" s="275">
        <f t="shared" si="29"/>
        <v>17780.84</v>
      </c>
      <c r="J79" s="276">
        <f t="shared" si="30"/>
        <v>23692.9</v>
      </c>
      <c r="K79" s="155"/>
      <c r="L79" s="40">
        <f t="shared" si="25"/>
        <v>23692.904399999999</v>
      </c>
      <c r="O79" s="561">
        <f t="shared" si="27"/>
        <v>23692.9</v>
      </c>
      <c r="Q79" s="36">
        <f t="shared" si="26"/>
        <v>23692.904399999999</v>
      </c>
    </row>
    <row r="80" spans="1:17" s="36" customFormat="1" ht="22.5" outlineLevel="2" x14ac:dyDescent="0.25">
      <c r="A80" s="270" t="s">
        <v>268</v>
      </c>
      <c r="B80" s="271" t="s">
        <v>77</v>
      </c>
      <c r="C80" s="271" t="s">
        <v>269</v>
      </c>
      <c r="D80" s="272" t="s">
        <v>270</v>
      </c>
      <c r="E80" s="271" t="s">
        <v>226</v>
      </c>
      <c r="F80" s="273">
        <v>1</v>
      </c>
      <c r="G80" s="274">
        <v>3630.02</v>
      </c>
      <c r="H80" s="275">
        <f t="shared" si="28"/>
        <v>4837</v>
      </c>
      <c r="I80" s="275">
        <f t="shared" si="29"/>
        <v>3630.02</v>
      </c>
      <c r="J80" s="276">
        <f t="shared" si="30"/>
        <v>4837</v>
      </c>
      <c r="K80" s="155"/>
      <c r="L80" s="40">
        <f t="shared" si="25"/>
        <v>4837</v>
      </c>
      <c r="O80" s="561">
        <f t="shared" si="27"/>
        <v>4837</v>
      </c>
      <c r="Q80" s="36">
        <f t="shared" si="26"/>
        <v>4837</v>
      </c>
    </row>
    <row r="81" spans="1:17" s="36" customFormat="1" ht="22.5" outlineLevel="2" x14ac:dyDescent="0.25">
      <c r="A81" s="270" t="s">
        <v>271</v>
      </c>
      <c r="B81" s="271" t="s">
        <v>77</v>
      </c>
      <c r="C81" s="271" t="s">
        <v>272</v>
      </c>
      <c r="D81" s="272" t="s">
        <v>273</v>
      </c>
      <c r="E81" s="271" t="s">
        <v>226</v>
      </c>
      <c r="F81" s="273">
        <v>1</v>
      </c>
      <c r="G81" s="274">
        <v>3434.25</v>
      </c>
      <c r="H81" s="275">
        <f t="shared" si="28"/>
        <v>4576.1400000000003</v>
      </c>
      <c r="I81" s="275">
        <f t="shared" si="29"/>
        <v>3434.25</v>
      </c>
      <c r="J81" s="276">
        <f t="shared" si="30"/>
        <v>4576.1400000000003</v>
      </c>
      <c r="K81" s="155"/>
      <c r="L81" s="40">
        <f t="shared" si="25"/>
        <v>4576.1400000000003</v>
      </c>
      <c r="O81" s="561">
        <f t="shared" si="27"/>
        <v>4576.1400000000003</v>
      </c>
      <c r="Q81" s="36">
        <f t="shared" si="26"/>
        <v>4576.1400000000003</v>
      </c>
    </row>
    <row r="82" spans="1:17" s="36" customFormat="1" ht="22.5" outlineLevel="2" x14ac:dyDescent="0.25">
      <c r="A82" s="270" t="s">
        <v>274</v>
      </c>
      <c r="B82" s="271" t="s">
        <v>77</v>
      </c>
      <c r="C82" s="271" t="s">
        <v>275</v>
      </c>
      <c r="D82" s="272" t="s">
        <v>276</v>
      </c>
      <c r="E82" s="271" t="s">
        <v>54</v>
      </c>
      <c r="F82" s="273">
        <v>0.04</v>
      </c>
      <c r="G82" s="274">
        <v>73.89</v>
      </c>
      <c r="H82" s="275">
        <f t="shared" si="28"/>
        <v>98.46</v>
      </c>
      <c r="I82" s="275">
        <f t="shared" si="29"/>
        <v>2.96</v>
      </c>
      <c r="J82" s="276">
        <f t="shared" si="30"/>
        <v>3.94</v>
      </c>
      <c r="K82" s="155"/>
      <c r="L82" s="40">
        <f t="shared" si="25"/>
        <v>3.9383999999999997</v>
      </c>
      <c r="O82" s="561">
        <f t="shared" si="27"/>
        <v>3.94</v>
      </c>
      <c r="Q82" s="36">
        <f t="shared" si="26"/>
        <v>3.9383999999999997</v>
      </c>
    </row>
    <row r="83" spans="1:17" s="36" customFormat="1" ht="56.25" outlineLevel="2" x14ac:dyDescent="0.25">
      <c r="A83" s="270" t="s">
        <v>277</v>
      </c>
      <c r="B83" s="271" t="s">
        <v>77</v>
      </c>
      <c r="C83" s="271" t="s">
        <v>278</v>
      </c>
      <c r="D83" s="272" t="s">
        <v>279</v>
      </c>
      <c r="E83" s="271" t="s">
        <v>122</v>
      </c>
      <c r="F83" s="273">
        <v>25.66</v>
      </c>
      <c r="G83" s="274">
        <v>114.08</v>
      </c>
      <c r="H83" s="275">
        <f t="shared" si="28"/>
        <v>152.01</v>
      </c>
      <c r="I83" s="275">
        <f t="shared" si="29"/>
        <v>2927.29</v>
      </c>
      <c r="J83" s="276">
        <f t="shared" si="30"/>
        <v>3900.58</v>
      </c>
      <c r="K83" s="155"/>
      <c r="L83" s="40">
        <f t="shared" si="25"/>
        <v>3900.5765999999999</v>
      </c>
      <c r="O83" s="561">
        <f t="shared" si="27"/>
        <v>3900.58</v>
      </c>
      <c r="Q83" s="36">
        <f t="shared" si="26"/>
        <v>3900.5765999999999</v>
      </c>
    </row>
    <row r="84" spans="1:17" s="36" customFormat="1" ht="22.5" outlineLevel="2" x14ac:dyDescent="0.25">
      <c r="A84" s="270" t="s">
        <v>280</v>
      </c>
      <c r="B84" s="271" t="s">
        <v>77</v>
      </c>
      <c r="C84" s="271" t="s">
        <v>281</v>
      </c>
      <c r="D84" s="272" t="s">
        <v>282</v>
      </c>
      <c r="E84" s="271" t="s">
        <v>122</v>
      </c>
      <c r="F84" s="273">
        <v>2.57</v>
      </c>
      <c r="G84" s="274">
        <v>331.91</v>
      </c>
      <c r="H84" s="275">
        <f t="shared" si="28"/>
        <v>442.27</v>
      </c>
      <c r="I84" s="275">
        <f t="shared" si="29"/>
        <v>853.01</v>
      </c>
      <c r="J84" s="276">
        <f t="shared" si="30"/>
        <v>1136.6300000000001</v>
      </c>
      <c r="K84" s="155"/>
      <c r="L84" s="40">
        <f t="shared" si="25"/>
        <v>1136.6338999999998</v>
      </c>
      <c r="O84" s="561">
        <f t="shared" si="27"/>
        <v>1136.6300000000001</v>
      </c>
      <c r="Q84" s="36">
        <f t="shared" si="26"/>
        <v>1136.6338999999998</v>
      </c>
    </row>
    <row r="85" spans="1:17" s="36" customFormat="1" ht="22.5" outlineLevel="2" x14ac:dyDescent="0.25">
      <c r="A85" s="270" t="s">
        <v>283</v>
      </c>
      <c r="B85" s="271" t="s">
        <v>77</v>
      </c>
      <c r="C85" s="271" t="s">
        <v>281</v>
      </c>
      <c r="D85" s="272" t="s">
        <v>284</v>
      </c>
      <c r="E85" s="271" t="s">
        <v>122</v>
      </c>
      <c r="F85" s="273">
        <v>2.57</v>
      </c>
      <c r="G85" s="274">
        <v>331.91</v>
      </c>
      <c r="H85" s="275">
        <f t="shared" si="28"/>
        <v>442.27</v>
      </c>
      <c r="I85" s="275">
        <f t="shared" si="29"/>
        <v>853.01</v>
      </c>
      <c r="J85" s="276">
        <f t="shared" si="30"/>
        <v>1136.6300000000001</v>
      </c>
      <c r="K85" s="155"/>
      <c r="L85" s="40">
        <f t="shared" si="25"/>
        <v>1136.6338999999998</v>
      </c>
      <c r="O85" s="561">
        <f t="shared" si="27"/>
        <v>1136.6300000000001</v>
      </c>
      <c r="Q85" s="36">
        <f t="shared" si="26"/>
        <v>1136.6338999999998</v>
      </c>
    </row>
    <row r="86" spans="1:17" s="36" customFormat="1" outlineLevel="2" x14ac:dyDescent="0.25">
      <c r="A86" s="288" t="s">
        <v>285</v>
      </c>
      <c r="B86" s="289"/>
      <c r="C86" s="271"/>
      <c r="D86" s="289" t="s">
        <v>286</v>
      </c>
      <c r="E86" s="289"/>
      <c r="F86" s="290"/>
      <c r="G86" s="291"/>
      <c r="H86" s="289"/>
      <c r="I86" s="292">
        <f>ROUND(SUM(I87:I91),2)</f>
        <v>26054.33</v>
      </c>
      <c r="J86" s="293">
        <f>ROUND(SUM(J87:J91),2)</f>
        <v>34717.31</v>
      </c>
      <c r="K86" s="155"/>
      <c r="L86" s="40">
        <f t="shared" si="25"/>
        <v>0</v>
      </c>
      <c r="O86" s="559">
        <f t="shared" si="27"/>
        <v>34717.31</v>
      </c>
      <c r="Q86" s="36">
        <f t="shared" si="26"/>
        <v>0</v>
      </c>
    </row>
    <row r="87" spans="1:17" s="36" customFormat="1" outlineLevel="2" x14ac:dyDescent="0.25">
      <c r="A87" s="270" t="s">
        <v>287</v>
      </c>
      <c r="B87" s="271" t="s">
        <v>77</v>
      </c>
      <c r="C87" s="271" t="s">
        <v>288</v>
      </c>
      <c r="D87" s="272" t="s">
        <v>289</v>
      </c>
      <c r="E87" s="271" t="s">
        <v>122</v>
      </c>
      <c r="F87" s="273">
        <v>4.62</v>
      </c>
      <c r="G87" s="274">
        <v>1618.74</v>
      </c>
      <c r="H87" s="275">
        <f>ROUND(G87*ROUND(1+(33.25/100),4),2)</f>
        <v>2156.9699999999998</v>
      </c>
      <c r="I87" s="275">
        <f>ROUND(ROUND(F87,2)*ROUND(G87,2),2)</f>
        <v>7478.58</v>
      </c>
      <c r="J87" s="276">
        <f>ROUND(ROUND(F87,2)*ROUND(H87,2),2)</f>
        <v>9965.2000000000007</v>
      </c>
      <c r="K87" s="155"/>
      <c r="L87" s="40">
        <f t="shared" si="25"/>
        <v>9965.2013999999999</v>
      </c>
      <c r="O87" s="561">
        <f t="shared" si="27"/>
        <v>9965.2000000000007</v>
      </c>
      <c r="Q87" s="36">
        <f t="shared" si="26"/>
        <v>9965.2013999999999</v>
      </c>
    </row>
    <row r="88" spans="1:17" s="36" customFormat="1" ht="22.5" outlineLevel="2" x14ac:dyDescent="0.25">
      <c r="A88" s="270" t="s">
        <v>290</v>
      </c>
      <c r="B88" s="271" t="s">
        <v>77</v>
      </c>
      <c r="C88" s="271" t="s">
        <v>266</v>
      </c>
      <c r="D88" s="272" t="s">
        <v>267</v>
      </c>
      <c r="E88" s="271" t="s">
        <v>54</v>
      </c>
      <c r="F88" s="273">
        <v>38.18</v>
      </c>
      <c r="G88" s="274">
        <v>346.47</v>
      </c>
      <c r="H88" s="275">
        <f>ROUND(G88*ROUND(1+(33.25/100),4),2)</f>
        <v>461.67</v>
      </c>
      <c r="I88" s="275">
        <f>ROUND(ROUND(F88,2)*ROUND(G88,2),2)</f>
        <v>13228.22</v>
      </c>
      <c r="J88" s="276">
        <f>ROUND(ROUND(F88,2)*ROUND(H88,2),2)</f>
        <v>17626.560000000001</v>
      </c>
      <c r="K88" s="155"/>
      <c r="L88" s="40">
        <f t="shared" si="25"/>
        <v>17626.560600000001</v>
      </c>
      <c r="O88" s="561">
        <f t="shared" si="27"/>
        <v>17626.560000000001</v>
      </c>
      <c r="Q88" s="36">
        <f t="shared" si="26"/>
        <v>17626.560600000001</v>
      </c>
    </row>
    <row r="89" spans="1:17" s="36" customFormat="1" ht="56.25" outlineLevel="2" x14ac:dyDescent="0.25">
      <c r="A89" s="270" t="s">
        <v>291</v>
      </c>
      <c r="B89" s="271" t="s">
        <v>77</v>
      </c>
      <c r="C89" s="271" t="s">
        <v>278</v>
      </c>
      <c r="D89" s="272" t="s">
        <v>279</v>
      </c>
      <c r="E89" s="271" t="s">
        <v>122</v>
      </c>
      <c r="F89" s="273">
        <v>19.09</v>
      </c>
      <c r="G89" s="274">
        <v>114.08</v>
      </c>
      <c r="H89" s="275">
        <f>ROUND(G89*ROUND(1+(33.25/100),4),2)</f>
        <v>152.01</v>
      </c>
      <c r="I89" s="275">
        <f>ROUND(ROUND(F89,2)*ROUND(G89,2),2)</f>
        <v>2177.79</v>
      </c>
      <c r="J89" s="276">
        <f>ROUND(ROUND(F89,2)*ROUND(H89,2),2)</f>
        <v>2901.87</v>
      </c>
      <c r="K89" s="155"/>
      <c r="L89" s="40">
        <f t="shared" si="25"/>
        <v>2901.8708999999999</v>
      </c>
      <c r="O89" s="561">
        <f t="shared" si="27"/>
        <v>2901.87</v>
      </c>
      <c r="Q89" s="36">
        <f t="shared" si="26"/>
        <v>2901.8708999999999</v>
      </c>
    </row>
    <row r="90" spans="1:17" s="36" customFormat="1" ht="22.5" outlineLevel="2" x14ac:dyDescent="0.25">
      <c r="A90" s="270" t="s">
        <v>292</v>
      </c>
      <c r="B90" s="271" t="s">
        <v>77</v>
      </c>
      <c r="C90" s="271" t="s">
        <v>281</v>
      </c>
      <c r="D90" s="272" t="s">
        <v>282</v>
      </c>
      <c r="E90" s="271" t="s">
        <v>122</v>
      </c>
      <c r="F90" s="273">
        <v>3.82</v>
      </c>
      <c r="G90" s="274">
        <v>331.91</v>
      </c>
      <c r="H90" s="275">
        <f>ROUND(G90*ROUND(1+(33.25/100),4),2)</f>
        <v>442.27</v>
      </c>
      <c r="I90" s="275">
        <f>ROUND(ROUND(F90,2)*ROUND(G90,2),2)</f>
        <v>1267.9000000000001</v>
      </c>
      <c r="J90" s="276">
        <f>ROUND(ROUND(F90,2)*ROUND(H90,2),2)</f>
        <v>1689.47</v>
      </c>
      <c r="K90" s="155"/>
      <c r="L90" s="40">
        <f t="shared" si="25"/>
        <v>1689.4713999999999</v>
      </c>
      <c r="O90" s="561">
        <f t="shared" si="27"/>
        <v>1689.47</v>
      </c>
      <c r="Q90" s="36">
        <f t="shared" si="26"/>
        <v>1689.4713999999999</v>
      </c>
    </row>
    <row r="91" spans="1:17" s="36" customFormat="1" ht="22.5" outlineLevel="2" x14ac:dyDescent="0.25">
      <c r="A91" s="270" t="s">
        <v>293</v>
      </c>
      <c r="B91" s="271" t="s">
        <v>77</v>
      </c>
      <c r="C91" s="271" t="s">
        <v>281</v>
      </c>
      <c r="D91" s="272" t="s">
        <v>284</v>
      </c>
      <c r="E91" s="271" t="s">
        <v>122</v>
      </c>
      <c r="F91" s="273">
        <v>5.73</v>
      </c>
      <c r="G91" s="274">
        <v>331.91</v>
      </c>
      <c r="H91" s="275">
        <f>ROUND(G91*ROUND(1+(33.25/100),4),2)</f>
        <v>442.27</v>
      </c>
      <c r="I91" s="275">
        <f>ROUND(ROUND(F91,2)*ROUND(G91,2),2)</f>
        <v>1901.84</v>
      </c>
      <c r="J91" s="276">
        <f>ROUND(ROUND(F91,2)*ROUND(H91,2),2)</f>
        <v>2534.21</v>
      </c>
      <c r="K91" s="155"/>
      <c r="L91" s="40">
        <f t="shared" si="25"/>
        <v>2534.2071000000001</v>
      </c>
      <c r="O91" s="561">
        <f t="shared" si="27"/>
        <v>2534.21</v>
      </c>
      <c r="Q91" s="36">
        <f t="shared" si="26"/>
        <v>2534.2071000000001</v>
      </c>
    </row>
    <row r="92" spans="1:17" s="311" customFormat="1" outlineLevel="1" x14ac:dyDescent="0.25">
      <c r="A92" s="301" t="s">
        <v>294</v>
      </c>
      <c r="B92" s="302"/>
      <c r="C92" s="308"/>
      <c r="D92" s="302" t="s">
        <v>295</v>
      </c>
      <c r="E92" s="302"/>
      <c r="F92" s="304"/>
      <c r="G92" s="305"/>
      <c r="H92" s="302"/>
      <c r="I92" s="306">
        <f>ROUND(SUM(I93:I95),2)</f>
        <v>4150.29</v>
      </c>
      <c r="J92" s="307">
        <f>ROUND(SUM(J93:J95),2)</f>
        <v>5530.25</v>
      </c>
      <c r="K92" s="309"/>
      <c r="L92" s="310">
        <f t="shared" si="25"/>
        <v>0</v>
      </c>
      <c r="N92" s="560">
        <f>SUM(J93:J95)</f>
        <v>5530.25</v>
      </c>
      <c r="O92" s="564">
        <f t="shared" si="27"/>
        <v>0</v>
      </c>
      <c r="Q92" s="311">
        <f t="shared" si="26"/>
        <v>0</v>
      </c>
    </row>
    <row r="93" spans="1:17" s="36" customFormat="1" ht="33.75" outlineLevel="2" x14ac:dyDescent="0.25">
      <c r="A93" s="270" t="s">
        <v>296</v>
      </c>
      <c r="B93" s="271" t="s">
        <v>77</v>
      </c>
      <c r="C93" s="271" t="s">
        <v>297</v>
      </c>
      <c r="D93" s="272" t="s">
        <v>298</v>
      </c>
      <c r="E93" s="271" t="s">
        <v>54</v>
      </c>
      <c r="F93" s="273">
        <v>2.21</v>
      </c>
      <c r="G93" s="274">
        <v>825.2</v>
      </c>
      <c r="H93" s="275">
        <f>ROUND(G93*ROUND(1+(33.25/100),4),2)</f>
        <v>1099.58</v>
      </c>
      <c r="I93" s="275">
        <f>ROUND(ROUND(F93,2)*ROUND(G93,2),2)</f>
        <v>1823.69</v>
      </c>
      <c r="J93" s="276">
        <f>ROUND(ROUND(F93,2)*ROUND(H93,2),2)</f>
        <v>2430.0700000000002</v>
      </c>
      <c r="K93" s="155"/>
      <c r="L93" s="40">
        <f t="shared" si="25"/>
        <v>2430.0717999999997</v>
      </c>
      <c r="O93" s="561">
        <f t="shared" si="27"/>
        <v>2430.0700000000002</v>
      </c>
      <c r="Q93" s="36">
        <f t="shared" si="26"/>
        <v>2430.0717999999997</v>
      </c>
    </row>
    <row r="94" spans="1:17" s="36" customFormat="1" outlineLevel="2" x14ac:dyDescent="0.25">
      <c r="A94" s="270" t="s">
        <v>299</v>
      </c>
      <c r="B94" s="271" t="s">
        <v>77</v>
      </c>
      <c r="C94" s="271" t="s">
        <v>300</v>
      </c>
      <c r="D94" s="272" t="s">
        <v>301</v>
      </c>
      <c r="E94" s="271" t="s">
        <v>188</v>
      </c>
      <c r="F94" s="273">
        <v>5.65</v>
      </c>
      <c r="G94" s="274">
        <v>77.33</v>
      </c>
      <c r="H94" s="275">
        <f>ROUND(G94*ROUND(1+(33.25/100),4),2)</f>
        <v>103.04</v>
      </c>
      <c r="I94" s="275">
        <f>ROUND(ROUND(F94,2)*ROUND(G94,2),2)</f>
        <v>436.91</v>
      </c>
      <c r="J94" s="276">
        <f>ROUND(ROUND(F94,2)*ROUND(H94,2),2)</f>
        <v>582.17999999999995</v>
      </c>
      <c r="K94" s="155"/>
      <c r="L94" s="40">
        <f t="shared" si="25"/>
        <v>582.17600000000004</v>
      </c>
      <c r="O94" s="561">
        <f t="shared" si="27"/>
        <v>582.17999999999995</v>
      </c>
      <c r="Q94" s="36">
        <f t="shared" si="26"/>
        <v>582.17600000000004</v>
      </c>
    </row>
    <row r="95" spans="1:17" s="36" customFormat="1" ht="22.5" outlineLevel="2" x14ac:dyDescent="0.25">
      <c r="A95" s="270" t="s">
        <v>302</v>
      </c>
      <c r="B95" s="271" t="s">
        <v>77</v>
      </c>
      <c r="C95" s="271" t="s">
        <v>303</v>
      </c>
      <c r="D95" s="272" t="s">
        <v>304</v>
      </c>
      <c r="E95" s="271" t="s">
        <v>122</v>
      </c>
      <c r="F95" s="273">
        <v>3.43</v>
      </c>
      <c r="G95" s="274">
        <v>550.92999999999995</v>
      </c>
      <c r="H95" s="275">
        <f>ROUND(G95*ROUND(1+(33.25/100),4),2)</f>
        <v>734.11</v>
      </c>
      <c r="I95" s="275">
        <f>ROUND(ROUND(F95,2)*ROUND(G95,2),2)</f>
        <v>1889.69</v>
      </c>
      <c r="J95" s="276">
        <f>ROUND(ROUND(F95,2)*ROUND(H95,2),2)</f>
        <v>2518</v>
      </c>
      <c r="K95" s="155"/>
      <c r="L95" s="40">
        <f t="shared" si="25"/>
        <v>2517.9973</v>
      </c>
      <c r="O95" s="561">
        <f t="shared" si="27"/>
        <v>2518</v>
      </c>
      <c r="Q95" s="36">
        <f t="shared" si="26"/>
        <v>2517.9973</v>
      </c>
    </row>
    <row r="96" spans="1:17" s="311" customFormat="1" outlineLevel="1" x14ac:dyDescent="0.25">
      <c r="A96" s="301" t="s">
        <v>305</v>
      </c>
      <c r="B96" s="302"/>
      <c r="C96" s="308"/>
      <c r="D96" s="302" t="s">
        <v>306</v>
      </c>
      <c r="E96" s="302"/>
      <c r="F96" s="304"/>
      <c r="G96" s="305"/>
      <c r="H96" s="302"/>
      <c r="I96" s="306">
        <f>ROUND(SUM(I97:I100),2)</f>
        <v>23837.919999999998</v>
      </c>
      <c r="J96" s="307">
        <f>ROUND(SUM(J97:J100),2)</f>
        <v>31764.09</v>
      </c>
      <c r="K96" s="309"/>
      <c r="L96" s="310">
        <f t="shared" si="25"/>
        <v>0</v>
      </c>
      <c r="N96" s="560">
        <f>SUM(J97:J100)</f>
        <v>31764.09</v>
      </c>
      <c r="O96" s="564">
        <f t="shared" si="27"/>
        <v>0</v>
      </c>
      <c r="Q96" s="311">
        <f t="shared" si="26"/>
        <v>0</v>
      </c>
    </row>
    <row r="97" spans="1:17" s="36" customFormat="1" outlineLevel="2" x14ac:dyDescent="0.25">
      <c r="A97" s="270" t="s">
        <v>307</v>
      </c>
      <c r="B97" s="271" t="s">
        <v>4322</v>
      </c>
      <c r="C97" s="271">
        <v>71106</v>
      </c>
      <c r="D97" s="272" t="s">
        <v>309</v>
      </c>
      <c r="E97" s="271" t="s">
        <v>54</v>
      </c>
      <c r="F97" s="273">
        <v>6.6</v>
      </c>
      <c r="G97" s="274">
        <v>732.22</v>
      </c>
      <c r="H97" s="275">
        <f>ROUND(G97*ROUND(1+(33.25/100),4),2)</f>
        <v>975.68</v>
      </c>
      <c r="I97" s="275">
        <f>ROUND(ROUND(F97,2)*ROUND(G97,2),2)</f>
        <v>4832.6499999999996</v>
      </c>
      <c r="J97" s="276">
        <f>ROUND(ROUND(F97,2)*ROUND(H97,2),2)</f>
        <v>6439.49</v>
      </c>
      <c r="K97" s="155"/>
      <c r="L97" s="40">
        <f t="shared" si="25"/>
        <v>6439.4879999999994</v>
      </c>
      <c r="O97" s="561">
        <f t="shared" si="27"/>
        <v>6439.49</v>
      </c>
      <c r="Q97" s="36">
        <f t="shared" si="26"/>
        <v>6439.4879999999994</v>
      </c>
    </row>
    <row r="98" spans="1:17" s="36" customFormat="1" outlineLevel="2" x14ac:dyDescent="0.25">
      <c r="A98" s="270" t="s">
        <v>310</v>
      </c>
      <c r="B98" s="271" t="s">
        <v>4322</v>
      </c>
      <c r="C98" s="271">
        <v>71105</v>
      </c>
      <c r="D98" s="272" t="s">
        <v>312</v>
      </c>
      <c r="E98" s="271" t="s">
        <v>54</v>
      </c>
      <c r="F98" s="273">
        <v>44.13</v>
      </c>
      <c r="G98" s="274">
        <v>369.28</v>
      </c>
      <c r="H98" s="275">
        <f>ROUND(G98*ROUND(1+(33.25/100),4),2)</f>
        <v>492.07</v>
      </c>
      <c r="I98" s="275">
        <f>ROUND(ROUND(F98,2)*ROUND(G98,2),2)</f>
        <v>16296.33</v>
      </c>
      <c r="J98" s="276">
        <f>ROUND(ROUND(F98,2)*ROUND(H98,2),2)</f>
        <v>21715.05</v>
      </c>
      <c r="K98" s="155"/>
      <c r="L98" s="40">
        <f t="shared" si="25"/>
        <v>21715.0491</v>
      </c>
      <c r="O98" s="561">
        <f t="shared" si="27"/>
        <v>21715.05</v>
      </c>
      <c r="Q98" s="36">
        <f t="shared" si="26"/>
        <v>21715.0491</v>
      </c>
    </row>
    <row r="99" spans="1:17" s="36" customFormat="1" ht="33.75" outlineLevel="2" x14ac:dyDescent="0.25">
      <c r="A99" s="270" t="s">
        <v>313</v>
      </c>
      <c r="B99" s="271" t="s">
        <v>4322</v>
      </c>
      <c r="C99" s="271">
        <v>190417</v>
      </c>
      <c r="D99" s="272" t="s">
        <v>315</v>
      </c>
      <c r="E99" s="271" t="s">
        <v>54</v>
      </c>
      <c r="F99" s="273">
        <v>50.73</v>
      </c>
      <c r="G99" s="274">
        <v>53.06</v>
      </c>
      <c r="H99" s="275">
        <f>ROUND(G99*ROUND(1+(33.25/100),4),2)</f>
        <v>70.7</v>
      </c>
      <c r="I99" s="275">
        <f>ROUND(ROUND(F99,2)*ROUND(G99,2),2)</f>
        <v>2691.73</v>
      </c>
      <c r="J99" s="276">
        <f>ROUND(ROUND(F99,2)*ROUND(H99,2),2)</f>
        <v>3586.61</v>
      </c>
      <c r="K99" s="155"/>
      <c r="L99" s="40">
        <f t="shared" si="25"/>
        <v>3586.6109999999999</v>
      </c>
      <c r="O99" s="561">
        <f t="shared" si="27"/>
        <v>3586.61</v>
      </c>
      <c r="Q99" s="36">
        <f t="shared" si="26"/>
        <v>3586.6109999999999</v>
      </c>
    </row>
    <row r="100" spans="1:17" s="36" customFormat="1" ht="33.75" outlineLevel="2" x14ac:dyDescent="0.25">
      <c r="A100" s="270" t="s">
        <v>316</v>
      </c>
      <c r="B100" s="271" t="s">
        <v>4322</v>
      </c>
      <c r="C100" s="271">
        <v>10224</v>
      </c>
      <c r="D100" s="272" t="s">
        <v>101</v>
      </c>
      <c r="E100" s="271" t="s">
        <v>54</v>
      </c>
      <c r="F100" s="273">
        <v>1.31</v>
      </c>
      <c r="G100" s="274">
        <v>13.14</v>
      </c>
      <c r="H100" s="275">
        <f>ROUND(G100*ROUND(1+(33.25/100),4),2)</f>
        <v>17.510000000000002</v>
      </c>
      <c r="I100" s="275">
        <f>ROUND(ROUND(F100,2)*ROUND(G100,2),2)</f>
        <v>17.21</v>
      </c>
      <c r="J100" s="276">
        <f>ROUND(ROUND(F100,2)*ROUND(H100,2),2)</f>
        <v>22.94</v>
      </c>
      <c r="K100" s="155"/>
      <c r="L100" s="40">
        <f t="shared" si="25"/>
        <v>22.938100000000002</v>
      </c>
      <c r="O100" s="561">
        <f t="shared" si="27"/>
        <v>22.94</v>
      </c>
      <c r="Q100" s="36">
        <f t="shared" si="26"/>
        <v>22.938100000000002</v>
      </c>
    </row>
    <row r="101" spans="1:17" s="311" customFormat="1" outlineLevel="1" x14ac:dyDescent="0.25">
      <c r="A101" s="301" t="s">
        <v>317</v>
      </c>
      <c r="B101" s="302"/>
      <c r="C101" s="303"/>
      <c r="D101" s="302" t="s">
        <v>6</v>
      </c>
      <c r="E101" s="302"/>
      <c r="F101" s="304"/>
      <c r="G101" s="305"/>
      <c r="H101" s="302"/>
      <c r="I101" s="306">
        <f>ROUND(SUM(I109:I121),2)</f>
        <v>64138.8</v>
      </c>
      <c r="J101" s="307">
        <f>J102+J108+J122+J128+J133</f>
        <v>127691.58</v>
      </c>
      <c r="K101" s="309"/>
      <c r="L101" s="310">
        <f>F101*H101</f>
        <v>0</v>
      </c>
      <c r="O101" s="564">
        <f t="shared" si="27"/>
        <v>127691.58</v>
      </c>
      <c r="Q101" s="311">
        <f t="shared" si="26"/>
        <v>0</v>
      </c>
    </row>
    <row r="102" spans="1:17" s="36" customFormat="1" outlineLevel="2" x14ac:dyDescent="0.25">
      <c r="A102" s="288" t="s">
        <v>318</v>
      </c>
      <c r="B102" s="289"/>
      <c r="C102" s="298"/>
      <c r="D102" s="289" t="s">
        <v>969</v>
      </c>
      <c r="E102" s="289"/>
      <c r="F102" s="290"/>
      <c r="G102" s="291"/>
      <c r="H102" s="289"/>
      <c r="I102" s="292">
        <f>ROUND(SUM(I103:I107),2)</f>
        <v>27468.14</v>
      </c>
      <c r="J102" s="293">
        <f>ROUND(SUM(J103:J107),2)</f>
        <v>36601.24</v>
      </c>
      <c r="K102" s="155"/>
      <c r="L102" s="40">
        <f t="shared" ref="L102:L103" si="31">F102*H102</f>
        <v>0</v>
      </c>
      <c r="M102" s="559">
        <f>SUM(J103:J107)</f>
        <v>36601.24</v>
      </c>
      <c r="N102" s="559">
        <f>SUM(J103:J107)</f>
        <v>36601.24</v>
      </c>
      <c r="O102" s="561">
        <f t="shared" si="27"/>
        <v>0</v>
      </c>
      <c r="Q102" s="36">
        <f t="shared" si="26"/>
        <v>0</v>
      </c>
    </row>
    <row r="103" spans="1:17" s="36" customFormat="1" ht="22.5" outlineLevel="2" x14ac:dyDescent="0.25">
      <c r="A103" s="270" t="s">
        <v>320</v>
      </c>
      <c r="B103" s="246" t="s">
        <v>82</v>
      </c>
      <c r="C103" s="246" t="s">
        <v>956</v>
      </c>
      <c r="D103" s="260" t="s">
        <v>957</v>
      </c>
      <c r="E103" s="249" t="s">
        <v>226</v>
      </c>
      <c r="F103" s="250">
        <v>2</v>
      </c>
      <c r="G103" s="254">
        <v>921.18</v>
      </c>
      <c r="H103" s="252">
        <f t="shared" ref="H103:H107" si="32">G103*1.3325</f>
        <v>1227.47235</v>
      </c>
      <c r="I103" s="275">
        <f t="shared" ref="I103:I107" si="33">ROUND(ROUND(F103,2)*ROUND(G103,2),2)</f>
        <v>1842.36</v>
      </c>
      <c r="J103" s="276">
        <f t="shared" ref="J103:J107" si="34">ROUND(ROUND(F103,2)*ROUND(H103,2),2)</f>
        <v>2454.94</v>
      </c>
      <c r="K103" s="155"/>
      <c r="L103" s="40">
        <f t="shared" si="31"/>
        <v>2454.9447</v>
      </c>
      <c r="O103" s="561">
        <f t="shared" si="27"/>
        <v>2454.94</v>
      </c>
      <c r="Q103" s="36">
        <f t="shared" si="26"/>
        <v>2454.9447</v>
      </c>
    </row>
    <row r="104" spans="1:17" s="36" customFormat="1" ht="22.5" outlineLevel="2" x14ac:dyDescent="0.25">
      <c r="A104" s="270" t="s">
        <v>323</v>
      </c>
      <c r="B104" s="246" t="s">
        <v>82</v>
      </c>
      <c r="C104" s="246" t="s">
        <v>972</v>
      </c>
      <c r="D104" s="260" t="s">
        <v>973</v>
      </c>
      <c r="E104" s="249" t="s">
        <v>226</v>
      </c>
      <c r="F104" s="250">
        <v>16</v>
      </c>
      <c r="G104" s="254">
        <v>66.48</v>
      </c>
      <c r="H104" s="252">
        <f t="shared" si="32"/>
        <v>88.584600000000009</v>
      </c>
      <c r="I104" s="275">
        <f t="shared" si="33"/>
        <v>1063.68</v>
      </c>
      <c r="J104" s="276">
        <f t="shared" si="34"/>
        <v>1417.28</v>
      </c>
      <c r="K104" s="155"/>
      <c r="L104" s="40"/>
      <c r="O104" s="561">
        <f t="shared" si="27"/>
        <v>1417.28</v>
      </c>
      <c r="Q104" s="36">
        <f t="shared" si="26"/>
        <v>1417.3536000000001</v>
      </c>
    </row>
    <row r="105" spans="1:17" s="36" customFormat="1" ht="22.5" outlineLevel="2" x14ac:dyDescent="0.25">
      <c r="A105" s="270" t="s">
        <v>326</v>
      </c>
      <c r="B105" s="271" t="s">
        <v>4322</v>
      </c>
      <c r="C105" s="246" t="s">
        <v>975</v>
      </c>
      <c r="D105" s="260" t="s">
        <v>976</v>
      </c>
      <c r="E105" s="249" t="s">
        <v>68</v>
      </c>
      <c r="F105" s="250">
        <v>16</v>
      </c>
      <c r="G105" s="254">
        <v>152.82</v>
      </c>
      <c r="H105" s="252">
        <f t="shared" si="32"/>
        <v>203.63264999999998</v>
      </c>
      <c r="I105" s="275">
        <f t="shared" si="33"/>
        <v>2445.12</v>
      </c>
      <c r="J105" s="276">
        <f t="shared" si="34"/>
        <v>3258.08</v>
      </c>
      <c r="K105" s="155"/>
      <c r="L105" s="40"/>
      <c r="O105" s="561">
        <f t="shared" si="27"/>
        <v>3258.08</v>
      </c>
      <c r="Q105" s="36">
        <f t="shared" si="26"/>
        <v>3258.1223999999997</v>
      </c>
    </row>
    <row r="106" spans="1:17" s="36" customFormat="1" ht="22.5" outlineLevel="2" x14ac:dyDescent="0.25">
      <c r="A106" s="270" t="s">
        <v>327</v>
      </c>
      <c r="B106" s="271" t="s">
        <v>4322</v>
      </c>
      <c r="C106" s="246" t="s">
        <v>978</v>
      </c>
      <c r="D106" s="260" t="s">
        <v>596</v>
      </c>
      <c r="E106" s="249" t="s">
        <v>68</v>
      </c>
      <c r="F106" s="250">
        <v>4</v>
      </c>
      <c r="G106" s="254">
        <v>114.32</v>
      </c>
      <c r="H106" s="252">
        <f t="shared" si="32"/>
        <v>152.3314</v>
      </c>
      <c r="I106" s="275">
        <f t="shared" si="33"/>
        <v>457.28</v>
      </c>
      <c r="J106" s="276">
        <f t="shared" si="34"/>
        <v>609.32000000000005</v>
      </c>
      <c r="K106" s="155"/>
      <c r="L106" s="40"/>
      <c r="O106" s="561">
        <f t="shared" si="27"/>
        <v>609.32000000000005</v>
      </c>
      <c r="Q106" s="36">
        <f t="shared" si="26"/>
        <v>609.32560000000001</v>
      </c>
    </row>
    <row r="107" spans="1:17" s="36" customFormat="1" ht="45" outlineLevel="2" x14ac:dyDescent="0.25">
      <c r="A107" s="270" t="s">
        <v>328</v>
      </c>
      <c r="B107" s="246" t="s">
        <v>77</v>
      </c>
      <c r="C107" s="246" t="s">
        <v>980</v>
      </c>
      <c r="D107" s="260" t="s">
        <v>981</v>
      </c>
      <c r="E107" s="249" t="s">
        <v>72</v>
      </c>
      <c r="F107" s="250">
        <v>186</v>
      </c>
      <c r="G107" s="254">
        <v>116.45</v>
      </c>
      <c r="H107" s="252">
        <f t="shared" si="32"/>
        <v>155.169625</v>
      </c>
      <c r="I107" s="275">
        <f t="shared" si="33"/>
        <v>21659.7</v>
      </c>
      <c r="J107" s="276">
        <f t="shared" si="34"/>
        <v>28861.62</v>
      </c>
      <c r="K107" s="155"/>
      <c r="L107" s="40"/>
      <c r="O107" s="561">
        <f t="shared" si="27"/>
        <v>28861.62</v>
      </c>
      <c r="Q107" s="36">
        <f t="shared" si="26"/>
        <v>28861.55025</v>
      </c>
    </row>
    <row r="108" spans="1:17" s="36" customFormat="1" outlineLevel="2" x14ac:dyDescent="0.25">
      <c r="A108" s="288" t="s">
        <v>347</v>
      </c>
      <c r="B108" s="289"/>
      <c r="C108" s="298"/>
      <c r="D108" s="289" t="s">
        <v>4428</v>
      </c>
      <c r="E108" s="289"/>
      <c r="F108" s="290"/>
      <c r="G108" s="291"/>
      <c r="H108" s="289"/>
      <c r="I108" s="292">
        <f>ROUND(SUM(I109:I113),2)</f>
        <v>13300.4</v>
      </c>
      <c r="J108" s="293">
        <f>ROUND(SUM(J109:J121),2)</f>
        <v>85459.6</v>
      </c>
      <c r="K108" s="155"/>
      <c r="L108" s="40">
        <f t="shared" ref="L108" si="35">F108*H108</f>
        <v>0</v>
      </c>
      <c r="M108" s="559">
        <f>SUM(J109:J121)</f>
        <v>85459.599999999991</v>
      </c>
      <c r="N108" s="559">
        <f>SUM(J109:J121)</f>
        <v>85459.599999999991</v>
      </c>
      <c r="O108" s="561">
        <f t="shared" si="27"/>
        <v>0</v>
      </c>
      <c r="Q108" s="36">
        <f t="shared" si="26"/>
        <v>0</v>
      </c>
    </row>
    <row r="109" spans="1:17" s="36" customFormat="1" ht="22.5" outlineLevel="2" x14ac:dyDescent="0.25">
      <c r="A109" s="270" t="s">
        <v>349</v>
      </c>
      <c r="B109" s="271" t="s">
        <v>4322</v>
      </c>
      <c r="C109" s="271">
        <v>151401</v>
      </c>
      <c r="D109" s="272" t="s">
        <v>503</v>
      </c>
      <c r="E109" s="271" t="s">
        <v>72</v>
      </c>
      <c r="F109" s="273">
        <v>120</v>
      </c>
      <c r="G109" s="274">
        <v>6.43</v>
      </c>
      <c r="H109" s="275">
        <f t="shared" ref="H109:H121" si="36">ROUND(G109*ROUND(1+(33.25/100),4),2)</f>
        <v>8.57</v>
      </c>
      <c r="I109" s="275">
        <f t="shared" ref="I109:I121" si="37">ROUND(ROUND(F109,2)*ROUND(G109,2),2)</f>
        <v>771.6</v>
      </c>
      <c r="J109" s="276">
        <f t="shared" ref="J109:J121" si="38">ROUND(ROUND(F109,2)*ROUND(H109,2),2)</f>
        <v>1028.4000000000001</v>
      </c>
      <c r="K109" s="155"/>
      <c r="L109" s="40">
        <f t="shared" ref="L109:L116" si="39">F109*H109</f>
        <v>1028.4000000000001</v>
      </c>
      <c r="O109" s="561">
        <f t="shared" si="27"/>
        <v>1028.4000000000001</v>
      </c>
      <c r="Q109" s="36">
        <f t="shared" si="26"/>
        <v>1028.4000000000001</v>
      </c>
    </row>
    <row r="110" spans="1:17" s="36" customFormat="1" ht="22.5" outlineLevel="2" x14ac:dyDescent="0.25">
      <c r="A110" s="270" t="s">
        <v>352</v>
      </c>
      <c r="B110" s="271" t="s">
        <v>4322</v>
      </c>
      <c r="C110" s="271">
        <v>151403</v>
      </c>
      <c r="D110" s="272" t="s">
        <v>506</v>
      </c>
      <c r="E110" s="271" t="s">
        <v>72</v>
      </c>
      <c r="F110" s="273">
        <v>200</v>
      </c>
      <c r="G110" s="274">
        <v>9.52</v>
      </c>
      <c r="H110" s="275">
        <f t="shared" si="36"/>
        <v>12.69</v>
      </c>
      <c r="I110" s="275">
        <f t="shared" si="37"/>
        <v>1904</v>
      </c>
      <c r="J110" s="276">
        <f t="shared" si="38"/>
        <v>2538</v>
      </c>
      <c r="K110" s="155"/>
      <c r="L110" s="40">
        <f t="shared" si="39"/>
        <v>2538</v>
      </c>
      <c r="O110" s="561">
        <f t="shared" si="27"/>
        <v>2538</v>
      </c>
      <c r="Q110" s="36">
        <f t="shared" si="26"/>
        <v>2538</v>
      </c>
    </row>
    <row r="111" spans="1:17" s="36" customFormat="1" ht="22.5" outlineLevel="2" x14ac:dyDescent="0.25">
      <c r="A111" s="270" t="s">
        <v>355</v>
      </c>
      <c r="B111" s="271" t="s">
        <v>4322</v>
      </c>
      <c r="C111" s="271">
        <v>151402</v>
      </c>
      <c r="D111" s="272" t="s">
        <v>509</v>
      </c>
      <c r="E111" s="271" t="s">
        <v>72</v>
      </c>
      <c r="F111" s="273">
        <v>900</v>
      </c>
      <c r="G111" s="274">
        <v>7.86</v>
      </c>
      <c r="H111" s="275">
        <f t="shared" si="36"/>
        <v>10.47</v>
      </c>
      <c r="I111" s="275">
        <f t="shared" si="37"/>
        <v>7074</v>
      </c>
      <c r="J111" s="276">
        <f t="shared" si="38"/>
        <v>9423</v>
      </c>
      <c r="K111" s="155"/>
      <c r="L111" s="40">
        <f t="shared" si="39"/>
        <v>9423</v>
      </c>
      <c r="O111" s="561">
        <f t="shared" si="27"/>
        <v>9423</v>
      </c>
      <c r="Q111" s="36">
        <f t="shared" si="26"/>
        <v>9423</v>
      </c>
    </row>
    <row r="112" spans="1:17" s="36" customFormat="1" ht="22.5" outlineLevel="2" x14ac:dyDescent="0.25">
      <c r="A112" s="270" t="s">
        <v>4424</v>
      </c>
      <c r="B112" s="271" t="s">
        <v>4322</v>
      </c>
      <c r="C112" s="271">
        <v>151404</v>
      </c>
      <c r="D112" s="272" t="s">
        <v>512</v>
      </c>
      <c r="E112" s="271" t="s">
        <v>72</v>
      </c>
      <c r="F112" s="273">
        <v>120</v>
      </c>
      <c r="G112" s="274">
        <v>12.57</v>
      </c>
      <c r="H112" s="275">
        <f t="shared" si="36"/>
        <v>16.75</v>
      </c>
      <c r="I112" s="275">
        <f t="shared" si="37"/>
        <v>1508.4</v>
      </c>
      <c r="J112" s="276">
        <f t="shared" si="38"/>
        <v>2010</v>
      </c>
      <c r="K112" s="155"/>
      <c r="L112" s="40">
        <f t="shared" si="39"/>
        <v>2010</v>
      </c>
      <c r="O112" s="561">
        <f t="shared" si="27"/>
        <v>2010</v>
      </c>
      <c r="Q112" s="36">
        <f t="shared" si="26"/>
        <v>2010</v>
      </c>
    </row>
    <row r="113" spans="1:17" s="36" customFormat="1" ht="22.5" outlineLevel="2" x14ac:dyDescent="0.25">
      <c r="A113" s="270" t="s">
        <v>4425</v>
      </c>
      <c r="B113" s="271" t="s">
        <v>4322</v>
      </c>
      <c r="C113" s="271">
        <v>151420</v>
      </c>
      <c r="D113" s="272" t="s">
        <v>515</v>
      </c>
      <c r="E113" s="271" t="s">
        <v>72</v>
      </c>
      <c r="F113" s="273">
        <v>120</v>
      </c>
      <c r="G113" s="274">
        <v>17.02</v>
      </c>
      <c r="H113" s="275">
        <f t="shared" si="36"/>
        <v>22.68</v>
      </c>
      <c r="I113" s="275">
        <f t="shared" si="37"/>
        <v>2042.4</v>
      </c>
      <c r="J113" s="276">
        <f t="shared" si="38"/>
        <v>2721.6</v>
      </c>
      <c r="K113" s="155"/>
      <c r="L113" s="40">
        <f t="shared" si="39"/>
        <v>2721.6</v>
      </c>
      <c r="O113" s="561">
        <f t="shared" si="27"/>
        <v>2721.6</v>
      </c>
      <c r="Q113" s="36">
        <f t="shared" si="26"/>
        <v>2721.6</v>
      </c>
    </row>
    <row r="114" spans="1:17" s="36" customFormat="1" ht="22.5" outlineLevel="2" x14ac:dyDescent="0.25">
      <c r="A114" s="270" t="s">
        <v>4429</v>
      </c>
      <c r="B114" s="271" t="s">
        <v>4322</v>
      </c>
      <c r="C114" s="271">
        <v>151425</v>
      </c>
      <c r="D114" s="272" t="s">
        <v>518</v>
      </c>
      <c r="E114" s="271" t="s">
        <v>72</v>
      </c>
      <c r="F114" s="273">
        <v>240</v>
      </c>
      <c r="G114" s="274">
        <v>63.66</v>
      </c>
      <c r="H114" s="275">
        <f t="shared" si="36"/>
        <v>84.83</v>
      </c>
      <c r="I114" s="275">
        <f t="shared" si="37"/>
        <v>15278.4</v>
      </c>
      <c r="J114" s="276">
        <f t="shared" si="38"/>
        <v>20359.2</v>
      </c>
      <c r="K114" s="155"/>
      <c r="L114" s="40">
        <f t="shared" si="39"/>
        <v>20359.2</v>
      </c>
      <c r="O114" s="561">
        <f t="shared" si="27"/>
        <v>20359.2</v>
      </c>
      <c r="Q114" s="36">
        <f t="shared" si="26"/>
        <v>20359.2</v>
      </c>
    </row>
    <row r="115" spans="1:17" s="36" customFormat="1" ht="22.5" outlineLevel="2" x14ac:dyDescent="0.25">
      <c r="A115" s="270" t="s">
        <v>4430</v>
      </c>
      <c r="B115" s="271" t="s">
        <v>4322</v>
      </c>
      <c r="C115" s="271">
        <v>151422</v>
      </c>
      <c r="D115" s="272" t="s">
        <v>521</v>
      </c>
      <c r="E115" s="271" t="s">
        <v>72</v>
      </c>
      <c r="F115" s="273">
        <v>130</v>
      </c>
      <c r="G115" s="274">
        <v>32.979999999999997</v>
      </c>
      <c r="H115" s="275">
        <f t="shared" si="36"/>
        <v>43.95</v>
      </c>
      <c r="I115" s="275">
        <f t="shared" si="37"/>
        <v>4287.3999999999996</v>
      </c>
      <c r="J115" s="276">
        <f t="shared" si="38"/>
        <v>5713.5</v>
      </c>
      <c r="K115" s="155"/>
      <c r="L115" s="40">
        <f t="shared" si="39"/>
        <v>5713.5</v>
      </c>
      <c r="O115" s="561">
        <f t="shared" si="27"/>
        <v>5713.5</v>
      </c>
      <c r="Q115" s="36">
        <f t="shared" si="26"/>
        <v>5713.5</v>
      </c>
    </row>
    <row r="116" spans="1:17" s="36" customFormat="1" ht="22.5" outlineLevel="2" x14ac:dyDescent="0.25">
      <c r="A116" s="270" t="s">
        <v>4431</v>
      </c>
      <c r="B116" s="271" t="s">
        <v>77</v>
      </c>
      <c r="C116" s="271" t="s">
        <v>523</v>
      </c>
      <c r="D116" s="272" t="s">
        <v>524</v>
      </c>
      <c r="E116" s="271" t="s">
        <v>72</v>
      </c>
      <c r="F116" s="273">
        <v>40</v>
      </c>
      <c r="G116" s="274">
        <v>50</v>
      </c>
      <c r="H116" s="275">
        <f t="shared" si="36"/>
        <v>66.63</v>
      </c>
      <c r="I116" s="275">
        <f t="shared" si="37"/>
        <v>2000</v>
      </c>
      <c r="J116" s="276">
        <f t="shared" si="38"/>
        <v>2665.2</v>
      </c>
      <c r="K116" s="155"/>
      <c r="L116" s="40">
        <f t="shared" si="39"/>
        <v>2665.2</v>
      </c>
      <c r="O116" s="561">
        <f t="shared" si="27"/>
        <v>2665.2</v>
      </c>
      <c r="Q116" s="36">
        <f t="shared" si="26"/>
        <v>2665.2</v>
      </c>
    </row>
    <row r="117" spans="1:17" s="36" customFormat="1" ht="22.5" outlineLevel="2" x14ac:dyDescent="0.25">
      <c r="A117" s="270" t="s">
        <v>4432</v>
      </c>
      <c r="B117" s="271" t="s">
        <v>4322</v>
      </c>
      <c r="C117" s="246">
        <v>151603</v>
      </c>
      <c r="D117" s="255" t="s">
        <v>773</v>
      </c>
      <c r="E117" s="249" t="s">
        <v>72</v>
      </c>
      <c r="F117" s="250">
        <v>690</v>
      </c>
      <c r="G117" s="254">
        <v>31.62</v>
      </c>
      <c r="H117" s="275">
        <f t="shared" ref="H117" si="40">ROUND(G117*ROUND(1+(33.25/100),4),2)</f>
        <v>42.13</v>
      </c>
      <c r="I117" s="275">
        <f t="shared" ref="I117" si="41">ROUND(ROUND(F117,2)*ROUND(G117,2),2)</f>
        <v>21817.8</v>
      </c>
      <c r="J117" s="276">
        <f t="shared" ref="J117" si="42">ROUND(ROUND(F117,2)*ROUND(H117,2),2)</f>
        <v>29069.7</v>
      </c>
      <c r="K117" s="155"/>
      <c r="L117" s="40"/>
      <c r="O117" s="561">
        <f t="shared" si="27"/>
        <v>29069.7</v>
      </c>
      <c r="Q117" s="36">
        <f t="shared" si="26"/>
        <v>29069.7</v>
      </c>
    </row>
    <row r="118" spans="1:17" s="36" customFormat="1" ht="22.5" outlineLevel="2" x14ac:dyDescent="0.25">
      <c r="A118" s="270" t="s">
        <v>4433</v>
      </c>
      <c r="B118" s="271" t="s">
        <v>4322</v>
      </c>
      <c r="C118" s="271">
        <v>151132</v>
      </c>
      <c r="D118" s="272" t="s">
        <v>527</v>
      </c>
      <c r="E118" s="271" t="s">
        <v>72</v>
      </c>
      <c r="F118" s="273">
        <v>600</v>
      </c>
      <c r="G118" s="274">
        <v>6.6</v>
      </c>
      <c r="H118" s="275">
        <f t="shared" si="36"/>
        <v>8.7899999999999991</v>
      </c>
      <c r="I118" s="275">
        <f t="shared" si="37"/>
        <v>3960</v>
      </c>
      <c r="J118" s="276">
        <f t="shared" si="38"/>
        <v>5274</v>
      </c>
      <c r="K118" s="155"/>
      <c r="L118" s="40">
        <f t="shared" ref="L118:L157" si="43">F118*H118</f>
        <v>5273.9999999999991</v>
      </c>
      <c r="O118" s="561">
        <f t="shared" si="27"/>
        <v>5274</v>
      </c>
      <c r="Q118" s="36">
        <f t="shared" si="26"/>
        <v>5273.9999999999991</v>
      </c>
    </row>
    <row r="119" spans="1:17" s="36" customFormat="1" outlineLevel="2" x14ac:dyDescent="0.25">
      <c r="A119" s="270" t="s">
        <v>4434</v>
      </c>
      <c r="B119" s="271" t="s">
        <v>4322</v>
      </c>
      <c r="C119" s="271">
        <v>151133</v>
      </c>
      <c r="D119" s="272" t="s">
        <v>530</v>
      </c>
      <c r="E119" s="271" t="s">
        <v>72</v>
      </c>
      <c r="F119" s="273">
        <v>80</v>
      </c>
      <c r="G119" s="274">
        <v>8.0299999999999994</v>
      </c>
      <c r="H119" s="275">
        <f t="shared" si="36"/>
        <v>10.7</v>
      </c>
      <c r="I119" s="275">
        <f t="shared" si="37"/>
        <v>642.4</v>
      </c>
      <c r="J119" s="276">
        <f t="shared" si="38"/>
        <v>856</v>
      </c>
      <c r="K119" s="155"/>
      <c r="L119" s="40">
        <f t="shared" si="43"/>
        <v>856</v>
      </c>
      <c r="O119" s="561">
        <f t="shared" si="27"/>
        <v>856</v>
      </c>
      <c r="Q119" s="36">
        <f t="shared" si="26"/>
        <v>856</v>
      </c>
    </row>
    <row r="120" spans="1:17" s="36" customFormat="1" outlineLevel="2" x14ac:dyDescent="0.25">
      <c r="A120" s="270" t="s">
        <v>4435</v>
      </c>
      <c r="B120" s="271" t="s">
        <v>4322</v>
      </c>
      <c r="C120" s="271">
        <v>150628</v>
      </c>
      <c r="D120" s="272" t="s">
        <v>533</v>
      </c>
      <c r="E120" s="271" t="s">
        <v>68</v>
      </c>
      <c r="F120" s="273">
        <v>60</v>
      </c>
      <c r="G120" s="274">
        <v>9.92</v>
      </c>
      <c r="H120" s="275">
        <f t="shared" si="36"/>
        <v>13.22</v>
      </c>
      <c r="I120" s="275">
        <f t="shared" si="37"/>
        <v>595.20000000000005</v>
      </c>
      <c r="J120" s="276">
        <f t="shared" si="38"/>
        <v>793.2</v>
      </c>
      <c r="K120" s="155"/>
      <c r="L120" s="40">
        <f t="shared" si="43"/>
        <v>793.2</v>
      </c>
      <c r="O120" s="561">
        <f t="shared" si="27"/>
        <v>793.2</v>
      </c>
      <c r="Q120" s="36">
        <f t="shared" si="26"/>
        <v>793.2</v>
      </c>
    </row>
    <row r="121" spans="1:17" s="36" customFormat="1" outlineLevel="2" x14ac:dyDescent="0.25">
      <c r="A121" s="270" t="s">
        <v>4436</v>
      </c>
      <c r="B121" s="271" t="s">
        <v>77</v>
      </c>
      <c r="C121" s="271" t="s">
        <v>535</v>
      </c>
      <c r="D121" s="272" t="s">
        <v>536</v>
      </c>
      <c r="E121" s="271" t="s">
        <v>68</v>
      </c>
      <c r="F121" s="273">
        <v>135</v>
      </c>
      <c r="G121" s="274">
        <v>16.72</v>
      </c>
      <c r="H121" s="275">
        <f t="shared" si="36"/>
        <v>22.28</v>
      </c>
      <c r="I121" s="275">
        <f t="shared" si="37"/>
        <v>2257.1999999999998</v>
      </c>
      <c r="J121" s="276">
        <f t="shared" si="38"/>
        <v>3007.8</v>
      </c>
      <c r="K121" s="155"/>
      <c r="L121" s="40">
        <f t="shared" si="43"/>
        <v>3007.8</v>
      </c>
      <c r="O121" s="561">
        <f t="shared" si="27"/>
        <v>3007.8</v>
      </c>
      <c r="Q121" s="36">
        <f t="shared" si="26"/>
        <v>3007.8</v>
      </c>
    </row>
    <row r="122" spans="1:17" s="36" customFormat="1" ht="13.5" customHeight="1" outlineLevel="2" x14ac:dyDescent="0.25">
      <c r="A122" s="288" t="s">
        <v>356</v>
      </c>
      <c r="B122" s="289"/>
      <c r="C122" s="298"/>
      <c r="D122" s="289" t="s">
        <v>4421</v>
      </c>
      <c r="E122" s="289"/>
      <c r="F122" s="290"/>
      <c r="G122" s="291"/>
      <c r="H122" s="289"/>
      <c r="I122" s="292">
        <f>ROUND(SUM(I123:I127),2)</f>
        <v>957.98</v>
      </c>
      <c r="J122" s="293">
        <f>ROUND(SUM(J123:J127),2)</f>
        <v>1276.54</v>
      </c>
      <c r="K122" s="155"/>
      <c r="L122" s="40">
        <f t="shared" si="43"/>
        <v>0</v>
      </c>
      <c r="M122" s="559">
        <f>SUM(J123:J127)</f>
        <v>1276.54</v>
      </c>
      <c r="N122" s="559">
        <f>SUM(J123:J127)</f>
        <v>1276.54</v>
      </c>
      <c r="O122" s="561">
        <f t="shared" si="27"/>
        <v>0</v>
      </c>
      <c r="Q122" s="36">
        <f t="shared" si="26"/>
        <v>0</v>
      </c>
    </row>
    <row r="123" spans="1:17" s="36" customFormat="1" ht="33.75" outlineLevel="2" x14ac:dyDescent="0.25">
      <c r="A123" s="270" t="s">
        <v>358</v>
      </c>
      <c r="B123" s="271" t="s">
        <v>82</v>
      </c>
      <c r="C123" s="271">
        <v>101878</v>
      </c>
      <c r="D123" s="272" t="s">
        <v>540</v>
      </c>
      <c r="E123" s="271" t="s">
        <v>226</v>
      </c>
      <c r="F123" s="273">
        <v>1</v>
      </c>
      <c r="G123" s="274">
        <v>414.82</v>
      </c>
      <c r="H123" s="275">
        <f>ROUND(G123*ROUND(1+(33.25/100),4),2)</f>
        <v>552.75</v>
      </c>
      <c r="I123" s="275">
        <f>ROUND(ROUND(F123,2)*ROUND(G123,2),2)</f>
        <v>414.82</v>
      </c>
      <c r="J123" s="276">
        <f>ROUND(ROUND(F123,2)*ROUND(H123,2),2)</f>
        <v>552.75</v>
      </c>
      <c r="K123" s="155"/>
      <c r="L123" s="40">
        <f t="shared" si="43"/>
        <v>552.75</v>
      </c>
      <c r="O123" s="561">
        <f t="shared" si="27"/>
        <v>552.75</v>
      </c>
      <c r="Q123" s="36">
        <f t="shared" si="26"/>
        <v>552.75</v>
      </c>
    </row>
    <row r="124" spans="1:17" s="36" customFormat="1" outlineLevel="2" x14ac:dyDescent="0.25">
      <c r="A124" s="270" t="s">
        <v>359</v>
      </c>
      <c r="B124" s="271" t="s">
        <v>82</v>
      </c>
      <c r="C124" s="271" t="s">
        <v>542</v>
      </c>
      <c r="D124" s="272" t="s">
        <v>543</v>
      </c>
      <c r="E124" s="271" t="s">
        <v>226</v>
      </c>
      <c r="F124" s="273">
        <v>1</v>
      </c>
      <c r="G124" s="274">
        <v>111.75</v>
      </c>
      <c r="H124" s="275">
        <f>ROUND(G124*ROUND(1+(33.25/100),4),2)</f>
        <v>148.91</v>
      </c>
      <c r="I124" s="275">
        <f>ROUND(ROUND(F124,2)*ROUND(G124,2),2)</f>
        <v>111.75</v>
      </c>
      <c r="J124" s="276">
        <f>ROUND(ROUND(F124,2)*ROUND(H124,2),2)</f>
        <v>148.91</v>
      </c>
      <c r="K124" s="155"/>
      <c r="L124" s="40">
        <f t="shared" si="43"/>
        <v>148.91</v>
      </c>
      <c r="O124" s="561">
        <f t="shared" si="27"/>
        <v>148.91</v>
      </c>
      <c r="Q124" s="36">
        <f t="shared" si="26"/>
        <v>148.91</v>
      </c>
    </row>
    <row r="125" spans="1:17" s="36" customFormat="1" ht="22.5" outlineLevel="2" x14ac:dyDescent="0.25">
      <c r="A125" s="270" t="s">
        <v>4426</v>
      </c>
      <c r="B125" s="271" t="s">
        <v>82</v>
      </c>
      <c r="C125" s="271" t="s">
        <v>545</v>
      </c>
      <c r="D125" s="272" t="s">
        <v>546</v>
      </c>
      <c r="E125" s="271" t="s">
        <v>226</v>
      </c>
      <c r="F125" s="273">
        <v>1</v>
      </c>
      <c r="G125" s="274">
        <v>51.91</v>
      </c>
      <c r="H125" s="275">
        <f>ROUND(G125*ROUND(1+(33.25/100),4),2)</f>
        <v>69.17</v>
      </c>
      <c r="I125" s="275">
        <f>ROUND(ROUND(F125,2)*ROUND(G125,2),2)</f>
        <v>51.91</v>
      </c>
      <c r="J125" s="276">
        <f>ROUND(ROUND(F125,2)*ROUND(H125,2),2)</f>
        <v>69.17</v>
      </c>
      <c r="K125" s="155"/>
      <c r="L125" s="40">
        <f t="shared" si="43"/>
        <v>69.17</v>
      </c>
      <c r="O125" s="561">
        <f t="shared" si="27"/>
        <v>69.17</v>
      </c>
      <c r="Q125" s="36">
        <f t="shared" si="26"/>
        <v>69.17</v>
      </c>
    </row>
    <row r="126" spans="1:17" s="36" customFormat="1" ht="22.5" outlineLevel="2" x14ac:dyDescent="0.25">
      <c r="A126" s="270" t="s">
        <v>4427</v>
      </c>
      <c r="B126" s="271" t="s">
        <v>82</v>
      </c>
      <c r="C126" s="271" t="s">
        <v>548</v>
      </c>
      <c r="D126" s="272" t="s">
        <v>549</v>
      </c>
      <c r="E126" s="271" t="s">
        <v>226</v>
      </c>
      <c r="F126" s="273">
        <v>3</v>
      </c>
      <c r="G126" s="274">
        <v>56.92</v>
      </c>
      <c r="H126" s="275">
        <f>ROUND(G126*ROUND(1+(33.25/100),4),2)</f>
        <v>75.849999999999994</v>
      </c>
      <c r="I126" s="275">
        <f>ROUND(ROUND(F126,2)*ROUND(G126,2),2)</f>
        <v>170.76</v>
      </c>
      <c r="J126" s="276">
        <f>ROUND(ROUND(F126,2)*ROUND(H126,2),2)</f>
        <v>227.55</v>
      </c>
      <c r="K126" s="155"/>
      <c r="L126" s="40">
        <f t="shared" si="43"/>
        <v>227.54999999999998</v>
      </c>
      <c r="O126" s="561">
        <f t="shared" si="27"/>
        <v>227.55</v>
      </c>
      <c r="Q126" s="36">
        <f t="shared" si="26"/>
        <v>227.54999999999998</v>
      </c>
    </row>
    <row r="127" spans="1:17" s="36" customFormat="1" ht="22.5" outlineLevel="2" x14ac:dyDescent="0.25">
      <c r="A127" s="270" t="s">
        <v>4437</v>
      </c>
      <c r="B127" s="271" t="s">
        <v>82</v>
      </c>
      <c r="C127" s="271" t="s">
        <v>551</v>
      </c>
      <c r="D127" s="272" t="s">
        <v>552</v>
      </c>
      <c r="E127" s="271" t="s">
        <v>226</v>
      </c>
      <c r="F127" s="273">
        <v>3</v>
      </c>
      <c r="G127" s="274">
        <v>69.58</v>
      </c>
      <c r="H127" s="275">
        <f>ROUND(G127*ROUND(1+(33.25/100),4),2)</f>
        <v>92.72</v>
      </c>
      <c r="I127" s="275">
        <f>ROUND(ROUND(F127,2)*ROUND(G127,2),2)</f>
        <v>208.74</v>
      </c>
      <c r="J127" s="276">
        <f>ROUND(ROUND(F127,2)*ROUND(H127,2),2)</f>
        <v>278.16000000000003</v>
      </c>
      <c r="K127" s="155"/>
      <c r="L127" s="40">
        <f t="shared" si="43"/>
        <v>278.15999999999997</v>
      </c>
      <c r="O127" s="561">
        <f t="shared" si="27"/>
        <v>278.16000000000003</v>
      </c>
      <c r="Q127" s="36">
        <f t="shared" si="26"/>
        <v>278.15999999999997</v>
      </c>
    </row>
    <row r="128" spans="1:17" s="36" customFormat="1" outlineLevel="2" x14ac:dyDescent="0.25">
      <c r="A128" s="288" t="s">
        <v>362</v>
      </c>
      <c r="B128" s="289"/>
      <c r="C128" s="298"/>
      <c r="D128" s="289" t="s">
        <v>4423</v>
      </c>
      <c r="E128" s="289"/>
      <c r="F128" s="290"/>
      <c r="G128" s="291"/>
      <c r="H128" s="289"/>
      <c r="I128" s="292">
        <f>ROUND(SUM(I129:I132),2)</f>
        <v>3145.6</v>
      </c>
      <c r="J128" s="293">
        <f>ROUND(SUM(J129:J132),2)</f>
        <v>4191.93</v>
      </c>
      <c r="K128" s="155"/>
      <c r="L128" s="40">
        <f t="shared" si="43"/>
        <v>0</v>
      </c>
      <c r="M128" s="559">
        <f>SUM(J129:J132)</f>
        <v>4191.93</v>
      </c>
      <c r="N128" s="559">
        <f>SUM(J129:J132)</f>
        <v>4191.93</v>
      </c>
      <c r="O128" s="561">
        <f t="shared" si="27"/>
        <v>0</v>
      </c>
      <c r="Q128" s="36">
        <f t="shared" si="26"/>
        <v>0</v>
      </c>
    </row>
    <row r="129" spans="1:17" s="36" customFormat="1" ht="22.5" outlineLevel="2" x14ac:dyDescent="0.25">
      <c r="A129" s="270" t="s">
        <v>364</v>
      </c>
      <c r="B129" s="271" t="s">
        <v>82</v>
      </c>
      <c r="C129" s="271" t="s">
        <v>554</v>
      </c>
      <c r="D129" s="272" t="s">
        <v>555</v>
      </c>
      <c r="E129" s="271" t="s">
        <v>188</v>
      </c>
      <c r="F129" s="273">
        <v>28</v>
      </c>
      <c r="G129" s="274">
        <v>31.97</v>
      </c>
      <c r="H129" s="275">
        <f>ROUND(G129*ROUND(1+(33.25/100),4),2)</f>
        <v>42.6</v>
      </c>
      <c r="I129" s="275">
        <f>ROUND(ROUND(F129,2)*ROUND(G129,2),2)</f>
        <v>895.16</v>
      </c>
      <c r="J129" s="276">
        <f>ROUND(ROUND(F129,2)*ROUND(H129,2),2)</f>
        <v>1192.8</v>
      </c>
      <c r="K129" s="155"/>
      <c r="L129" s="40">
        <f t="shared" si="43"/>
        <v>1192.8</v>
      </c>
      <c r="O129" s="561">
        <f t="shared" si="27"/>
        <v>1192.8</v>
      </c>
      <c r="Q129" s="36">
        <f t="shared" si="26"/>
        <v>1192.8</v>
      </c>
    </row>
    <row r="130" spans="1:17" s="36" customFormat="1" ht="22.5" outlineLevel="2" x14ac:dyDescent="0.25">
      <c r="A130" s="270" t="s">
        <v>367</v>
      </c>
      <c r="B130" s="271" t="s">
        <v>82</v>
      </c>
      <c r="C130" s="271" t="s">
        <v>557</v>
      </c>
      <c r="D130" s="272" t="s">
        <v>558</v>
      </c>
      <c r="E130" s="271" t="s">
        <v>188</v>
      </c>
      <c r="F130" s="273">
        <v>33</v>
      </c>
      <c r="G130" s="274">
        <v>9.1199999999999992</v>
      </c>
      <c r="H130" s="275">
        <f>ROUND(G130*ROUND(1+(33.25/100),4),2)</f>
        <v>12.15</v>
      </c>
      <c r="I130" s="275">
        <f>ROUND(ROUND(F130,2)*ROUND(G130,2),2)</f>
        <v>300.95999999999998</v>
      </c>
      <c r="J130" s="276">
        <f>ROUND(ROUND(F130,2)*ROUND(H130,2),2)</f>
        <v>400.95</v>
      </c>
      <c r="K130" s="155"/>
      <c r="L130" s="40">
        <f t="shared" si="43"/>
        <v>400.95</v>
      </c>
      <c r="O130" s="561">
        <f t="shared" si="27"/>
        <v>400.95</v>
      </c>
      <c r="Q130" s="36">
        <f t="shared" si="26"/>
        <v>400.95</v>
      </c>
    </row>
    <row r="131" spans="1:17" s="36" customFormat="1" ht="22.5" outlineLevel="2" x14ac:dyDescent="0.25">
      <c r="A131" s="270" t="s">
        <v>368</v>
      </c>
      <c r="B131" s="271" t="s">
        <v>82</v>
      </c>
      <c r="C131" s="271" t="s">
        <v>560</v>
      </c>
      <c r="D131" s="272" t="s">
        <v>561</v>
      </c>
      <c r="E131" s="271" t="s">
        <v>188</v>
      </c>
      <c r="F131" s="273">
        <v>104</v>
      </c>
      <c r="G131" s="274">
        <v>12.83</v>
      </c>
      <c r="H131" s="275">
        <f>ROUND(G131*ROUND(1+(33.25/100),4),2)</f>
        <v>17.100000000000001</v>
      </c>
      <c r="I131" s="275">
        <f>ROUND(ROUND(F131,2)*ROUND(G131,2),2)</f>
        <v>1334.32</v>
      </c>
      <c r="J131" s="276">
        <f>ROUND(ROUND(F131,2)*ROUND(H131,2),2)</f>
        <v>1778.4</v>
      </c>
      <c r="K131" s="155"/>
      <c r="L131" s="40">
        <f t="shared" si="43"/>
        <v>1778.4</v>
      </c>
      <c r="O131" s="561">
        <f t="shared" si="27"/>
        <v>1778.4</v>
      </c>
      <c r="Q131" s="36">
        <f t="shared" si="26"/>
        <v>1778.4</v>
      </c>
    </row>
    <row r="132" spans="1:17" s="36" customFormat="1" ht="22.5" outlineLevel="2" x14ac:dyDescent="0.25">
      <c r="A132" s="270" t="s">
        <v>369</v>
      </c>
      <c r="B132" s="271" t="s">
        <v>77</v>
      </c>
      <c r="C132" s="271" t="s">
        <v>563</v>
      </c>
      <c r="D132" s="272" t="s">
        <v>564</v>
      </c>
      <c r="E132" s="271" t="s">
        <v>188</v>
      </c>
      <c r="F132" s="273">
        <v>26</v>
      </c>
      <c r="G132" s="274">
        <v>23.66</v>
      </c>
      <c r="H132" s="275">
        <f>ROUND(G132*ROUND(1+(33.25/100),4),2)</f>
        <v>31.53</v>
      </c>
      <c r="I132" s="275">
        <f>ROUND(ROUND(F132,2)*ROUND(G132,2),2)</f>
        <v>615.16</v>
      </c>
      <c r="J132" s="276">
        <f>ROUND(ROUND(F132,2)*ROUND(H132,2),2)</f>
        <v>819.78</v>
      </c>
      <c r="K132" s="155"/>
      <c r="L132" s="40">
        <f t="shared" si="43"/>
        <v>819.78</v>
      </c>
      <c r="O132" s="561">
        <f t="shared" si="27"/>
        <v>819.78</v>
      </c>
      <c r="Q132" s="36">
        <f t="shared" si="26"/>
        <v>819.78</v>
      </c>
    </row>
    <row r="133" spans="1:17" s="36" customFormat="1" outlineLevel="2" x14ac:dyDescent="0.25">
      <c r="A133" s="288" t="s">
        <v>376</v>
      </c>
      <c r="B133" s="289"/>
      <c r="C133" s="298"/>
      <c r="D133" s="289" t="s">
        <v>4422</v>
      </c>
      <c r="E133" s="289"/>
      <c r="F133" s="290"/>
      <c r="G133" s="291"/>
      <c r="H133" s="289"/>
      <c r="I133" s="292">
        <f>ROUND(SUM(I134:I134),2)</f>
        <v>121.78</v>
      </c>
      <c r="J133" s="293">
        <f>ROUND(SUM(J134:J134),2)</f>
        <v>162.27000000000001</v>
      </c>
      <c r="K133" s="155"/>
      <c r="L133" s="40">
        <f t="shared" si="43"/>
        <v>0</v>
      </c>
      <c r="M133" s="559">
        <f>J134</f>
        <v>162.27000000000001</v>
      </c>
      <c r="N133" s="559">
        <f>SUM(J134)</f>
        <v>162.27000000000001</v>
      </c>
      <c r="O133" s="561">
        <f t="shared" si="27"/>
        <v>0</v>
      </c>
      <c r="Q133" s="36">
        <f t="shared" si="26"/>
        <v>0</v>
      </c>
    </row>
    <row r="134" spans="1:17" s="36" customFormat="1" outlineLevel="2" x14ac:dyDescent="0.25">
      <c r="A134" s="270" t="s">
        <v>378</v>
      </c>
      <c r="B134" s="271" t="s">
        <v>4322</v>
      </c>
      <c r="C134" s="271">
        <v>150633</v>
      </c>
      <c r="D134" s="272" t="s">
        <v>567</v>
      </c>
      <c r="E134" s="271" t="s">
        <v>68</v>
      </c>
      <c r="F134" s="273">
        <v>1</v>
      </c>
      <c r="G134" s="274">
        <v>121.78</v>
      </c>
      <c r="H134" s="275">
        <f>ROUND(G134*ROUND(1+(33.25/100),4),2)</f>
        <v>162.27000000000001</v>
      </c>
      <c r="I134" s="275">
        <f>ROUND(ROUND(F134,2)*ROUND(G134,2),2)</f>
        <v>121.78</v>
      </c>
      <c r="J134" s="276">
        <f>ROUND(ROUND(F134,2)*ROUND(H134,2),2)</f>
        <v>162.27000000000001</v>
      </c>
      <c r="K134" s="155"/>
      <c r="L134" s="40">
        <f t="shared" si="43"/>
        <v>162.27000000000001</v>
      </c>
      <c r="O134" s="561">
        <f t="shared" si="27"/>
        <v>162.27000000000001</v>
      </c>
      <c r="Q134" s="36">
        <f t="shared" si="26"/>
        <v>162.27000000000001</v>
      </c>
    </row>
    <row r="135" spans="1:17" s="311" customFormat="1" outlineLevel="1" x14ac:dyDescent="0.25">
      <c r="A135" s="301" t="s">
        <v>4438</v>
      </c>
      <c r="B135" s="302"/>
      <c r="C135" s="303"/>
      <c r="D135" s="302" t="s">
        <v>894</v>
      </c>
      <c r="E135" s="302"/>
      <c r="F135" s="304"/>
      <c r="G135" s="305"/>
      <c r="H135" s="302"/>
      <c r="I135" s="306">
        <f>ROUND(SUM(I136:I150),2)</f>
        <v>67007.210000000006</v>
      </c>
      <c r="J135" s="307">
        <f>ROUND(SUM(J136:J150),2)</f>
        <v>89287.92</v>
      </c>
      <c r="K135" s="309"/>
      <c r="L135" s="310">
        <f t="shared" si="43"/>
        <v>0</v>
      </c>
      <c r="N135" s="560">
        <f>SUM(J136:J150)</f>
        <v>89287.919999999984</v>
      </c>
      <c r="O135" s="564">
        <f t="shared" si="27"/>
        <v>0</v>
      </c>
      <c r="Q135" s="311">
        <f t="shared" ref="Q135:Q198" si="44">F135*H135</f>
        <v>0</v>
      </c>
    </row>
    <row r="136" spans="1:17" s="263" customFormat="1" ht="33.75" outlineLevel="2" x14ac:dyDescent="0.25">
      <c r="A136" s="248" t="s">
        <v>4439</v>
      </c>
      <c r="B136" s="246" t="s">
        <v>77</v>
      </c>
      <c r="C136" s="246" t="s">
        <v>896</v>
      </c>
      <c r="D136" s="260" t="s">
        <v>897</v>
      </c>
      <c r="E136" s="249" t="s">
        <v>226</v>
      </c>
      <c r="F136" s="250">
        <v>6</v>
      </c>
      <c r="G136" s="254">
        <v>255.33</v>
      </c>
      <c r="H136" s="252">
        <f t="shared" ref="H136:H150" si="45">G136*1.3325</f>
        <v>340.22722500000003</v>
      </c>
      <c r="I136" s="275">
        <f>ROUND(ROUND(F136,2)*ROUND(G136,2),2)</f>
        <v>1531.98</v>
      </c>
      <c r="J136" s="276">
        <f>ROUND(ROUND(F136,2)*ROUND(H136,2),2)</f>
        <v>2041.38</v>
      </c>
      <c r="K136" s="261"/>
      <c r="L136" s="262">
        <f t="shared" si="43"/>
        <v>2041.3633500000001</v>
      </c>
      <c r="O136" s="565">
        <f t="shared" ref="O136:O199" si="46">J136-N136</f>
        <v>2041.38</v>
      </c>
      <c r="Q136" s="263">
        <f t="shared" si="44"/>
        <v>2041.3633500000001</v>
      </c>
    </row>
    <row r="137" spans="1:17" s="263" customFormat="1" ht="22.5" outlineLevel="2" x14ac:dyDescent="0.25">
      <c r="A137" s="248" t="s">
        <v>4440</v>
      </c>
      <c r="B137" s="271" t="s">
        <v>4322</v>
      </c>
      <c r="C137" s="246" t="s">
        <v>899</v>
      </c>
      <c r="D137" s="260" t="s">
        <v>527</v>
      </c>
      <c r="E137" s="249" t="s">
        <v>72</v>
      </c>
      <c r="F137" s="250">
        <v>140</v>
      </c>
      <c r="G137" s="254">
        <v>6.6</v>
      </c>
      <c r="H137" s="252">
        <f t="shared" si="45"/>
        <v>8.7944999999999993</v>
      </c>
      <c r="I137" s="275">
        <f t="shared" ref="I137:I150" si="47">ROUND(ROUND(F137,2)*ROUND(G137,2),2)</f>
        <v>924</v>
      </c>
      <c r="J137" s="276">
        <f t="shared" ref="J137:J150" si="48">ROUND(ROUND(F137,2)*ROUND(H137,2),2)</f>
        <v>1230.5999999999999</v>
      </c>
      <c r="K137" s="261"/>
      <c r="L137" s="262">
        <f t="shared" si="43"/>
        <v>1231.23</v>
      </c>
      <c r="O137" s="565">
        <f t="shared" si="46"/>
        <v>1230.5999999999999</v>
      </c>
      <c r="Q137" s="263">
        <f t="shared" si="44"/>
        <v>1231.23</v>
      </c>
    </row>
    <row r="138" spans="1:17" s="263" customFormat="1" ht="22.5" outlineLevel="2" x14ac:dyDescent="0.25">
      <c r="A138" s="248" t="s">
        <v>4441</v>
      </c>
      <c r="B138" s="246" t="s">
        <v>82</v>
      </c>
      <c r="C138" s="246">
        <v>98295</v>
      </c>
      <c r="D138" s="260" t="s">
        <v>866</v>
      </c>
      <c r="E138" s="249" t="s">
        <v>188</v>
      </c>
      <c r="F138" s="250">
        <v>400</v>
      </c>
      <c r="G138" s="254">
        <v>6.68</v>
      </c>
      <c r="H138" s="252">
        <f t="shared" si="45"/>
        <v>8.9010999999999996</v>
      </c>
      <c r="I138" s="275">
        <f t="shared" si="47"/>
        <v>2672</v>
      </c>
      <c r="J138" s="276">
        <f t="shared" si="48"/>
        <v>3560</v>
      </c>
      <c r="K138" s="261"/>
      <c r="L138" s="262">
        <f t="shared" si="43"/>
        <v>3560.4399999999996</v>
      </c>
      <c r="O138" s="565">
        <f t="shared" si="46"/>
        <v>3560</v>
      </c>
      <c r="Q138" s="263">
        <f t="shared" si="44"/>
        <v>3560.4399999999996</v>
      </c>
    </row>
    <row r="139" spans="1:17" s="263" customFormat="1" outlineLevel="2" x14ac:dyDescent="0.25">
      <c r="A139" s="248" t="s">
        <v>4442</v>
      </c>
      <c r="B139" s="246" t="s">
        <v>82</v>
      </c>
      <c r="C139" s="246">
        <v>98307</v>
      </c>
      <c r="D139" s="260" t="s">
        <v>859</v>
      </c>
      <c r="E139" s="249" t="s">
        <v>226</v>
      </c>
      <c r="F139" s="250">
        <v>11</v>
      </c>
      <c r="G139" s="254">
        <v>73.28</v>
      </c>
      <c r="H139" s="252">
        <f t="shared" si="45"/>
        <v>97.645600000000002</v>
      </c>
      <c r="I139" s="275">
        <f t="shared" si="47"/>
        <v>806.08</v>
      </c>
      <c r="J139" s="276">
        <f t="shared" si="48"/>
        <v>1074.1500000000001</v>
      </c>
      <c r="K139" s="261"/>
      <c r="L139" s="262">
        <f t="shared" si="43"/>
        <v>1074.1016</v>
      </c>
      <c r="O139" s="565">
        <f t="shared" si="46"/>
        <v>1074.1500000000001</v>
      </c>
      <c r="Q139" s="263">
        <f t="shared" si="44"/>
        <v>1074.1016</v>
      </c>
    </row>
    <row r="140" spans="1:17" s="263" customFormat="1" ht="22.5" outlineLevel="2" x14ac:dyDescent="0.25">
      <c r="A140" s="248" t="s">
        <v>4443</v>
      </c>
      <c r="B140" s="246" t="s">
        <v>82</v>
      </c>
      <c r="C140" s="246" t="s">
        <v>903</v>
      </c>
      <c r="D140" s="260" t="s">
        <v>904</v>
      </c>
      <c r="E140" s="249" t="s">
        <v>188</v>
      </c>
      <c r="F140" s="250">
        <v>209</v>
      </c>
      <c r="G140" s="254">
        <v>69.5</v>
      </c>
      <c r="H140" s="252">
        <f t="shared" si="45"/>
        <v>92.608750000000001</v>
      </c>
      <c r="I140" s="275">
        <f t="shared" si="47"/>
        <v>14525.5</v>
      </c>
      <c r="J140" s="276">
        <f t="shared" si="48"/>
        <v>19355.490000000002</v>
      </c>
      <c r="K140" s="261"/>
      <c r="L140" s="262">
        <f t="shared" si="43"/>
        <v>19355.228749999998</v>
      </c>
      <c r="O140" s="565">
        <f t="shared" si="46"/>
        <v>19355.490000000002</v>
      </c>
      <c r="Q140" s="263">
        <f t="shared" si="44"/>
        <v>19355.228749999998</v>
      </c>
    </row>
    <row r="141" spans="1:17" s="263" customFormat="1" ht="22.5" outlineLevel="2" x14ac:dyDescent="0.25">
      <c r="A141" s="248" t="s">
        <v>4444</v>
      </c>
      <c r="B141" s="246" t="s">
        <v>82</v>
      </c>
      <c r="C141" s="246" t="s">
        <v>906</v>
      </c>
      <c r="D141" s="260" t="s">
        <v>907</v>
      </c>
      <c r="E141" s="249" t="s">
        <v>188</v>
      </c>
      <c r="F141" s="250">
        <v>304</v>
      </c>
      <c r="G141" s="254">
        <v>88.12</v>
      </c>
      <c r="H141" s="252">
        <f t="shared" si="45"/>
        <v>117.41990000000001</v>
      </c>
      <c r="I141" s="275">
        <f t="shared" si="47"/>
        <v>26788.48</v>
      </c>
      <c r="J141" s="276">
        <f t="shared" si="48"/>
        <v>35695.68</v>
      </c>
      <c r="K141" s="261"/>
      <c r="L141" s="262">
        <f t="shared" si="43"/>
        <v>35695.649600000004</v>
      </c>
      <c r="O141" s="565">
        <f t="shared" si="46"/>
        <v>35695.68</v>
      </c>
      <c r="Q141" s="263">
        <f t="shared" si="44"/>
        <v>35695.649600000004</v>
      </c>
    </row>
    <row r="142" spans="1:17" s="263" customFormat="1" ht="45" outlineLevel="2" x14ac:dyDescent="0.25">
      <c r="A142" s="248" t="s">
        <v>4445</v>
      </c>
      <c r="B142" s="246" t="s">
        <v>77</v>
      </c>
      <c r="C142" s="246" t="s">
        <v>909</v>
      </c>
      <c r="D142" s="260" t="s">
        <v>910</v>
      </c>
      <c r="E142" s="249" t="s">
        <v>579</v>
      </c>
      <c r="F142" s="250">
        <v>5</v>
      </c>
      <c r="G142" s="254">
        <v>466.3</v>
      </c>
      <c r="H142" s="252">
        <f t="shared" si="45"/>
        <v>621.34474999999998</v>
      </c>
      <c r="I142" s="275">
        <f t="shared" si="47"/>
        <v>2331.5</v>
      </c>
      <c r="J142" s="276">
        <f t="shared" si="48"/>
        <v>3106.7</v>
      </c>
      <c r="K142" s="261"/>
      <c r="L142" s="262">
        <f t="shared" si="43"/>
        <v>3106.7237500000001</v>
      </c>
      <c r="O142" s="565">
        <f t="shared" si="46"/>
        <v>3106.7</v>
      </c>
      <c r="Q142" s="263">
        <f t="shared" si="44"/>
        <v>3106.7237500000001</v>
      </c>
    </row>
    <row r="143" spans="1:17" s="263" customFormat="1" outlineLevel="2" x14ac:dyDescent="0.25">
      <c r="A143" s="248" t="s">
        <v>4446</v>
      </c>
      <c r="B143" s="246" t="s">
        <v>77</v>
      </c>
      <c r="C143" s="246" t="s">
        <v>912</v>
      </c>
      <c r="D143" s="260" t="s">
        <v>913</v>
      </c>
      <c r="E143" s="249" t="s">
        <v>226</v>
      </c>
      <c r="F143" s="250">
        <v>10</v>
      </c>
      <c r="G143" s="254">
        <v>1267.9000000000001</v>
      </c>
      <c r="H143" s="252">
        <f t="shared" si="45"/>
        <v>1689.47675</v>
      </c>
      <c r="I143" s="275">
        <f t="shared" si="47"/>
        <v>12679</v>
      </c>
      <c r="J143" s="276">
        <f t="shared" si="48"/>
        <v>16894.8</v>
      </c>
      <c r="K143" s="261"/>
      <c r="L143" s="262">
        <f t="shared" si="43"/>
        <v>16894.767500000002</v>
      </c>
      <c r="O143" s="565">
        <f t="shared" si="46"/>
        <v>16894.8</v>
      </c>
      <c r="Q143" s="263">
        <f t="shared" si="44"/>
        <v>16894.767500000002</v>
      </c>
    </row>
    <row r="144" spans="1:17" s="263" customFormat="1" ht="22.5" outlineLevel="2" x14ac:dyDescent="0.25">
      <c r="A144" s="248" t="s">
        <v>4447</v>
      </c>
      <c r="B144" s="246" t="s">
        <v>82</v>
      </c>
      <c r="C144" s="246" t="s">
        <v>915</v>
      </c>
      <c r="D144" s="260" t="s">
        <v>916</v>
      </c>
      <c r="E144" s="249" t="s">
        <v>226</v>
      </c>
      <c r="F144" s="250">
        <v>20</v>
      </c>
      <c r="G144" s="254">
        <v>21.76</v>
      </c>
      <c r="H144" s="252">
        <f t="shared" si="45"/>
        <v>28.995200000000004</v>
      </c>
      <c r="I144" s="275">
        <f t="shared" si="47"/>
        <v>435.2</v>
      </c>
      <c r="J144" s="276">
        <f t="shared" si="48"/>
        <v>580</v>
      </c>
      <c r="K144" s="261"/>
      <c r="L144" s="262">
        <f t="shared" si="43"/>
        <v>579.90400000000011</v>
      </c>
      <c r="O144" s="565">
        <f t="shared" si="46"/>
        <v>580</v>
      </c>
      <c r="Q144" s="263">
        <f t="shared" si="44"/>
        <v>579.90400000000011</v>
      </c>
    </row>
    <row r="145" spans="1:17" s="263" customFormat="1" ht="22.5" outlineLevel="2" x14ac:dyDescent="0.25">
      <c r="A145" s="248" t="s">
        <v>4448</v>
      </c>
      <c r="B145" s="246" t="s">
        <v>82</v>
      </c>
      <c r="C145" s="246" t="s">
        <v>918</v>
      </c>
      <c r="D145" s="260" t="s">
        <v>587</v>
      </c>
      <c r="E145" s="249" t="s">
        <v>226</v>
      </c>
      <c r="F145" s="250">
        <v>10</v>
      </c>
      <c r="G145" s="254">
        <v>125.61</v>
      </c>
      <c r="H145" s="252">
        <f t="shared" si="45"/>
        <v>167.375325</v>
      </c>
      <c r="I145" s="275">
        <f t="shared" si="47"/>
        <v>1256.0999999999999</v>
      </c>
      <c r="J145" s="276">
        <f t="shared" si="48"/>
        <v>1673.8</v>
      </c>
      <c r="K145" s="261"/>
      <c r="L145" s="262">
        <f t="shared" si="43"/>
        <v>1673.75325</v>
      </c>
      <c r="O145" s="565">
        <f t="shared" si="46"/>
        <v>1673.8</v>
      </c>
      <c r="Q145" s="263">
        <f t="shared" si="44"/>
        <v>1673.75325</v>
      </c>
    </row>
    <row r="146" spans="1:17" s="263" customFormat="1" outlineLevel="2" x14ac:dyDescent="0.25">
      <c r="A146" s="248" t="s">
        <v>4449</v>
      </c>
      <c r="B146" s="246" t="s">
        <v>77</v>
      </c>
      <c r="C146" s="246" t="s">
        <v>920</v>
      </c>
      <c r="D146" s="260" t="s">
        <v>921</v>
      </c>
      <c r="E146" s="249" t="s">
        <v>226</v>
      </c>
      <c r="F146" s="250">
        <v>3</v>
      </c>
      <c r="G146" s="254">
        <v>61.18</v>
      </c>
      <c r="H146" s="252">
        <f t="shared" si="45"/>
        <v>81.522350000000003</v>
      </c>
      <c r="I146" s="275">
        <f t="shared" si="47"/>
        <v>183.54</v>
      </c>
      <c r="J146" s="276">
        <f t="shared" si="48"/>
        <v>244.56</v>
      </c>
      <c r="K146" s="261"/>
      <c r="L146" s="262">
        <f t="shared" si="43"/>
        <v>244.56704999999999</v>
      </c>
      <c r="O146" s="565">
        <f t="shared" si="46"/>
        <v>244.56</v>
      </c>
      <c r="Q146" s="263">
        <f t="shared" si="44"/>
        <v>244.56704999999999</v>
      </c>
    </row>
    <row r="147" spans="1:17" s="263" customFormat="1" ht="22.5" outlineLevel="2" x14ac:dyDescent="0.25">
      <c r="A147" s="248" t="s">
        <v>4450</v>
      </c>
      <c r="B147" s="246" t="s">
        <v>77</v>
      </c>
      <c r="C147" s="246" t="s">
        <v>923</v>
      </c>
      <c r="D147" s="260" t="s">
        <v>924</v>
      </c>
      <c r="E147" s="249" t="s">
        <v>226</v>
      </c>
      <c r="F147" s="250">
        <v>2</v>
      </c>
      <c r="G147" s="254">
        <v>344.16</v>
      </c>
      <c r="H147" s="252">
        <f t="shared" si="45"/>
        <v>458.59320000000002</v>
      </c>
      <c r="I147" s="275">
        <f t="shared" si="47"/>
        <v>688.32</v>
      </c>
      <c r="J147" s="276">
        <f t="shared" si="48"/>
        <v>917.18</v>
      </c>
      <c r="K147" s="261"/>
      <c r="L147" s="262">
        <f t="shared" si="43"/>
        <v>917.18640000000005</v>
      </c>
      <c r="O147" s="565">
        <f t="shared" si="46"/>
        <v>917.18</v>
      </c>
      <c r="Q147" s="263">
        <f t="shared" si="44"/>
        <v>917.18640000000005</v>
      </c>
    </row>
    <row r="148" spans="1:17" s="263" customFormat="1" outlineLevel="2" x14ac:dyDescent="0.25">
      <c r="A148" s="248" t="s">
        <v>4451</v>
      </c>
      <c r="B148" s="246" t="s">
        <v>77</v>
      </c>
      <c r="C148" s="246" t="s">
        <v>926</v>
      </c>
      <c r="D148" s="260" t="s">
        <v>927</v>
      </c>
      <c r="E148" s="249" t="s">
        <v>579</v>
      </c>
      <c r="F148" s="250">
        <v>13</v>
      </c>
      <c r="G148" s="254">
        <v>20.86</v>
      </c>
      <c r="H148" s="252">
        <f t="shared" si="45"/>
        <v>27.795950000000001</v>
      </c>
      <c r="I148" s="275">
        <f t="shared" si="47"/>
        <v>271.18</v>
      </c>
      <c r="J148" s="276">
        <f t="shared" si="48"/>
        <v>361.4</v>
      </c>
      <c r="K148" s="261"/>
      <c r="L148" s="262">
        <f t="shared" si="43"/>
        <v>361.34735000000001</v>
      </c>
      <c r="O148" s="565">
        <f t="shared" si="46"/>
        <v>361.4</v>
      </c>
      <c r="Q148" s="263">
        <f t="shared" si="44"/>
        <v>361.34735000000001</v>
      </c>
    </row>
    <row r="149" spans="1:17" s="263" customFormat="1" ht="22.5" outlineLevel="2" x14ac:dyDescent="0.25">
      <c r="A149" s="248" t="s">
        <v>4452</v>
      </c>
      <c r="B149" s="246" t="s">
        <v>77</v>
      </c>
      <c r="C149" s="246" t="s">
        <v>929</v>
      </c>
      <c r="D149" s="260" t="s">
        <v>930</v>
      </c>
      <c r="E149" s="249" t="s">
        <v>226</v>
      </c>
      <c r="F149" s="250">
        <v>13</v>
      </c>
      <c r="G149" s="254">
        <v>25.89</v>
      </c>
      <c r="H149" s="252">
        <f t="shared" si="45"/>
        <v>34.498425000000005</v>
      </c>
      <c r="I149" s="275">
        <f t="shared" si="47"/>
        <v>336.57</v>
      </c>
      <c r="J149" s="276">
        <f t="shared" si="48"/>
        <v>448.5</v>
      </c>
      <c r="K149" s="261"/>
      <c r="L149" s="262">
        <f t="shared" si="43"/>
        <v>448.47952500000008</v>
      </c>
      <c r="O149" s="565">
        <f t="shared" si="46"/>
        <v>448.5</v>
      </c>
      <c r="Q149" s="263">
        <f t="shared" si="44"/>
        <v>448.47952500000008</v>
      </c>
    </row>
    <row r="150" spans="1:17" s="263" customFormat="1" ht="22.5" outlineLevel="2" x14ac:dyDescent="0.25">
      <c r="A150" s="248" t="s">
        <v>4453</v>
      </c>
      <c r="B150" s="246" t="s">
        <v>77</v>
      </c>
      <c r="C150" s="246" t="s">
        <v>932</v>
      </c>
      <c r="D150" s="260" t="s">
        <v>933</v>
      </c>
      <c r="E150" s="249" t="s">
        <v>226</v>
      </c>
      <c r="F150" s="250">
        <v>304</v>
      </c>
      <c r="G150" s="254">
        <v>5.19</v>
      </c>
      <c r="H150" s="252">
        <f t="shared" si="45"/>
        <v>6.9156750000000002</v>
      </c>
      <c r="I150" s="275">
        <f t="shared" si="47"/>
        <v>1577.76</v>
      </c>
      <c r="J150" s="276">
        <f t="shared" si="48"/>
        <v>2103.6799999999998</v>
      </c>
      <c r="K150" s="261"/>
      <c r="L150" s="262">
        <f t="shared" si="43"/>
        <v>2102.3652000000002</v>
      </c>
      <c r="O150" s="565">
        <f t="shared" si="46"/>
        <v>2103.6799999999998</v>
      </c>
      <c r="Q150" s="263">
        <f t="shared" si="44"/>
        <v>2102.3652000000002</v>
      </c>
    </row>
    <row r="151" spans="1:17" s="311" customFormat="1" outlineLevel="1" x14ac:dyDescent="0.25">
      <c r="A151" s="301" t="s">
        <v>4454</v>
      </c>
      <c r="B151" s="302"/>
      <c r="C151" s="303"/>
      <c r="D151" s="302" t="s">
        <v>10</v>
      </c>
      <c r="E151" s="302"/>
      <c r="F151" s="304"/>
      <c r="G151" s="305"/>
      <c r="H151" s="302"/>
      <c r="I151" s="306">
        <f>ROUND(SUM(I152:I171),2)</f>
        <v>24794.21</v>
      </c>
      <c r="J151" s="307">
        <f>ROUND(SUM(J152:J171),2)</f>
        <v>33037.79</v>
      </c>
      <c r="K151" s="309"/>
      <c r="L151" s="310">
        <f t="shared" si="43"/>
        <v>0</v>
      </c>
      <c r="N151" s="560">
        <f>SUM(J152:J171)</f>
        <v>33037.789999999994</v>
      </c>
      <c r="O151" s="564">
        <f t="shared" si="46"/>
        <v>0</v>
      </c>
      <c r="Q151" s="311">
        <f t="shared" si="44"/>
        <v>0</v>
      </c>
    </row>
    <row r="152" spans="1:17" s="36" customFormat="1" outlineLevel="2" x14ac:dyDescent="0.25">
      <c r="A152" s="270" t="s">
        <v>4455</v>
      </c>
      <c r="B152" s="271" t="s">
        <v>77</v>
      </c>
      <c r="C152" s="271" t="s">
        <v>641</v>
      </c>
      <c r="D152" s="272" t="s">
        <v>642</v>
      </c>
      <c r="E152" s="271" t="s">
        <v>226</v>
      </c>
      <c r="F152" s="273">
        <v>6</v>
      </c>
      <c r="G152" s="274">
        <v>893.43</v>
      </c>
      <c r="H152" s="275">
        <f t="shared" ref="H152:H157" si="49">ROUND(G152*ROUND(1+(33.25/100),4),2)</f>
        <v>1190.5</v>
      </c>
      <c r="I152" s="275">
        <f t="shared" ref="I152:I157" si="50">ROUND(ROUND(F152,2)*ROUND(G152,2),2)</f>
        <v>5360.58</v>
      </c>
      <c r="J152" s="276">
        <f t="shared" ref="J152:J157" si="51">ROUND(ROUND(F152,2)*ROUND(H152,2),2)</f>
        <v>7143</v>
      </c>
      <c r="K152" s="155"/>
      <c r="L152" s="40">
        <f t="shared" si="43"/>
        <v>7143</v>
      </c>
      <c r="O152" s="561">
        <f t="shared" si="46"/>
        <v>7143</v>
      </c>
      <c r="Q152" s="36">
        <f t="shared" si="44"/>
        <v>7143</v>
      </c>
    </row>
    <row r="153" spans="1:17" s="36" customFormat="1" ht="22.5" outlineLevel="2" x14ac:dyDescent="0.25">
      <c r="A153" s="270" t="s">
        <v>4456</v>
      </c>
      <c r="B153" s="271" t="s">
        <v>77</v>
      </c>
      <c r="C153" s="271" t="s">
        <v>644</v>
      </c>
      <c r="D153" s="272" t="s">
        <v>645</v>
      </c>
      <c r="E153" s="271" t="s">
        <v>251</v>
      </c>
      <c r="F153" s="273">
        <v>7</v>
      </c>
      <c r="G153" s="274">
        <v>123.39</v>
      </c>
      <c r="H153" s="275">
        <f t="shared" si="49"/>
        <v>164.42</v>
      </c>
      <c r="I153" s="275">
        <f t="shared" si="50"/>
        <v>863.73</v>
      </c>
      <c r="J153" s="276">
        <f t="shared" si="51"/>
        <v>1150.94</v>
      </c>
      <c r="K153" s="155"/>
      <c r="L153" s="40">
        <f t="shared" si="43"/>
        <v>1150.9399999999998</v>
      </c>
      <c r="O153" s="561">
        <f t="shared" si="46"/>
        <v>1150.94</v>
      </c>
      <c r="Q153" s="36">
        <f t="shared" si="44"/>
        <v>1150.9399999999998</v>
      </c>
    </row>
    <row r="154" spans="1:17" s="36" customFormat="1" outlineLevel="2" x14ac:dyDescent="0.25">
      <c r="A154" s="270" t="s">
        <v>4457</v>
      </c>
      <c r="B154" s="271" t="s">
        <v>4322</v>
      </c>
      <c r="C154" s="271">
        <v>51033</v>
      </c>
      <c r="D154" s="272" t="s">
        <v>648</v>
      </c>
      <c r="E154" s="271" t="s">
        <v>226</v>
      </c>
      <c r="F154" s="273">
        <v>6</v>
      </c>
      <c r="G154" s="274">
        <v>40.51</v>
      </c>
      <c r="H154" s="275">
        <f t="shared" si="49"/>
        <v>53.98</v>
      </c>
      <c r="I154" s="275">
        <f t="shared" si="50"/>
        <v>243.06</v>
      </c>
      <c r="J154" s="276">
        <f t="shared" si="51"/>
        <v>323.88</v>
      </c>
      <c r="K154" s="155"/>
      <c r="L154" s="40">
        <f t="shared" si="43"/>
        <v>323.88</v>
      </c>
      <c r="O154" s="561">
        <f t="shared" si="46"/>
        <v>323.88</v>
      </c>
      <c r="Q154" s="36">
        <f t="shared" si="44"/>
        <v>323.88</v>
      </c>
    </row>
    <row r="155" spans="1:17" s="36" customFormat="1" outlineLevel="2" x14ac:dyDescent="0.25">
      <c r="A155" s="270" t="s">
        <v>4458</v>
      </c>
      <c r="B155" s="271" t="s">
        <v>77</v>
      </c>
      <c r="C155" s="271" t="s">
        <v>650</v>
      </c>
      <c r="D155" s="272" t="s">
        <v>651</v>
      </c>
      <c r="E155" s="271" t="s">
        <v>72</v>
      </c>
      <c r="F155" s="273">
        <v>320</v>
      </c>
      <c r="G155" s="274">
        <v>13.38</v>
      </c>
      <c r="H155" s="275">
        <f t="shared" si="49"/>
        <v>17.829999999999998</v>
      </c>
      <c r="I155" s="275">
        <f t="shared" si="50"/>
        <v>4281.6000000000004</v>
      </c>
      <c r="J155" s="276">
        <f t="shared" si="51"/>
        <v>5705.6</v>
      </c>
      <c r="K155" s="155"/>
      <c r="L155" s="40">
        <f t="shared" si="43"/>
        <v>5705.5999999999995</v>
      </c>
      <c r="O155" s="561">
        <f t="shared" si="46"/>
        <v>5705.6</v>
      </c>
      <c r="Q155" s="36">
        <f t="shared" si="44"/>
        <v>5705.5999999999995</v>
      </c>
    </row>
    <row r="156" spans="1:17" s="36" customFormat="1" ht="22.5" outlineLevel="2" x14ac:dyDescent="0.25">
      <c r="A156" s="270" t="s">
        <v>4459</v>
      </c>
      <c r="B156" s="271" t="s">
        <v>4322</v>
      </c>
      <c r="C156" s="271">
        <v>150806</v>
      </c>
      <c r="D156" s="272" t="s">
        <v>654</v>
      </c>
      <c r="E156" s="271" t="s">
        <v>72</v>
      </c>
      <c r="F156" s="273">
        <v>150</v>
      </c>
      <c r="G156" s="274">
        <v>26.09</v>
      </c>
      <c r="H156" s="275">
        <f t="shared" si="49"/>
        <v>34.76</v>
      </c>
      <c r="I156" s="275">
        <f t="shared" si="50"/>
        <v>3913.5</v>
      </c>
      <c r="J156" s="276">
        <f t="shared" si="51"/>
        <v>5214</v>
      </c>
      <c r="K156" s="155"/>
      <c r="L156" s="40">
        <f t="shared" si="43"/>
        <v>5214</v>
      </c>
      <c r="O156" s="561">
        <f t="shared" si="46"/>
        <v>5214</v>
      </c>
      <c r="Q156" s="36">
        <f t="shared" si="44"/>
        <v>5214</v>
      </c>
    </row>
    <row r="157" spans="1:17" s="36" customFormat="1" ht="22.5" outlineLevel="2" x14ac:dyDescent="0.25">
      <c r="A157" s="270" t="s">
        <v>4460</v>
      </c>
      <c r="B157" s="271" t="s">
        <v>77</v>
      </c>
      <c r="C157" s="271" t="s">
        <v>656</v>
      </c>
      <c r="D157" s="272" t="s">
        <v>657</v>
      </c>
      <c r="E157" s="271" t="s">
        <v>226</v>
      </c>
      <c r="F157" s="273">
        <v>20</v>
      </c>
      <c r="G157" s="274">
        <v>22.81</v>
      </c>
      <c r="H157" s="275">
        <f t="shared" si="49"/>
        <v>30.39</v>
      </c>
      <c r="I157" s="275">
        <f t="shared" si="50"/>
        <v>456.2</v>
      </c>
      <c r="J157" s="276">
        <f t="shared" si="51"/>
        <v>607.79999999999995</v>
      </c>
      <c r="K157" s="155"/>
      <c r="L157" s="40">
        <f t="shared" si="43"/>
        <v>607.79999999999995</v>
      </c>
      <c r="O157" s="561">
        <f t="shared" si="46"/>
        <v>607.79999999999995</v>
      </c>
      <c r="Q157" s="36">
        <f t="shared" si="44"/>
        <v>607.79999999999995</v>
      </c>
    </row>
    <row r="158" spans="1:17" s="36" customFormat="1" ht="22.5" outlineLevel="2" x14ac:dyDescent="0.25">
      <c r="A158" s="270" t="s">
        <v>4461</v>
      </c>
      <c r="B158" s="271" t="s">
        <v>82</v>
      </c>
      <c r="C158" s="271">
        <v>95782</v>
      </c>
      <c r="D158" s="272" t="s">
        <v>660</v>
      </c>
      <c r="E158" s="271" t="s">
        <v>226</v>
      </c>
      <c r="F158" s="273">
        <v>6</v>
      </c>
      <c r="G158" s="274">
        <v>36.340000000000003</v>
      </c>
      <c r="H158" s="275">
        <f t="shared" ref="H158" si="52">ROUND(G158*ROUND(1+(33.25/100),4),2)</f>
        <v>48.42</v>
      </c>
      <c r="I158" s="275">
        <f t="shared" ref="I158" si="53">ROUND(ROUND(F158,2)*ROUND(G158,2),2)</f>
        <v>218.04</v>
      </c>
      <c r="J158" s="276">
        <f t="shared" ref="J158" si="54">ROUND(ROUND(F158,2)*ROUND(H158,2),2)</f>
        <v>290.52</v>
      </c>
      <c r="K158" s="155"/>
      <c r="L158" s="40"/>
      <c r="O158" s="561">
        <f t="shared" si="46"/>
        <v>290.52</v>
      </c>
      <c r="Q158" s="36">
        <f t="shared" si="44"/>
        <v>290.52</v>
      </c>
    </row>
    <row r="159" spans="1:17" s="36" customFormat="1" outlineLevel="2" x14ac:dyDescent="0.25">
      <c r="A159" s="270" t="s">
        <v>4462</v>
      </c>
      <c r="B159" s="246" t="s">
        <v>82</v>
      </c>
      <c r="C159" s="246">
        <v>98307</v>
      </c>
      <c r="D159" s="260" t="s">
        <v>859</v>
      </c>
      <c r="E159" s="249" t="s">
        <v>226</v>
      </c>
      <c r="F159" s="250">
        <v>12</v>
      </c>
      <c r="G159" s="254">
        <v>73.28</v>
      </c>
      <c r="H159" s="275">
        <f t="shared" ref="H159:H171" si="55">ROUND(G159*ROUND(1+(33.25/100),4),2)</f>
        <v>97.65</v>
      </c>
      <c r="I159" s="275">
        <f t="shared" ref="I159:I171" si="56">ROUND(ROUND(F159,2)*ROUND(G159,2),2)</f>
        <v>879.36</v>
      </c>
      <c r="J159" s="276">
        <f t="shared" ref="J159:J171" si="57">ROUND(ROUND(F159,2)*ROUND(H159,2),2)</f>
        <v>1171.8</v>
      </c>
      <c r="K159" s="155"/>
      <c r="L159" s="40"/>
      <c r="O159" s="561">
        <f t="shared" si="46"/>
        <v>1171.8</v>
      </c>
      <c r="Q159" s="36">
        <f t="shared" si="44"/>
        <v>1171.8000000000002</v>
      </c>
    </row>
    <row r="160" spans="1:17" s="36" customFormat="1" outlineLevel="2" x14ac:dyDescent="0.25">
      <c r="A160" s="270" t="s">
        <v>4463</v>
      </c>
      <c r="B160" s="271" t="s">
        <v>4322</v>
      </c>
      <c r="C160" s="246" t="s">
        <v>861</v>
      </c>
      <c r="D160" s="260" t="s">
        <v>530</v>
      </c>
      <c r="E160" s="249" t="s">
        <v>72</v>
      </c>
      <c r="F160" s="250">
        <v>100</v>
      </c>
      <c r="G160" s="254">
        <v>8.0299999999999994</v>
      </c>
      <c r="H160" s="275">
        <f t="shared" si="55"/>
        <v>10.7</v>
      </c>
      <c r="I160" s="275">
        <f t="shared" si="56"/>
        <v>803</v>
      </c>
      <c r="J160" s="276">
        <f t="shared" si="57"/>
        <v>1070</v>
      </c>
      <c r="K160" s="155"/>
      <c r="L160" s="40"/>
      <c r="O160" s="561">
        <f t="shared" si="46"/>
        <v>1070</v>
      </c>
      <c r="Q160" s="36">
        <f t="shared" si="44"/>
        <v>1070</v>
      </c>
    </row>
    <row r="161" spans="1:17" s="36" customFormat="1" ht="22.5" outlineLevel="2" x14ac:dyDescent="0.25">
      <c r="A161" s="270" t="s">
        <v>4464</v>
      </c>
      <c r="B161" s="271" t="s">
        <v>4322</v>
      </c>
      <c r="C161" s="246" t="s">
        <v>863</v>
      </c>
      <c r="D161" s="260" t="s">
        <v>864</v>
      </c>
      <c r="E161" s="249" t="s">
        <v>72</v>
      </c>
      <c r="F161" s="250">
        <v>100</v>
      </c>
      <c r="G161" s="254">
        <v>28.36</v>
      </c>
      <c r="H161" s="275">
        <f t="shared" si="55"/>
        <v>37.79</v>
      </c>
      <c r="I161" s="275">
        <f t="shared" si="56"/>
        <v>2836</v>
      </c>
      <c r="J161" s="276">
        <f t="shared" si="57"/>
        <v>3779</v>
      </c>
      <c r="K161" s="155"/>
      <c r="L161" s="40"/>
      <c r="O161" s="561">
        <f t="shared" si="46"/>
        <v>3779</v>
      </c>
      <c r="Q161" s="36">
        <f t="shared" si="44"/>
        <v>3779</v>
      </c>
    </row>
    <row r="162" spans="1:17" s="36" customFormat="1" ht="22.5" outlineLevel="2" x14ac:dyDescent="0.25">
      <c r="A162" s="270" t="s">
        <v>4465</v>
      </c>
      <c r="B162" s="246" t="s">
        <v>82</v>
      </c>
      <c r="C162" s="246">
        <v>98295</v>
      </c>
      <c r="D162" s="260" t="s">
        <v>866</v>
      </c>
      <c r="E162" s="249" t="s">
        <v>188</v>
      </c>
      <c r="F162" s="250">
        <v>120</v>
      </c>
      <c r="G162" s="254">
        <v>6.68</v>
      </c>
      <c r="H162" s="275">
        <f t="shared" si="55"/>
        <v>8.9</v>
      </c>
      <c r="I162" s="275">
        <f t="shared" si="56"/>
        <v>801.6</v>
      </c>
      <c r="J162" s="276">
        <f t="shared" si="57"/>
        <v>1068</v>
      </c>
      <c r="K162" s="155"/>
      <c r="L162" s="40"/>
      <c r="O162" s="561">
        <f t="shared" si="46"/>
        <v>1068</v>
      </c>
      <c r="Q162" s="36">
        <f t="shared" si="44"/>
        <v>1068</v>
      </c>
    </row>
    <row r="163" spans="1:17" s="36" customFormat="1" ht="22.5" outlineLevel="2" x14ac:dyDescent="0.25">
      <c r="A163" s="270" t="s">
        <v>4466</v>
      </c>
      <c r="B163" s="271" t="s">
        <v>4322</v>
      </c>
      <c r="C163" s="246" t="s">
        <v>868</v>
      </c>
      <c r="D163" s="109" t="s">
        <v>869</v>
      </c>
      <c r="E163" s="249" t="s">
        <v>68</v>
      </c>
      <c r="F163" s="250">
        <v>1</v>
      </c>
      <c r="G163" s="254">
        <v>733.86</v>
      </c>
      <c r="H163" s="275">
        <f t="shared" si="55"/>
        <v>977.87</v>
      </c>
      <c r="I163" s="275">
        <f t="shared" si="56"/>
        <v>733.86</v>
      </c>
      <c r="J163" s="276">
        <f t="shared" si="57"/>
        <v>977.87</v>
      </c>
      <c r="K163" s="155"/>
      <c r="L163" s="40"/>
      <c r="O163" s="561">
        <f t="shared" si="46"/>
        <v>977.87</v>
      </c>
      <c r="Q163" s="36">
        <f t="shared" si="44"/>
        <v>977.87</v>
      </c>
    </row>
    <row r="164" spans="1:17" s="36" customFormat="1" outlineLevel="2" x14ac:dyDescent="0.25">
      <c r="A164" s="270" t="s">
        <v>4467</v>
      </c>
      <c r="B164" s="246" t="s">
        <v>77</v>
      </c>
      <c r="C164" s="246" t="s">
        <v>871</v>
      </c>
      <c r="D164" s="260" t="s">
        <v>872</v>
      </c>
      <c r="E164" s="249" t="s">
        <v>226</v>
      </c>
      <c r="F164" s="250">
        <v>5</v>
      </c>
      <c r="G164" s="254">
        <v>60.07</v>
      </c>
      <c r="H164" s="275">
        <f t="shared" si="55"/>
        <v>80.040000000000006</v>
      </c>
      <c r="I164" s="275">
        <f t="shared" si="56"/>
        <v>300.35000000000002</v>
      </c>
      <c r="J164" s="276">
        <f t="shared" si="57"/>
        <v>400.2</v>
      </c>
      <c r="K164" s="155"/>
      <c r="L164" s="40"/>
      <c r="O164" s="561">
        <f t="shared" si="46"/>
        <v>400.2</v>
      </c>
      <c r="Q164" s="36">
        <f t="shared" si="44"/>
        <v>400.20000000000005</v>
      </c>
    </row>
    <row r="165" spans="1:17" s="36" customFormat="1" outlineLevel="2" x14ac:dyDescent="0.25">
      <c r="A165" s="270" t="s">
        <v>4468</v>
      </c>
      <c r="B165" s="246" t="s">
        <v>77</v>
      </c>
      <c r="C165" s="246" t="s">
        <v>874</v>
      </c>
      <c r="D165" s="260" t="s">
        <v>875</v>
      </c>
      <c r="E165" s="249" t="s">
        <v>226</v>
      </c>
      <c r="F165" s="250">
        <v>1</v>
      </c>
      <c r="G165" s="254">
        <v>63.09</v>
      </c>
      <c r="H165" s="275">
        <f t="shared" si="55"/>
        <v>84.07</v>
      </c>
      <c r="I165" s="275">
        <f t="shared" si="56"/>
        <v>63.09</v>
      </c>
      <c r="J165" s="276">
        <f t="shared" si="57"/>
        <v>84.07</v>
      </c>
      <c r="K165" s="155"/>
      <c r="L165" s="40"/>
      <c r="O165" s="561">
        <f t="shared" si="46"/>
        <v>84.07</v>
      </c>
      <c r="Q165" s="36">
        <f t="shared" si="44"/>
        <v>84.07</v>
      </c>
    </row>
    <row r="166" spans="1:17" s="36" customFormat="1" outlineLevel="2" x14ac:dyDescent="0.25">
      <c r="A166" s="270" t="s">
        <v>4469</v>
      </c>
      <c r="B166" s="246" t="s">
        <v>77</v>
      </c>
      <c r="C166" s="246" t="s">
        <v>877</v>
      </c>
      <c r="D166" s="260" t="s">
        <v>878</v>
      </c>
      <c r="E166" s="249" t="s">
        <v>226</v>
      </c>
      <c r="F166" s="250">
        <v>7</v>
      </c>
      <c r="G166" s="254">
        <v>39.130000000000003</v>
      </c>
      <c r="H166" s="275">
        <f t="shared" si="55"/>
        <v>52.14</v>
      </c>
      <c r="I166" s="275">
        <f t="shared" si="56"/>
        <v>273.91000000000003</v>
      </c>
      <c r="J166" s="276">
        <f t="shared" si="57"/>
        <v>364.98</v>
      </c>
      <c r="K166" s="155"/>
      <c r="L166" s="40"/>
      <c r="O166" s="561">
        <f t="shared" si="46"/>
        <v>364.98</v>
      </c>
      <c r="Q166" s="36">
        <f t="shared" si="44"/>
        <v>364.98</v>
      </c>
    </row>
    <row r="167" spans="1:17" s="36" customFormat="1" outlineLevel="2" x14ac:dyDescent="0.25">
      <c r="A167" s="270" t="s">
        <v>4470</v>
      </c>
      <c r="B167" s="246" t="s">
        <v>77</v>
      </c>
      <c r="C167" s="246" t="s">
        <v>880</v>
      </c>
      <c r="D167" s="260" t="s">
        <v>881</v>
      </c>
      <c r="E167" s="249" t="s">
        <v>68</v>
      </c>
      <c r="F167" s="250">
        <v>2</v>
      </c>
      <c r="G167" s="254">
        <v>263.85000000000002</v>
      </c>
      <c r="H167" s="275">
        <f t="shared" si="55"/>
        <v>351.58</v>
      </c>
      <c r="I167" s="275">
        <f t="shared" si="56"/>
        <v>527.70000000000005</v>
      </c>
      <c r="J167" s="276">
        <f t="shared" si="57"/>
        <v>703.16</v>
      </c>
      <c r="K167" s="155"/>
      <c r="L167" s="40"/>
      <c r="O167" s="561">
        <f t="shared" si="46"/>
        <v>703.16</v>
      </c>
      <c r="Q167" s="36">
        <f t="shared" si="44"/>
        <v>703.16</v>
      </c>
    </row>
    <row r="168" spans="1:17" s="36" customFormat="1" outlineLevel="2" x14ac:dyDescent="0.25">
      <c r="A168" s="270" t="s">
        <v>4471</v>
      </c>
      <c r="B168" s="271" t="s">
        <v>4322</v>
      </c>
      <c r="C168" s="246" t="s">
        <v>883</v>
      </c>
      <c r="D168" s="260" t="s">
        <v>884</v>
      </c>
      <c r="E168" s="249" t="s">
        <v>68</v>
      </c>
      <c r="F168" s="250">
        <v>1</v>
      </c>
      <c r="G168" s="254">
        <v>23.01</v>
      </c>
      <c r="H168" s="275">
        <f t="shared" si="55"/>
        <v>30.66</v>
      </c>
      <c r="I168" s="275">
        <f t="shared" si="56"/>
        <v>23.01</v>
      </c>
      <c r="J168" s="276">
        <f t="shared" si="57"/>
        <v>30.66</v>
      </c>
      <c r="K168" s="155"/>
      <c r="L168" s="40"/>
      <c r="O168" s="561">
        <f t="shared" si="46"/>
        <v>30.66</v>
      </c>
      <c r="Q168" s="36">
        <f t="shared" si="44"/>
        <v>30.66</v>
      </c>
    </row>
    <row r="169" spans="1:17" s="36" customFormat="1" ht="22.5" outlineLevel="2" x14ac:dyDescent="0.25">
      <c r="A169" s="270" t="s">
        <v>4472</v>
      </c>
      <c r="B169" s="246" t="s">
        <v>77</v>
      </c>
      <c r="C169" s="246" t="s">
        <v>886</v>
      </c>
      <c r="D169" s="260" t="s">
        <v>887</v>
      </c>
      <c r="E169" s="249" t="s">
        <v>226</v>
      </c>
      <c r="F169" s="250">
        <v>1</v>
      </c>
      <c r="G169" s="254">
        <v>1583.1</v>
      </c>
      <c r="H169" s="275">
        <f t="shared" si="55"/>
        <v>2109.48</v>
      </c>
      <c r="I169" s="275">
        <f t="shared" si="56"/>
        <v>1583.1</v>
      </c>
      <c r="J169" s="276">
        <f t="shared" si="57"/>
        <v>2109.48</v>
      </c>
      <c r="K169" s="155"/>
      <c r="L169" s="40"/>
      <c r="O169" s="561">
        <f t="shared" si="46"/>
        <v>2109.48</v>
      </c>
      <c r="Q169" s="36">
        <f t="shared" si="44"/>
        <v>2109.48</v>
      </c>
    </row>
    <row r="170" spans="1:17" s="36" customFormat="1" ht="22.5" outlineLevel="2" x14ac:dyDescent="0.25">
      <c r="A170" s="270" t="s">
        <v>4473</v>
      </c>
      <c r="B170" s="246" t="s">
        <v>77</v>
      </c>
      <c r="C170" s="246" t="s">
        <v>889</v>
      </c>
      <c r="D170" s="260" t="s">
        <v>890</v>
      </c>
      <c r="E170" s="249" t="s">
        <v>226</v>
      </c>
      <c r="F170" s="250">
        <v>1</v>
      </c>
      <c r="G170" s="254">
        <v>212.67</v>
      </c>
      <c r="H170" s="275">
        <f t="shared" si="55"/>
        <v>283.38</v>
      </c>
      <c r="I170" s="275">
        <f t="shared" si="56"/>
        <v>212.67</v>
      </c>
      <c r="J170" s="276">
        <f t="shared" si="57"/>
        <v>283.38</v>
      </c>
      <c r="K170" s="155"/>
      <c r="L170" s="40"/>
      <c r="O170" s="561">
        <f t="shared" si="46"/>
        <v>283.38</v>
      </c>
      <c r="Q170" s="36">
        <f t="shared" si="44"/>
        <v>283.38</v>
      </c>
    </row>
    <row r="171" spans="1:17" s="36" customFormat="1" ht="22.5" outlineLevel="2" x14ac:dyDescent="0.25">
      <c r="A171" s="270" t="s">
        <v>4474</v>
      </c>
      <c r="B171" s="246" t="s">
        <v>77</v>
      </c>
      <c r="C171" s="246" t="s">
        <v>892</v>
      </c>
      <c r="D171" s="260" t="s">
        <v>893</v>
      </c>
      <c r="E171" s="249" t="s">
        <v>226</v>
      </c>
      <c r="F171" s="250">
        <v>5</v>
      </c>
      <c r="G171" s="254">
        <v>83.97</v>
      </c>
      <c r="H171" s="275">
        <f t="shared" si="55"/>
        <v>111.89</v>
      </c>
      <c r="I171" s="275">
        <f t="shared" si="56"/>
        <v>419.85</v>
      </c>
      <c r="J171" s="276">
        <f t="shared" si="57"/>
        <v>559.45000000000005</v>
      </c>
      <c r="K171" s="155"/>
      <c r="L171" s="40"/>
      <c r="O171" s="561">
        <f t="shared" si="46"/>
        <v>559.45000000000005</v>
      </c>
      <c r="Q171" s="36">
        <f t="shared" si="44"/>
        <v>559.45000000000005</v>
      </c>
    </row>
    <row r="172" spans="1:17" s="311" customFormat="1" outlineLevel="1" x14ac:dyDescent="0.25">
      <c r="A172" s="301" t="s">
        <v>4475</v>
      </c>
      <c r="B172" s="302"/>
      <c r="C172" s="303"/>
      <c r="D172" s="302" t="s">
        <v>12</v>
      </c>
      <c r="E172" s="302"/>
      <c r="F172" s="304"/>
      <c r="G172" s="305"/>
      <c r="H172" s="302"/>
      <c r="I172" s="306">
        <f>ROUND(SUM(I173:I188),2)</f>
        <v>63339.73</v>
      </c>
      <c r="J172" s="307">
        <f>ROUND(SUM(J173:J188),2)</f>
        <v>84400.16</v>
      </c>
      <c r="K172" s="309"/>
      <c r="L172" s="310">
        <f>F172*H172</f>
        <v>0</v>
      </c>
      <c r="N172" s="560">
        <f>SUM(J173:J188)</f>
        <v>84400.16</v>
      </c>
      <c r="O172" s="564">
        <f t="shared" si="46"/>
        <v>0</v>
      </c>
      <c r="Q172" s="311">
        <f t="shared" si="44"/>
        <v>0</v>
      </c>
    </row>
    <row r="173" spans="1:17" s="36" customFormat="1" outlineLevel="2" x14ac:dyDescent="0.25">
      <c r="A173" s="270" t="s">
        <v>4476</v>
      </c>
      <c r="B173" s="271" t="s">
        <v>77</v>
      </c>
      <c r="C173" s="271" t="s">
        <v>662</v>
      </c>
      <c r="D173" s="272" t="s">
        <v>663</v>
      </c>
      <c r="E173" s="271" t="s">
        <v>664</v>
      </c>
      <c r="F173" s="273">
        <v>3</v>
      </c>
      <c r="G173" s="274">
        <v>412.99</v>
      </c>
      <c r="H173" s="275">
        <f>ROUND(G173*ROUND(1+(33.25/100),4),2)</f>
        <v>550.30999999999995</v>
      </c>
      <c r="I173" s="275">
        <f>ROUND(ROUND(F173,2)*ROUND(G173,2),2)</f>
        <v>1238.97</v>
      </c>
      <c r="J173" s="276">
        <f>ROUND(ROUND(F173,2)*ROUND(H173,2),2)</f>
        <v>1650.93</v>
      </c>
      <c r="K173" s="155"/>
      <c r="L173" s="40">
        <f>F173*H173</f>
        <v>1650.9299999999998</v>
      </c>
      <c r="O173" s="561">
        <f t="shared" si="46"/>
        <v>1650.93</v>
      </c>
      <c r="Q173" s="36">
        <f t="shared" si="44"/>
        <v>1650.9299999999998</v>
      </c>
    </row>
    <row r="174" spans="1:17" s="36" customFormat="1" outlineLevel="2" x14ac:dyDescent="0.25">
      <c r="A174" s="270" t="s">
        <v>4477</v>
      </c>
      <c r="B174" s="271" t="s">
        <v>77</v>
      </c>
      <c r="C174" s="271" t="s">
        <v>666</v>
      </c>
      <c r="D174" s="272" t="s">
        <v>667</v>
      </c>
      <c r="E174" s="271" t="s">
        <v>579</v>
      </c>
      <c r="F174" s="273">
        <v>1</v>
      </c>
      <c r="G174" s="274">
        <v>30.86</v>
      </c>
      <c r="H174" s="275">
        <f>ROUND(G174*ROUND(1+(33.25/100),4),2)</f>
        <v>41.12</v>
      </c>
      <c r="I174" s="275">
        <f>ROUND(ROUND(F174,2)*ROUND(G174,2),2)</f>
        <v>30.86</v>
      </c>
      <c r="J174" s="276">
        <f>ROUND(ROUND(F174,2)*ROUND(H174,2),2)</f>
        <v>41.12</v>
      </c>
      <c r="K174" s="155"/>
      <c r="L174" s="40"/>
      <c r="O174" s="561">
        <f t="shared" si="46"/>
        <v>41.12</v>
      </c>
      <c r="Q174" s="36">
        <f t="shared" si="44"/>
        <v>41.12</v>
      </c>
    </row>
    <row r="175" spans="1:17" s="36" customFormat="1" ht="22.5" outlineLevel="2" x14ac:dyDescent="0.25">
      <c r="A175" s="270" t="s">
        <v>4478</v>
      </c>
      <c r="B175" s="271" t="s">
        <v>4322</v>
      </c>
      <c r="C175" s="271">
        <v>160318</v>
      </c>
      <c r="D175" s="272" t="s">
        <v>670</v>
      </c>
      <c r="E175" s="271" t="s">
        <v>72</v>
      </c>
      <c r="F175" s="273">
        <v>150</v>
      </c>
      <c r="G175" s="274">
        <v>53.58</v>
      </c>
      <c r="H175" s="275">
        <f>ROUND(G175*ROUND(1+(33.25/100),4),2)</f>
        <v>71.400000000000006</v>
      </c>
      <c r="I175" s="275">
        <f>ROUND(ROUND(F175,2)*ROUND(G175,2),2)</f>
        <v>8037</v>
      </c>
      <c r="J175" s="276">
        <f>ROUND(ROUND(F175,2)*ROUND(H175,2),2)</f>
        <v>10710</v>
      </c>
      <c r="K175" s="155"/>
      <c r="L175" s="40"/>
      <c r="O175" s="561">
        <f t="shared" si="46"/>
        <v>10710</v>
      </c>
      <c r="Q175" s="36">
        <f t="shared" si="44"/>
        <v>10710</v>
      </c>
    </row>
    <row r="176" spans="1:17" s="36" customFormat="1" ht="22.5" outlineLevel="2" x14ac:dyDescent="0.25">
      <c r="A176" s="270" t="s">
        <v>4479</v>
      </c>
      <c r="B176" s="271" t="s">
        <v>4322</v>
      </c>
      <c r="C176" s="271">
        <v>160317</v>
      </c>
      <c r="D176" s="272" t="s">
        <v>673</v>
      </c>
      <c r="E176" s="271" t="s">
        <v>72</v>
      </c>
      <c r="F176" s="273">
        <v>80</v>
      </c>
      <c r="G176" s="274">
        <v>69.25</v>
      </c>
      <c r="H176" s="275">
        <f>ROUND(G176*ROUND(1+(33.25/100),4),2)</f>
        <v>92.28</v>
      </c>
      <c r="I176" s="275">
        <f>ROUND(ROUND(F176,2)*ROUND(G176,2),2)</f>
        <v>5540</v>
      </c>
      <c r="J176" s="276">
        <f>ROUND(ROUND(F176,2)*ROUND(H176,2),2)</f>
        <v>7382.4</v>
      </c>
      <c r="K176" s="155"/>
      <c r="L176" s="40"/>
      <c r="O176" s="561">
        <f t="shared" si="46"/>
        <v>7382.4</v>
      </c>
      <c r="Q176" s="36">
        <f t="shared" si="44"/>
        <v>7382.4</v>
      </c>
    </row>
    <row r="177" spans="1:17" s="36" customFormat="1" outlineLevel="2" x14ac:dyDescent="0.25">
      <c r="A177" s="270" t="s">
        <v>4480</v>
      </c>
      <c r="B177" s="271" t="s">
        <v>4322</v>
      </c>
      <c r="C177" s="271">
        <v>160311</v>
      </c>
      <c r="D177" s="272" t="s">
        <v>676</v>
      </c>
      <c r="E177" s="271" t="s">
        <v>68</v>
      </c>
      <c r="F177" s="273">
        <v>8</v>
      </c>
      <c r="G177" s="274">
        <v>254.86</v>
      </c>
      <c r="H177" s="275">
        <f>ROUND(G177*ROUND(1+(33.25/100),4),2)</f>
        <v>339.6</v>
      </c>
      <c r="I177" s="275">
        <f>ROUND(ROUND(F177,2)*ROUND(G177,2),2)</f>
        <v>2038.88</v>
      </c>
      <c r="J177" s="276">
        <f>ROUND(ROUND(F177,2)*ROUND(H177,2),2)</f>
        <v>2716.8</v>
      </c>
      <c r="K177" s="155"/>
      <c r="L177" s="40"/>
      <c r="O177" s="561">
        <f t="shared" si="46"/>
        <v>2716.8</v>
      </c>
      <c r="Q177" s="36">
        <f t="shared" si="44"/>
        <v>2716.8</v>
      </c>
    </row>
    <row r="178" spans="1:17" s="36" customFormat="1" ht="22.5" outlineLevel="2" x14ac:dyDescent="0.25">
      <c r="A178" s="270" t="s">
        <v>4481</v>
      </c>
      <c r="B178" s="246" t="s">
        <v>77</v>
      </c>
      <c r="C178" s="246" t="s">
        <v>814</v>
      </c>
      <c r="D178" s="260" t="s">
        <v>815</v>
      </c>
      <c r="E178" s="249" t="s">
        <v>72</v>
      </c>
      <c r="F178" s="250">
        <v>390</v>
      </c>
      <c r="G178" s="254">
        <v>68.64</v>
      </c>
      <c r="H178" s="275">
        <f t="shared" ref="H178:H188" si="58">ROUND(G178*ROUND(1+(33.25/100),4),2)</f>
        <v>91.46</v>
      </c>
      <c r="I178" s="275">
        <f t="shared" ref="I178:I188" si="59">ROUND(ROUND(F178,2)*ROUND(G178,2),2)</f>
        <v>26769.599999999999</v>
      </c>
      <c r="J178" s="276">
        <f t="shared" ref="J178:J188" si="60">ROUND(ROUND(F178,2)*ROUND(H178,2),2)</f>
        <v>35669.4</v>
      </c>
      <c r="K178" s="155"/>
      <c r="L178" s="40"/>
      <c r="O178" s="561">
        <f t="shared" si="46"/>
        <v>35669.4</v>
      </c>
      <c r="Q178" s="36">
        <f t="shared" si="44"/>
        <v>35669.399999999994</v>
      </c>
    </row>
    <row r="179" spans="1:17" s="36" customFormat="1" outlineLevel="2" x14ac:dyDescent="0.25">
      <c r="A179" s="270" t="s">
        <v>4482</v>
      </c>
      <c r="B179" s="246" t="s">
        <v>77</v>
      </c>
      <c r="C179" s="246" t="s">
        <v>817</v>
      </c>
      <c r="D179" s="260" t="s">
        <v>818</v>
      </c>
      <c r="E179" s="249" t="s">
        <v>579</v>
      </c>
      <c r="F179" s="250">
        <v>120</v>
      </c>
      <c r="G179" s="254">
        <v>31.54</v>
      </c>
      <c r="H179" s="275">
        <f t="shared" si="58"/>
        <v>42.03</v>
      </c>
      <c r="I179" s="275">
        <f t="shared" si="59"/>
        <v>3784.8</v>
      </c>
      <c r="J179" s="276">
        <f t="shared" si="60"/>
        <v>5043.6000000000004</v>
      </c>
      <c r="K179" s="155"/>
      <c r="L179" s="40"/>
      <c r="O179" s="561">
        <f t="shared" si="46"/>
        <v>5043.6000000000004</v>
      </c>
      <c r="Q179" s="36">
        <f t="shared" si="44"/>
        <v>5043.6000000000004</v>
      </c>
    </row>
    <row r="180" spans="1:17" s="36" customFormat="1" ht="33.75" outlineLevel="2" x14ac:dyDescent="0.25">
      <c r="A180" s="270" t="s">
        <v>4483</v>
      </c>
      <c r="B180" s="246" t="s">
        <v>77</v>
      </c>
      <c r="C180" s="246" t="s">
        <v>820</v>
      </c>
      <c r="D180" s="260" t="s">
        <v>821</v>
      </c>
      <c r="E180" s="249" t="s">
        <v>579</v>
      </c>
      <c r="F180" s="250">
        <v>120</v>
      </c>
      <c r="G180" s="254">
        <v>42.9</v>
      </c>
      <c r="H180" s="275">
        <f t="shared" si="58"/>
        <v>57.16</v>
      </c>
      <c r="I180" s="275">
        <f t="shared" si="59"/>
        <v>5148</v>
      </c>
      <c r="J180" s="276">
        <f t="shared" si="60"/>
        <v>6859.2</v>
      </c>
      <c r="K180" s="155"/>
      <c r="L180" s="40"/>
      <c r="O180" s="561">
        <f t="shared" si="46"/>
        <v>6859.2</v>
      </c>
      <c r="Q180" s="36">
        <f t="shared" si="44"/>
        <v>6859.2</v>
      </c>
    </row>
    <row r="181" spans="1:17" s="36" customFormat="1" ht="22.5" outlineLevel="2" x14ac:dyDescent="0.25">
      <c r="A181" s="270" t="s">
        <v>4484</v>
      </c>
      <c r="B181" s="246" t="s">
        <v>77</v>
      </c>
      <c r="C181" s="246" t="s">
        <v>823</v>
      </c>
      <c r="D181" s="260" t="s">
        <v>824</v>
      </c>
      <c r="E181" s="249" t="s">
        <v>579</v>
      </c>
      <c r="F181" s="250">
        <v>32</v>
      </c>
      <c r="G181" s="254">
        <v>12.95</v>
      </c>
      <c r="H181" s="275">
        <f t="shared" si="58"/>
        <v>17.260000000000002</v>
      </c>
      <c r="I181" s="275">
        <f t="shared" si="59"/>
        <v>414.4</v>
      </c>
      <c r="J181" s="276">
        <f t="shared" si="60"/>
        <v>552.32000000000005</v>
      </c>
      <c r="K181" s="155"/>
      <c r="L181" s="40"/>
      <c r="O181" s="561">
        <f t="shared" si="46"/>
        <v>552.32000000000005</v>
      </c>
      <c r="Q181" s="36">
        <f t="shared" si="44"/>
        <v>552.32000000000005</v>
      </c>
    </row>
    <row r="182" spans="1:17" s="36" customFormat="1" outlineLevel="2" x14ac:dyDescent="0.25">
      <c r="A182" s="270" t="s">
        <v>4485</v>
      </c>
      <c r="B182" s="246" t="s">
        <v>77</v>
      </c>
      <c r="C182" s="246" t="s">
        <v>826</v>
      </c>
      <c r="D182" s="260" t="s">
        <v>827</v>
      </c>
      <c r="E182" s="249" t="s">
        <v>579</v>
      </c>
      <c r="F182" s="250">
        <v>1</v>
      </c>
      <c r="G182" s="254">
        <v>440.56</v>
      </c>
      <c r="H182" s="275">
        <f t="shared" si="58"/>
        <v>587.04999999999995</v>
      </c>
      <c r="I182" s="275">
        <f t="shared" si="59"/>
        <v>440.56</v>
      </c>
      <c r="J182" s="276">
        <f t="shared" si="60"/>
        <v>587.04999999999995</v>
      </c>
      <c r="K182" s="155"/>
      <c r="L182" s="40"/>
      <c r="O182" s="561">
        <f t="shared" si="46"/>
        <v>587.04999999999995</v>
      </c>
      <c r="Q182" s="36">
        <f t="shared" si="44"/>
        <v>587.04999999999995</v>
      </c>
    </row>
    <row r="183" spans="1:17" s="36" customFormat="1" ht="33.75" outlineLevel="2" x14ac:dyDescent="0.25">
      <c r="A183" s="270" t="s">
        <v>4486</v>
      </c>
      <c r="B183" s="246" t="s">
        <v>77</v>
      </c>
      <c r="C183" s="246" t="s">
        <v>829</v>
      </c>
      <c r="D183" s="260" t="s">
        <v>830</v>
      </c>
      <c r="E183" s="249" t="s">
        <v>579</v>
      </c>
      <c r="F183" s="250">
        <v>4</v>
      </c>
      <c r="G183" s="254">
        <v>76.78</v>
      </c>
      <c r="H183" s="275">
        <f t="shared" si="58"/>
        <v>102.31</v>
      </c>
      <c r="I183" s="275">
        <f t="shared" si="59"/>
        <v>307.12</v>
      </c>
      <c r="J183" s="276">
        <f t="shared" si="60"/>
        <v>409.24</v>
      </c>
      <c r="K183" s="155"/>
      <c r="L183" s="40"/>
      <c r="O183" s="561">
        <f t="shared" si="46"/>
        <v>409.24</v>
      </c>
      <c r="Q183" s="36">
        <f t="shared" si="44"/>
        <v>409.24</v>
      </c>
    </row>
    <row r="184" spans="1:17" s="36" customFormat="1" ht="22.5" outlineLevel="2" x14ac:dyDescent="0.25">
      <c r="A184" s="270" t="s">
        <v>4487</v>
      </c>
      <c r="B184" s="246" t="s">
        <v>77</v>
      </c>
      <c r="C184" s="246" t="s">
        <v>832</v>
      </c>
      <c r="D184" s="260" t="s">
        <v>833</v>
      </c>
      <c r="E184" s="249" t="s">
        <v>579</v>
      </c>
      <c r="F184" s="250">
        <v>4</v>
      </c>
      <c r="G184" s="254">
        <v>741.61</v>
      </c>
      <c r="H184" s="275">
        <f t="shared" si="58"/>
        <v>988.2</v>
      </c>
      <c r="I184" s="275">
        <f t="shared" si="59"/>
        <v>2966.44</v>
      </c>
      <c r="J184" s="276">
        <f t="shared" si="60"/>
        <v>3952.8</v>
      </c>
      <c r="K184" s="155"/>
      <c r="L184" s="40"/>
      <c r="O184" s="561">
        <f t="shared" si="46"/>
        <v>3952.8</v>
      </c>
      <c r="Q184" s="36">
        <f t="shared" si="44"/>
        <v>3952.8</v>
      </c>
    </row>
    <row r="185" spans="1:17" s="36" customFormat="1" outlineLevel="2" x14ac:dyDescent="0.25">
      <c r="A185" s="270" t="s">
        <v>4488</v>
      </c>
      <c r="B185" s="246" t="s">
        <v>77</v>
      </c>
      <c r="C185" s="246" t="s">
        <v>835</v>
      </c>
      <c r="D185" s="260" t="s">
        <v>836</v>
      </c>
      <c r="E185" s="249" t="s">
        <v>579</v>
      </c>
      <c r="F185" s="250">
        <v>4</v>
      </c>
      <c r="G185" s="254">
        <v>28.03</v>
      </c>
      <c r="H185" s="275">
        <f t="shared" si="58"/>
        <v>37.35</v>
      </c>
      <c r="I185" s="275">
        <f t="shared" si="59"/>
        <v>112.12</v>
      </c>
      <c r="J185" s="276">
        <f t="shared" si="60"/>
        <v>149.4</v>
      </c>
      <c r="K185" s="155"/>
      <c r="L185" s="40"/>
      <c r="O185" s="561">
        <f t="shared" si="46"/>
        <v>149.4</v>
      </c>
      <c r="Q185" s="36">
        <f t="shared" si="44"/>
        <v>149.4</v>
      </c>
    </row>
    <row r="186" spans="1:17" s="36" customFormat="1" ht="22.5" outlineLevel="2" x14ac:dyDescent="0.25">
      <c r="A186" s="270" t="s">
        <v>4489</v>
      </c>
      <c r="B186" s="246" t="s">
        <v>77</v>
      </c>
      <c r="C186" s="246" t="s">
        <v>838</v>
      </c>
      <c r="D186" s="260" t="s">
        <v>839</v>
      </c>
      <c r="E186" s="249" t="s">
        <v>579</v>
      </c>
      <c r="F186" s="250">
        <v>4</v>
      </c>
      <c r="G186" s="254">
        <v>77.25</v>
      </c>
      <c r="H186" s="275">
        <f t="shared" si="58"/>
        <v>102.94</v>
      </c>
      <c r="I186" s="275">
        <f t="shared" si="59"/>
        <v>309</v>
      </c>
      <c r="J186" s="276">
        <f t="shared" si="60"/>
        <v>411.76</v>
      </c>
      <c r="K186" s="155"/>
      <c r="L186" s="40"/>
      <c r="O186" s="561">
        <f t="shared" si="46"/>
        <v>411.76</v>
      </c>
      <c r="Q186" s="36">
        <f t="shared" si="44"/>
        <v>411.76</v>
      </c>
    </row>
    <row r="187" spans="1:17" s="36" customFormat="1" ht="33.75" outlineLevel="2" x14ac:dyDescent="0.25">
      <c r="A187" s="270" t="s">
        <v>4490</v>
      </c>
      <c r="B187" s="246" t="s">
        <v>77</v>
      </c>
      <c r="C187" s="246" t="s">
        <v>841</v>
      </c>
      <c r="D187" s="260" t="s">
        <v>842</v>
      </c>
      <c r="E187" s="249" t="s">
        <v>579</v>
      </c>
      <c r="F187" s="250">
        <v>1</v>
      </c>
      <c r="G187" s="254">
        <v>345.88</v>
      </c>
      <c r="H187" s="275">
        <f t="shared" si="58"/>
        <v>460.89</v>
      </c>
      <c r="I187" s="275">
        <f t="shared" si="59"/>
        <v>345.88</v>
      </c>
      <c r="J187" s="276">
        <f t="shared" si="60"/>
        <v>460.89</v>
      </c>
      <c r="K187" s="155"/>
      <c r="L187" s="40">
        <f t="shared" ref="L187:L192" si="61">F187*H187</f>
        <v>460.89</v>
      </c>
      <c r="O187" s="561">
        <f t="shared" si="46"/>
        <v>460.89</v>
      </c>
      <c r="Q187" s="36">
        <f t="shared" si="44"/>
        <v>460.89</v>
      </c>
    </row>
    <row r="188" spans="1:17" s="36" customFormat="1" ht="45" outlineLevel="2" x14ac:dyDescent="0.25">
      <c r="A188" s="270" t="s">
        <v>4491</v>
      </c>
      <c r="B188" s="246" t="s">
        <v>77</v>
      </c>
      <c r="C188" s="246" t="s">
        <v>844</v>
      </c>
      <c r="D188" s="260" t="s">
        <v>845</v>
      </c>
      <c r="E188" s="249" t="s">
        <v>579</v>
      </c>
      <c r="F188" s="250">
        <v>1</v>
      </c>
      <c r="G188" s="254">
        <v>5856.1</v>
      </c>
      <c r="H188" s="275">
        <f t="shared" si="58"/>
        <v>7803.25</v>
      </c>
      <c r="I188" s="275">
        <f t="shared" si="59"/>
        <v>5856.1</v>
      </c>
      <c r="J188" s="276">
        <f t="shared" si="60"/>
        <v>7803.25</v>
      </c>
      <c r="K188" s="155"/>
      <c r="L188" s="40">
        <f t="shared" si="61"/>
        <v>7803.25</v>
      </c>
      <c r="O188" s="561">
        <f t="shared" si="46"/>
        <v>7803.25</v>
      </c>
      <c r="Q188" s="36">
        <f t="shared" si="44"/>
        <v>7803.25</v>
      </c>
    </row>
    <row r="189" spans="1:17" s="311" customFormat="1" outlineLevel="1" x14ac:dyDescent="0.25">
      <c r="A189" s="301" t="s">
        <v>4492</v>
      </c>
      <c r="B189" s="302"/>
      <c r="C189" s="303"/>
      <c r="D189" s="302" t="s">
        <v>14</v>
      </c>
      <c r="E189" s="302"/>
      <c r="F189" s="304"/>
      <c r="G189" s="305"/>
      <c r="H189" s="302"/>
      <c r="I189" s="306">
        <f>ROUND(SUM(I190:I197),2)</f>
        <v>17963.23</v>
      </c>
      <c r="J189" s="307">
        <f>ROUND(SUM(J190:J197),2)</f>
        <v>23936.34</v>
      </c>
      <c r="K189" s="309"/>
      <c r="L189" s="310">
        <f t="shared" si="61"/>
        <v>0</v>
      </c>
      <c r="N189" s="560">
        <f>SUM(J190:J197)</f>
        <v>23936.339999999997</v>
      </c>
      <c r="O189" s="564">
        <f t="shared" si="46"/>
        <v>0</v>
      </c>
      <c r="Q189" s="311">
        <f t="shared" si="44"/>
        <v>0</v>
      </c>
    </row>
    <row r="190" spans="1:17" s="36" customFormat="1" ht="33.75" outlineLevel="2" x14ac:dyDescent="0.25">
      <c r="A190" s="270" t="s">
        <v>4495</v>
      </c>
      <c r="B190" s="271" t="s">
        <v>4322</v>
      </c>
      <c r="C190" s="271">
        <v>160607</v>
      </c>
      <c r="D190" s="272" t="s">
        <v>679</v>
      </c>
      <c r="E190" s="271" t="s">
        <v>68</v>
      </c>
      <c r="F190" s="273">
        <v>7</v>
      </c>
      <c r="G190" s="274">
        <v>179.38</v>
      </c>
      <c r="H190" s="275">
        <f>ROUND(G190*ROUND(1+(33.25/100),4),2)</f>
        <v>239.02</v>
      </c>
      <c r="I190" s="275">
        <f>ROUND(ROUND(F190,2)*ROUND(G190,2),2)</f>
        <v>1255.6600000000001</v>
      </c>
      <c r="J190" s="276">
        <f>ROUND(ROUND(F190,2)*ROUND(H190,2),2)</f>
        <v>1673.14</v>
      </c>
      <c r="K190" s="155"/>
      <c r="L190" s="40">
        <f t="shared" si="61"/>
        <v>1673.14</v>
      </c>
      <c r="O190" s="561">
        <f t="shared" si="46"/>
        <v>1673.14</v>
      </c>
      <c r="Q190" s="36">
        <f t="shared" si="44"/>
        <v>1673.14</v>
      </c>
    </row>
    <row r="191" spans="1:17" s="36" customFormat="1" ht="22.5" outlineLevel="2" x14ac:dyDescent="0.25">
      <c r="A191" s="270" t="s">
        <v>4496</v>
      </c>
      <c r="B191" s="271" t="s">
        <v>82</v>
      </c>
      <c r="C191" s="271">
        <v>101907</v>
      </c>
      <c r="D191" s="272" t="s">
        <v>682</v>
      </c>
      <c r="E191" s="271" t="s">
        <v>226</v>
      </c>
      <c r="F191" s="273">
        <v>1</v>
      </c>
      <c r="G191" s="274">
        <v>751.78</v>
      </c>
      <c r="H191" s="275">
        <f>ROUND(G191*ROUND(1+(33.25/100),4),2)</f>
        <v>1001.75</v>
      </c>
      <c r="I191" s="275">
        <f>ROUND(ROUND(F191,2)*ROUND(G191,2),2)</f>
        <v>751.78</v>
      </c>
      <c r="J191" s="276">
        <f>ROUND(ROUND(F191,2)*ROUND(H191,2),2)</f>
        <v>1001.75</v>
      </c>
      <c r="K191" s="155"/>
      <c r="L191" s="40">
        <f t="shared" si="61"/>
        <v>1001.75</v>
      </c>
      <c r="O191" s="561">
        <f t="shared" si="46"/>
        <v>1001.75</v>
      </c>
      <c r="Q191" s="36">
        <f t="shared" si="44"/>
        <v>1001.75</v>
      </c>
    </row>
    <row r="192" spans="1:17" s="36" customFormat="1" outlineLevel="2" x14ac:dyDescent="0.25">
      <c r="A192" s="270" t="s">
        <v>4497</v>
      </c>
      <c r="B192" s="271" t="s">
        <v>77</v>
      </c>
      <c r="C192" s="271" t="s">
        <v>684</v>
      </c>
      <c r="D192" s="272" t="s">
        <v>685</v>
      </c>
      <c r="E192" s="271" t="s">
        <v>226</v>
      </c>
      <c r="F192" s="273">
        <v>39</v>
      </c>
      <c r="G192" s="274">
        <v>267.31</v>
      </c>
      <c r="H192" s="275">
        <f>ROUND(G192*ROUND(1+(33.25/100),4),2)</f>
        <v>356.19</v>
      </c>
      <c r="I192" s="275">
        <f>ROUND(ROUND(F192,2)*ROUND(G192,2),2)</f>
        <v>10425.09</v>
      </c>
      <c r="J192" s="276">
        <f>ROUND(ROUND(F192,2)*ROUND(H192,2),2)</f>
        <v>13891.41</v>
      </c>
      <c r="K192" s="155"/>
      <c r="L192" s="40">
        <f t="shared" si="61"/>
        <v>13891.41</v>
      </c>
      <c r="O192" s="561">
        <f t="shared" si="46"/>
        <v>13891.41</v>
      </c>
      <c r="Q192" s="36">
        <f t="shared" si="44"/>
        <v>13891.41</v>
      </c>
    </row>
    <row r="193" spans="1:17" s="36" customFormat="1" ht="33.75" outlineLevel="2" x14ac:dyDescent="0.25">
      <c r="A193" s="270" t="s">
        <v>4498</v>
      </c>
      <c r="B193" s="271" t="s">
        <v>4322</v>
      </c>
      <c r="C193" s="271">
        <v>160612</v>
      </c>
      <c r="D193" s="272" t="s">
        <v>688</v>
      </c>
      <c r="E193" s="271" t="s">
        <v>68</v>
      </c>
      <c r="F193" s="273">
        <v>40</v>
      </c>
      <c r="G193" s="274">
        <v>30.24</v>
      </c>
      <c r="H193" s="275">
        <f>ROUND(G193*ROUND(1+(33.25/100),4),2)</f>
        <v>40.29</v>
      </c>
      <c r="I193" s="275">
        <f>ROUND(ROUND(F193,2)*ROUND(G193,2),2)</f>
        <v>1209.5999999999999</v>
      </c>
      <c r="J193" s="276">
        <f>ROUND(ROUND(F193,2)*ROUND(H193,2),2)</f>
        <v>1611.6</v>
      </c>
      <c r="K193" s="155"/>
      <c r="L193" s="40"/>
      <c r="O193" s="561">
        <f t="shared" si="46"/>
        <v>1611.6</v>
      </c>
      <c r="Q193" s="36">
        <f t="shared" si="44"/>
        <v>1611.6</v>
      </c>
    </row>
    <row r="194" spans="1:17" s="36" customFormat="1" ht="33.75" outlineLevel="2" x14ac:dyDescent="0.25">
      <c r="A194" s="270" t="s">
        <v>4499</v>
      </c>
      <c r="B194" s="246" t="s">
        <v>77</v>
      </c>
      <c r="C194" s="246" t="s">
        <v>847</v>
      </c>
      <c r="D194" s="260" t="s">
        <v>848</v>
      </c>
      <c r="E194" s="249" t="s">
        <v>226</v>
      </c>
      <c r="F194" s="250">
        <v>12</v>
      </c>
      <c r="G194" s="254">
        <v>160.22</v>
      </c>
      <c r="H194" s="275">
        <f t="shared" ref="H194:H197" si="62">ROUND(G194*ROUND(1+(33.25/100),4),2)</f>
        <v>213.49</v>
      </c>
      <c r="I194" s="275">
        <f t="shared" ref="I194:I197" si="63">ROUND(ROUND(F194,2)*ROUND(G194,2),2)</f>
        <v>1922.64</v>
      </c>
      <c r="J194" s="276">
        <f t="shared" ref="J194:J197" si="64">ROUND(ROUND(F194,2)*ROUND(H194,2),2)</f>
        <v>2561.88</v>
      </c>
      <c r="K194" s="155"/>
      <c r="L194" s="40"/>
      <c r="O194" s="561">
        <f t="shared" si="46"/>
        <v>2561.88</v>
      </c>
      <c r="Q194" s="36">
        <f t="shared" si="44"/>
        <v>2561.88</v>
      </c>
    </row>
    <row r="195" spans="1:17" s="36" customFormat="1" ht="22.5" outlineLevel="2" x14ac:dyDescent="0.25">
      <c r="A195" s="270" t="s">
        <v>4500</v>
      </c>
      <c r="B195" s="271" t="s">
        <v>4322</v>
      </c>
      <c r="C195" s="246" t="s">
        <v>850</v>
      </c>
      <c r="D195" s="260" t="s">
        <v>851</v>
      </c>
      <c r="E195" s="249" t="s">
        <v>68</v>
      </c>
      <c r="F195" s="250">
        <v>1</v>
      </c>
      <c r="G195" s="254">
        <v>95.12</v>
      </c>
      <c r="H195" s="275">
        <f t="shared" si="62"/>
        <v>126.75</v>
      </c>
      <c r="I195" s="275">
        <f t="shared" si="63"/>
        <v>95.12</v>
      </c>
      <c r="J195" s="276">
        <f t="shared" si="64"/>
        <v>126.75</v>
      </c>
      <c r="K195" s="155"/>
      <c r="L195" s="40"/>
      <c r="O195" s="561">
        <f t="shared" si="46"/>
        <v>126.75</v>
      </c>
      <c r="Q195" s="36">
        <f t="shared" si="44"/>
        <v>126.75</v>
      </c>
    </row>
    <row r="196" spans="1:17" s="36" customFormat="1" ht="22.5" outlineLevel="2" x14ac:dyDescent="0.25">
      <c r="A196" s="270" t="s">
        <v>4501</v>
      </c>
      <c r="B196" s="246" t="s">
        <v>77</v>
      </c>
      <c r="C196" s="246" t="s">
        <v>853</v>
      </c>
      <c r="D196" s="260" t="s">
        <v>854</v>
      </c>
      <c r="E196" s="249" t="s">
        <v>226</v>
      </c>
      <c r="F196" s="250">
        <v>1</v>
      </c>
      <c r="G196" s="254">
        <v>651.94000000000005</v>
      </c>
      <c r="H196" s="275">
        <f t="shared" si="62"/>
        <v>868.71</v>
      </c>
      <c r="I196" s="275">
        <f t="shared" si="63"/>
        <v>651.94000000000005</v>
      </c>
      <c r="J196" s="276">
        <f t="shared" si="64"/>
        <v>868.71</v>
      </c>
      <c r="K196" s="155"/>
      <c r="L196" s="40"/>
      <c r="O196" s="561">
        <f t="shared" si="46"/>
        <v>868.71</v>
      </c>
      <c r="Q196" s="36">
        <f t="shared" si="44"/>
        <v>868.71</v>
      </c>
    </row>
    <row r="197" spans="1:17" s="36" customFormat="1" ht="45" outlineLevel="2" x14ac:dyDescent="0.25">
      <c r="A197" s="270" t="s">
        <v>4502</v>
      </c>
      <c r="B197" s="246" t="s">
        <v>77</v>
      </c>
      <c r="C197" s="246" t="s">
        <v>856</v>
      </c>
      <c r="D197" s="260" t="s">
        <v>857</v>
      </c>
      <c r="E197" s="249" t="s">
        <v>188</v>
      </c>
      <c r="F197" s="250">
        <v>230</v>
      </c>
      <c r="G197" s="254">
        <v>7.18</v>
      </c>
      <c r="H197" s="275">
        <f t="shared" si="62"/>
        <v>9.57</v>
      </c>
      <c r="I197" s="275">
        <f t="shared" si="63"/>
        <v>1651.4</v>
      </c>
      <c r="J197" s="276">
        <f t="shared" si="64"/>
        <v>2201.1</v>
      </c>
      <c r="K197" s="155"/>
      <c r="L197" s="40"/>
      <c r="O197" s="561">
        <f t="shared" si="46"/>
        <v>2201.1</v>
      </c>
      <c r="Q197" s="36">
        <f t="shared" si="44"/>
        <v>2201.1</v>
      </c>
    </row>
    <row r="198" spans="1:17" s="311" customFormat="1" outlineLevel="1" x14ac:dyDescent="0.25">
      <c r="A198" s="301" t="s">
        <v>4493</v>
      </c>
      <c r="B198" s="302"/>
      <c r="C198" s="303"/>
      <c r="D198" s="302" t="s">
        <v>8</v>
      </c>
      <c r="E198" s="302"/>
      <c r="F198" s="304"/>
      <c r="G198" s="305"/>
      <c r="H198" s="302"/>
      <c r="I198" s="306">
        <f>ROUND(SUM(I199:I209),2)</f>
        <v>58998.74</v>
      </c>
      <c r="J198" s="307">
        <f>ROUND(SUM(J199:J209),2)</f>
        <v>78615.789999999994</v>
      </c>
      <c r="K198" s="309"/>
      <c r="L198" s="310">
        <f>F198*H198</f>
        <v>0</v>
      </c>
      <c r="N198" s="560">
        <f>SUM(J199:J209)</f>
        <v>78615.790000000008</v>
      </c>
      <c r="O198" s="564">
        <f t="shared" si="46"/>
        <v>0</v>
      </c>
      <c r="Q198" s="311">
        <f t="shared" si="44"/>
        <v>0</v>
      </c>
    </row>
    <row r="199" spans="1:17" s="36" customFormat="1" ht="22.5" outlineLevel="2" x14ac:dyDescent="0.25">
      <c r="A199" s="270" t="s">
        <v>4504</v>
      </c>
      <c r="B199" s="271" t="s">
        <v>82</v>
      </c>
      <c r="C199" s="271">
        <v>103276</v>
      </c>
      <c r="D199" s="272" t="s">
        <v>627</v>
      </c>
      <c r="E199" s="271" t="s">
        <v>226</v>
      </c>
      <c r="F199" s="273">
        <v>2</v>
      </c>
      <c r="G199" s="274">
        <v>13493.64</v>
      </c>
      <c r="H199" s="275">
        <f>ROUND(G199*ROUND(1+(33.25/100),4),2)</f>
        <v>17980.28</v>
      </c>
      <c r="I199" s="275">
        <f>ROUND(ROUND(F199,2)*ROUND(G199,2),2)</f>
        <v>26987.279999999999</v>
      </c>
      <c r="J199" s="276">
        <f>ROUND(ROUND(F199,2)*ROUND(H199,2),2)</f>
        <v>35960.559999999998</v>
      </c>
      <c r="K199" s="155"/>
      <c r="L199" s="40">
        <f>F199*H199</f>
        <v>35960.559999999998</v>
      </c>
      <c r="O199" s="561">
        <f t="shared" si="46"/>
        <v>35960.559999999998</v>
      </c>
      <c r="Q199" s="36">
        <f t="shared" ref="Q199:Q262" si="65">F199*H199</f>
        <v>35960.559999999998</v>
      </c>
    </row>
    <row r="200" spans="1:17" s="36" customFormat="1" ht="22.5" outlineLevel="2" x14ac:dyDescent="0.25">
      <c r="A200" s="270" t="s">
        <v>4505</v>
      </c>
      <c r="B200" s="271" t="s">
        <v>82</v>
      </c>
      <c r="C200" s="271" t="s">
        <v>629</v>
      </c>
      <c r="D200" s="272" t="s">
        <v>630</v>
      </c>
      <c r="E200" s="271" t="s">
        <v>226</v>
      </c>
      <c r="F200" s="273">
        <v>1</v>
      </c>
      <c r="G200" s="274">
        <v>16427.68</v>
      </c>
      <c r="H200" s="275">
        <f>ROUND(G200*ROUND(1+(33.25/100),4),2)</f>
        <v>21889.88</v>
      </c>
      <c r="I200" s="275">
        <f>ROUND(ROUND(F200,2)*ROUND(G200,2),2)</f>
        <v>16427.68</v>
      </c>
      <c r="J200" s="276">
        <f>ROUND(ROUND(F200,2)*ROUND(H200,2),2)</f>
        <v>21889.88</v>
      </c>
      <c r="K200" s="155"/>
      <c r="L200" s="40">
        <f>F200*H200</f>
        <v>21889.88</v>
      </c>
      <c r="O200" s="561">
        <f t="shared" ref="O200:O263" si="66">J200-N200</f>
        <v>21889.88</v>
      </c>
      <c r="Q200" s="36">
        <f t="shared" si="65"/>
        <v>21889.88</v>
      </c>
    </row>
    <row r="201" spans="1:17" s="36" customFormat="1" ht="22.5" outlineLevel="2" x14ac:dyDescent="0.25">
      <c r="A201" s="270" t="s">
        <v>4506</v>
      </c>
      <c r="B201" s="271" t="s">
        <v>82</v>
      </c>
      <c r="C201" s="271">
        <v>103253</v>
      </c>
      <c r="D201" s="272" t="s">
        <v>633</v>
      </c>
      <c r="E201" s="271" t="s">
        <v>226</v>
      </c>
      <c r="F201" s="273">
        <v>1</v>
      </c>
      <c r="G201" s="274">
        <v>5051.4399999999996</v>
      </c>
      <c r="H201" s="275">
        <f>ROUND(G201*ROUND(1+(33.25/100),4),2)</f>
        <v>6731.04</v>
      </c>
      <c r="I201" s="275">
        <f>ROUND(ROUND(F201,2)*ROUND(G201,2),2)</f>
        <v>5051.4399999999996</v>
      </c>
      <c r="J201" s="276">
        <f>ROUND(ROUND(F201,2)*ROUND(H201,2),2)</f>
        <v>6731.04</v>
      </c>
      <c r="K201" s="155"/>
      <c r="L201" s="40">
        <f>F201*H201</f>
        <v>6731.04</v>
      </c>
      <c r="O201" s="561">
        <f t="shared" si="66"/>
        <v>6731.04</v>
      </c>
      <c r="Q201" s="36">
        <f t="shared" si="65"/>
        <v>6731.04</v>
      </c>
    </row>
    <row r="202" spans="1:17" s="36" customFormat="1" ht="22.5" outlineLevel="2" x14ac:dyDescent="0.25">
      <c r="A202" s="270" t="s">
        <v>4507</v>
      </c>
      <c r="B202" s="271" t="s">
        <v>77</v>
      </c>
      <c r="C202" s="271" t="s">
        <v>635</v>
      </c>
      <c r="D202" s="272" t="s">
        <v>636</v>
      </c>
      <c r="E202" s="271" t="s">
        <v>226</v>
      </c>
      <c r="F202" s="273">
        <v>2</v>
      </c>
      <c r="G202" s="274">
        <v>750.01</v>
      </c>
      <c r="H202" s="275">
        <f>ROUND(G202*ROUND(1+(33.25/100),4),2)</f>
        <v>999.39</v>
      </c>
      <c r="I202" s="275">
        <f>ROUND(ROUND(F202,2)*ROUND(G202,2),2)</f>
        <v>1500.02</v>
      </c>
      <c r="J202" s="276">
        <f>ROUND(ROUND(F202,2)*ROUND(H202,2),2)</f>
        <v>1998.78</v>
      </c>
      <c r="K202" s="155"/>
      <c r="L202" s="40">
        <f>F202*H202</f>
        <v>1998.78</v>
      </c>
      <c r="O202" s="561">
        <f t="shared" si="66"/>
        <v>1998.78</v>
      </c>
      <c r="Q202" s="36">
        <f t="shared" si="65"/>
        <v>1998.78</v>
      </c>
    </row>
    <row r="203" spans="1:17" s="36" customFormat="1" ht="45" outlineLevel="2" x14ac:dyDescent="0.25">
      <c r="A203" s="270" t="s">
        <v>4508</v>
      </c>
      <c r="B203" s="271" t="s">
        <v>4322</v>
      </c>
      <c r="C203" s="271">
        <v>161016</v>
      </c>
      <c r="D203" s="272" t="s">
        <v>639</v>
      </c>
      <c r="E203" s="271" t="s">
        <v>72</v>
      </c>
      <c r="F203" s="273">
        <v>22.57</v>
      </c>
      <c r="G203" s="274">
        <v>71.099999999999994</v>
      </c>
      <c r="H203" s="275">
        <f>ROUND(G203*ROUND(1+(33.25/100),4),2)</f>
        <v>94.74</v>
      </c>
      <c r="I203" s="275">
        <f>ROUND(ROUND(F203,2)*ROUND(G203,2),2)</f>
        <v>1604.73</v>
      </c>
      <c r="J203" s="276">
        <f>ROUND(ROUND(F203,2)*ROUND(H203,2),2)</f>
        <v>2138.2800000000002</v>
      </c>
      <c r="K203" s="155"/>
      <c r="L203" s="40">
        <f t="shared" ref="L203" si="67">F203*H203</f>
        <v>2138.2817999999997</v>
      </c>
      <c r="O203" s="561">
        <f t="shared" si="66"/>
        <v>2138.2800000000002</v>
      </c>
      <c r="Q203" s="36">
        <f t="shared" si="65"/>
        <v>2138.2817999999997</v>
      </c>
    </row>
    <row r="204" spans="1:17" ht="45" outlineLevel="2" x14ac:dyDescent="0.25">
      <c r="A204" s="270" t="s">
        <v>4509</v>
      </c>
      <c r="B204" s="271" t="s">
        <v>4322</v>
      </c>
      <c r="C204" s="246" t="s">
        <v>935</v>
      </c>
      <c r="D204" s="260" t="s">
        <v>936</v>
      </c>
      <c r="E204" s="249" t="s">
        <v>72</v>
      </c>
      <c r="F204" s="250">
        <v>32</v>
      </c>
      <c r="G204" s="254">
        <v>24.53</v>
      </c>
      <c r="H204" s="275">
        <f t="shared" ref="H204:H209" si="68">ROUND(G204*ROUND(1+(33.25/100),4),2)</f>
        <v>32.69</v>
      </c>
      <c r="I204" s="275">
        <f t="shared" ref="I204:I209" si="69">ROUND(ROUND(F204,2)*ROUND(G204,2),2)</f>
        <v>784.96</v>
      </c>
      <c r="J204" s="276">
        <f t="shared" ref="J204:J209" si="70">ROUND(ROUND(F204,2)*ROUND(H204,2),2)</f>
        <v>1046.08</v>
      </c>
      <c r="K204" s="154"/>
      <c r="L204" s="40">
        <f t="shared" ref="L204:L209" si="71">F204*H204</f>
        <v>1046.08</v>
      </c>
      <c r="O204" s="566">
        <f t="shared" si="66"/>
        <v>1046.08</v>
      </c>
      <c r="Q204">
        <f t="shared" si="65"/>
        <v>1046.08</v>
      </c>
    </row>
    <row r="205" spans="1:17" ht="45" outlineLevel="2" x14ac:dyDescent="0.25">
      <c r="A205" s="270" t="s">
        <v>4510</v>
      </c>
      <c r="B205" s="271" t="s">
        <v>4322</v>
      </c>
      <c r="C205" s="246" t="s">
        <v>938</v>
      </c>
      <c r="D205" s="260" t="s">
        <v>939</v>
      </c>
      <c r="E205" s="249" t="s">
        <v>72</v>
      </c>
      <c r="F205" s="250">
        <v>39</v>
      </c>
      <c r="G205" s="254">
        <v>33.74</v>
      </c>
      <c r="H205" s="275">
        <f t="shared" si="68"/>
        <v>44.96</v>
      </c>
      <c r="I205" s="275">
        <f t="shared" si="69"/>
        <v>1315.86</v>
      </c>
      <c r="J205" s="276">
        <f t="shared" si="70"/>
        <v>1753.44</v>
      </c>
      <c r="K205" s="154"/>
      <c r="L205" s="40">
        <f t="shared" si="71"/>
        <v>1753.44</v>
      </c>
      <c r="O205" s="566">
        <f t="shared" si="66"/>
        <v>1753.44</v>
      </c>
      <c r="Q205">
        <f t="shared" si="65"/>
        <v>1753.44</v>
      </c>
    </row>
    <row r="206" spans="1:17" ht="45" outlineLevel="2" x14ac:dyDescent="0.25">
      <c r="A206" s="270" t="s">
        <v>4511</v>
      </c>
      <c r="B206" s="271" t="s">
        <v>4322</v>
      </c>
      <c r="C206" s="246" t="s">
        <v>941</v>
      </c>
      <c r="D206" s="260" t="s">
        <v>942</v>
      </c>
      <c r="E206" s="249" t="s">
        <v>72</v>
      </c>
      <c r="F206" s="250">
        <v>36</v>
      </c>
      <c r="G206" s="254">
        <v>42.48</v>
      </c>
      <c r="H206" s="275">
        <f t="shared" si="68"/>
        <v>56.6</v>
      </c>
      <c r="I206" s="275">
        <f t="shared" si="69"/>
        <v>1529.28</v>
      </c>
      <c r="J206" s="276">
        <f t="shared" si="70"/>
        <v>2037.6</v>
      </c>
      <c r="K206" s="154"/>
      <c r="L206" s="40">
        <f t="shared" si="71"/>
        <v>2037.6000000000001</v>
      </c>
      <c r="O206" s="566">
        <f t="shared" si="66"/>
        <v>2037.6</v>
      </c>
      <c r="Q206">
        <f t="shared" si="65"/>
        <v>2037.6000000000001</v>
      </c>
    </row>
    <row r="207" spans="1:17" outlineLevel="2" x14ac:dyDescent="0.25">
      <c r="A207" s="270" t="s">
        <v>4512</v>
      </c>
      <c r="B207" s="271" t="s">
        <v>4322</v>
      </c>
      <c r="C207" s="246" t="s">
        <v>944</v>
      </c>
      <c r="D207" s="260" t="s">
        <v>945</v>
      </c>
      <c r="E207" s="249" t="s">
        <v>786</v>
      </c>
      <c r="F207" s="250">
        <v>9</v>
      </c>
      <c r="G207" s="254">
        <v>114.68</v>
      </c>
      <c r="H207" s="275">
        <f t="shared" si="68"/>
        <v>152.81</v>
      </c>
      <c r="I207" s="275">
        <f t="shared" si="69"/>
        <v>1032.1199999999999</v>
      </c>
      <c r="J207" s="276">
        <f t="shared" si="70"/>
        <v>1375.29</v>
      </c>
      <c r="K207" s="154"/>
      <c r="L207" s="40">
        <f t="shared" si="71"/>
        <v>1375.29</v>
      </c>
      <c r="O207" s="566">
        <f t="shared" si="66"/>
        <v>1375.29</v>
      </c>
      <c r="Q207">
        <f t="shared" si="65"/>
        <v>1375.29</v>
      </c>
    </row>
    <row r="208" spans="1:17" ht="33.75" outlineLevel="2" x14ac:dyDescent="0.25">
      <c r="A208" s="270" t="s">
        <v>4513</v>
      </c>
      <c r="B208" s="246" t="s">
        <v>77</v>
      </c>
      <c r="C208" s="246" t="s">
        <v>947</v>
      </c>
      <c r="D208" s="260" t="s">
        <v>948</v>
      </c>
      <c r="E208" s="249" t="s">
        <v>579</v>
      </c>
      <c r="F208" s="250">
        <v>16</v>
      </c>
      <c r="G208" s="254">
        <v>72.540000000000006</v>
      </c>
      <c r="H208" s="275">
        <f t="shared" si="68"/>
        <v>96.66</v>
      </c>
      <c r="I208" s="275">
        <f t="shared" si="69"/>
        <v>1160.6400000000001</v>
      </c>
      <c r="J208" s="276">
        <f t="shared" si="70"/>
        <v>1546.56</v>
      </c>
      <c r="K208" s="154"/>
      <c r="L208" s="40">
        <f t="shared" si="71"/>
        <v>1546.56</v>
      </c>
      <c r="O208" s="566">
        <f t="shared" si="66"/>
        <v>1546.56</v>
      </c>
      <c r="Q208">
        <f t="shared" si="65"/>
        <v>1546.56</v>
      </c>
    </row>
    <row r="209" spans="1:17" s="36" customFormat="1" ht="45" outlineLevel="2" x14ac:dyDescent="0.25">
      <c r="A209" s="270" t="s">
        <v>4514</v>
      </c>
      <c r="B209" s="271" t="s">
        <v>4322</v>
      </c>
      <c r="C209" s="271">
        <v>161016</v>
      </c>
      <c r="D209" s="272" t="s">
        <v>639</v>
      </c>
      <c r="E209" s="271" t="s">
        <v>72</v>
      </c>
      <c r="F209" s="273">
        <v>22.57</v>
      </c>
      <c r="G209" s="274">
        <v>71.099999999999994</v>
      </c>
      <c r="H209" s="275">
        <f t="shared" si="68"/>
        <v>94.74</v>
      </c>
      <c r="I209" s="275">
        <f t="shared" si="69"/>
        <v>1604.73</v>
      </c>
      <c r="J209" s="276">
        <f t="shared" si="70"/>
        <v>2138.2800000000002</v>
      </c>
      <c r="K209" s="155"/>
      <c r="L209" s="40">
        <f t="shared" si="71"/>
        <v>2138.2817999999997</v>
      </c>
      <c r="O209" s="561">
        <f t="shared" si="66"/>
        <v>2138.2800000000002</v>
      </c>
      <c r="Q209" s="36">
        <f t="shared" si="65"/>
        <v>2138.2817999999997</v>
      </c>
    </row>
    <row r="210" spans="1:17" s="311" customFormat="1" outlineLevel="1" x14ac:dyDescent="0.25">
      <c r="A210" s="301" t="s">
        <v>4503</v>
      </c>
      <c r="B210" s="302"/>
      <c r="C210" s="308"/>
      <c r="D210" s="302" t="s">
        <v>4494</v>
      </c>
      <c r="E210" s="302"/>
      <c r="F210" s="304"/>
      <c r="G210" s="305"/>
      <c r="H210" s="302"/>
      <c r="I210" s="306">
        <f>ROUND(I211+I233+I237+I240+I247+I255+I265+I273+I286+I289+I302+I309+I315+I323,2)</f>
        <v>2486835.6800000002</v>
      </c>
      <c r="J210" s="307">
        <f>ROUND(J211+J233+J237+J240+J247+J255+J265+J273+J286+J289+J302+J309+J315+J323,2)</f>
        <v>3313687.77</v>
      </c>
      <c r="K210" s="309"/>
      <c r="L210" s="310">
        <f t="shared" si="25"/>
        <v>0</v>
      </c>
      <c r="O210" s="564">
        <f t="shared" si="66"/>
        <v>3313687.77</v>
      </c>
      <c r="Q210" s="311">
        <f t="shared" si="65"/>
        <v>0</v>
      </c>
    </row>
    <row r="211" spans="1:17" s="36" customFormat="1" outlineLevel="2" x14ac:dyDescent="0.25">
      <c r="A211" s="288" t="s">
        <v>4516</v>
      </c>
      <c r="B211" s="289"/>
      <c r="C211" s="271"/>
      <c r="D211" s="289" t="s">
        <v>319</v>
      </c>
      <c r="E211" s="289"/>
      <c r="F211" s="290"/>
      <c r="G211" s="291"/>
      <c r="H211" s="289"/>
      <c r="I211" s="292">
        <f>ROUND(SUM(I212:I232),2)</f>
        <v>358939.08</v>
      </c>
      <c r="J211" s="293">
        <f>ROUND(SUM(J212:J232),2)</f>
        <v>478279.41</v>
      </c>
      <c r="K211" s="155"/>
      <c r="L211" s="40">
        <f t="shared" si="25"/>
        <v>0</v>
      </c>
      <c r="N211" s="559">
        <f>SUM(J212:J232)</f>
        <v>478279.41</v>
      </c>
      <c r="O211" s="561">
        <f t="shared" si="66"/>
        <v>0</v>
      </c>
      <c r="Q211" s="36">
        <f t="shared" si="65"/>
        <v>0</v>
      </c>
    </row>
    <row r="212" spans="1:17" s="36" customFormat="1" outlineLevel="3" x14ac:dyDescent="0.25">
      <c r="A212" s="270" t="s">
        <v>4517</v>
      </c>
      <c r="B212" s="271" t="s">
        <v>4322</v>
      </c>
      <c r="C212" s="271">
        <v>10230</v>
      </c>
      <c r="D212" s="272" t="s">
        <v>322</v>
      </c>
      <c r="E212" s="271" t="s">
        <v>54</v>
      </c>
      <c r="F212" s="273">
        <v>96.02</v>
      </c>
      <c r="G212" s="274">
        <v>9.4499999999999993</v>
      </c>
      <c r="H212" s="275">
        <f t="shared" ref="H212:H232" si="72">ROUND(G212*ROUND(1+(33.25/100),4),2)</f>
        <v>12.59</v>
      </c>
      <c r="I212" s="275">
        <f t="shared" ref="I212:I232" si="73">ROUND(ROUND(F212,2)*ROUND(G212,2),2)</f>
        <v>907.39</v>
      </c>
      <c r="J212" s="276">
        <f t="shared" ref="J212:J232" si="74">ROUND(ROUND(F212,2)*ROUND(H212,2),2)</f>
        <v>1208.8900000000001</v>
      </c>
      <c r="K212" s="155"/>
      <c r="L212" s="40">
        <f t="shared" si="25"/>
        <v>1208.8917999999999</v>
      </c>
      <c r="O212" s="561">
        <f t="shared" si="66"/>
        <v>1208.8900000000001</v>
      </c>
      <c r="Q212" s="36">
        <f t="shared" si="65"/>
        <v>1208.8917999999999</v>
      </c>
    </row>
    <row r="213" spans="1:17" s="36" customFormat="1" ht="22.5" outlineLevel="3" x14ac:dyDescent="0.25">
      <c r="A213" s="270" t="s">
        <v>4518</v>
      </c>
      <c r="B213" s="271" t="s">
        <v>4322</v>
      </c>
      <c r="C213" s="271">
        <v>10208</v>
      </c>
      <c r="D213" s="272" t="s">
        <v>325</v>
      </c>
      <c r="E213" s="271" t="s">
        <v>54</v>
      </c>
      <c r="F213" s="273">
        <v>224.05</v>
      </c>
      <c r="G213" s="274">
        <v>10.73</v>
      </c>
      <c r="H213" s="275">
        <f t="shared" si="72"/>
        <v>14.3</v>
      </c>
      <c r="I213" s="275">
        <f t="shared" si="73"/>
        <v>2404.06</v>
      </c>
      <c r="J213" s="276">
        <f t="shared" si="74"/>
        <v>3203.92</v>
      </c>
      <c r="K213" s="155"/>
      <c r="L213" s="40">
        <f t="shared" si="25"/>
        <v>3203.9150000000004</v>
      </c>
      <c r="O213" s="561">
        <f t="shared" si="66"/>
        <v>3203.92</v>
      </c>
      <c r="Q213" s="36">
        <f t="shared" si="65"/>
        <v>3203.9150000000004</v>
      </c>
    </row>
    <row r="214" spans="1:17" s="36" customFormat="1" ht="33.75" outlineLevel="3" x14ac:dyDescent="0.25">
      <c r="A214" s="270" t="s">
        <v>4519</v>
      </c>
      <c r="B214" s="271" t="s">
        <v>4322</v>
      </c>
      <c r="C214" s="271" t="s">
        <v>766</v>
      </c>
      <c r="D214" s="255" t="s">
        <v>767</v>
      </c>
      <c r="E214" s="249" t="s">
        <v>54</v>
      </c>
      <c r="F214" s="250">
        <v>180</v>
      </c>
      <c r="G214" s="254">
        <v>164.77</v>
      </c>
      <c r="H214" s="275">
        <f t="shared" si="72"/>
        <v>219.56</v>
      </c>
      <c r="I214" s="275">
        <f t="shared" si="73"/>
        <v>29658.6</v>
      </c>
      <c r="J214" s="276">
        <f t="shared" si="74"/>
        <v>39520.800000000003</v>
      </c>
      <c r="K214" s="155"/>
      <c r="L214" s="40"/>
      <c r="O214" s="561">
        <f t="shared" si="66"/>
        <v>39520.800000000003</v>
      </c>
      <c r="Q214" s="36">
        <f t="shared" si="65"/>
        <v>39520.800000000003</v>
      </c>
    </row>
    <row r="215" spans="1:17" s="36" customFormat="1" ht="22.5" outlineLevel="3" x14ac:dyDescent="0.25">
      <c r="A215" s="270" t="s">
        <v>4520</v>
      </c>
      <c r="B215" s="271" t="s">
        <v>4322</v>
      </c>
      <c r="C215" s="271" t="s">
        <v>769</v>
      </c>
      <c r="D215" s="109" t="s">
        <v>770</v>
      </c>
      <c r="E215" s="249" t="s">
        <v>54</v>
      </c>
      <c r="F215" s="250">
        <v>3071.79</v>
      </c>
      <c r="G215" s="254">
        <v>19.920000000000002</v>
      </c>
      <c r="H215" s="275">
        <f t="shared" si="72"/>
        <v>26.54</v>
      </c>
      <c r="I215" s="275">
        <f t="shared" si="73"/>
        <v>61190.06</v>
      </c>
      <c r="J215" s="276">
        <f t="shared" si="74"/>
        <v>81525.31</v>
      </c>
      <c r="K215" s="155"/>
      <c r="L215" s="40"/>
      <c r="O215" s="561">
        <f t="shared" si="66"/>
        <v>81525.31</v>
      </c>
      <c r="Q215" s="36">
        <f t="shared" si="65"/>
        <v>81525.306599999996</v>
      </c>
    </row>
    <row r="216" spans="1:17" s="36" customFormat="1" ht="22.5" outlineLevel="3" x14ac:dyDescent="0.25">
      <c r="A216" s="270" t="s">
        <v>4521</v>
      </c>
      <c r="B216" s="271" t="s">
        <v>4322</v>
      </c>
      <c r="C216" s="271" t="s">
        <v>775</v>
      </c>
      <c r="D216" s="260" t="s">
        <v>776</v>
      </c>
      <c r="E216" s="249" t="s">
        <v>54</v>
      </c>
      <c r="F216" s="250">
        <v>180</v>
      </c>
      <c r="G216" s="254">
        <v>87.57</v>
      </c>
      <c r="H216" s="275">
        <f t="shared" si="72"/>
        <v>116.69</v>
      </c>
      <c r="I216" s="275">
        <f t="shared" si="73"/>
        <v>15762.6</v>
      </c>
      <c r="J216" s="276">
        <f t="shared" si="74"/>
        <v>21004.2</v>
      </c>
      <c r="K216" s="155"/>
      <c r="L216" s="40"/>
      <c r="O216" s="561">
        <f t="shared" si="66"/>
        <v>21004.2</v>
      </c>
      <c r="Q216" s="36">
        <f t="shared" si="65"/>
        <v>21004.2</v>
      </c>
    </row>
    <row r="217" spans="1:17" s="36" customFormat="1" ht="45" outlineLevel="3" x14ac:dyDescent="0.25">
      <c r="A217" s="270" t="s">
        <v>4522</v>
      </c>
      <c r="B217" s="271" t="s">
        <v>4322</v>
      </c>
      <c r="C217" s="271" t="s">
        <v>778</v>
      </c>
      <c r="D217" s="260" t="s">
        <v>779</v>
      </c>
      <c r="E217" s="249" t="s">
        <v>54</v>
      </c>
      <c r="F217" s="250">
        <v>180</v>
      </c>
      <c r="G217" s="254">
        <v>29.52</v>
      </c>
      <c r="H217" s="275">
        <f t="shared" si="72"/>
        <v>39.340000000000003</v>
      </c>
      <c r="I217" s="275">
        <f t="shared" si="73"/>
        <v>5313.6</v>
      </c>
      <c r="J217" s="276">
        <f t="shared" si="74"/>
        <v>7081.2</v>
      </c>
      <c r="K217" s="155"/>
      <c r="L217" s="40"/>
      <c r="O217" s="561">
        <f t="shared" si="66"/>
        <v>7081.2</v>
      </c>
      <c r="Q217" s="36">
        <f t="shared" si="65"/>
        <v>7081.2000000000007</v>
      </c>
    </row>
    <row r="218" spans="1:17" s="36" customFormat="1" ht="22.5" outlineLevel="3" x14ac:dyDescent="0.25">
      <c r="A218" s="270" t="s">
        <v>4523</v>
      </c>
      <c r="B218" s="271" t="s">
        <v>4322</v>
      </c>
      <c r="C218" s="271" t="s">
        <v>781</v>
      </c>
      <c r="D218" s="260" t="s">
        <v>782</v>
      </c>
      <c r="E218" s="249" t="s">
        <v>54</v>
      </c>
      <c r="F218" s="250">
        <v>180</v>
      </c>
      <c r="G218" s="254">
        <v>78.25</v>
      </c>
      <c r="H218" s="275">
        <f t="shared" si="72"/>
        <v>104.27</v>
      </c>
      <c r="I218" s="275">
        <f t="shared" si="73"/>
        <v>14085</v>
      </c>
      <c r="J218" s="276">
        <f t="shared" si="74"/>
        <v>18768.599999999999</v>
      </c>
      <c r="K218" s="155"/>
      <c r="L218" s="40"/>
      <c r="O218" s="561">
        <f t="shared" si="66"/>
        <v>18768.599999999999</v>
      </c>
      <c r="Q218" s="36">
        <f t="shared" si="65"/>
        <v>18768.599999999999</v>
      </c>
    </row>
    <row r="219" spans="1:17" s="36" customFormat="1" ht="22.5" outlineLevel="3" x14ac:dyDescent="0.25">
      <c r="A219" s="270" t="s">
        <v>4524</v>
      </c>
      <c r="B219" s="271" t="s">
        <v>4322</v>
      </c>
      <c r="C219" s="271" t="s">
        <v>784</v>
      </c>
      <c r="D219" s="260" t="s">
        <v>785</v>
      </c>
      <c r="E219" s="249" t="s">
        <v>786</v>
      </c>
      <c r="F219" s="250">
        <v>96</v>
      </c>
      <c r="G219" s="254">
        <v>5.75</v>
      </c>
      <c r="H219" s="275">
        <f t="shared" si="72"/>
        <v>7.66</v>
      </c>
      <c r="I219" s="275">
        <f t="shared" si="73"/>
        <v>552</v>
      </c>
      <c r="J219" s="276">
        <f t="shared" si="74"/>
        <v>735.36</v>
      </c>
      <c r="K219" s="155"/>
      <c r="L219" s="40"/>
      <c r="O219" s="561">
        <f t="shared" si="66"/>
        <v>735.36</v>
      </c>
      <c r="Q219" s="36">
        <f t="shared" si="65"/>
        <v>735.36</v>
      </c>
    </row>
    <row r="220" spans="1:17" s="36" customFormat="1" ht="22.5" outlineLevel="3" x14ac:dyDescent="0.25">
      <c r="A220" s="270" t="s">
        <v>4525</v>
      </c>
      <c r="B220" s="271" t="s">
        <v>4322</v>
      </c>
      <c r="C220" s="271" t="s">
        <v>788</v>
      </c>
      <c r="D220" s="260" t="s">
        <v>789</v>
      </c>
      <c r="E220" s="249" t="s">
        <v>54</v>
      </c>
      <c r="F220" s="250">
        <v>180</v>
      </c>
      <c r="G220" s="254">
        <v>437.15</v>
      </c>
      <c r="H220" s="275">
        <f t="shared" si="72"/>
        <v>582.5</v>
      </c>
      <c r="I220" s="275">
        <f t="shared" si="73"/>
        <v>78687</v>
      </c>
      <c r="J220" s="276">
        <f t="shared" si="74"/>
        <v>104850</v>
      </c>
      <c r="K220" s="155"/>
      <c r="L220" s="40"/>
      <c r="O220" s="561">
        <f t="shared" si="66"/>
        <v>104850</v>
      </c>
      <c r="Q220" s="36">
        <f t="shared" si="65"/>
        <v>104850</v>
      </c>
    </row>
    <row r="221" spans="1:17" s="36" customFormat="1" ht="33.75" outlineLevel="3" x14ac:dyDescent="0.25">
      <c r="A221" s="270" t="s">
        <v>4526</v>
      </c>
      <c r="B221" s="271" t="s">
        <v>4322</v>
      </c>
      <c r="C221" s="271" t="s">
        <v>791</v>
      </c>
      <c r="D221" s="260" t="s">
        <v>792</v>
      </c>
      <c r="E221" s="249" t="s">
        <v>54</v>
      </c>
      <c r="F221" s="250">
        <v>180</v>
      </c>
      <c r="G221" s="254">
        <v>71.040000000000006</v>
      </c>
      <c r="H221" s="275">
        <f t="shared" ref="H221" si="75">ROUND(G221*ROUND(1+(33.25/100),4),2)</f>
        <v>94.66</v>
      </c>
      <c r="I221" s="275">
        <f t="shared" ref="I221" si="76">ROUND(ROUND(F221,2)*ROUND(G221,2),2)</f>
        <v>12787.2</v>
      </c>
      <c r="J221" s="276">
        <f t="shared" ref="J221" si="77">ROUND(ROUND(F221,2)*ROUND(H221,2),2)</f>
        <v>17038.8</v>
      </c>
      <c r="K221" s="155"/>
      <c r="L221" s="40"/>
      <c r="O221" s="561">
        <f t="shared" si="66"/>
        <v>17038.8</v>
      </c>
      <c r="Q221" s="36">
        <f t="shared" si="65"/>
        <v>17038.8</v>
      </c>
    </row>
    <row r="222" spans="1:17" s="36" customFormat="1" ht="33.75" outlineLevel="3" x14ac:dyDescent="0.25">
      <c r="A222" s="270" t="s">
        <v>4527</v>
      </c>
      <c r="B222" s="271" t="s">
        <v>4322</v>
      </c>
      <c r="C222" s="271" t="s">
        <v>794</v>
      </c>
      <c r="D222" s="260" t="s">
        <v>795</v>
      </c>
      <c r="E222" s="249" t="s">
        <v>54</v>
      </c>
      <c r="F222" s="250">
        <v>190.5</v>
      </c>
      <c r="G222" s="254">
        <v>89.05</v>
      </c>
      <c r="H222" s="275">
        <f t="shared" si="72"/>
        <v>118.66</v>
      </c>
      <c r="I222" s="275">
        <f t="shared" si="73"/>
        <v>16964.03</v>
      </c>
      <c r="J222" s="276">
        <f t="shared" si="74"/>
        <v>22604.73</v>
      </c>
      <c r="K222" s="155"/>
      <c r="L222" s="40"/>
      <c r="O222" s="561">
        <f t="shared" si="66"/>
        <v>22604.73</v>
      </c>
      <c r="Q222" s="36">
        <f t="shared" si="65"/>
        <v>22604.73</v>
      </c>
    </row>
    <row r="223" spans="1:17" s="36" customFormat="1" ht="22.5" outlineLevel="3" x14ac:dyDescent="0.25">
      <c r="A223" s="270" t="s">
        <v>4528</v>
      </c>
      <c r="B223" s="271" t="s">
        <v>4322</v>
      </c>
      <c r="C223" s="271" t="s">
        <v>797</v>
      </c>
      <c r="D223" s="260" t="s">
        <v>798</v>
      </c>
      <c r="E223" s="249" t="s">
        <v>786</v>
      </c>
      <c r="F223" s="250">
        <v>495</v>
      </c>
      <c r="G223" s="254">
        <v>10.61</v>
      </c>
      <c r="H223" s="275">
        <f t="shared" si="72"/>
        <v>14.14</v>
      </c>
      <c r="I223" s="275">
        <f t="shared" si="73"/>
        <v>5251.95</v>
      </c>
      <c r="J223" s="276">
        <f t="shared" si="74"/>
        <v>6999.3</v>
      </c>
      <c r="K223" s="155"/>
      <c r="L223" s="40"/>
      <c r="O223" s="561">
        <f t="shared" si="66"/>
        <v>6999.3</v>
      </c>
      <c r="Q223" s="36">
        <f t="shared" si="65"/>
        <v>6999.3</v>
      </c>
    </row>
    <row r="224" spans="1:17" s="36" customFormat="1" ht="22.5" outlineLevel="3" x14ac:dyDescent="0.25">
      <c r="A224" s="270" t="s">
        <v>4529</v>
      </c>
      <c r="B224" s="271" t="s">
        <v>4322</v>
      </c>
      <c r="C224" s="271" t="s">
        <v>800</v>
      </c>
      <c r="D224" s="260" t="s">
        <v>801</v>
      </c>
      <c r="E224" s="249" t="s">
        <v>89</v>
      </c>
      <c r="F224" s="250">
        <v>17</v>
      </c>
      <c r="G224" s="254">
        <v>821.75</v>
      </c>
      <c r="H224" s="275">
        <f t="shared" si="72"/>
        <v>1094.98</v>
      </c>
      <c r="I224" s="275">
        <f t="shared" si="73"/>
        <v>13969.75</v>
      </c>
      <c r="J224" s="276">
        <f t="shared" si="74"/>
        <v>18614.66</v>
      </c>
      <c r="K224" s="155"/>
      <c r="L224" s="40"/>
      <c r="O224" s="561">
        <f t="shared" si="66"/>
        <v>18614.66</v>
      </c>
      <c r="Q224" s="36">
        <f t="shared" si="65"/>
        <v>18614.66</v>
      </c>
    </row>
    <row r="225" spans="1:17" s="36" customFormat="1" ht="22.5" outlineLevel="3" x14ac:dyDescent="0.25">
      <c r="A225" s="270" t="s">
        <v>4530</v>
      </c>
      <c r="B225" s="271" t="s">
        <v>4322</v>
      </c>
      <c r="C225" s="271">
        <v>120303</v>
      </c>
      <c r="D225" s="272" t="s">
        <v>159</v>
      </c>
      <c r="E225" s="271" t="s">
        <v>54</v>
      </c>
      <c r="F225" s="273">
        <v>224.05</v>
      </c>
      <c r="G225" s="274">
        <v>65.959999999999994</v>
      </c>
      <c r="H225" s="275">
        <f t="shared" si="72"/>
        <v>87.89</v>
      </c>
      <c r="I225" s="275">
        <f t="shared" si="73"/>
        <v>14778.34</v>
      </c>
      <c r="J225" s="276">
        <f t="shared" si="74"/>
        <v>19691.75</v>
      </c>
      <c r="K225" s="155"/>
      <c r="L225" s="40">
        <f t="shared" si="25"/>
        <v>19691.754500000003</v>
      </c>
      <c r="O225" s="561">
        <f t="shared" si="66"/>
        <v>19691.75</v>
      </c>
      <c r="Q225" s="36">
        <f t="shared" si="65"/>
        <v>19691.754500000003</v>
      </c>
    </row>
    <row r="226" spans="1:17" s="36" customFormat="1" ht="22.5" outlineLevel="3" x14ac:dyDescent="0.25">
      <c r="A226" s="270" t="s">
        <v>4531</v>
      </c>
      <c r="B226" s="271" t="s">
        <v>4322</v>
      </c>
      <c r="C226" s="271">
        <v>160707</v>
      </c>
      <c r="D226" s="272" t="s">
        <v>166</v>
      </c>
      <c r="E226" s="271" t="s">
        <v>54</v>
      </c>
      <c r="F226" s="273">
        <v>320.07</v>
      </c>
      <c r="G226" s="274">
        <v>30.79</v>
      </c>
      <c r="H226" s="275">
        <f t="shared" si="72"/>
        <v>41.03</v>
      </c>
      <c r="I226" s="275">
        <f t="shared" si="73"/>
        <v>9854.9599999999991</v>
      </c>
      <c r="J226" s="276">
        <f t="shared" si="74"/>
        <v>13132.47</v>
      </c>
      <c r="K226" s="155"/>
      <c r="L226" s="40">
        <f t="shared" si="25"/>
        <v>13132.472100000001</v>
      </c>
      <c r="O226" s="561">
        <f t="shared" si="66"/>
        <v>13132.47</v>
      </c>
      <c r="Q226" s="36">
        <f t="shared" si="65"/>
        <v>13132.472100000001</v>
      </c>
    </row>
    <row r="227" spans="1:17" s="36" customFormat="1" ht="33.75" outlineLevel="3" x14ac:dyDescent="0.25">
      <c r="A227" s="270" t="s">
        <v>4532</v>
      </c>
      <c r="B227" s="271" t="s">
        <v>77</v>
      </c>
      <c r="C227" s="271" t="s">
        <v>329</v>
      </c>
      <c r="D227" s="272" t="s">
        <v>330</v>
      </c>
      <c r="E227" s="271" t="s">
        <v>54</v>
      </c>
      <c r="F227" s="273">
        <v>111.02</v>
      </c>
      <c r="G227" s="274">
        <v>573.4</v>
      </c>
      <c r="H227" s="275">
        <f t="shared" si="72"/>
        <v>764.06</v>
      </c>
      <c r="I227" s="275">
        <f t="shared" si="73"/>
        <v>63658.87</v>
      </c>
      <c r="J227" s="276">
        <f t="shared" si="74"/>
        <v>84825.94</v>
      </c>
      <c r="K227" s="155"/>
      <c r="L227" s="40">
        <f t="shared" si="25"/>
        <v>84825.941199999987</v>
      </c>
      <c r="O227" s="561">
        <f t="shared" si="66"/>
        <v>84825.94</v>
      </c>
      <c r="Q227" s="36">
        <f t="shared" si="65"/>
        <v>84825.941199999987</v>
      </c>
    </row>
    <row r="228" spans="1:17" s="36" customFormat="1" ht="22.5" outlineLevel="3" x14ac:dyDescent="0.25">
      <c r="A228" s="270" t="s">
        <v>4533</v>
      </c>
      <c r="B228" s="271" t="s">
        <v>77</v>
      </c>
      <c r="C228" s="271" t="s">
        <v>332</v>
      </c>
      <c r="D228" s="272" t="s">
        <v>333</v>
      </c>
      <c r="E228" s="271" t="s">
        <v>54</v>
      </c>
      <c r="F228" s="273">
        <v>12.8</v>
      </c>
      <c r="G228" s="274">
        <v>117.68</v>
      </c>
      <c r="H228" s="275">
        <f t="shared" si="72"/>
        <v>156.81</v>
      </c>
      <c r="I228" s="275">
        <f t="shared" si="73"/>
        <v>1506.3</v>
      </c>
      <c r="J228" s="276">
        <f t="shared" si="74"/>
        <v>2007.17</v>
      </c>
      <c r="K228" s="155"/>
      <c r="L228" s="40">
        <f t="shared" si="25"/>
        <v>2007.1680000000001</v>
      </c>
      <c r="O228" s="561">
        <f t="shared" si="66"/>
        <v>2007.17</v>
      </c>
      <c r="Q228" s="36">
        <f t="shared" si="65"/>
        <v>2007.1680000000001</v>
      </c>
    </row>
    <row r="229" spans="1:17" s="36" customFormat="1" ht="33.75" outlineLevel="3" x14ac:dyDescent="0.25">
      <c r="A229" s="270" t="s">
        <v>4534</v>
      </c>
      <c r="B229" s="271" t="s">
        <v>4322</v>
      </c>
      <c r="C229" s="271">
        <v>190116</v>
      </c>
      <c r="D229" s="272" t="s">
        <v>336</v>
      </c>
      <c r="E229" s="271" t="s">
        <v>54</v>
      </c>
      <c r="F229" s="273">
        <v>123.82</v>
      </c>
      <c r="G229" s="274">
        <v>28.61</v>
      </c>
      <c r="H229" s="275">
        <f t="shared" si="72"/>
        <v>38.119999999999997</v>
      </c>
      <c r="I229" s="275">
        <f t="shared" si="73"/>
        <v>3542.49</v>
      </c>
      <c r="J229" s="276">
        <f t="shared" si="74"/>
        <v>4720.0200000000004</v>
      </c>
      <c r="K229" s="155"/>
      <c r="L229" s="40">
        <f t="shared" si="25"/>
        <v>4720.018399999999</v>
      </c>
      <c r="O229" s="561">
        <f t="shared" si="66"/>
        <v>4720.0200000000004</v>
      </c>
      <c r="Q229" s="36">
        <f t="shared" si="65"/>
        <v>4720.018399999999</v>
      </c>
    </row>
    <row r="230" spans="1:17" s="36" customFormat="1" ht="45" outlineLevel="3" x14ac:dyDescent="0.25">
      <c r="A230" s="270" t="s">
        <v>4535</v>
      </c>
      <c r="B230" s="271" t="s">
        <v>4322</v>
      </c>
      <c r="C230" s="271">
        <v>190117</v>
      </c>
      <c r="D230" s="272" t="s">
        <v>339</v>
      </c>
      <c r="E230" s="271" t="s">
        <v>54</v>
      </c>
      <c r="F230" s="273">
        <v>27.18</v>
      </c>
      <c r="G230" s="274">
        <v>25.15</v>
      </c>
      <c r="H230" s="275">
        <f t="shared" si="72"/>
        <v>33.51</v>
      </c>
      <c r="I230" s="275">
        <f t="shared" si="73"/>
        <v>683.58</v>
      </c>
      <c r="J230" s="276">
        <f t="shared" si="74"/>
        <v>910.8</v>
      </c>
      <c r="K230" s="155"/>
      <c r="L230" s="40">
        <f t="shared" si="25"/>
        <v>910.80179999999996</v>
      </c>
      <c r="O230" s="561">
        <f t="shared" si="66"/>
        <v>910.8</v>
      </c>
      <c r="Q230" s="36">
        <f t="shared" si="65"/>
        <v>910.80179999999996</v>
      </c>
    </row>
    <row r="231" spans="1:17" s="36" customFormat="1" ht="22.5" outlineLevel="3" x14ac:dyDescent="0.25">
      <c r="A231" s="270" t="s">
        <v>4536</v>
      </c>
      <c r="B231" s="271" t="s">
        <v>341</v>
      </c>
      <c r="C231" s="271" t="s">
        <v>342</v>
      </c>
      <c r="D231" s="272" t="s">
        <v>343</v>
      </c>
      <c r="E231" s="271" t="s">
        <v>54</v>
      </c>
      <c r="F231" s="273">
        <v>14.4</v>
      </c>
      <c r="G231" s="274">
        <v>354.24</v>
      </c>
      <c r="H231" s="275">
        <f t="shared" si="72"/>
        <v>472.02</v>
      </c>
      <c r="I231" s="275">
        <f t="shared" si="73"/>
        <v>5101.0600000000004</v>
      </c>
      <c r="J231" s="276">
        <f t="shared" si="74"/>
        <v>6797.09</v>
      </c>
      <c r="K231" s="155"/>
      <c r="L231" s="40">
        <f t="shared" si="25"/>
        <v>6797.0879999999997</v>
      </c>
      <c r="O231" s="561">
        <f t="shared" si="66"/>
        <v>6797.09</v>
      </c>
      <c r="Q231" s="36">
        <f t="shared" si="65"/>
        <v>6797.0879999999997</v>
      </c>
    </row>
    <row r="232" spans="1:17" s="36" customFormat="1" outlineLevel="3" x14ac:dyDescent="0.25">
      <c r="A232" s="270" t="s">
        <v>4537</v>
      </c>
      <c r="B232" s="271" t="s">
        <v>341</v>
      </c>
      <c r="C232" s="271" t="s">
        <v>345</v>
      </c>
      <c r="D232" s="272" t="s">
        <v>346</v>
      </c>
      <c r="E232" s="271" t="s">
        <v>54</v>
      </c>
      <c r="F232" s="273">
        <v>14.4</v>
      </c>
      <c r="G232" s="274">
        <v>158.35</v>
      </c>
      <c r="H232" s="275">
        <f t="shared" si="72"/>
        <v>211</v>
      </c>
      <c r="I232" s="275">
        <f t="shared" si="73"/>
        <v>2280.2399999999998</v>
      </c>
      <c r="J232" s="276">
        <f t="shared" si="74"/>
        <v>3038.4</v>
      </c>
      <c r="K232" s="155"/>
      <c r="L232" s="40">
        <f t="shared" si="25"/>
        <v>3038.4</v>
      </c>
      <c r="O232" s="561">
        <f t="shared" si="66"/>
        <v>3038.4</v>
      </c>
      <c r="Q232" s="36">
        <f t="shared" si="65"/>
        <v>3038.4</v>
      </c>
    </row>
    <row r="233" spans="1:17" s="36" customFormat="1" outlineLevel="2" x14ac:dyDescent="0.25">
      <c r="A233" s="288" t="s">
        <v>4538</v>
      </c>
      <c r="B233" s="289"/>
      <c r="C233" s="271"/>
      <c r="D233" s="289" t="s">
        <v>348</v>
      </c>
      <c r="E233" s="289"/>
      <c r="F233" s="290"/>
      <c r="G233" s="291"/>
      <c r="H233" s="289"/>
      <c r="I233" s="292">
        <f>ROUND(SUM(I234:I236),2)</f>
        <v>1531.91</v>
      </c>
      <c r="J233" s="293">
        <f>ROUND(SUM(J234:J236),2)</f>
        <v>2041.21</v>
      </c>
      <c r="K233" s="155"/>
      <c r="L233" s="40">
        <f t="shared" si="25"/>
        <v>0</v>
      </c>
      <c r="N233" s="559">
        <f>SUM(J234:J236)</f>
        <v>2041.21</v>
      </c>
      <c r="O233" s="561">
        <f t="shared" si="66"/>
        <v>0</v>
      </c>
      <c r="Q233" s="36">
        <f t="shared" si="65"/>
        <v>0</v>
      </c>
    </row>
    <row r="234" spans="1:17" s="36" customFormat="1" ht="22.5" outlineLevel="3" x14ac:dyDescent="0.25">
      <c r="A234" s="270" t="s">
        <v>4539</v>
      </c>
      <c r="B234" s="271" t="s">
        <v>4322</v>
      </c>
      <c r="C234" s="271">
        <v>10331</v>
      </c>
      <c r="D234" s="272" t="s">
        <v>351</v>
      </c>
      <c r="E234" s="271" t="s">
        <v>54</v>
      </c>
      <c r="F234" s="273">
        <v>13.09</v>
      </c>
      <c r="G234" s="274">
        <v>11.92</v>
      </c>
      <c r="H234" s="275">
        <f>ROUND(G234*ROUND(1+(33.25/100),4),2)</f>
        <v>15.88</v>
      </c>
      <c r="I234" s="275">
        <f>ROUND(ROUND(F234,2)*ROUND(G234,2),2)</f>
        <v>156.03</v>
      </c>
      <c r="J234" s="276">
        <f>ROUND(ROUND(F234,2)*ROUND(H234,2),2)</f>
        <v>207.87</v>
      </c>
      <c r="K234" s="155"/>
      <c r="L234" s="40">
        <f t="shared" si="25"/>
        <v>207.86920000000001</v>
      </c>
      <c r="O234" s="561">
        <f t="shared" si="66"/>
        <v>207.87</v>
      </c>
      <c r="Q234" s="36">
        <f t="shared" si="65"/>
        <v>207.86920000000001</v>
      </c>
    </row>
    <row r="235" spans="1:17" s="36" customFormat="1" ht="33.75" outlineLevel="3" x14ac:dyDescent="0.25">
      <c r="A235" s="270" t="s">
        <v>4540</v>
      </c>
      <c r="B235" s="271" t="s">
        <v>77</v>
      </c>
      <c r="C235" s="271" t="s">
        <v>353</v>
      </c>
      <c r="D235" s="272" t="s">
        <v>354</v>
      </c>
      <c r="E235" s="271" t="s">
        <v>54</v>
      </c>
      <c r="F235" s="273">
        <v>13.09</v>
      </c>
      <c r="G235" s="274">
        <v>103.34</v>
      </c>
      <c r="H235" s="275">
        <f>ROUND(G235*ROUND(1+(33.25/100),4),2)</f>
        <v>137.69999999999999</v>
      </c>
      <c r="I235" s="275">
        <f>ROUND(ROUND(F235,2)*ROUND(G235,2),2)</f>
        <v>1352.72</v>
      </c>
      <c r="J235" s="276">
        <f>ROUND(ROUND(F235,2)*ROUND(H235,2),2)</f>
        <v>1802.49</v>
      </c>
      <c r="K235" s="155"/>
      <c r="L235" s="40">
        <f t="shared" si="25"/>
        <v>1802.4929999999999</v>
      </c>
      <c r="O235" s="561">
        <f t="shared" si="66"/>
        <v>1802.49</v>
      </c>
      <c r="Q235" s="36">
        <f t="shared" si="65"/>
        <v>1802.4929999999999</v>
      </c>
    </row>
    <row r="236" spans="1:17" s="36" customFormat="1" ht="33.75" outlineLevel="3" x14ac:dyDescent="0.25">
      <c r="A236" s="270" t="s">
        <v>4541</v>
      </c>
      <c r="B236" s="271" t="s">
        <v>4322</v>
      </c>
      <c r="C236" s="271">
        <v>30304</v>
      </c>
      <c r="D236" s="272" t="s">
        <v>119</v>
      </c>
      <c r="E236" s="271" t="s">
        <v>89</v>
      </c>
      <c r="F236" s="273">
        <v>0.26</v>
      </c>
      <c r="G236" s="274">
        <v>89.06</v>
      </c>
      <c r="H236" s="275">
        <f>ROUND(G236*ROUND(1+(33.25/100),4),2)</f>
        <v>118.67</v>
      </c>
      <c r="I236" s="275">
        <f>ROUND(ROUND(F236,2)*ROUND(G236,2),2)</f>
        <v>23.16</v>
      </c>
      <c r="J236" s="276">
        <f>ROUND(ROUND(F236,2)*ROUND(H236,2),2)</f>
        <v>30.85</v>
      </c>
      <c r="K236" s="155"/>
      <c r="L236" s="40">
        <f t="shared" si="25"/>
        <v>30.854200000000002</v>
      </c>
      <c r="O236" s="561">
        <f t="shared" si="66"/>
        <v>30.85</v>
      </c>
      <c r="Q236" s="36">
        <f t="shared" si="65"/>
        <v>30.854200000000002</v>
      </c>
    </row>
    <row r="237" spans="1:17" s="36" customFormat="1" outlineLevel="2" x14ac:dyDescent="0.25">
      <c r="A237" s="288" t="s">
        <v>4542</v>
      </c>
      <c r="B237" s="289"/>
      <c r="C237" s="271"/>
      <c r="D237" s="289" t="s">
        <v>357</v>
      </c>
      <c r="E237" s="289"/>
      <c r="F237" s="290"/>
      <c r="G237" s="291"/>
      <c r="H237" s="289"/>
      <c r="I237" s="292">
        <f>ROUND(SUM(I238:I239),2)</f>
        <v>6781.11</v>
      </c>
      <c r="J237" s="293">
        <f>ROUND(SUM(J238:J239),2)</f>
        <v>9035.7900000000009</v>
      </c>
      <c r="K237" s="155"/>
      <c r="L237" s="40">
        <f t="shared" si="25"/>
        <v>0</v>
      </c>
      <c r="N237" s="559">
        <f>SUM(J238:J239)</f>
        <v>9035.7900000000009</v>
      </c>
      <c r="O237" s="561">
        <f t="shared" si="66"/>
        <v>0</v>
      </c>
      <c r="Q237" s="36">
        <f t="shared" si="65"/>
        <v>0</v>
      </c>
    </row>
    <row r="238" spans="1:17" s="36" customFormat="1" ht="33.75" outlineLevel="3" x14ac:dyDescent="0.25">
      <c r="A238" s="270" t="s">
        <v>4543</v>
      </c>
      <c r="B238" s="271" t="s">
        <v>77</v>
      </c>
      <c r="C238" s="271" t="s">
        <v>353</v>
      </c>
      <c r="D238" s="272" t="s">
        <v>354</v>
      </c>
      <c r="E238" s="271" t="s">
        <v>54</v>
      </c>
      <c r="F238" s="273">
        <v>49.84</v>
      </c>
      <c r="G238" s="274">
        <v>103.34</v>
      </c>
      <c r="H238" s="275">
        <f>ROUND(G238*ROUND(1+(33.25/100),4),2)</f>
        <v>137.69999999999999</v>
      </c>
      <c r="I238" s="275">
        <f>ROUND(ROUND(F238,2)*ROUND(G238,2),2)</f>
        <v>5150.47</v>
      </c>
      <c r="J238" s="276">
        <f>ROUND(ROUND(F238,2)*ROUND(H238,2),2)</f>
        <v>6862.97</v>
      </c>
      <c r="K238" s="155"/>
      <c r="L238" s="40">
        <f t="shared" si="25"/>
        <v>6862.9679999999998</v>
      </c>
      <c r="O238" s="561">
        <f t="shared" si="66"/>
        <v>6862.97</v>
      </c>
      <c r="Q238" s="36">
        <f t="shared" si="65"/>
        <v>6862.9679999999998</v>
      </c>
    </row>
    <row r="239" spans="1:17" s="36" customFormat="1" outlineLevel="3" x14ac:dyDescent="0.25">
      <c r="A239" s="270" t="s">
        <v>4544</v>
      </c>
      <c r="B239" s="271" t="s">
        <v>341</v>
      </c>
      <c r="C239" s="271" t="s">
        <v>360</v>
      </c>
      <c r="D239" s="272" t="s">
        <v>361</v>
      </c>
      <c r="E239" s="271" t="s">
        <v>72</v>
      </c>
      <c r="F239" s="273">
        <v>13.24</v>
      </c>
      <c r="G239" s="274">
        <v>123.16</v>
      </c>
      <c r="H239" s="275">
        <f>ROUND(G239*ROUND(1+(33.25/100),4),2)</f>
        <v>164.11</v>
      </c>
      <c r="I239" s="275">
        <f>ROUND(ROUND(F239,2)*ROUND(G239,2),2)</f>
        <v>1630.64</v>
      </c>
      <c r="J239" s="276">
        <f>ROUND(ROUND(F239,2)*ROUND(H239,2),2)</f>
        <v>2172.8200000000002</v>
      </c>
      <c r="K239" s="155"/>
      <c r="L239" s="40">
        <f t="shared" si="25"/>
        <v>2172.8164000000002</v>
      </c>
      <c r="O239" s="561">
        <f t="shared" si="66"/>
        <v>2172.8200000000002</v>
      </c>
      <c r="Q239" s="36">
        <f t="shared" si="65"/>
        <v>2172.8164000000002</v>
      </c>
    </row>
    <row r="240" spans="1:17" s="36" customFormat="1" outlineLevel="2" x14ac:dyDescent="0.25">
      <c r="A240" s="288" t="s">
        <v>4545</v>
      </c>
      <c r="B240" s="289"/>
      <c r="C240" s="271"/>
      <c r="D240" s="289" t="s">
        <v>363</v>
      </c>
      <c r="E240" s="289"/>
      <c r="F240" s="290"/>
      <c r="G240" s="291"/>
      <c r="H240" s="289"/>
      <c r="I240" s="292">
        <f>ROUND(SUM(I241:I246),2)</f>
        <v>10648.84</v>
      </c>
      <c r="J240" s="293">
        <f>ROUND(SUM(J241:J246),2)</f>
        <v>14189.59</v>
      </c>
      <c r="K240" s="155"/>
      <c r="L240" s="40">
        <f t="shared" si="25"/>
        <v>0</v>
      </c>
      <c r="N240" s="559">
        <f>SUM(J241:J246)</f>
        <v>14189.590000000002</v>
      </c>
      <c r="O240" s="561">
        <f t="shared" si="66"/>
        <v>0</v>
      </c>
      <c r="Q240" s="36">
        <f t="shared" si="65"/>
        <v>0</v>
      </c>
    </row>
    <row r="241" spans="1:17" s="36" customFormat="1" ht="33.75" outlineLevel="3" x14ac:dyDescent="0.25">
      <c r="A241" s="270" t="s">
        <v>4546</v>
      </c>
      <c r="B241" s="271" t="s">
        <v>77</v>
      </c>
      <c r="C241" s="271" t="s">
        <v>365</v>
      </c>
      <c r="D241" s="272" t="s">
        <v>366</v>
      </c>
      <c r="E241" s="271" t="s">
        <v>54</v>
      </c>
      <c r="F241" s="273">
        <v>13.11</v>
      </c>
      <c r="G241" s="274">
        <v>462.37</v>
      </c>
      <c r="H241" s="275">
        <f t="shared" ref="H241:H246" si="78">ROUND(G241*ROUND(1+(33.25/100),4),2)</f>
        <v>616.11</v>
      </c>
      <c r="I241" s="275">
        <f t="shared" ref="I241:I246" si="79">ROUND(ROUND(F241,2)*ROUND(G241,2),2)</f>
        <v>6061.67</v>
      </c>
      <c r="J241" s="276">
        <f t="shared" ref="J241:J246" si="80">ROUND(ROUND(F241,2)*ROUND(H241,2),2)</f>
        <v>8077.2</v>
      </c>
      <c r="K241" s="155"/>
      <c r="L241" s="40">
        <f t="shared" si="25"/>
        <v>8077.2020999999995</v>
      </c>
      <c r="O241" s="561">
        <f t="shared" si="66"/>
        <v>8077.2</v>
      </c>
      <c r="Q241" s="36">
        <f t="shared" si="65"/>
        <v>8077.2020999999995</v>
      </c>
    </row>
    <row r="242" spans="1:17" s="36" customFormat="1" outlineLevel="3" x14ac:dyDescent="0.25">
      <c r="A242" s="270" t="s">
        <v>4547</v>
      </c>
      <c r="B242" s="271" t="s">
        <v>4322</v>
      </c>
      <c r="C242" s="271">
        <v>10230</v>
      </c>
      <c r="D242" s="272" t="s">
        <v>322</v>
      </c>
      <c r="E242" s="271" t="s">
        <v>54</v>
      </c>
      <c r="F242" s="273">
        <v>9.6999999999999993</v>
      </c>
      <c r="G242" s="274">
        <v>9.4499999999999993</v>
      </c>
      <c r="H242" s="275">
        <f t="shared" si="78"/>
        <v>12.59</v>
      </c>
      <c r="I242" s="275">
        <f t="shared" si="79"/>
        <v>91.67</v>
      </c>
      <c r="J242" s="276">
        <f t="shared" si="80"/>
        <v>122.12</v>
      </c>
      <c r="K242" s="155"/>
      <c r="L242" s="40">
        <f t="shared" si="25"/>
        <v>122.12299999999999</v>
      </c>
      <c r="O242" s="561">
        <f t="shared" si="66"/>
        <v>122.12</v>
      </c>
      <c r="Q242" s="36">
        <f t="shared" si="65"/>
        <v>122.12299999999999</v>
      </c>
    </row>
    <row r="243" spans="1:17" s="36" customFormat="1" ht="22.5" outlineLevel="3" x14ac:dyDescent="0.25">
      <c r="A243" s="270" t="s">
        <v>4548</v>
      </c>
      <c r="B243" s="271" t="s">
        <v>4322</v>
      </c>
      <c r="C243" s="271">
        <v>160707</v>
      </c>
      <c r="D243" s="272" t="s">
        <v>166</v>
      </c>
      <c r="E243" s="271" t="s">
        <v>54</v>
      </c>
      <c r="F243" s="273">
        <v>9.6999999999999993</v>
      </c>
      <c r="G243" s="274">
        <v>30.79</v>
      </c>
      <c r="H243" s="275">
        <f t="shared" si="78"/>
        <v>41.03</v>
      </c>
      <c r="I243" s="275">
        <f t="shared" si="79"/>
        <v>298.66000000000003</v>
      </c>
      <c r="J243" s="276">
        <f t="shared" si="80"/>
        <v>397.99</v>
      </c>
      <c r="K243" s="155"/>
      <c r="L243" s="40">
        <f t="shared" si="25"/>
        <v>397.99099999999999</v>
      </c>
      <c r="O243" s="561">
        <f t="shared" si="66"/>
        <v>397.99</v>
      </c>
      <c r="Q243" s="36">
        <f t="shared" si="65"/>
        <v>397.99099999999999</v>
      </c>
    </row>
    <row r="244" spans="1:17" s="36" customFormat="1" ht="22.5" outlineLevel="3" x14ac:dyDescent="0.25">
      <c r="A244" s="270" t="s">
        <v>4549</v>
      </c>
      <c r="B244" s="271" t="s">
        <v>4322</v>
      </c>
      <c r="C244" s="271">
        <v>10220</v>
      </c>
      <c r="D244" s="272" t="s">
        <v>371</v>
      </c>
      <c r="E244" s="271" t="s">
        <v>54</v>
      </c>
      <c r="F244" s="273">
        <v>4.3</v>
      </c>
      <c r="G244" s="274">
        <v>3.38</v>
      </c>
      <c r="H244" s="275">
        <f t="shared" si="78"/>
        <v>4.5</v>
      </c>
      <c r="I244" s="275">
        <f t="shared" si="79"/>
        <v>14.53</v>
      </c>
      <c r="J244" s="276">
        <f t="shared" si="80"/>
        <v>19.350000000000001</v>
      </c>
      <c r="K244" s="155"/>
      <c r="L244" s="40">
        <f t="shared" si="25"/>
        <v>19.349999999999998</v>
      </c>
      <c r="O244" s="561">
        <f t="shared" si="66"/>
        <v>19.350000000000001</v>
      </c>
      <c r="Q244" s="36">
        <f t="shared" si="65"/>
        <v>19.349999999999998</v>
      </c>
    </row>
    <row r="245" spans="1:17" s="36" customFormat="1" ht="33.75" outlineLevel="3" x14ac:dyDescent="0.25">
      <c r="A245" s="270" t="s">
        <v>4550</v>
      </c>
      <c r="B245" s="271" t="s">
        <v>82</v>
      </c>
      <c r="C245" s="271" t="s">
        <v>373</v>
      </c>
      <c r="D245" s="272" t="s">
        <v>374</v>
      </c>
      <c r="E245" s="271" t="s">
        <v>85</v>
      </c>
      <c r="F245" s="273">
        <v>0.95</v>
      </c>
      <c r="G245" s="274">
        <v>4396.8100000000004</v>
      </c>
      <c r="H245" s="275">
        <f t="shared" si="78"/>
        <v>5858.75</v>
      </c>
      <c r="I245" s="275">
        <f t="shared" si="79"/>
        <v>4176.97</v>
      </c>
      <c r="J245" s="276">
        <f t="shared" si="80"/>
        <v>5565.81</v>
      </c>
      <c r="K245" s="155"/>
      <c r="L245" s="40">
        <f t="shared" si="25"/>
        <v>5565.8125</v>
      </c>
      <c r="O245" s="561">
        <f t="shared" si="66"/>
        <v>5565.81</v>
      </c>
      <c r="Q245" s="36">
        <f t="shared" si="65"/>
        <v>5565.8125</v>
      </c>
    </row>
    <row r="246" spans="1:17" s="36" customFormat="1" ht="33.75" outlineLevel="3" x14ac:dyDescent="0.25">
      <c r="A246" s="270" t="s">
        <v>4551</v>
      </c>
      <c r="B246" s="271" t="s">
        <v>4322</v>
      </c>
      <c r="C246" s="271">
        <v>30304</v>
      </c>
      <c r="D246" s="272" t="s">
        <v>119</v>
      </c>
      <c r="E246" s="271" t="s">
        <v>89</v>
      </c>
      <c r="F246" s="273">
        <v>0.06</v>
      </c>
      <c r="G246" s="274">
        <v>89.06</v>
      </c>
      <c r="H246" s="275">
        <f t="shared" si="78"/>
        <v>118.67</v>
      </c>
      <c r="I246" s="275">
        <f t="shared" si="79"/>
        <v>5.34</v>
      </c>
      <c r="J246" s="276">
        <f t="shared" si="80"/>
        <v>7.12</v>
      </c>
      <c r="K246" s="155"/>
      <c r="L246" s="40">
        <f t="shared" si="25"/>
        <v>7.1201999999999996</v>
      </c>
      <c r="O246" s="561">
        <f t="shared" si="66"/>
        <v>7.12</v>
      </c>
      <c r="Q246" s="36">
        <f t="shared" si="65"/>
        <v>7.1201999999999996</v>
      </c>
    </row>
    <row r="247" spans="1:17" s="36" customFormat="1" outlineLevel="2" x14ac:dyDescent="0.25">
      <c r="A247" s="288" t="s">
        <v>4552</v>
      </c>
      <c r="B247" s="289"/>
      <c r="C247" s="271"/>
      <c r="D247" s="289" t="s">
        <v>377</v>
      </c>
      <c r="E247" s="289"/>
      <c r="F247" s="290"/>
      <c r="G247" s="291"/>
      <c r="H247" s="289"/>
      <c r="I247" s="292">
        <f>ROUND(SUM(I248:I254),2)</f>
        <v>14654.58</v>
      </c>
      <c r="J247" s="293">
        <f>ROUND(SUM(J248:J254),2)</f>
        <v>19527.21</v>
      </c>
      <c r="K247" s="155"/>
      <c r="L247" s="40">
        <f t="shared" si="25"/>
        <v>0</v>
      </c>
      <c r="N247" s="559">
        <f>SUM(J248:J254)</f>
        <v>19527.21</v>
      </c>
      <c r="O247" s="561">
        <f t="shared" si="66"/>
        <v>0</v>
      </c>
      <c r="Q247" s="36">
        <f t="shared" si="65"/>
        <v>0</v>
      </c>
    </row>
    <row r="248" spans="1:17" s="36" customFormat="1" outlineLevel="3" x14ac:dyDescent="0.25">
      <c r="A248" s="270" t="s">
        <v>4553</v>
      </c>
      <c r="B248" s="271" t="s">
        <v>4322</v>
      </c>
      <c r="C248" s="271">
        <v>10230</v>
      </c>
      <c r="D248" s="272" t="s">
        <v>322</v>
      </c>
      <c r="E248" s="271" t="s">
        <v>54</v>
      </c>
      <c r="F248" s="273">
        <v>109.12</v>
      </c>
      <c r="G248" s="274">
        <v>9.4499999999999993</v>
      </c>
      <c r="H248" s="275">
        <f t="shared" ref="H248:H254" si="81">ROUND(G248*ROUND(1+(33.25/100),4),2)</f>
        <v>12.59</v>
      </c>
      <c r="I248" s="275">
        <f t="shared" ref="I248:I254" si="82">ROUND(ROUND(F248,2)*ROUND(G248,2),2)</f>
        <v>1031.18</v>
      </c>
      <c r="J248" s="276">
        <f t="shared" ref="J248:J254" si="83">ROUND(ROUND(F248,2)*ROUND(H248,2),2)</f>
        <v>1373.82</v>
      </c>
      <c r="K248" s="155"/>
      <c r="L248" s="40">
        <f t="shared" si="25"/>
        <v>1373.8208</v>
      </c>
      <c r="O248" s="561">
        <f t="shared" si="66"/>
        <v>1373.82</v>
      </c>
      <c r="Q248" s="36">
        <f t="shared" si="65"/>
        <v>1373.8208</v>
      </c>
    </row>
    <row r="249" spans="1:17" s="36" customFormat="1" ht="22.5" outlineLevel="3" x14ac:dyDescent="0.25">
      <c r="A249" s="270" t="s">
        <v>4554</v>
      </c>
      <c r="B249" s="271" t="s">
        <v>4322</v>
      </c>
      <c r="C249" s="271">
        <v>10208</v>
      </c>
      <c r="D249" s="272" t="s">
        <v>325</v>
      </c>
      <c r="E249" s="271" t="s">
        <v>54</v>
      </c>
      <c r="F249" s="273">
        <v>109.12</v>
      </c>
      <c r="G249" s="274">
        <v>10.73</v>
      </c>
      <c r="H249" s="275">
        <f t="shared" si="81"/>
        <v>14.3</v>
      </c>
      <c r="I249" s="275">
        <f t="shared" si="82"/>
        <v>1170.8599999999999</v>
      </c>
      <c r="J249" s="276">
        <f t="shared" si="83"/>
        <v>1560.42</v>
      </c>
      <c r="K249" s="155"/>
      <c r="L249" s="40">
        <f t="shared" si="25"/>
        <v>1560.4160000000002</v>
      </c>
      <c r="O249" s="561">
        <f t="shared" si="66"/>
        <v>1560.42</v>
      </c>
      <c r="Q249" s="36">
        <f t="shared" si="65"/>
        <v>1560.4160000000002</v>
      </c>
    </row>
    <row r="250" spans="1:17" s="36" customFormat="1" ht="22.5" outlineLevel="3" x14ac:dyDescent="0.25">
      <c r="A250" s="270" t="s">
        <v>4555</v>
      </c>
      <c r="B250" s="271" t="s">
        <v>4322</v>
      </c>
      <c r="C250" s="271">
        <v>200704</v>
      </c>
      <c r="D250" s="272" t="s">
        <v>382</v>
      </c>
      <c r="E250" s="271" t="s">
        <v>54</v>
      </c>
      <c r="F250" s="273">
        <v>23.16</v>
      </c>
      <c r="G250" s="274">
        <v>42.98</v>
      </c>
      <c r="H250" s="275">
        <f t="shared" si="81"/>
        <v>57.27</v>
      </c>
      <c r="I250" s="275">
        <f t="shared" si="82"/>
        <v>995.42</v>
      </c>
      <c r="J250" s="276">
        <f t="shared" si="83"/>
        <v>1326.37</v>
      </c>
      <c r="K250" s="155"/>
      <c r="L250" s="40">
        <f t="shared" si="25"/>
        <v>1326.3732</v>
      </c>
      <c r="O250" s="561">
        <f t="shared" si="66"/>
        <v>1326.37</v>
      </c>
      <c r="Q250" s="36">
        <f t="shared" si="65"/>
        <v>1326.3732</v>
      </c>
    </row>
    <row r="251" spans="1:17" s="36" customFormat="1" ht="22.5" outlineLevel="3" x14ac:dyDescent="0.25">
      <c r="A251" s="270" t="s">
        <v>4556</v>
      </c>
      <c r="B251" s="271" t="s">
        <v>4322</v>
      </c>
      <c r="C251" s="271">
        <v>120303</v>
      </c>
      <c r="D251" s="272" t="s">
        <v>159</v>
      </c>
      <c r="E251" s="271" t="s">
        <v>54</v>
      </c>
      <c r="F251" s="273">
        <v>109.12</v>
      </c>
      <c r="G251" s="274">
        <v>65.959999999999994</v>
      </c>
      <c r="H251" s="275">
        <f t="shared" si="81"/>
        <v>87.89</v>
      </c>
      <c r="I251" s="275">
        <f t="shared" si="82"/>
        <v>7197.56</v>
      </c>
      <c r="J251" s="276">
        <f t="shared" si="83"/>
        <v>9590.56</v>
      </c>
      <c r="K251" s="155"/>
      <c r="L251" s="40">
        <f t="shared" si="25"/>
        <v>9590.5568000000003</v>
      </c>
      <c r="O251" s="561">
        <f t="shared" si="66"/>
        <v>9590.56</v>
      </c>
      <c r="Q251" s="36">
        <f t="shared" si="65"/>
        <v>9590.5568000000003</v>
      </c>
    </row>
    <row r="252" spans="1:17" s="36" customFormat="1" ht="22.5" outlineLevel="3" x14ac:dyDescent="0.25">
      <c r="A252" s="270" t="s">
        <v>4557</v>
      </c>
      <c r="B252" s="271" t="s">
        <v>4322</v>
      </c>
      <c r="C252" s="271">
        <v>160707</v>
      </c>
      <c r="D252" s="272" t="s">
        <v>166</v>
      </c>
      <c r="E252" s="271" t="s">
        <v>54</v>
      </c>
      <c r="F252" s="273">
        <v>109.12</v>
      </c>
      <c r="G252" s="274">
        <v>30.79</v>
      </c>
      <c r="H252" s="275">
        <f t="shared" si="81"/>
        <v>41.03</v>
      </c>
      <c r="I252" s="275">
        <f t="shared" si="82"/>
        <v>3359.8</v>
      </c>
      <c r="J252" s="276">
        <f t="shared" si="83"/>
        <v>4477.1899999999996</v>
      </c>
      <c r="K252" s="155"/>
      <c r="L252" s="40">
        <f t="shared" si="25"/>
        <v>4477.1936000000005</v>
      </c>
      <c r="O252" s="561">
        <f t="shared" si="66"/>
        <v>4477.1899999999996</v>
      </c>
      <c r="Q252" s="36">
        <f t="shared" si="65"/>
        <v>4477.1936000000005</v>
      </c>
    </row>
    <row r="253" spans="1:17" s="36" customFormat="1" ht="45" outlineLevel="3" x14ac:dyDescent="0.25">
      <c r="A253" s="270" t="s">
        <v>4558</v>
      </c>
      <c r="B253" s="271" t="s">
        <v>4322</v>
      </c>
      <c r="C253" s="271">
        <v>190117</v>
      </c>
      <c r="D253" s="272" t="s">
        <v>339</v>
      </c>
      <c r="E253" s="271" t="s">
        <v>54</v>
      </c>
      <c r="F253" s="273">
        <v>25.4</v>
      </c>
      <c r="G253" s="274">
        <v>25.15</v>
      </c>
      <c r="H253" s="275">
        <f t="shared" si="81"/>
        <v>33.51</v>
      </c>
      <c r="I253" s="275">
        <f t="shared" si="82"/>
        <v>638.80999999999995</v>
      </c>
      <c r="J253" s="276">
        <f t="shared" si="83"/>
        <v>851.15</v>
      </c>
      <c r="K253" s="155"/>
      <c r="L253" s="40">
        <f t="shared" ref="L253:L316" si="84">F253*H253</f>
        <v>851.15399999999988</v>
      </c>
      <c r="O253" s="561">
        <f t="shared" si="66"/>
        <v>851.15</v>
      </c>
      <c r="Q253" s="36">
        <f t="shared" si="65"/>
        <v>851.15399999999988</v>
      </c>
    </row>
    <row r="254" spans="1:17" s="36" customFormat="1" ht="33.75" outlineLevel="3" x14ac:dyDescent="0.25">
      <c r="A254" s="270" t="s">
        <v>4559</v>
      </c>
      <c r="B254" s="271" t="s">
        <v>4322</v>
      </c>
      <c r="C254" s="271">
        <v>30304</v>
      </c>
      <c r="D254" s="272" t="s">
        <v>119</v>
      </c>
      <c r="E254" s="271" t="s">
        <v>89</v>
      </c>
      <c r="F254" s="273">
        <v>2.93</v>
      </c>
      <c r="G254" s="274">
        <v>89.06</v>
      </c>
      <c r="H254" s="275">
        <f t="shared" si="81"/>
        <v>118.67</v>
      </c>
      <c r="I254" s="275">
        <f t="shared" si="82"/>
        <v>260.95</v>
      </c>
      <c r="J254" s="276">
        <f t="shared" si="83"/>
        <v>347.7</v>
      </c>
      <c r="K254" s="155"/>
      <c r="L254" s="40">
        <f t="shared" si="84"/>
        <v>347.70310000000001</v>
      </c>
      <c r="O254" s="561">
        <f t="shared" si="66"/>
        <v>347.7</v>
      </c>
      <c r="Q254" s="36">
        <f t="shared" si="65"/>
        <v>347.70310000000001</v>
      </c>
    </row>
    <row r="255" spans="1:17" s="36" customFormat="1" outlineLevel="2" x14ac:dyDescent="0.25">
      <c r="A255" s="288" t="s">
        <v>4560</v>
      </c>
      <c r="B255" s="289"/>
      <c r="C255" s="271"/>
      <c r="D255" s="289" t="s">
        <v>387</v>
      </c>
      <c r="E255" s="289"/>
      <c r="F255" s="290"/>
      <c r="G255" s="291"/>
      <c r="H255" s="289"/>
      <c r="I255" s="292">
        <f>ROUND(SUM(I256:I264),2)</f>
        <v>26692.12</v>
      </c>
      <c r="J255" s="293">
        <f>ROUND(SUM(J256:J264),2)</f>
        <v>35566.959999999999</v>
      </c>
      <c r="K255" s="155"/>
      <c r="L255" s="40">
        <f t="shared" si="84"/>
        <v>0</v>
      </c>
      <c r="N255" s="559">
        <f>SUM(J256:J264)</f>
        <v>35566.959999999999</v>
      </c>
      <c r="O255" s="561">
        <f t="shared" si="66"/>
        <v>0</v>
      </c>
      <c r="Q255" s="36">
        <f t="shared" si="65"/>
        <v>0</v>
      </c>
    </row>
    <row r="256" spans="1:17" s="36" customFormat="1" outlineLevel="3" x14ac:dyDescent="0.25">
      <c r="A256" s="270" t="s">
        <v>4561</v>
      </c>
      <c r="B256" s="271" t="s">
        <v>4322</v>
      </c>
      <c r="C256" s="271">
        <v>10230</v>
      </c>
      <c r="D256" s="272" t="s">
        <v>322</v>
      </c>
      <c r="E256" s="271" t="s">
        <v>54</v>
      </c>
      <c r="F256" s="273">
        <v>43.63</v>
      </c>
      <c r="G256" s="274">
        <v>9.4499999999999993</v>
      </c>
      <c r="H256" s="275">
        <f t="shared" ref="H256:H264" si="85">ROUND(G256*ROUND(1+(33.25/100),4),2)</f>
        <v>12.59</v>
      </c>
      <c r="I256" s="275">
        <f t="shared" ref="I256:I264" si="86">ROUND(ROUND(F256,2)*ROUND(G256,2),2)</f>
        <v>412.3</v>
      </c>
      <c r="J256" s="276">
        <f t="shared" ref="J256:J264" si="87">ROUND(ROUND(F256,2)*ROUND(H256,2),2)</f>
        <v>549.29999999999995</v>
      </c>
      <c r="K256" s="155"/>
      <c r="L256" s="40">
        <f t="shared" si="84"/>
        <v>549.30169999999998</v>
      </c>
      <c r="O256" s="561">
        <f t="shared" si="66"/>
        <v>549.29999999999995</v>
      </c>
      <c r="Q256" s="36">
        <f t="shared" si="65"/>
        <v>549.30169999999998</v>
      </c>
    </row>
    <row r="257" spans="1:17" s="36" customFormat="1" ht="22.5" outlineLevel="3" x14ac:dyDescent="0.25">
      <c r="A257" s="270" t="s">
        <v>4562</v>
      </c>
      <c r="B257" s="271" t="s">
        <v>4322</v>
      </c>
      <c r="C257" s="271">
        <v>10208</v>
      </c>
      <c r="D257" s="272" t="s">
        <v>325</v>
      </c>
      <c r="E257" s="271" t="s">
        <v>54</v>
      </c>
      <c r="F257" s="273">
        <v>43.63</v>
      </c>
      <c r="G257" s="274">
        <v>10.73</v>
      </c>
      <c r="H257" s="275">
        <f t="shared" si="85"/>
        <v>14.3</v>
      </c>
      <c r="I257" s="275">
        <f t="shared" si="86"/>
        <v>468.15</v>
      </c>
      <c r="J257" s="276">
        <f t="shared" si="87"/>
        <v>623.91</v>
      </c>
      <c r="K257" s="155"/>
      <c r="L257" s="40">
        <f t="shared" si="84"/>
        <v>623.90900000000011</v>
      </c>
      <c r="O257" s="561">
        <f t="shared" si="66"/>
        <v>623.91</v>
      </c>
      <c r="Q257" s="36">
        <f t="shared" si="65"/>
        <v>623.90900000000011</v>
      </c>
    </row>
    <row r="258" spans="1:17" s="36" customFormat="1" ht="22.5" outlineLevel="3" x14ac:dyDescent="0.25">
      <c r="A258" s="270" t="s">
        <v>4563</v>
      </c>
      <c r="B258" s="271" t="s">
        <v>4322</v>
      </c>
      <c r="C258" s="271">
        <v>200704</v>
      </c>
      <c r="D258" s="272" t="s">
        <v>382</v>
      </c>
      <c r="E258" s="271" t="s">
        <v>54</v>
      </c>
      <c r="F258" s="273">
        <v>18.899999999999999</v>
      </c>
      <c r="G258" s="274">
        <v>42.98</v>
      </c>
      <c r="H258" s="275">
        <f t="shared" si="85"/>
        <v>57.27</v>
      </c>
      <c r="I258" s="275">
        <f t="shared" si="86"/>
        <v>812.32</v>
      </c>
      <c r="J258" s="276">
        <f t="shared" si="87"/>
        <v>1082.4000000000001</v>
      </c>
      <c r="K258" s="155"/>
      <c r="L258" s="40">
        <f t="shared" si="84"/>
        <v>1082.403</v>
      </c>
      <c r="O258" s="561">
        <f t="shared" si="66"/>
        <v>1082.4000000000001</v>
      </c>
      <c r="Q258" s="36">
        <f t="shared" si="65"/>
        <v>1082.403</v>
      </c>
    </row>
    <row r="259" spans="1:17" s="36" customFormat="1" ht="22.5" outlineLevel="3" x14ac:dyDescent="0.25">
      <c r="A259" s="270" t="s">
        <v>4564</v>
      </c>
      <c r="B259" s="271" t="s">
        <v>4322</v>
      </c>
      <c r="C259" s="271">
        <v>120303</v>
      </c>
      <c r="D259" s="272" t="s">
        <v>159</v>
      </c>
      <c r="E259" s="271" t="s">
        <v>54</v>
      </c>
      <c r="F259" s="273">
        <v>43.63</v>
      </c>
      <c r="G259" s="274">
        <v>65.959999999999994</v>
      </c>
      <c r="H259" s="275">
        <f t="shared" si="85"/>
        <v>87.89</v>
      </c>
      <c r="I259" s="275">
        <f t="shared" si="86"/>
        <v>2877.83</v>
      </c>
      <c r="J259" s="276">
        <f t="shared" si="87"/>
        <v>3834.64</v>
      </c>
      <c r="K259" s="155"/>
      <c r="L259" s="40">
        <f t="shared" si="84"/>
        <v>3834.6407000000004</v>
      </c>
      <c r="O259" s="561">
        <f t="shared" si="66"/>
        <v>3834.64</v>
      </c>
      <c r="Q259" s="36">
        <f t="shared" si="65"/>
        <v>3834.6407000000004</v>
      </c>
    </row>
    <row r="260" spans="1:17" s="36" customFormat="1" ht="22.5" outlineLevel="3" x14ac:dyDescent="0.25">
      <c r="A260" s="270" t="s">
        <v>4565</v>
      </c>
      <c r="B260" s="271" t="s">
        <v>4322</v>
      </c>
      <c r="C260" s="271">
        <v>160707</v>
      </c>
      <c r="D260" s="272" t="s">
        <v>166</v>
      </c>
      <c r="E260" s="271" t="s">
        <v>54</v>
      </c>
      <c r="F260" s="273">
        <v>43.63</v>
      </c>
      <c r="G260" s="274">
        <v>30.79</v>
      </c>
      <c r="H260" s="275">
        <f t="shared" si="85"/>
        <v>41.03</v>
      </c>
      <c r="I260" s="275">
        <f t="shared" si="86"/>
        <v>1343.37</v>
      </c>
      <c r="J260" s="276">
        <f t="shared" si="87"/>
        <v>1790.14</v>
      </c>
      <c r="K260" s="155"/>
      <c r="L260" s="40">
        <f t="shared" si="84"/>
        <v>1790.1389000000001</v>
      </c>
      <c r="O260" s="561">
        <f t="shared" si="66"/>
        <v>1790.14</v>
      </c>
      <c r="Q260" s="36">
        <f t="shared" si="65"/>
        <v>1790.1389000000001</v>
      </c>
    </row>
    <row r="261" spans="1:17" s="36" customFormat="1" ht="45" outlineLevel="3" x14ac:dyDescent="0.25">
      <c r="A261" s="270" t="s">
        <v>4566</v>
      </c>
      <c r="B261" s="271" t="s">
        <v>4322</v>
      </c>
      <c r="C261" s="271">
        <v>190117</v>
      </c>
      <c r="D261" s="272" t="s">
        <v>339</v>
      </c>
      <c r="E261" s="271" t="s">
        <v>54</v>
      </c>
      <c r="F261" s="273">
        <v>20.100000000000001</v>
      </c>
      <c r="G261" s="274">
        <v>25.15</v>
      </c>
      <c r="H261" s="275">
        <f t="shared" si="85"/>
        <v>33.51</v>
      </c>
      <c r="I261" s="275">
        <f t="shared" si="86"/>
        <v>505.52</v>
      </c>
      <c r="J261" s="276">
        <f t="shared" si="87"/>
        <v>673.55</v>
      </c>
      <c r="K261" s="155"/>
      <c r="L261" s="40">
        <f t="shared" si="84"/>
        <v>673.55100000000004</v>
      </c>
      <c r="O261" s="561">
        <f t="shared" si="66"/>
        <v>673.55</v>
      </c>
      <c r="Q261" s="36">
        <f t="shared" si="65"/>
        <v>673.55100000000004</v>
      </c>
    </row>
    <row r="262" spans="1:17" s="36" customFormat="1" ht="33.75" outlineLevel="3" x14ac:dyDescent="0.25">
      <c r="A262" s="270" t="s">
        <v>4567</v>
      </c>
      <c r="B262" s="271" t="s">
        <v>4322</v>
      </c>
      <c r="C262" s="271">
        <v>30304</v>
      </c>
      <c r="D262" s="272" t="s">
        <v>119</v>
      </c>
      <c r="E262" s="271" t="s">
        <v>89</v>
      </c>
      <c r="F262" s="273">
        <v>1.0900000000000001</v>
      </c>
      <c r="G262" s="274">
        <v>89.06</v>
      </c>
      <c r="H262" s="275">
        <f t="shared" si="85"/>
        <v>118.67</v>
      </c>
      <c r="I262" s="275">
        <f t="shared" si="86"/>
        <v>97.08</v>
      </c>
      <c r="J262" s="276">
        <f t="shared" si="87"/>
        <v>129.35</v>
      </c>
      <c r="K262" s="155"/>
      <c r="L262" s="40">
        <f t="shared" si="84"/>
        <v>129.3503</v>
      </c>
      <c r="O262" s="561">
        <f t="shared" si="66"/>
        <v>129.35</v>
      </c>
      <c r="Q262" s="36">
        <f t="shared" si="65"/>
        <v>129.3503</v>
      </c>
    </row>
    <row r="263" spans="1:17" s="36" customFormat="1" ht="22.5" outlineLevel="3" x14ac:dyDescent="0.25">
      <c r="A263" s="270" t="s">
        <v>4568</v>
      </c>
      <c r="B263" s="271" t="s">
        <v>341</v>
      </c>
      <c r="C263" s="271" t="s">
        <v>342</v>
      </c>
      <c r="D263" s="272" t="s">
        <v>343</v>
      </c>
      <c r="E263" s="271" t="s">
        <v>54</v>
      </c>
      <c r="F263" s="273">
        <v>39.36</v>
      </c>
      <c r="G263" s="274">
        <v>354.24</v>
      </c>
      <c r="H263" s="275">
        <f t="shared" si="85"/>
        <v>472.02</v>
      </c>
      <c r="I263" s="275">
        <f t="shared" si="86"/>
        <v>13942.89</v>
      </c>
      <c r="J263" s="276">
        <f t="shared" si="87"/>
        <v>18578.71</v>
      </c>
      <c r="K263" s="155"/>
      <c r="L263" s="40">
        <f t="shared" si="84"/>
        <v>18578.707200000001</v>
      </c>
      <c r="O263" s="561">
        <f t="shared" si="66"/>
        <v>18578.71</v>
      </c>
      <c r="Q263" s="36">
        <f t="shared" ref="Q263:Q326" si="88">F263*H263</f>
        <v>18578.707200000001</v>
      </c>
    </row>
    <row r="264" spans="1:17" s="36" customFormat="1" outlineLevel="3" x14ac:dyDescent="0.25">
      <c r="A264" s="270" t="s">
        <v>4569</v>
      </c>
      <c r="B264" s="271" t="s">
        <v>341</v>
      </c>
      <c r="C264" s="271" t="s">
        <v>345</v>
      </c>
      <c r="D264" s="272" t="s">
        <v>346</v>
      </c>
      <c r="E264" s="271" t="s">
        <v>54</v>
      </c>
      <c r="F264" s="273">
        <v>39.36</v>
      </c>
      <c r="G264" s="274">
        <v>158.35</v>
      </c>
      <c r="H264" s="275">
        <f t="shared" si="85"/>
        <v>211</v>
      </c>
      <c r="I264" s="275">
        <f t="shared" si="86"/>
        <v>6232.66</v>
      </c>
      <c r="J264" s="276">
        <f t="shared" si="87"/>
        <v>8304.9599999999991</v>
      </c>
      <c r="K264" s="155"/>
      <c r="L264" s="40">
        <f t="shared" si="84"/>
        <v>8304.9599999999991</v>
      </c>
      <c r="O264" s="561">
        <f t="shared" ref="O264:O327" si="89">J264-N264</f>
        <v>8304.9599999999991</v>
      </c>
      <c r="Q264" s="36">
        <f t="shared" si="88"/>
        <v>8304.9599999999991</v>
      </c>
    </row>
    <row r="265" spans="1:17" s="36" customFormat="1" outlineLevel="2" x14ac:dyDescent="0.25">
      <c r="A265" s="288" t="s">
        <v>4570</v>
      </c>
      <c r="B265" s="289"/>
      <c r="C265" s="271"/>
      <c r="D265" s="289" t="s">
        <v>397</v>
      </c>
      <c r="E265" s="289"/>
      <c r="F265" s="290"/>
      <c r="G265" s="291"/>
      <c r="H265" s="289"/>
      <c r="I265" s="292">
        <f>ROUND(SUM(I266:I272),2)</f>
        <v>7795.27</v>
      </c>
      <c r="J265" s="293">
        <f>ROUND(SUM(J266:J272),2)</f>
        <v>10387.09</v>
      </c>
      <c r="K265" s="155"/>
      <c r="L265" s="40">
        <f t="shared" si="84"/>
        <v>0</v>
      </c>
      <c r="N265" s="559">
        <f>SUM(J266:J272)</f>
        <v>10387.09</v>
      </c>
      <c r="O265" s="561">
        <f t="shared" si="89"/>
        <v>0</v>
      </c>
      <c r="Q265" s="36">
        <f t="shared" si="88"/>
        <v>0</v>
      </c>
    </row>
    <row r="266" spans="1:17" s="36" customFormat="1" outlineLevel="3" x14ac:dyDescent="0.25">
      <c r="A266" s="270" t="s">
        <v>4571</v>
      </c>
      <c r="B266" s="271" t="s">
        <v>4322</v>
      </c>
      <c r="C266" s="271">
        <v>10230</v>
      </c>
      <c r="D266" s="272" t="s">
        <v>322</v>
      </c>
      <c r="E266" s="271" t="s">
        <v>54</v>
      </c>
      <c r="F266" s="273">
        <v>72.81</v>
      </c>
      <c r="G266" s="274">
        <v>9.4499999999999993</v>
      </c>
      <c r="H266" s="275">
        <f t="shared" ref="H266:H272" si="90">ROUND(G266*ROUND(1+(33.25/100),4),2)</f>
        <v>12.59</v>
      </c>
      <c r="I266" s="275">
        <f t="shared" ref="I266:I272" si="91">ROUND(ROUND(F266,2)*ROUND(G266,2),2)</f>
        <v>688.05</v>
      </c>
      <c r="J266" s="276">
        <f t="shared" ref="J266:J272" si="92">ROUND(ROUND(F266,2)*ROUND(H266,2),2)</f>
        <v>916.68</v>
      </c>
      <c r="K266" s="155"/>
      <c r="L266" s="40">
        <f t="shared" si="84"/>
        <v>916.67790000000002</v>
      </c>
      <c r="O266" s="561">
        <f t="shared" si="89"/>
        <v>916.68</v>
      </c>
      <c r="Q266" s="36">
        <f t="shared" si="88"/>
        <v>916.67790000000002</v>
      </c>
    </row>
    <row r="267" spans="1:17" s="36" customFormat="1" ht="22.5" outlineLevel="3" x14ac:dyDescent="0.25">
      <c r="A267" s="270" t="s">
        <v>4572</v>
      </c>
      <c r="B267" s="271" t="s">
        <v>4322</v>
      </c>
      <c r="C267" s="271">
        <v>10208</v>
      </c>
      <c r="D267" s="272" t="s">
        <v>325</v>
      </c>
      <c r="E267" s="271" t="s">
        <v>54</v>
      </c>
      <c r="F267" s="273">
        <v>41.45</v>
      </c>
      <c r="G267" s="274">
        <v>10.73</v>
      </c>
      <c r="H267" s="275">
        <f t="shared" si="90"/>
        <v>14.3</v>
      </c>
      <c r="I267" s="275">
        <f t="shared" si="91"/>
        <v>444.76</v>
      </c>
      <c r="J267" s="276">
        <f t="shared" si="92"/>
        <v>592.74</v>
      </c>
      <c r="K267" s="155"/>
      <c r="L267" s="40">
        <f t="shared" si="84"/>
        <v>592.73500000000001</v>
      </c>
      <c r="O267" s="561">
        <f t="shared" si="89"/>
        <v>592.74</v>
      </c>
      <c r="Q267" s="36">
        <f t="shared" si="88"/>
        <v>592.73500000000001</v>
      </c>
    </row>
    <row r="268" spans="1:17" s="36" customFormat="1" ht="22.5" outlineLevel="3" x14ac:dyDescent="0.25">
      <c r="A268" s="270" t="s">
        <v>4573</v>
      </c>
      <c r="B268" s="271" t="s">
        <v>4322</v>
      </c>
      <c r="C268" s="271">
        <v>120303</v>
      </c>
      <c r="D268" s="272" t="s">
        <v>159</v>
      </c>
      <c r="E268" s="271" t="s">
        <v>54</v>
      </c>
      <c r="F268" s="273">
        <v>41.45</v>
      </c>
      <c r="G268" s="274">
        <v>65.959999999999994</v>
      </c>
      <c r="H268" s="275">
        <f t="shared" si="90"/>
        <v>87.89</v>
      </c>
      <c r="I268" s="275">
        <f t="shared" si="91"/>
        <v>2734.04</v>
      </c>
      <c r="J268" s="276">
        <f t="shared" si="92"/>
        <v>3643.04</v>
      </c>
      <c r="K268" s="155"/>
      <c r="L268" s="40">
        <f t="shared" si="84"/>
        <v>3643.0405000000001</v>
      </c>
      <c r="O268" s="561">
        <f t="shared" si="89"/>
        <v>3643.04</v>
      </c>
      <c r="Q268" s="36">
        <f t="shared" si="88"/>
        <v>3643.0405000000001</v>
      </c>
    </row>
    <row r="269" spans="1:17" s="36" customFormat="1" ht="22.5" outlineLevel="3" x14ac:dyDescent="0.25">
      <c r="A269" s="270" t="s">
        <v>4574</v>
      </c>
      <c r="B269" s="271" t="s">
        <v>4322</v>
      </c>
      <c r="C269" s="271">
        <v>160707</v>
      </c>
      <c r="D269" s="272" t="s">
        <v>166</v>
      </c>
      <c r="E269" s="271" t="s">
        <v>54</v>
      </c>
      <c r="F269" s="273">
        <v>41.45</v>
      </c>
      <c r="G269" s="274">
        <v>30.79</v>
      </c>
      <c r="H269" s="275">
        <f t="shared" si="90"/>
        <v>41.03</v>
      </c>
      <c r="I269" s="275">
        <f t="shared" si="91"/>
        <v>1276.25</v>
      </c>
      <c r="J269" s="276">
        <f t="shared" si="92"/>
        <v>1700.69</v>
      </c>
      <c r="K269" s="155"/>
      <c r="L269" s="40">
        <f t="shared" si="84"/>
        <v>1700.6935000000001</v>
      </c>
      <c r="O269" s="561">
        <f t="shared" si="89"/>
        <v>1700.69</v>
      </c>
      <c r="Q269" s="36">
        <f t="shared" si="88"/>
        <v>1700.6935000000001</v>
      </c>
    </row>
    <row r="270" spans="1:17" s="36" customFormat="1" outlineLevel="3" x14ac:dyDescent="0.25">
      <c r="A270" s="270" t="s">
        <v>4575</v>
      </c>
      <c r="B270" s="271" t="s">
        <v>341</v>
      </c>
      <c r="C270" s="271" t="s">
        <v>360</v>
      </c>
      <c r="D270" s="272" t="s">
        <v>361</v>
      </c>
      <c r="E270" s="271" t="s">
        <v>72</v>
      </c>
      <c r="F270" s="273">
        <v>9.7799999999999994</v>
      </c>
      <c r="G270" s="274">
        <v>123.16</v>
      </c>
      <c r="H270" s="275">
        <f t="shared" si="90"/>
        <v>164.11</v>
      </c>
      <c r="I270" s="275">
        <f t="shared" si="91"/>
        <v>1204.5</v>
      </c>
      <c r="J270" s="276">
        <f t="shared" si="92"/>
        <v>1605</v>
      </c>
      <c r="K270" s="155"/>
      <c r="L270" s="40">
        <f t="shared" si="84"/>
        <v>1604.9957999999999</v>
      </c>
      <c r="O270" s="561">
        <f t="shared" si="89"/>
        <v>1605</v>
      </c>
      <c r="Q270" s="36">
        <f t="shared" si="88"/>
        <v>1604.9957999999999</v>
      </c>
    </row>
    <row r="271" spans="1:17" s="36" customFormat="1" ht="33.75" outlineLevel="3" x14ac:dyDescent="0.25">
      <c r="A271" s="270" t="s">
        <v>4576</v>
      </c>
      <c r="B271" s="271" t="s">
        <v>4322</v>
      </c>
      <c r="C271" s="271">
        <v>190116</v>
      </c>
      <c r="D271" s="272" t="s">
        <v>336</v>
      </c>
      <c r="E271" s="271" t="s">
        <v>54</v>
      </c>
      <c r="F271" s="273">
        <v>31.36</v>
      </c>
      <c r="G271" s="274">
        <v>28.61</v>
      </c>
      <c r="H271" s="275">
        <f t="shared" si="90"/>
        <v>38.119999999999997</v>
      </c>
      <c r="I271" s="275">
        <f t="shared" si="91"/>
        <v>897.21</v>
      </c>
      <c r="J271" s="276">
        <f t="shared" si="92"/>
        <v>1195.44</v>
      </c>
      <c r="K271" s="155"/>
      <c r="L271" s="40">
        <f t="shared" si="84"/>
        <v>1195.4431999999999</v>
      </c>
      <c r="O271" s="561">
        <f t="shared" si="89"/>
        <v>1195.44</v>
      </c>
      <c r="Q271" s="36">
        <f t="shared" si="88"/>
        <v>1195.4431999999999</v>
      </c>
    </row>
    <row r="272" spans="1:17" s="36" customFormat="1" ht="33.75" outlineLevel="3" x14ac:dyDescent="0.25">
      <c r="A272" s="270" t="s">
        <v>4577</v>
      </c>
      <c r="B272" s="271" t="s">
        <v>77</v>
      </c>
      <c r="C272" s="271" t="s">
        <v>329</v>
      </c>
      <c r="D272" s="272" t="s">
        <v>330</v>
      </c>
      <c r="E272" s="271" t="s">
        <v>54</v>
      </c>
      <c r="F272" s="273">
        <v>0.96</v>
      </c>
      <c r="G272" s="274">
        <v>573.4</v>
      </c>
      <c r="H272" s="275">
        <f t="shared" si="90"/>
        <v>764.06</v>
      </c>
      <c r="I272" s="275">
        <f t="shared" si="91"/>
        <v>550.46</v>
      </c>
      <c r="J272" s="276">
        <f t="shared" si="92"/>
        <v>733.5</v>
      </c>
      <c r="K272" s="155"/>
      <c r="L272" s="40">
        <f t="shared" si="84"/>
        <v>733.49759999999992</v>
      </c>
      <c r="O272" s="561">
        <f t="shared" si="89"/>
        <v>733.5</v>
      </c>
      <c r="Q272" s="36">
        <f t="shared" si="88"/>
        <v>733.49759999999992</v>
      </c>
    </row>
    <row r="273" spans="1:17" s="36" customFormat="1" outlineLevel="2" x14ac:dyDescent="0.25">
      <c r="A273" s="288" t="s">
        <v>4578</v>
      </c>
      <c r="B273" s="289"/>
      <c r="C273" s="271"/>
      <c r="D273" s="289" t="s">
        <v>405</v>
      </c>
      <c r="E273" s="289"/>
      <c r="F273" s="290"/>
      <c r="G273" s="291"/>
      <c r="H273" s="289"/>
      <c r="I273" s="292">
        <f>ROUND(SUM(I274:I285),2)</f>
        <v>18423.86</v>
      </c>
      <c r="J273" s="293">
        <f>ROUND(SUM(J274:J285),2)</f>
        <v>24549.72</v>
      </c>
      <c r="K273" s="155"/>
      <c r="L273" s="40">
        <f t="shared" si="84"/>
        <v>0</v>
      </c>
      <c r="N273" s="559">
        <f>SUM(J274:J285)</f>
        <v>24549.72</v>
      </c>
      <c r="O273" s="561">
        <f t="shared" si="89"/>
        <v>0</v>
      </c>
      <c r="Q273" s="36">
        <f t="shared" si="88"/>
        <v>0</v>
      </c>
    </row>
    <row r="274" spans="1:17" s="36" customFormat="1" outlineLevel="3" x14ac:dyDescent="0.25">
      <c r="A274" s="270" t="s">
        <v>4579</v>
      </c>
      <c r="B274" s="271" t="s">
        <v>4322</v>
      </c>
      <c r="C274" s="271">
        <v>10230</v>
      </c>
      <c r="D274" s="272" t="s">
        <v>322</v>
      </c>
      <c r="E274" s="271" t="s">
        <v>54</v>
      </c>
      <c r="F274" s="273">
        <v>23.59</v>
      </c>
      <c r="G274" s="274">
        <v>9.4499999999999993</v>
      </c>
      <c r="H274" s="275">
        <f t="shared" ref="H274:H285" si="93">ROUND(G274*ROUND(1+(33.25/100),4),2)</f>
        <v>12.59</v>
      </c>
      <c r="I274" s="275">
        <f t="shared" ref="I274:I285" si="94">ROUND(ROUND(F274,2)*ROUND(G274,2),2)</f>
        <v>222.93</v>
      </c>
      <c r="J274" s="276">
        <f t="shared" ref="J274:J285" si="95">ROUND(ROUND(F274,2)*ROUND(H274,2),2)</f>
        <v>297</v>
      </c>
      <c r="K274" s="155"/>
      <c r="L274" s="40">
        <f t="shared" si="84"/>
        <v>296.99810000000002</v>
      </c>
      <c r="O274" s="561">
        <f t="shared" si="89"/>
        <v>297</v>
      </c>
      <c r="Q274" s="36">
        <f t="shared" si="88"/>
        <v>296.99810000000002</v>
      </c>
    </row>
    <row r="275" spans="1:17" s="36" customFormat="1" ht="22.5" outlineLevel="3" x14ac:dyDescent="0.25">
      <c r="A275" s="270" t="s">
        <v>4580</v>
      </c>
      <c r="B275" s="271" t="s">
        <v>82</v>
      </c>
      <c r="C275" s="271" t="s">
        <v>408</v>
      </c>
      <c r="D275" s="272" t="s">
        <v>409</v>
      </c>
      <c r="E275" s="271" t="s">
        <v>122</v>
      </c>
      <c r="F275" s="273">
        <v>31.84</v>
      </c>
      <c r="G275" s="274">
        <v>30.33</v>
      </c>
      <c r="H275" s="275">
        <f t="shared" si="93"/>
        <v>40.409999999999997</v>
      </c>
      <c r="I275" s="275">
        <f t="shared" si="94"/>
        <v>965.71</v>
      </c>
      <c r="J275" s="276">
        <f t="shared" si="95"/>
        <v>1286.6500000000001</v>
      </c>
      <c r="K275" s="155"/>
      <c r="L275" s="40">
        <f t="shared" si="84"/>
        <v>1286.6543999999999</v>
      </c>
      <c r="O275" s="561">
        <f t="shared" si="89"/>
        <v>1286.6500000000001</v>
      </c>
      <c r="Q275" s="36">
        <f t="shared" si="88"/>
        <v>1286.6543999999999</v>
      </c>
    </row>
    <row r="276" spans="1:17" s="36" customFormat="1" ht="22.5" outlineLevel="3" x14ac:dyDescent="0.25">
      <c r="A276" s="270" t="s">
        <v>4581</v>
      </c>
      <c r="B276" s="271" t="s">
        <v>4322</v>
      </c>
      <c r="C276" s="271">
        <v>10208</v>
      </c>
      <c r="D276" s="272" t="s">
        <v>325</v>
      </c>
      <c r="E276" s="271" t="s">
        <v>54</v>
      </c>
      <c r="F276" s="273">
        <v>55.43</v>
      </c>
      <c r="G276" s="274">
        <v>10.73</v>
      </c>
      <c r="H276" s="275">
        <f t="shared" si="93"/>
        <v>14.3</v>
      </c>
      <c r="I276" s="275">
        <f t="shared" si="94"/>
        <v>594.76</v>
      </c>
      <c r="J276" s="276">
        <f t="shared" si="95"/>
        <v>792.65</v>
      </c>
      <c r="K276" s="155"/>
      <c r="L276" s="40">
        <f t="shared" si="84"/>
        <v>792.649</v>
      </c>
      <c r="O276" s="561">
        <f t="shared" si="89"/>
        <v>792.65</v>
      </c>
      <c r="Q276" s="36">
        <f t="shared" si="88"/>
        <v>792.649</v>
      </c>
    </row>
    <row r="277" spans="1:17" s="36" customFormat="1" ht="22.5" outlineLevel="3" x14ac:dyDescent="0.25">
      <c r="A277" s="270" t="s">
        <v>4582</v>
      </c>
      <c r="B277" s="271" t="s">
        <v>4322</v>
      </c>
      <c r="C277" s="271">
        <v>10202</v>
      </c>
      <c r="D277" s="272" t="s">
        <v>413</v>
      </c>
      <c r="E277" s="271" t="s">
        <v>54</v>
      </c>
      <c r="F277" s="273">
        <v>21.43</v>
      </c>
      <c r="G277" s="274">
        <v>21.13</v>
      </c>
      <c r="H277" s="275">
        <f t="shared" si="93"/>
        <v>28.16</v>
      </c>
      <c r="I277" s="275">
        <f t="shared" si="94"/>
        <v>452.82</v>
      </c>
      <c r="J277" s="276">
        <f t="shared" si="95"/>
        <v>603.47</v>
      </c>
      <c r="K277" s="155"/>
      <c r="L277" s="40">
        <f t="shared" si="84"/>
        <v>603.46879999999999</v>
      </c>
      <c r="O277" s="561">
        <f t="shared" si="89"/>
        <v>603.47</v>
      </c>
      <c r="Q277" s="36">
        <f t="shared" si="88"/>
        <v>603.46879999999999</v>
      </c>
    </row>
    <row r="278" spans="1:17" s="36" customFormat="1" ht="22.5" outlineLevel="3" x14ac:dyDescent="0.25">
      <c r="A278" s="270" t="s">
        <v>4583</v>
      </c>
      <c r="B278" s="271" t="s">
        <v>82</v>
      </c>
      <c r="C278" s="271" t="s">
        <v>415</v>
      </c>
      <c r="D278" s="272" t="s">
        <v>416</v>
      </c>
      <c r="E278" s="271" t="s">
        <v>122</v>
      </c>
      <c r="F278" s="273">
        <v>21.42</v>
      </c>
      <c r="G278" s="274">
        <v>2.74</v>
      </c>
      <c r="H278" s="275">
        <f t="shared" si="93"/>
        <v>3.65</v>
      </c>
      <c r="I278" s="275">
        <f t="shared" si="94"/>
        <v>58.69</v>
      </c>
      <c r="J278" s="276">
        <f t="shared" si="95"/>
        <v>78.180000000000007</v>
      </c>
      <c r="K278" s="155"/>
      <c r="L278" s="40">
        <f t="shared" si="84"/>
        <v>78.183000000000007</v>
      </c>
      <c r="O278" s="561">
        <f t="shared" si="89"/>
        <v>78.180000000000007</v>
      </c>
      <c r="Q278" s="36">
        <f t="shared" si="88"/>
        <v>78.183000000000007</v>
      </c>
    </row>
    <row r="279" spans="1:17" s="36" customFormat="1" ht="22.5" outlineLevel="3" x14ac:dyDescent="0.25">
      <c r="A279" s="270" t="s">
        <v>4584</v>
      </c>
      <c r="B279" s="271" t="s">
        <v>4322</v>
      </c>
      <c r="C279" s="271">
        <v>120303</v>
      </c>
      <c r="D279" s="272" t="s">
        <v>159</v>
      </c>
      <c r="E279" s="271" t="s">
        <v>54</v>
      </c>
      <c r="F279" s="273">
        <v>55.43</v>
      </c>
      <c r="G279" s="274">
        <v>65.959999999999994</v>
      </c>
      <c r="H279" s="275">
        <f t="shared" si="93"/>
        <v>87.89</v>
      </c>
      <c r="I279" s="275">
        <f t="shared" si="94"/>
        <v>3656.16</v>
      </c>
      <c r="J279" s="276">
        <f t="shared" si="95"/>
        <v>4871.74</v>
      </c>
      <c r="K279" s="155"/>
      <c r="L279" s="40">
        <f t="shared" si="84"/>
        <v>4871.7426999999998</v>
      </c>
      <c r="O279" s="561">
        <f t="shared" si="89"/>
        <v>4871.74</v>
      </c>
      <c r="Q279" s="36">
        <f t="shared" si="88"/>
        <v>4871.7426999999998</v>
      </c>
    </row>
    <row r="280" spans="1:17" s="36" customFormat="1" ht="22.5" outlineLevel="3" x14ac:dyDescent="0.25">
      <c r="A280" s="270" t="s">
        <v>4585</v>
      </c>
      <c r="B280" s="271" t="s">
        <v>4322</v>
      </c>
      <c r="C280" s="271">
        <v>160707</v>
      </c>
      <c r="D280" s="272" t="s">
        <v>166</v>
      </c>
      <c r="E280" s="271" t="s">
        <v>54</v>
      </c>
      <c r="F280" s="273">
        <v>27.72</v>
      </c>
      <c r="G280" s="274">
        <v>30.79</v>
      </c>
      <c r="H280" s="275">
        <f t="shared" si="93"/>
        <v>41.03</v>
      </c>
      <c r="I280" s="275">
        <f t="shared" si="94"/>
        <v>853.5</v>
      </c>
      <c r="J280" s="276">
        <f t="shared" si="95"/>
        <v>1137.3499999999999</v>
      </c>
      <c r="K280" s="155"/>
      <c r="L280" s="40">
        <f t="shared" si="84"/>
        <v>1137.3516</v>
      </c>
      <c r="O280" s="561">
        <f t="shared" si="89"/>
        <v>1137.3499999999999</v>
      </c>
      <c r="Q280" s="36">
        <f t="shared" si="88"/>
        <v>1137.3516</v>
      </c>
    </row>
    <row r="281" spans="1:17" s="36" customFormat="1" ht="22.5" outlineLevel="3" x14ac:dyDescent="0.25">
      <c r="A281" s="270" t="s">
        <v>4586</v>
      </c>
      <c r="B281" s="271" t="s">
        <v>77</v>
      </c>
      <c r="C281" s="271" t="s">
        <v>332</v>
      </c>
      <c r="D281" s="272" t="s">
        <v>333</v>
      </c>
      <c r="E281" s="271" t="s">
        <v>54</v>
      </c>
      <c r="F281" s="273">
        <v>27.72</v>
      </c>
      <c r="G281" s="274">
        <v>117.68</v>
      </c>
      <c r="H281" s="275">
        <f t="shared" si="93"/>
        <v>156.81</v>
      </c>
      <c r="I281" s="275">
        <f t="shared" si="94"/>
        <v>3262.09</v>
      </c>
      <c r="J281" s="276">
        <f t="shared" si="95"/>
        <v>4346.7700000000004</v>
      </c>
      <c r="K281" s="155"/>
      <c r="L281" s="40">
        <f t="shared" si="84"/>
        <v>4346.7731999999996</v>
      </c>
      <c r="O281" s="561">
        <f t="shared" si="89"/>
        <v>4346.7700000000004</v>
      </c>
      <c r="Q281" s="36">
        <f t="shared" si="88"/>
        <v>4346.7731999999996</v>
      </c>
    </row>
    <row r="282" spans="1:17" s="36" customFormat="1" ht="22.5" outlineLevel="3" x14ac:dyDescent="0.25">
      <c r="A282" s="270" t="s">
        <v>4587</v>
      </c>
      <c r="B282" s="271" t="s">
        <v>77</v>
      </c>
      <c r="C282" s="271" t="s">
        <v>421</v>
      </c>
      <c r="D282" s="272" t="s">
        <v>422</v>
      </c>
      <c r="E282" s="271" t="s">
        <v>54</v>
      </c>
      <c r="F282" s="273">
        <v>21.42</v>
      </c>
      <c r="G282" s="274">
        <v>197.27</v>
      </c>
      <c r="H282" s="275">
        <f t="shared" si="93"/>
        <v>262.86</v>
      </c>
      <c r="I282" s="275">
        <f t="shared" si="94"/>
        <v>4225.5200000000004</v>
      </c>
      <c r="J282" s="276">
        <f t="shared" si="95"/>
        <v>5630.46</v>
      </c>
      <c r="K282" s="155"/>
      <c r="L282" s="40">
        <f t="shared" si="84"/>
        <v>5630.4612000000006</v>
      </c>
      <c r="O282" s="561">
        <f t="shared" si="89"/>
        <v>5630.46</v>
      </c>
      <c r="Q282" s="36">
        <f t="shared" si="88"/>
        <v>5630.4612000000006</v>
      </c>
    </row>
    <row r="283" spans="1:17" s="36" customFormat="1" ht="33.75" outlineLevel="3" x14ac:dyDescent="0.25">
      <c r="A283" s="270" t="s">
        <v>4588</v>
      </c>
      <c r="B283" s="271" t="s">
        <v>4322</v>
      </c>
      <c r="C283" s="271">
        <v>190116</v>
      </c>
      <c r="D283" s="272" t="s">
        <v>336</v>
      </c>
      <c r="E283" s="271" t="s">
        <v>54</v>
      </c>
      <c r="F283" s="273">
        <v>21.42</v>
      </c>
      <c r="G283" s="274">
        <v>28.61</v>
      </c>
      <c r="H283" s="275">
        <f t="shared" si="93"/>
        <v>38.119999999999997</v>
      </c>
      <c r="I283" s="275">
        <f t="shared" si="94"/>
        <v>612.83000000000004</v>
      </c>
      <c r="J283" s="276">
        <f t="shared" si="95"/>
        <v>816.53</v>
      </c>
      <c r="K283" s="155"/>
      <c r="L283" s="40">
        <f t="shared" si="84"/>
        <v>816.53039999999999</v>
      </c>
      <c r="O283" s="561">
        <f t="shared" si="89"/>
        <v>816.53</v>
      </c>
      <c r="Q283" s="36">
        <f t="shared" si="88"/>
        <v>816.53039999999999</v>
      </c>
    </row>
    <row r="284" spans="1:17" s="36" customFormat="1" outlineLevel="3" x14ac:dyDescent="0.25">
      <c r="A284" s="270" t="s">
        <v>4589</v>
      </c>
      <c r="B284" s="271" t="s">
        <v>77</v>
      </c>
      <c r="C284" s="271" t="s">
        <v>425</v>
      </c>
      <c r="D284" s="272" t="s">
        <v>426</v>
      </c>
      <c r="E284" s="271" t="s">
        <v>72</v>
      </c>
      <c r="F284" s="273">
        <v>21.25</v>
      </c>
      <c r="G284" s="274">
        <v>151.93</v>
      </c>
      <c r="H284" s="275">
        <f t="shared" si="93"/>
        <v>202.45</v>
      </c>
      <c r="I284" s="275">
        <f t="shared" si="94"/>
        <v>3228.51</v>
      </c>
      <c r="J284" s="276">
        <f t="shared" si="95"/>
        <v>4302.0600000000004</v>
      </c>
      <c r="K284" s="155"/>
      <c r="L284" s="40">
        <f t="shared" si="84"/>
        <v>4302.0625</v>
      </c>
      <c r="O284" s="561">
        <f t="shared" si="89"/>
        <v>4302.0600000000004</v>
      </c>
      <c r="Q284" s="36">
        <f t="shared" si="88"/>
        <v>4302.0625</v>
      </c>
    </row>
    <row r="285" spans="1:17" s="36" customFormat="1" ht="33.75" outlineLevel="3" x14ac:dyDescent="0.25">
      <c r="A285" s="270" t="s">
        <v>4590</v>
      </c>
      <c r="B285" s="271" t="s">
        <v>4322</v>
      </c>
      <c r="C285" s="271">
        <v>30304</v>
      </c>
      <c r="D285" s="272" t="s">
        <v>119</v>
      </c>
      <c r="E285" s="271" t="s">
        <v>89</v>
      </c>
      <c r="F285" s="273">
        <v>3.26</v>
      </c>
      <c r="G285" s="274">
        <v>89.06</v>
      </c>
      <c r="H285" s="275">
        <f t="shared" si="93"/>
        <v>118.67</v>
      </c>
      <c r="I285" s="275">
        <f t="shared" si="94"/>
        <v>290.33999999999997</v>
      </c>
      <c r="J285" s="276">
        <f t="shared" si="95"/>
        <v>386.86</v>
      </c>
      <c r="K285" s="155"/>
      <c r="L285" s="40">
        <f t="shared" si="84"/>
        <v>386.86419999999998</v>
      </c>
      <c r="O285" s="561">
        <f t="shared" si="89"/>
        <v>386.86</v>
      </c>
      <c r="Q285" s="36">
        <f t="shared" si="88"/>
        <v>386.86419999999998</v>
      </c>
    </row>
    <row r="286" spans="1:17" s="36" customFormat="1" outlineLevel="2" x14ac:dyDescent="0.25">
      <c r="A286" s="288" t="s">
        <v>4593</v>
      </c>
      <c r="B286" s="289"/>
      <c r="C286" s="271"/>
      <c r="D286" s="289" t="s">
        <v>428</v>
      </c>
      <c r="E286" s="289"/>
      <c r="F286" s="290"/>
      <c r="G286" s="291"/>
      <c r="H286" s="289"/>
      <c r="I286" s="292">
        <f>ROUND(SUM(I287:I288),2)</f>
        <v>3997.79</v>
      </c>
      <c r="J286" s="293">
        <f>ROUND(SUM(J287:J288),2)</f>
        <v>5327.3</v>
      </c>
      <c r="K286" s="155"/>
      <c r="L286" s="40">
        <f t="shared" si="84"/>
        <v>0</v>
      </c>
      <c r="N286" s="559">
        <f>SUM(J287:J288)</f>
        <v>5327.3</v>
      </c>
      <c r="O286" s="561">
        <f t="shared" si="89"/>
        <v>0</v>
      </c>
      <c r="Q286" s="36">
        <f t="shared" si="88"/>
        <v>0</v>
      </c>
    </row>
    <row r="287" spans="1:17" s="36" customFormat="1" ht="22.5" outlineLevel="3" x14ac:dyDescent="0.25">
      <c r="A287" s="270" t="s">
        <v>4591</v>
      </c>
      <c r="B287" s="271" t="s">
        <v>4322</v>
      </c>
      <c r="C287" s="271">
        <v>200704</v>
      </c>
      <c r="D287" s="272" t="s">
        <v>382</v>
      </c>
      <c r="E287" s="271" t="s">
        <v>54</v>
      </c>
      <c r="F287" s="273">
        <v>12.15</v>
      </c>
      <c r="G287" s="274">
        <v>42.98</v>
      </c>
      <c r="H287" s="275">
        <f>ROUND(G287*ROUND(1+(33.25/100),4),2)</f>
        <v>57.27</v>
      </c>
      <c r="I287" s="275">
        <f>ROUND(ROUND(F287,2)*ROUND(G287,2),2)</f>
        <v>522.21</v>
      </c>
      <c r="J287" s="276">
        <f>ROUND(ROUND(F287,2)*ROUND(H287,2),2)</f>
        <v>695.83</v>
      </c>
      <c r="K287" s="155"/>
      <c r="L287" s="40">
        <f t="shared" si="84"/>
        <v>695.83050000000003</v>
      </c>
      <c r="O287" s="561">
        <f t="shared" si="89"/>
        <v>695.83</v>
      </c>
      <c r="Q287" s="36">
        <f t="shared" si="88"/>
        <v>695.83050000000003</v>
      </c>
    </row>
    <row r="288" spans="1:17" s="36" customFormat="1" ht="22.5" outlineLevel="3" x14ac:dyDescent="0.25">
      <c r="A288" s="270" t="s">
        <v>4592</v>
      </c>
      <c r="B288" s="271" t="s">
        <v>4322</v>
      </c>
      <c r="C288" s="271">
        <v>160707</v>
      </c>
      <c r="D288" s="272" t="s">
        <v>166</v>
      </c>
      <c r="E288" s="271" t="s">
        <v>54</v>
      </c>
      <c r="F288" s="273">
        <v>112.88</v>
      </c>
      <c r="G288" s="274">
        <v>30.79</v>
      </c>
      <c r="H288" s="275">
        <f>ROUND(G288*ROUND(1+(33.25/100),4),2)</f>
        <v>41.03</v>
      </c>
      <c r="I288" s="275">
        <f>ROUND(ROUND(F288,2)*ROUND(G288,2),2)</f>
        <v>3475.58</v>
      </c>
      <c r="J288" s="276">
        <f>ROUND(ROUND(F288,2)*ROUND(H288,2),2)</f>
        <v>4631.47</v>
      </c>
      <c r="K288" s="155"/>
      <c r="L288" s="40">
        <f t="shared" si="84"/>
        <v>4631.4664000000002</v>
      </c>
      <c r="O288" s="561">
        <f t="shared" si="89"/>
        <v>4631.47</v>
      </c>
      <c r="Q288" s="36">
        <f t="shared" si="88"/>
        <v>4631.4664000000002</v>
      </c>
    </row>
    <row r="289" spans="1:17" s="36" customFormat="1" outlineLevel="2" x14ac:dyDescent="0.25">
      <c r="A289" s="288" t="s">
        <v>4595</v>
      </c>
      <c r="B289" s="289"/>
      <c r="C289" s="271"/>
      <c r="D289" s="289" t="s">
        <v>431</v>
      </c>
      <c r="E289" s="289"/>
      <c r="F289" s="290"/>
      <c r="G289" s="291"/>
      <c r="H289" s="289"/>
      <c r="I289" s="292">
        <f>ROUND(SUM(I290:I301),2)</f>
        <v>11246.56</v>
      </c>
      <c r="J289" s="293">
        <f>ROUND(SUM(J290:J301),2)</f>
        <v>14986</v>
      </c>
      <c r="K289" s="155"/>
      <c r="L289" s="40">
        <f t="shared" si="84"/>
        <v>0</v>
      </c>
      <c r="N289" s="559">
        <f>SUM(J290:J301)</f>
        <v>14986</v>
      </c>
      <c r="O289" s="561">
        <f t="shared" si="89"/>
        <v>0</v>
      </c>
      <c r="Q289" s="36">
        <f t="shared" si="88"/>
        <v>0</v>
      </c>
    </row>
    <row r="290" spans="1:17" s="36" customFormat="1" outlineLevel="3" x14ac:dyDescent="0.25">
      <c r="A290" s="270" t="s">
        <v>4594</v>
      </c>
      <c r="B290" s="271" t="s">
        <v>4322</v>
      </c>
      <c r="C290" s="271">
        <v>10230</v>
      </c>
      <c r="D290" s="272" t="s">
        <v>322</v>
      </c>
      <c r="E290" s="271" t="s">
        <v>54</v>
      </c>
      <c r="F290" s="273">
        <v>42.39</v>
      </c>
      <c r="G290" s="274">
        <v>9.4499999999999993</v>
      </c>
      <c r="H290" s="275">
        <f t="shared" ref="H290:H301" si="96">ROUND(G290*ROUND(1+(33.25/100),4),2)</f>
        <v>12.59</v>
      </c>
      <c r="I290" s="275">
        <f t="shared" ref="I290:I301" si="97">ROUND(ROUND(F290,2)*ROUND(G290,2),2)</f>
        <v>400.59</v>
      </c>
      <c r="J290" s="276">
        <f t="shared" ref="J290:J301" si="98">ROUND(ROUND(F290,2)*ROUND(H290,2),2)</f>
        <v>533.69000000000005</v>
      </c>
      <c r="K290" s="155"/>
      <c r="L290" s="40">
        <f t="shared" si="84"/>
        <v>533.69010000000003</v>
      </c>
      <c r="O290" s="561">
        <f t="shared" si="89"/>
        <v>533.69000000000005</v>
      </c>
      <c r="Q290" s="36">
        <f t="shared" si="88"/>
        <v>533.69010000000003</v>
      </c>
    </row>
    <row r="291" spans="1:17" s="36" customFormat="1" ht="22.5" outlineLevel="3" x14ac:dyDescent="0.25">
      <c r="A291" s="270" t="s">
        <v>4596</v>
      </c>
      <c r="B291" s="271" t="s">
        <v>4322</v>
      </c>
      <c r="C291" s="271">
        <v>10208</v>
      </c>
      <c r="D291" s="272" t="s">
        <v>325</v>
      </c>
      <c r="E291" s="271" t="s">
        <v>54</v>
      </c>
      <c r="F291" s="273">
        <v>42.39</v>
      </c>
      <c r="G291" s="274">
        <v>10.73</v>
      </c>
      <c r="H291" s="275">
        <f t="shared" si="96"/>
        <v>14.3</v>
      </c>
      <c r="I291" s="275">
        <f t="shared" si="97"/>
        <v>454.84</v>
      </c>
      <c r="J291" s="276">
        <f t="shared" si="98"/>
        <v>606.17999999999995</v>
      </c>
      <c r="K291" s="155"/>
      <c r="L291" s="40">
        <f t="shared" si="84"/>
        <v>606.17700000000002</v>
      </c>
      <c r="O291" s="561">
        <f t="shared" si="89"/>
        <v>606.17999999999995</v>
      </c>
      <c r="Q291" s="36">
        <f t="shared" si="88"/>
        <v>606.17700000000002</v>
      </c>
    </row>
    <row r="292" spans="1:17" s="36" customFormat="1" ht="22.5" outlineLevel="3" x14ac:dyDescent="0.25">
      <c r="A292" s="270" t="s">
        <v>4597</v>
      </c>
      <c r="B292" s="271" t="s">
        <v>4322</v>
      </c>
      <c r="C292" s="271">
        <v>10202</v>
      </c>
      <c r="D292" s="272" t="s">
        <v>413</v>
      </c>
      <c r="E292" s="271" t="s">
        <v>54</v>
      </c>
      <c r="F292" s="273">
        <v>15.36</v>
      </c>
      <c r="G292" s="274">
        <v>21.13</v>
      </c>
      <c r="H292" s="275">
        <f t="shared" si="96"/>
        <v>28.16</v>
      </c>
      <c r="I292" s="275">
        <f t="shared" si="97"/>
        <v>324.56</v>
      </c>
      <c r="J292" s="276">
        <f t="shared" si="98"/>
        <v>432.54</v>
      </c>
      <c r="K292" s="155"/>
      <c r="L292" s="40">
        <f t="shared" si="84"/>
        <v>432.5376</v>
      </c>
      <c r="O292" s="561">
        <f t="shared" si="89"/>
        <v>432.54</v>
      </c>
      <c r="Q292" s="36">
        <f t="shared" si="88"/>
        <v>432.5376</v>
      </c>
    </row>
    <row r="293" spans="1:17" s="36" customFormat="1" ht="22.5" outlineLevel="3" x14ac:dyDescent="0.25">
      <c r="A293" s="270" t="s">
        <v>4598</v>
      </c>
      <c r="B293" s="271" t="s">
        <v>82</v>
      </c>
      <c r="C293" s="271" t="s">
        <v>408</v>
      </c>
      <c r="D293" s="272" t="s">
        <v>409</v>
      </c>
      <c r="E293" s="271" t="s">
        <v>122</v>
      </c>
      <c r="F293" s="273">
        <v>0.84</v>
      </c>
      <c r="G293" s="274">
        <v>30.33</v>
      </c>
      <c r="H293" s="275">
        <f t="shared" si="96"/>
        <v>40.409999999999997</v>
      </c>
      <c r="I293" s="275">
        <f t="shared" si="97"/>
        <v>25.48</v>
      </c>
      <c r="J293" s="276">
        <f t="shared" si="98"/>
        <v>33.94</v>
      </c>
      <c r="K293" s="155"/>
      <c r="L293" s="40">
        <f t="shared" si="84"/>
        <v>33.944399999999995</v>
      </c>
      <c r="O293" s="561">
        <f t="shared" si="89"/>
        <v>33.94</v>
      </c>
      <c r="Q293" s="36">
        <f t="shared" si="88"/>
        <v>33.944399999999995</v>
      </c>
    </row>
    <row r="294" spans="1:17" s="36" customFormat="1" ht="22.5" outlineLevel="3" x14ac:dyDescent="0.25">
      <c r="A294" s="270" t="s">
        <v>4599</v>
      </c>
      <c r="B294" s="271" t="s">
        <v>82</v>
      </c>
      <c r="C294" s="271" t="s">
        <v>415</v>
      </c>
      <c r="D294" s="272" t="s">
        <v>416</v>
      </c>
      <c r="E294" s="271" t="s">
        <v>122</v>
      </c>
      <c r="F294" s="273">
        <v>15.36</v>
      </c>
      <c r="G294" s="274">
        <v>2.74</v>
      </c>
      <c r="H294" s="275">
        <f t="shared" si="96"/>
        <v>3.65</v>
      </c>
      <c r="I294" s="275">
        <f t="shared" si="97"/>
        <v>42.09</v>
      </c>
      <c r="J294" s="276">
        <f t="shared" si="98"/>
        <v>56.06</v>
      </c>
      <c r="K294" s="155"/>
      <c r="L294" s="40">
        <f t="shared" si="84"/>
        <v>56.064</v>
      </c>
      <c r="O294" s="561">
        <f t="shared" si="89"/>
        <v>56.06</v>
      </c>
      <c r="Q294" s="36">
        <f t="shared" si="88"/>
        <v>56.064</v>
      </c>
    </row>
    <row r="295" spans="1:17" s="36" customFormat="1" ht="22.5" outlineLevel="3" x14ac:dyDescent="0.25">
      <c r="A295" s="270" t="s">
        <v>4600</v>
      </c>
      <c r="B295" s="271" t="s">
        <v>77</v>
      </c>
      <c r="C295" s="271" t="s">
        <v>332</v>
      </c>
      <c r="D295" s="272" t="s">
        <v>333</v>
      </c>
      <c r="E295" s="271" t="s">
        <v>54</v>
      </c>
      <c r="F295" s="273">
        <v>15.36</v>
      </c>
      <c r="G295" s="274">
        <v>117.68</v>
      </c>
      <c r="H295" s="275">
        <f t="shared" si="96"/>
        <v>156.81</v>
      </c>
      <c r="I295" s="275">
        <f t="shared" si="97"/>
        <v>1807.56</v>
      </c>
      <c r="J295" s="276">
        <f t="shared" si="98"/>
        <v>2408.6</v>
      </c>
      <c r="K295" s="155"/>
      <c r="L295" s="40">
        <f t="shared" si="84"/>
        <v>2408.6016</v>
      </c>
      <c r="O295" s="561">
        <f t="shared" si="89"/>
        <v>2408.6</v>
      </c>
      <c r="Q295" s="36">
        <f t="shared" si="88"/>
        <v>2408.6016</v>
      </c>
    </row>
    <row r="296" spans="1:17" s="36" customFormat="1" ht="22.5" outlineLevel="3" x14ac:dyDescent="0.25">
      <c r="A296" s="270" t="s">
        <v>4601</v>
      </c>
      <c r="B296" s="271" t="s">
        <v>4322</v>
      </c>
      <c r="C296" s="271">
        <v>120303</v>
      </c>
      <c r="D296" s="272" t="s">
        <v>159</v>
      </c>
      <c r="E296" s="271" t="s">
        <v>54</v>
      </c>
      <c r="F296" s="273">
        <v>42.39</v>
      </c>
      <c r="G296" s="274">
        <v>65.959999999999994</v>
      </c>
      <c r="H296" s="275">
        <f t="shared" si="96"/>
        <v>87.89</v>
      </c>
      <c r="I296" s="275">
        <f t="shared" si="97"/>
        <v>2796.04</v>
      </c>
      <c r="J296" s="276">
        <f t="shared" si="98"/>
        <v>3725.66</v>
      </c>
      <c r="K296" s="155"/>
      <c r="L296" s="40">
        <f t="shared" si="84"/>
        <v>3725.6570999999999</v>
      </c>
      <c r="O296" s="561">
        <f t="shared" si="89"/>
        <v>3725.66</v>
      </c>
      <c r="Q296" s="36">
        <f t="shared" si="88"/>
        <v>3725.6570999999999</v>
      </c>
    </row>
    <row r="297" spans="1:17" s="36" customFormat="1" ht="33.75" outlineLevel="3" x14ac:dyDescent="0.25">
      <c r="A297" s="270" t="s">
        <v>4602</v>
      </c>
      <c r="B297" s="271" t="s">
        <v>82</v>
      </c>
      <c r="C297" s="271" t="s">
        <v>440</v>
      </c>
      <c r="D297" s="272" t="s">
        <v>441</v>
      </c>
      <c r="E297" s="271" t="s">
        <v>122</v>
      </c>
      <c r="F297" s="273">
        <v>18.39</v>
      </c>
      <c r="G297" s="274">
        <v>63.91</v>
      </c>
      <c r="H297" s="275">
        <f t="shared" si="96"/>
        <v>85.16</v>
      </c>
      <c r="I297" s="275">
        <f t="shared" si="97"/>
        <v>1175.3</v>
      </c>
      <c r="J297" s="276">
        <f t="shared" si="98"/>
        <v>1566.09</v>
      </c>
      <c r="K297" s="155"/>
      <c r="L297" s="40">
        <f t="shared" si="84"/>
        <v>1566.0924</v>
      </c>
      <c r="O297" s="561">
        <f t="shared" si="89"/>
        <v>1566.09</v>
      </c>
      <c r="Q297" s="36">
        <f t="shared" si="88"/>
        <v>1566.0924</v>
      </c>
    </row>
    <row r="298" spans="1:17" s="36" customFormat="1" ht="22.5" outlineLevel="3" x14ac:dyDescent="0.25">
      <c r="A298" s="270" t="s">
        <v>4603</v>
      </c>
      <c r="B298" s="271" t="s">
        <v>4322</v>
      </c>
      <c r="C298" s="271">
        <v>160707</v>
      </c>
      <c r="D298" s="272" t="s">
        <v>166</v>
      </c>
      <c r="E298" s="271" t="s">
        <v>54</v>
      </c>
      <c r="F298" s="273">
        <v>18.39</v>
      </c>
      <c r="G298" s="274">
        <v>30.79</v>
      </c>
      <c r="H298" s="275">
        <f t="shared" si="96"/>
        <v>41.03</v>
      </c>
      <c r="I298" s="275">
        <f t="shared" si="97"/>
        <v>566.23</v>
      </c>
      <c r="J298" s="276">
        <f t="shared" si="98"/>
        <v>754.54</v>
      </c>
      <c r="K298" s="155"/>
      <c r="L298" s="40">
        <f t="shared" si="84"/>
        <v>754.54169999999999</v>
      </c>
      <c r="O298" s="561">
        <f t="shared" si="89"/>
        <v>754.54</v>
      </c>
      <c r="Q298" s="36">
        <f t="shared" si="88"/>
        <v>754.54169999999999</v>
      </c>
    </row>
    <row r="299" spans="1:17" s="36" customFormat="1" ht="22.5" outlineLevel="3" x14ac:dyDescent="0.25">
      <c r="A299" s="270" t="s">
        <v>4604</v>
      </c>
      <c r="B299" s="271" t="s">
        <v>77</v>
      </c>
      <c r="C299" s="271" t="s">
        <v>421</v>
      </c>
      <c r="D299" s="272" t="s">
        <v>422</v>
      </c>
      <c r="E299" s="271" t="s">
        <v>54</v>
      </c>
      <c r="F299" s="273">
        <v>15.36</v>
      </c>
      <c r="G299" s="274">
        <v>197.27</v>
      </c>
      <c r="H299" s="275">
        <f t="shared" si="96"/>
        <v>262.86</v>
      </c>
      <c r="I299" s="275">
        <f t="shared" si="97"/>
        <v>3030.07</v>
      </c>
      <c r="J299" s="276">
        <f t="shared" si="98"/>
        <v>4037.53</v>
      </c>
      <c r="K299" s="155"/>
      <c r="L299" s="40">
        <f t="shared" si="84"/>
        <v>4037.5295999999998</v>
      </c>
      <c r="O299" s="561">
        <f t="shared" si="89"/>
        <v>4037.53</v>
      </c>
      <c r="Q299" s="36">
        <f t="shared" si="88"/>
        <v>4037.5295999999998</v>
      </c>
    </row>
    <row r="300" spans="1:17" s="36" customFormat="1" ht="33.75" outlineLevel="3" x14ac:dyDescent="0.25">
      <c r="A300" s="270" t="s">
        <v>4605</v>
      </c>
      <c r="B300" s="271" t="s">
        <v>4322</v>
      </c>
      <c r="C300" s="271">
        <v>190116</v>
      </c>
      <c r="D300" s="272" t="s">
        <v>336</v>
      </c>
      <c r="E300" s="271" t="s">
        <v>54</v>
      </c>
      <c r="F300" s="273">
        <v>15.36</v>
      </c>
      <c r="G300" s="274">
        <v>28.61</v>
      </c>
      <c r="H300" s="275">
        <f t="shared" si="96"/>
        <v>38.119999999999997</v>
      </c>
      <c r="I300" s="275">
        <f t="shared" si="97"/>
        <v>439.45</v>
      </c>
      <c r="J300" s="276">
        <f t="shared" si="98"/>
        <v>585.52</v>
      </c>
      <c r="K300" s="155"/>
      <c r="L300" s="40">
        <f t="shared" si="84"/>
        <v>585.52319999999997</v>
      </c>
      <c r="O300" s="561">
        <f t="shared" si="89"/>
        <v>585.52</v>
      </c>
      <c r="Q300" s="36">
        <f t="shared" si="88"/>
        <v>585.52319999999997</v>
      </c>
    </row>
    <row r="301" spans="1:17" s="36" customFormat="1" ht="33.75" outlineLevel="3" x14ac:dyDescent="0.25">
      <c r="A301" s="270" t="s">
        <v>4606</v>
      </c>
      <c r="B301" s="271" t="s">
        <v>4322</v>
      </c>
      <c r="C301" s="271">
        <v>30304</v>
      </c>
      <c r="D301" s="272" t="s">
        <v>119</v>
      </c>
      <c r="E301" s="271" t="s">
        <v>89</v>
      </c>
      <c r="F301" s="273">
        <v>2.0699999999999998</v>
      </c>
      <c r="G301" s="274">
        <v>89.06</v>
      </c>
      <c r="H301" s="275">
        <f t="shared" si="96"/>
        <v>118.67</v>
      </c>
      <c r="I301" s="275">
        <f t="shared" si="97"/>
        <v>184.35</v>
      </c>
      <c r="J301" s="276">
        <f t="shared" si="98"/>
        <v>245.65</v>
      </c>
      <c r="K301" s="155"/>
      <c r="L301" s="40">
        <f t="shared" si="84"/>
        <v>245.64689999999999</v>
      </c>
      <c r="O301" s="561">
        <f t="shared" si="89"/>
        <v>245.65</v>
      </c>
      <c r="Q301" s="36">
        <f t="shared" si="88"/>
        <v>245.64689999999999</v>
      </c>
    </row>
    <row r="302" spans="1:17" s="36" customFormat="1" outlineLevel="2" x14ac:dyDescent="0.25">
      <c r="A302" s="288" t="s">
        <v>4608</v>
      </c>
      <c r="B302" s="289"/>
      <c r="C302" s="271"/>
      <c r="D302" s="289" t="s">
        <v>446</v>
      </c>
      <c r="E302" s="289"/>
      <c r="F302" s="290"/>
      <c r="G302" s="291"/>
      <c r="H302" s="289"/>
      <c r="I302" s="292">
        <f>ROUND(SUM(I303:I308),2)</f>
        <v>9562.8700000000008</v>
      </c>
      <c r="J302" s="293">
        <f>ROUND(SUM(J303:J308),2)</f>
        <v>12742.44</v>
      </c>
      <c r="K302" s="155"/>
      <c r="L302" s="40">
        <f t="shared" si="84"/>
        <v>0</v>
      </c>
      <c r="N302" s="559">
        <f>SUM(J303:J308)</f>
        <v>12742.440000000002</v>
      </c>
      <c r="O302" s="561">
        <f t="shared" si="89"/>
        <v>0</v>
      </c>
      <c r="Q302" s="36">
        <f t="shared" si="88"/>
        <v>0</v>
      </c>
    </row>
    <row r="303" spans="1:17" s="36" customFormat="1" ht="22.5" outlineLevel="3" x14ac:dyDescent="0.25">
      <c r="A303" s="270" t="s">
        <v>4607</v>
      </c>
      <c r="B303" s="271" t="s">
        <v>4322</v>
      </c>
      <c r="C303" s="271">
        <v>200704</v>
      </c>
      <c r="D303" s="272" t="s">
        <v>382</v>
      </c>
      <c r="E303" s="271" t="s">
        <v>54</v>
      </c>
      <c r="F303" s="273">
        <v>120.69</v>
      </c>
      <c r="G303" s="274">
        <v>42.98</v>
      </c>
      <c r="H303" s="275">
        <f t="shared" ref="H303:H308" si="99">ROUND(G303*ROUND(1+(33.25/100),4),2)</f>
        <v>57.27</v>
      </c>
      <c r="I303" s="275">
        <f t="shared" ref="I303:I308" si="100">ROUND(ROUND(F303,2)*ROUND(G303,2),2)</f>
        <v>5187.26</v>
      </c>
      <c r="J303" s="276">
        <f t="shared" ref="J303:J308" si="101">ROUND(ROUND(F303,2)*ROUND(H303,2),2)</f>
        <v>6911.92</v>
      </c>
      <c r="K303" s="155"/>
      <c r="L303" s="40">
        <f t="shared" si="84"/>
        <v>6911.9162999999999</v>
      </c>
      <c r="O303" s="561">
        <f t="shared" si="89"/>
        <v>6911.92</v>
      </c>
      <c r="Q303" s="36">
        <f t="shared" si="88"/>
        <v>6911.9162999999999</v>
      </c>
    </row>
    <row r="304" spans="1:17" s="36" customFormat="1" outlineLevel="3" x14ac:dyDescent="0.25">
      <c r="A304" s="270" t="s">
        <v>4609</v>
      </c>
      <c r="B304" s="271" t="s">
        <v>4322</v>
      </c>
      <c r="C304" s="271">
        <v>10230</v>
      </c>
      <c r="D304" s="272" t="s">
        <v>322</v>
      </c>
      <c r="E304" s="271" t="s">
        <v>54</v>
      </c>
      <c r="F304" s="273">
        <v>36.72</v>
      </c>
      <c r="G304" s="274">
        <v>9.4499999999999993</v>
      </c>
      <c r="H304" s="275">
        <f t="shared" si="99"/>
        <v>12.59</v>
      </c>
      <c r="I304" s="275">
        <f t="shared" si="100"/>
        <v>347</v>
      </c>
      <c r="J304" s="276">
        <f t="shared" si="101"/>
        <v>462.3</v>
      </c>
      <c r="K304" s="155"/>
      <c r="L304" s="40">
        <f t="shared" si="84"/>
        <v>462.3048</v>
      </c>
      <c r="O304" s="561">
        <f t="shared" si="89"/>
        <v>462.3</v>
      </c>
      <c r="Q304" s="36">
        <f t="shared" si="88"/>
        <v>462.3048</v>
      </c>
    </row>
    <row r="305" spans="1:17" s="36" customFormat="1" ht="22.5" outlineLevel="3" x14ac:dyDescent="0.25">
      <c r="A305" s="270" t="s">
        <v>4610</v>
      </c>
      <c r="B305" s="271" t="s">
        <v>4322</v>
      </c>
      <c r="C305" s="271">
        <v>10208</v>
      </c>
      <c r="D305" s="272" t="s">
        <v>325</v>
      </c>
      <c r="E305" s="271" t="s">
        <v>54</v>
      </c>
      <c r="F305" s="273">
        <v>36.72</v>
      </c>
      <c r="G305" s="274">
        <v>10.73</v>
      </c>
      <c r="H305" s="275">
        <f t="shared" si="99"/>
        <v>14.3</v>
      </c>
      <c r="I305" s="275">
        <f t="shared" si="100"/>
        <v>394.01</v>
      </c>
      <c r="J305" s="276">
        <f t="shared" si="101"/>
        <v>525.1</v>
      </c>
      <c r="K305" s="155"/>
      <c r="L305" s="40">
        <f t="shared" si="84"/>
        <v>525.096</v>
      </c>
      <c r="O305" s="561">
        <f t="shared" si="89"/>
        <v>525.1</v>
      </c>
      <c r="Q305" s="36">
        <f t="shared" si="88"/>
        <v>525.096</v>
      </c>
    </row>
    <row r="306" spans="1:17" s="36" customFormat="1" ht="22.5" outlineLevel="3" x14ac:dyDescent="0.25">
      <c r="A306" s="270" t="s">
        <v>4611</v>
      </c>
      <c r="B306" s="271" t="s">
        <v>4322</v>
      </c>
      <c r="C306" s="271">
        <v>120303</v>
      </c>
      <c r="D306" s="272" t="s">
        <v>159</v>
      </c>
      <c r="E306" s="271" t="s">
        <v>54</v>
      </c>
      <c r="F306" s="273">
        <v>36.72</v>
      </c>
      <c r="G306" s="274">
        <v>65.959999999999994</v>
      </c>
      <c r="H306" s="275">
        <f t="shared" si="99"/>
        <v>87.89</v>
      </c>
      <c r="I306" s="275">
        <f t="shared" si="100"/>
        <v>2422.0500000000002</v>
      </c>
      <c r="J306" s="276">
        <f t="shared" si="101"/>
        <v>3227.32</v>
      </c>
      <c r="K306" s="155"/>
      <c r="L306" s="40">
        <f t="shared" si="84"/>
        <v>3227.3208</v>
      </c>
      <c r="O306" s="561">
        <f t="shared" si="89"/>
        <v>3227.32</v>
      </c>
      <c r="Q306" s="36">
        <f t="shared" si="88"/>
        <v>3227.3208</v>
      </c>
    </row>
    <row r="307" spans="1:17" s="36" customFormat="1" ht="22.5" outlineLevel="3" x14ac:dyDescent="0.25">
      <c r="A307" s="270" t="s">
        <v>4612</v>
      </c>
      <c r="B307" s="271" t="s">
        <v>4322</v>
      </c>
      <c r="C307" s="271">
        <v>160707</v>
      </c>
      <c r="D307" s="272" t="s">
        <v>166</v>
      </c>
      <c r="E307" s="271" t="s">
        <v>54</v>
      </c>
      <c r="F307" s="273">
        <v>36.72</v>
      </c>
      <c r="G307" s="274">
        <v>30.79</v>
      </c>
      <c r="H307" s="275">
        <f t="shared" si="99"/>
        <v>41.03</v>
      </c>
      <c r="I307" s="275">
        <f t="shared" si="100"/>
        <v>1130.6099999999999</v>
      </c>
      <c r="J307" s="276">
        <f t="shared" si="101"/>
        <v>1506.62</v>
      </c>
      <c r="K307" s="155"/>
      <c r="L307" s="40">
        <f t="shared" si="84"/>
        <v>1506.6215999999999</v>
      </c>
      <c r="O307" s="561">
        <f t="shared" si="89"/>
        <v>1506.62</v>
      </c>
      <c r="Q307" s="36">
        <f t="shared" si="88"/>
        <v>1506.6215999999999</v>
      </c>
    </row>
    <row r="308" spans="1:17" s="36" customFormat="1" ht="33.75" outlineLevel="3" x14ac:dyDescent="0.25">
      <c r="A308" s="270" t="s">
        <v>4613</v>
      </c>
      <c r="B308" s="271" t="s">
        <v>4322</v>
      </c>
      <c r="C308" s="271">
        <v>30304</v>
      </c>
      <c r="D308" s="272" t="s">
        <v>119</v>
      </c>
      <c r="E308" s="271" t="s">
        <v>89</v>
      </c>
      <c r="F308" s="273">
        <v>0.92</v>
      </c>
      <c r="G308" s="274">
        <v>89.06</v>
      </c>
      <c r="H308" s="275">
        <f t="shared" si="99"/>
        <v>118.67</v>
      </c>
      <c r="I308" s="275">
        <f t="shared" si="100"/>
        <v>81.94</v>
      </c>
      <c r="J308" s="276">
        <f t="shared" si="101"/>
        <v>109.18</v>
      </c>
      <c r="K308" s="155"/>
      <c r="L308" s="40">
        <f t="shared" si="84"/>
        <v>109.1764</v>
      </c>
      <c r="O308" s="561">
        <f t="shared" si="89"/>
        <v>109.18</v>
      </c>
      <c r="Q308" s="36">
        <f t="shared" si="88"/>
        <v>109.1764</v>
      </c>
    </row>
    <row r="309" spans="1:17" s="36" customFormat="1" outlineLevel="2" x14ac:dyDescent="0.25">
      <c r="A309" s="288" t="s">
        <v>4614</v>
      </c>
      <c r="B309" s="289"/>
      <c r="C309" s="271"/>
      <c r="D309" s="289" t="s">
        <v>453</v>
      </c>
      <c r="E309" s="289"/>
      <c r="F309" s="290"/>
      <c r="G309" s="291"/>
      <c r="H309" s="289"/>
      <c r="I309" s="292">
        <f>ROUND(SUM(I310:I314),2)</f>
        <v>3647.35</v>
      </c>
      <c r="J309" s="293">
        <f>ROUND(SUM(J310:J314),2)</f>
        <v>4860.12</v>
      </c>
      <c r="K309" s="155"/>
      <c r="L309" s="40">
        <f t="shared" si="84"/>
        <v>0</v>
      </c>
      <c r="N309" s="559">
        <f>SUM(J310:J314)</f>
        <v>4860.12</v>
      </c>
      <c r="O309" s="561">
        <f t="shared" si="89"/>
        <v>0</v>
      </c>
      <c r="Q309" s="36">
        <f t="shared" si="88"/>
        <v>0</v>
      </c>
    </row>
    <row r="310" spans="1:17" s="36" customFormat="1" outlineLevel="3" x14ac:dyDescent="0.25">
      <c r="A310" s="270" t="s">
        <v>4615</v>
      </c>
      <c r="B310" s="271" t="s">
        <v>4322</v>
      </c>
      <c r="C310" s="271">
        <v>10230</v>
      </c>
      <c r="D310" s="272" t="s">
        <v>322</v>
      </c>
      <c r="E310" s="271" t="s">
        <v>54</v>
      </c>
      <c r="F310" s="273">
        <v>54.16</v>
      </c>
      <c r="G310" s="274">
        <v>9.4499999999999993</v>
      </c>
      <c r="H310" s="275">
        <f>ROUND(G310*ROUND(1+(33.25/100),4),2)</f>
        <v>12.59</v>
      </c>
      <c r="I310" s="275">
        <f>ROUND(ROUND(F310,2)*ROUND(G310,2),2)</f>
        <v>511.81</v>
      </c>
      <c r="J310" s="276">
        <f>ROUND(ROUND(F310,2)*ROUND(H310,2),2)</f>
        <v>681.87</v>
      </c>
      <c r="K310" s="155"/>
      <c r="L310" s="40">
        <f t="shared" si="84"/>
        <v>681.87439999999992</v>
      </c>
      <c r="O310" s="561">
        <f t="shared" si="89"/>
        <v>681.87</v>
      </c>
      <c r="Q310" s="36">
        <f t="shared" si="88"/>
        <v>681.87439999999992</v>
      </c>
    </row>
    <row r="311" spans="1:17" s="36" customFormat="1" ht="22.5" outlineLevel="3" x14ac:dyDescent="0.25">
      <c r="A311" s="270" t="s">
        <v>4616</v>
      </c>
      <c r="B311" s="271" t="s">
        <v>4322</v>
      </c>
      <c r="C311" s="271">
        <v>10208</v>
      </c>
      <c r="D311" s="272" t="s">
        <v>325</v>
      </c>
      <c r="E311" s="271" t="s">
        <v>54</v>
      </c>
      <c r="F311" s="273">
        <v>25.19</v>
      </c>
      <c r="G311" s="274">
        <v>10.73</v>
      </c>
      <c r="H311" s="275">
        <f>ROUND(G311*ROUND(1+(33.25/100),4),2)</f>
        <v>14.3</v>
      </c>
      <c r="I311" s="275">
        <f>ROUND(ROUND(F311,2)*ROUND(G311,2),2)</f>
        <v>270.29000000000002</v>
      </c>
      <c r="J311" s="276">
        <f>ROUND(ROUND(F311,2)*ROUND(H311,2),2)</f>
        <v>360.22</v>
      </c>
      <c r="K311" s="155"/>
      <c r="L311" s="40">
        <f t="shared" si="84"/>
        <v>360.21700000000004</v>
      </c>
      <c r="O311" s="561">
        <f t="shared" si="89"/>
        <v>360.22</v>
      </c>
      <c r="Q311" s="36">
        <f t="shared" si="88"/>
        <v>360.21700000000004</v>
      </c>
    </row>
    <row r="312" spans="1:17" s="36" customFormat="1" ht="22.5" outlineLevel="3" x14ac:dyDescent="0.25">
      <c r="A312" s="270" t="s">
        <v>4617</v>
      </c>
      <c r="B312" s="271" t="s">
        <v>4322</v>
      </c>
      <c r="C312" s="271">
        <v>160707</v>
      </c>
      <c r="D312" s="272" t="s">
        <v>166</v>
      </c>
      <c r="E312" s="271" t="s">
        <v>54</v>
      </c>
      <c r="F312" s="273">
        <v>54.16</v>
      </c>
      <c r="G312" s="274">
        <v>30.79</v>
      </c>
      <c r="H312" s="275">
        <f>ROUND(G312*ROUND(1+(33.25/100),4),2)</f>
        <v>41.03</v>
      </c>
      <c r="I312" s="275">
        <f>ROUND(ROUND(F312,2)*ROUND(G312,2),2)</f>
        <v>1667.59</v>
      </c>
      <c r="J312" s="276">
        <f>ROUND(ROUND(F312,2)*ROUND(H312,2),2)</f>
        <v>2222.1799999999998</v>
      </c>
      <c r="K312" s="155"/>
      <c r="L312" s="40">
        <f t="shared" si="84"/>
        <v>2222.1848</v>
      </c>
      <c r="O312" s="561">
        <f t="shared" si="89"/>
        <v>2222.1799999999998</v>
      </c>
      <c r="Q312" s="36">
        <f t="shared" si="88"/>
        <v>2222.1848</v>
      </c>
    </row>
    <row r="313" spans="1:17" s="36" customFormat="1" ht="22.5" outlineLevel="3" x14ac:dyDescent="0.25">
      <c r="A313" s="270" t="s">
        <v>4618</v>
      </c>
      <c r="B313" s="271" t="s">
        <v>4322</v>
      </c>
      <c r="C313" s="271">
        <v>200704</v>
      </c>
      <c r="D313" s="272" t="s">
        <v>382</v>
      </c>
      <c r="E313" s="271" t="s">
        <v>54</v>
      </c>
      <c r="F313" s="273">
        <v>26.56</v>
      </c>
      <c r="G313" s="274">
        <v>42.98</v>
      </c>
      <c r="H313" s="275">
        <f>ROUND(G313*ROUND(1+(33.25/100),4),2)</f>
        <v>57.27</v>
      </c>
      <c r="I313" s="275">
        <f>ROUND(ROUND(F313,2)*ROUND(G313,2),2)</f>
        <v>1141.55</v>
      </c>
      <c r="J313" s="276">
        <f>ROUND(ROUND(F313,2)*ROUND(H313,2),2)</f>
        <v>1521.09</v>
      </c>
      <c r="K313" s="155"/>
      <c r="L313" s="40">
        <f t="shared" si="84"/>
        <v>1521.0912000000001</v>
      </c>
      <c r="O313" s="561">
        <f t="shared" si="89"/>
        <v>1521.09</v>
      </c>
      <c r="Q313" s="36">
        <f t="shared" si="88"/>
        <v>1521.0912000000001</v>
      </c>
    </row>
    <row r="314" spans="1:17" s="36" customFormat="1" ht="33.75" outlineLevel="3" x14ac:dyDescent="0.25">
      <c r="A314" s="270" t="s">
        <v>4619</v>
      </c>
      <c r="B314" s="271" t="s">
        <v>4322</v>
      </c>
      <c r="C314" s="271">
        <v>30304</v>
      </c>
      <c r="D314" s="272" t="s">
        <v>119</v>
      </c>
      <c r="E314" s="271" t="s">
        <v>89</v>
      </c>
      <c r="F314" s="273">
        <v>0.63</v>
      </c>
      <c r="G314" s="274">
        <v>89.06</v>
      </c>
      <c r="H314" s="275">
        <f>ROUND(G314*ROUND(1+(33.25/100),4),2)</f>
        <v>118.67</v>
      </c>
      <c r="I314" s="275">
        <f>ROUND(ROUND(F314,2)*ROUND(G314,2),2)</f>
        <v>56.11</v>
      </c>
      <c r="J314" s="276">
        <f>ROUND(ROUND(F314,2)*ROUND(H314,2),2)</f>
        <v>74.760000000000005</v>
      </c>
      <c r="K314" s="155"/>
      <c r="L314" s="40">
        <f t="shared" si="84"/>
        <v>74.762100000000004</v>
      </c>
      <c r="O314" s="561">
        <f t="shared" si="89"/>
        <v>74.760000000000005</v>
      </c>
      <c r="Q314" s="36">
        <f t="shared" si="88"/>
        <v>74.762100000000004</v>
      </c>
    </row>
    <row r="315" spans="1:17" s="36" customFormat="1" outlineLevel="2" x14ac:dyDescent="0.25">
      <c r="A315" s="288" t="s">
        <v>4620</v>
      </c>
      <c r="B315" s="289"/>
      <c r="C315" s="271"/>
      <c r="D315" s="289" t="s">
        <v>459</v>
      </c>
      <c r="E315" s="289"/>
      <c r="F315" s="290"/>
      <c r="G315" s="291"/>
      <c r="H315" s="289"/>
      <c r="I315" s="292">
        <f>ROUND(SUM(I316:I322),2)</f>
        <v>88764.29</v>
      </c>
      <c r="J315" s="293">
        <f>ROUND(SUM(J316:J322),2)</f>
        <v>118267.69</v>
      </c>
      <c r="K315" s="155"/>
      <c r="L315" s="40">
        <f t="shared" si="84"/>
        <v>0</v>
      </c>
      <c r="N315" s="559">
        <f>SUM(J316:J322)</f>
        <v>118267.69</v>
      </c>
      <c r="O315" s="561">
        <f t="shared" si="89"/>
        <v>0</v>
      </c>
      <c r="Q315" s="36">
        <f t="shared" si="88"/>
        <v>0</v>
      </c>
    </row>
    <row r="316" spans="1:17" s="36" customFormat="1" outlineLevel="3" x14ac:dyDescent="0.25">
      <c r="A316" s="270" t="s">
        <v>4621</v>
      </c>
      <c r="B316" s="271" t="s">
        <v>4322</v>
      </c>
      <c r="C316" s="271">
        <v>10230</v>
      </c>
      <c r="D316" s="272" t="s">
        <v>322</v>
      </c>
      <c r="E316" s="271" t="s">
        <v>54</v>
      </c>
      <c r="F316" s="273">
        <v>4203</v>
      </c>
      <c r="G316" s="274">
        <v>9.4499999999999993</v>
      </c>
      <c r="H316" s="275">
        <f>ROUND(G316*ROUND(1+(33.25/100),4),2)</f>
        <v>12.59</v>
      </c>
      <c r="I316" s="275">
        <f>ROUND(ROUND(F316,2)*ROUND(G316,2),2)</f>
        <v>39718.35</v>
      </c>
      <c r="J316" s="276">
        <f>ROUND(ROUND(F316,2)*ROUND(H316,2),2)</f>
        <v>52915.77</v>
      </c>
      <c r="K316" s="155"/>
      <c r="L316" s="40">
        <f t="shared" si="84"/>
        <v>52915.77</v>
      </c>
      <c r="O316" s="561">
        <f t="shared" si="89"/>
        <v>52915.77</v>
      </c>
      <c r="Q316" s="36">
        <f t="shared" si="88"/>
        <v>52915.77</v>
      </c>
    </row>
    <row r="317" spans="1:17" s="36" customFormat="1" ht="22.5" outlineLevel="3" x14ac:dyDescent="0.25">
      <c r="A317" s="270" t="s">
        <v>4622</v>
      </c>
      <c r="B317" s="271" t="s">
        <v>4322</v>
      </c>
      <c r="C317" s="271">
        <v>10208</v>
      </c>
      <c r="D317" s="272" t="s">
        <v>325</v>
      </c>
      <c r="E317" s="271" t="s">
        <v>54</v>
      </c>
      <c r="F317" s="273">
        <v>207.15</v>
      </c>
      <c r="G317" s="274">
        <v>10.73</v>
      </c>
      <c r="H317" s="275">
        <f t="shared" ref="H317:H322" si="102">ROUND(G317*ROUND(1+(33.25/100),4),2)</f>
        <v>14.3</v>
      </c>
      <c r="I317" s="275">
        <f t="shared" ref="I317:I322" si="103">ROUND(ROUND(F317,2)*ROUND(G317,2),2)</f>
        <v>2222.7199999999998</v>
      </c>
      <c r="J317" s="276">
        <f t="shared" ref="J317:J322" si="104">ROUND(ROUND(F317,2)*ROUND(H317,2),2)</f>
        <v>2962.25</v>
      </c>
      <c r="K317" s="155"/>
      <c r="L317" s="40">
        <f t="shared" ref="L317:L334" si="105">F317*H317</f>
        <v>2962.2450000000003</v>
      </c>
      <c r="O317" s="561">
        <f t="shared" si="89"/>
        <v>2962.25</v>
      </c>
      <c r="Q317" s="36">
        <f t="shared" si="88"/>
        <v>2962.2450000000003</v>
      </c>
    </row>
    <row r="318" spans="1:17" s="36" customFormat="1" ht="22.5" outlineLevel="3" x14ac:dyDescent="0.25">
      <c r="A318" s="270" t="s">
        <v>4623</v>
      </c>
      <c r="B318" s="271" t="s">
        <v>4322</v>
      </c>
      <c r="C318" s="271">
        <v>120302</v>
      </c>
      <c r="D318" s="272" t="s">
        <v>464</v>
      </c>
      <c r="E318" s="271" t="s">
        <v>54</v>
      </c>
      <c r="F318" s="273">
        <v>207.15</v>
      </c>
      <c r="G318" s="274">
        <v>27.22</v>
      </c>
      <c r="H318" s="275">
        <f t="shared" si="102"/>
        <v>36.270000000000003</v>
      </c>
      <c r="I318" s="275">
        <f t="shared" si="103"/>
        <v>5638.62</v>
      </c>
      <c r="J318" s="276">
        <f t="shared" si="104"/>
        <v>7513.33</v>
      </c>
      <c r="K318" s="155"/>
      <c r="L318" s="40">
        <f t="shared" si="105"/>
        <v>7513.3305000000009</v>
      </c>
      <c r="O318" s="561">
        <f t="shared" si="89"/>
        <v>7513.33</v>
      </c>
      <c r="Q318" s="36">
        <f t="shared" si="88"/>
        <v>7513.3305000000009</v>
      </c>
    </row>
    <row r="319" spans="1:17" s="36" customFormat="1" ht="45" outlineLevel="3" x14ac:dyDescent="0.25">
      <c r="A319" s="270" t="s">
        <v>4624</v>
      </c>
      <c r="B319" s="271" t="s">
        <v>4322</v>
      </c>
      <c r="C319" s="271">
        <v>190117</v>
      </c>
      <c r="D319" s="272" t="s">
        <v>339</v>
      </c>
      <c r="E319" s="271" t="s">
        <v>54</v>
      </c>
      <c r="F319" s="273">
        <v>1008.55</v>
      </c>
      <c r="G319" s="274">
        <v>25.15</v>
      </c>
      <c r="H319" s="275">
        <f t="shared" si="102"/>
        <v>33.51</v>
      </c>
      <c r="I319" s="275">
        <f t="shared" si="103"/>
        <v>25365.03</v>
      </c>
      <c r="J319" s="276">
        <f t="shared" si="104"/>
        <v>33796.51</v>
      </c>
      <c r="K319" s="155"/>
      <c r="L319" s="40">
        <f t="shared" si="105"/>
        <v>33796.510499999997</v>
      </c>
      <c r="O319" s="561">
        <f t="shared" si="89"/>
        <v>33796.51</v>
      </c>
      <c r="Q319" s="36">
        <f t="shared" si="88"/>
        <v>33796.510499999997</v>
      </c>
    </row>
    <row r="320" spans="1:17" s="36" customFormat="1" ht="22.5" outlineLevel="3" x14ac:dyDescent="0.25">
      <c r="A320" s="270" t="s">
        <v>4625</v>
      </c>
      <c r="B320" s="271" t="s">
        <v>77</v>
      </c>
      <c r="C320" s="271" t="s">
        <v>467</v>
      </c>
      <c r="D320" s="272" t="s">
        <v>468</v>
      </c>
      <c r="E320" s="271" t="s">
        <v>122</v>
      </c>
      <c r="F320" s="273">
        <v>34.799999999999997</v>
      </c>
      <c r="G320" s="274">
        <v>162.83000000000001</v>
      </c>
      <c r="H320" s="275">
        <f t="shared" si="102"/>
        <v>216.97</v>
      </c>
      <c r="I320" s="275">
        <f t="shared" si="103"/>
        <v>5666.48</v>
      </c>
      <c r="J320" s="276">
        <f t="shared" si="104"/>
        <v>7550.56</v>
      </c>
      <c r="K320" s="155"/>
      <c r="L320" s="40">
        <f t="shared" si="105"/>
        <v>7550.5559999999996</v>
      </c>
      <c r="O320" s="561">
        <f t="shared" si="89"/>
        <v>7550.56</v>
      </c>
      <c r="Q320" s="36">
        <f t="shared" si="88"/>
        <v>7550.5559999999996</v>
      </c>
    </row>
    <row r="321" spans="1:1020 1025:2047 2049:3070 3075:5120 5125:6140 6145:7167 7169:8190 8195:10240 10245:11260 11265:12287 12289:13310 13315:15360 15365:16380" s="36" customFormat="1" outlineLevel="3" x14ac:dyDescent="0.25">
      <c r="A321" s="270" t="s">
        <v>4626</v>
      </c>
      <c r="B321" s="271" t="s">
        <v>77</v>
      </c>
      <c r="C321" s="271" t="s">
        <v>470</v>
      </c>
      <c r="D321" s="272" t="s">
        <v>471</v>
      </c>
      <c r="E321" s="271" t="s">
        <v>54</v>
      </c>
      <c r="F321" s="273">
        <v>151.28</v>
      </c>
      <c r="G321" s="274">
        <v>41.56</v>
      </c>
      <c r="H321" s="275">
        <f t="shared" si="102"/>
        <v>55.38</v>
      </c>
      <c r="I321" s="275">
        <f t="shared" si="103"/>
        <v>6287.2</v>
      </c>
      <c r="J321" s="276">
        <f t="shared" si="104"/>
        <v>8377.89</v>
      </c>
      <c r="K321" s="155"/>
      <c r="L321" s="40">
        <f t="shared" si="105"/>
        <v>8377.8864000000012</v>
      </c>
      <c r="O321" s="561">
        <f t="shared" si="89"/>
        <v>8377.89</v>
      </c>
      <c r="Q321" s="36">
        <f t="shared" si="88"/>
        <v>8377.8864000000012</v>
      </c>
    </row>
    <row r="322" spans="1:1020 1025:2047 2049:3070 3075:5120 5125:6140 6145:7167 7169:8190 8195:10240 10245:11260 11265:12287 12289:13310 13315:15360 15365:16380" s="36" customFormat="1" ht="22.5" outlineLevel="3" x14ac:dyDescent="0.25">
      <c r="A322" s="270" t="s">
        <v>4627</v>
      </c>
      <c r="B322" s="271" t="s">
        <v>77</v>
      </c>
      <c r="C322" s="271" t="s">
        <v>473</v>
      </c>
      <c r="D322" s="272" t="s">
        <v>474</v>
      </c>
      <c r="E322" s="271" t="s">
        <v>54</v>
      </c>
      <c r="F322" s="273">
        <v>157.15</v>
      </c>
      <c r="G322" s="274">
        <v>24.6</v>
      </c>
      <c r="H322" s="275">
        <f t="shared" si="102"/>
        <v>32.78</v>
      </c>
      <c r="I322" s="275">
        <f t="shared" si="103"/>
        <v>3865.89</v>
      </c>
      <c r="J322" s="276">
        <f t="shared" si="104"/>
        <v>5151.38</v>
      </c>
      <c r="K322" s="155"/>
      <c r="L322" s="40">
        <f t="shared" si="105"/>
        <v>5151.3770000000004</v>
      </c>
      <c r="O322" s="561">
        <f t="shared" si="89"/>
        <v>5151.38</v>
      </c>
      <c r="Q322" s="36">
        <f t="shared" si="88"/>
        <v>5151.3770000000004</v>
      </c>
    </row>
    <row r="323" spans="1:1020 1025:2047 2049:3070 3075:5120 5125:6140 6145:7167 7169:8190 8195:10240 10245:11260 11265:12287 12289:13310 13315:15360 15365:16380" s="36" customFormat="1" outlineLevel="2" x14ac:dyDescent="0.25">
      <c r="A323" s="288" t="s">
        <v>4628</v>
      </c>
      <c r="B323" s="289"/>
      <c r="C323" s="271"/>
      <c r="D323" s="289" t="s">
        <v>475</v>
      </c>
      <c r="E323" s="289"/>
      <c r="F323" s="290"/>
      <c r="G323" s="291"/>
      <c r="H323" s="289"/>
      <c r="I323" s="292">
        <f>ROUND(SUM(I324:I334),2)</f>
        <v>1924150.05</v>
      </c>
      <c r="J323" s="293">
        <f>ROUND(SUM(J324:J334),2)</f>
        <v>2563927.2400000002</v>
      </c>
      <c r="K323" s="155"/>
      <c r="L323" s="40">
        <f t="shared" si="105"/>
        <v>0</v>
      </c>
      <c r="N323" s="559">
        <f>SUM(J324:J334)</f>
        <v>2563927.2400000002</v>
      </c>
      <c r="O323" s="561">
        <f t="shared" si="89"/>
        <v>0</v>
      </c>
      <c r="Q323" s="36">
        <f t="shared" si="88"/>
        <v>0</v>
      </c>
    </row>
    <row r="324" spans="1:1020 1025:2047 2049:3070 3075:5120 5125:6140 6145:7167 7169:8190 8195:10240 10245:11260 11265:12287 12289:13310 13315:15360 15365:16380" s="36" customFormat="1" outlineLevel="2" x14ac:dyDescent="0.25">
      <c r="A324" s="270" t="s">
        <v>4629</v>
      </c>
      <c r="B324" s="271" t="s">
        <v>77</v>
      </c>
      <c r="C324" s="271" t="s">
        <v>263</v>
      </c>
      <c r="D324" s="272" t="s">
        <v>264</v>
      </c>
      <c r="E324" s="271" t="s">
        <v>54</v>
      </c>
      <c r="F324" s="273">
        <v>20</v>
      </c>
      <c r="G324" s="274">
        <v>65.39</v>
      </c>
      <c r="H324" s="275">
        <f t="shared" ref="H324:H331" si="106">ROUND(G324*ROUND(1+(33.25/100),4),2)</f>
        <v>87.13</v>
      </c>
      <c r="I324" s="275">
        <f t="shared" ref="I324:I331" si="107">ROUND(ROUND(F324,2)*ROUND(G324,2),2)</f>
        <v>1307.8</v>
      </c>
      <c r="J324" s="276">
        <f t="shared" ref="J324:J331" si="108">ROUND(ROUND(F324,2)*ROUND(H324,2),2)</f>
        <v>1742.6</v>
      </c>
      <c r="K324" s="155"/>
      <c r="L324" s="40">
        <f t="shared" si="105"/>
        <v>1742.6</v>
      </c>
      <c r="O324" s="561">
        <f t="shared" si="89"/>
        <v>1742.6</v>
      </c>
      <c r="Q324" s="36">
        <f t="shared" si="88"/>
        <v>1742.6</v>
      </c>
    </row>
    <row r="325" spans="1:1020 1025:2047 2049:3070 3075:5120 5125:6140 6145:7167 7169:8190 8195:10240 10245:11260 11265:12287 12289:13310 13315:15360 15365:16380" s="36" customFormat="1" outlineLevel="2" x14ac:dyDescent="0.25">
      <c r="A325" s="270" t="s">
        <v>4630</v>
      </c>
      <c r="B325" s="271" t="s">
        <v>77</v>
      </c>
      <c r="C325" s="271" t="s">
        <v>478</v>
      </c>
      <c r="D325" s="272" t="s">
        <v>479</v>
      </c>
      <c r="E325" s="271" t="s">
        <v>54</v>
      </c>
      <c r="F325" s="273">
        <v>28</v>
      </c>
      <c r="G325" s="274">
        <v>381.11</v>
      </c>
      <c r="H325" s="275">
        <f t="shared" si="106"/>
        <v>507.83</v>
      </c>
      <c r="I325" s="275">
        <f t="shared" si="107"/>
        <v>10671.08</v>
      </c>
      <c r="J325" s="276">
        <f t="shared" si="108"/>
        <v>14219.24</v>
      </c>
      <c r="K325" s="155"/>
      <c r="L325" s="40">
        <f t="shared" si="105"/>
        <v>14219.24</v>
      </c>
      <c r="O325" s="561">
        <f t="shared" si="89"/>
        <v>14219.24</v>
      </c>
      <c r="Q325" s="36">
        <f t="shared" si="88"/>
        <v>14219.24</v>
      </c>
    </row>
    <row r="326" spans="1:1020 1025:2047 2049:3070 3075:5120 5125:6140 6145:7167 7169:8190 8195:10240 10245:11260 11265:12287 12289:13310 13315:15360 15365:16380" s="36" customFormat="1" outlineLevel="2" x14ac:dyDescent="0.25">
      <c r="A326" s="270" t="s">
        <v>4631</v>
      </c>
      <c r="B326" s="271" t="s">
        <v>341</v>
      </c>
      <c r="C326" s="271" t="s">
        <v>481</v>
      </c>
      <c r="D326" s="272" t="s">
        <v>482</v>
      </c>
      <c r="E326" s="271" t="s">
        <v>54</v>
      </c>
      <c r="F326" s="273">
        <v>166.4</v>
      </c>
      <c r="G326" s="274">
        <v>155.22999999999999</v>
      </c>
      <c r="H326" s="275">
        <f t="shared" si="106"/>
        <v>206.84</v>
      </c>
      <c r="I326" s="275">
        <f t="shared" si="107"/>
        <v>25830.27</v>
      </c>
      <c r="J326" s="276">
        <f t="shared" si="108"/>
        <v>34418.18</v>
      </c>
      <c r="K326" s="155"/>
      <c r="L326" s="40">
        <f t="shared" si="105"/>
        <v>34418.175999999999</v>
      </c>
      <c r="O326" s="561">
        <f t="shared" si="89"/>
        <v>34418.18</v>
      </c>
      <c r="Q326" s="36">
        <f t="shared" si="88"/>
        <v>34418.175999999999</v>
      </c>
    </row>
    <row r="327" spans="1:1020 1025:2047 2049:3070 3075:5120 5125:6140 6145:7167 7169:8190 8195:10240 10245:11260 11265:12287 12289:13310 13315:15360 15365:16380" s="36" customFormat="1" outlineLevel="2" x14ac:dyDescent="0.25">
      <c r="A327" s="270" t="s">
        <v>4632</v>
      </c>
      <c r="B327" s="271" t="s">
        <v>77</v>
      </c>
      <c r="C327" s="271" t="s">
        <v>484</v>
      </c>
      <c r="D327" s="272" t="s">
        <v>485</v>
      </c>
      <c r="E327" s="271" t="s">
        <v>54</v>
      </c>
      <c r="F327" s="273">
        <v>4</v>
      </c>
      <c r="G327" s="274">
        <v>182.96</v>
      </c>
      <c r="H327" s="275">
        <f t="shared" si="106"/>
        <v>243.79</v>
      </c>
      <c r="I327" s="275">
        <f t="shared" si="107"/>
        <v>731.84</v>
      </c>
      <c r="J327" s="276">
        <f t="shared" si="108"/>
        <v>975.16</v>
      </c>
      <c r="K327" s="155"/>
      <c r="L327" s="40">
        <f t="shared" si="105"/>
        <v>975.16</v>
      </c>
      <c r="O327" s="561">
        <f t="shared" si="89"/>
        <v>975.16</v>
      </c>
      <c r="Q327" s="36">
        <f t="shared" ref="Q327:Q390" si="109">F327*H327</f>
        <v>975.16</v>
      </c>
    </row>
    <row r="328" spans="1:1020 1025:2047 2049:3070 3075:5120 5125:6140 6145:7167 7169:8190 8195:10240 10245:11260 11265:12287 12289:13310 13315:15360 15365:16380" s="36" customFormat="1" ht="22.5" outlineLevel="2" x14ac:dyDescent="0.25">
      <c r="A328" s="270" t="s">
        <v>4633</v>
      </c>
      <c r="B328" s="271" t="s">
        <v>77</v>
      </c>
      <c r="C328" s="271" t="s">
        <v>487</v>
      </c>
      <c r="D328" s="272" t="s">
        <v>488</v>
      </c>
      <c r="E328" s="271" t="s">
        <v>54</v>
      </c>
      <c r="F328" s="273">
        <v>10.79</v>
      </c>
      <c r="G328" s="274">
        <v>157.97999999999999</v>
      </c>
      <c r="H328" s="275">
        <f t="shared" si="106"/>
        <v>210.51</v>
      </c>
      <c r="I328" s="275">
        <f t="shared" si="107"/>
        <v>1704.6</v>
      </c>
      <c r="J328" s="276">
        <f t="shared" si="108"/>
        <v>2271.4</v>
      </c>
      <c r="K328" s="155"/>
      <c r="L328" s="40">
        <f t="shared" si="105"/>
        <v>2271.4028999999996</v>
      </c>
      <c r="O328" s="561">
        <f t="shared" ref="O328:O391" si="110">J328-N328</f>
        <v>2271.4</v>
      </c>
      <c r="Q328" s="36">
        <f t="shared" si="109"/>
        <v>2271.4028999999996</v>
      </c>
    </row>
    <row r="329" spans="1:1020 1025:2047 2049:3070 3075:5120 5125:6140 6145:7167 7169:8190 8195:10240 10245:11260 11265:12287 12289:13310 13315:15360 15365:16380" s="36" customFormat="1" ht="22.5" outlineLevel="2" x14ac:dyDescent="0.25">
      <c r="A329" s="270" t="s">
        <v>4634</v>
      </c>
      <c r="B329" s="271" t="s">
        <v>77</v>
      </c>
      <c r="C329" s="271" t="s">
        <v>490</v>
      </c>
      <c r="D329" s="272" t="s">
        <v>491</v>
      </c>
      <c r="E329" s="271" t="s">
        <v>89</v>
      </c>
      <c r="F329" s="273">
        <v>87.65</v>
      </c>
      <c r="G329" s="274">
        <v>32.409999999999997</v>
      </c>
      <c r="H329" s="275">
        <f t="shared" si="106"/>
        <v>43.19</v>
      </c>
      <c r="I329" s="275">
        <f t="shared" si="107"/>
        <v>2840.74</v>
      </c>
      <c r="J329" s="276">
        <f t="shared" si="108"/>
        <v>3785.6</v>
      </c>
      <c r="K329" s="155"/>
      <c r="L329" s="40">
        <f t="shared" si="105"/>
        <v>3785.6035000000002</v>
      </c>
      <c r="O329" s="561">
        <f t="shared" si="110"/>
        <v>3785.6</v>
      </c>
      <c r="Q329" s="36">
        <f t="shared" si="109"/>
        <v>3785.6035000000002</v>
      </c>
    </row>
    <row r="330" spans="1:1020 1025:2047 2049:3070 3075:5120 5125:6140 6145:7167 7169:8190 8195:10240 10245:11260 11265:12287 12289:13310 13315:15360 15365:16380" s="36" customFormat="1" outlineLevel="2" x14ac:dyDescent="0.25">
      <c r="A330" s="270" t="s">
        <v>4635</v>
      </c>
      <c r="B330" s="271" t="s">
        <v>77</v>
      </c>
      <c r="C330" s="271" t="s">
        <v>493</v>
      </c>
      <c r="D330" s="272" t="s">
        <v>494</v>
      </c>
      <c r="E330" s="271" t="s">
        <v>54</v>
      </c>
      <c r="F330" s="273">
        <v>20.96</v>
      </c>
      <c r="G330" s="274">
        <v>183.73</v>
      </c>
      <c r="H330" s="275">
        <f t="shared" si="106"/>
        <v>244.82</v>
      </c>
      <c r="I330" s="275">
        <f t="shared" si="107"/>
        <v>3850.98</v>
      </c>
      <c r="J330" s="276">
        <f t="shared" si="108"/>
        <v>5131.43</v>
      </c>
      <c r="K330" s="155"/>
      <c r="L330" s="40">
        <f t="shared" si="105"/>
        <v>5131.4272000000001</v>
      </c>
      <c r="O330" s="561">
        <f t="shared" si="110"/>
        <v>5131.43</v>
      </c>
      <c r="Q330" s="36">
        <f t="shared" si="109"/>
        <v>5131.4272000000001</v>
      </c>
    </row>
    <row r="331" spans="1:1020 1025:2047 2049:3070 3075:5120 5125:6140 6145:7167 7169:8190 8195:10240 10245:11260 11265:12287 12289:13310 13315:15360 15365:16380" s="36" customFormat="1" outlineLevel="2" x14ac:dyDescent="0.25">
      <c r="A331" s="270" t="s">
        <v>4636</v>
      </c>
      <c r="B331" s="271" t="s">
        <v>341</v>
      </c>
      <c r="C331" s="271" t="s">
        <v>496</v>
      </c>
      <c r="D331" s="272" t="s">
        <v>497</v>
      </c>
      <c r="E331" s="271" t="s">
        <v>54</v>
      </c>
      <c r="F331" s="273">
        <v>25.44</v>
      </c>
      <c r="G331" s="274">
        <v>396.47</v>
      </c>
      <c r="H331" s="275">
        <f t="shared" si="106"/>
        <v>528.29999999999995</v>
      </c>
      <c r="I331" s="275">
        <f t="shared" si="107"/>
        <v>10086.200000000001</v>
      </c>
      <c r="J331" s="276">
        <f t="shared" si="108"/>
        <v>13439.95</v>
      </c>
      <c r="K331" s="155"/>
      <c r="L331" s="40">
        <f t="shared" si="105"/>
        <v>13439.951999999999</v>
      </c>
      <c r="O331" s="561">
        <f t="shared" si="110"/>
        <v>13439.95</v>
      </c>
      <c r="Q331" s="36">
        <f t="shared" si="109"/>
        <v>13439.951999999999</v>
      </c>
    </row>
    <row r="332" spans="1:1020 1025:2047 2049:3070 3075:5120 5125:6140 6145:7167 7169:8190 8195:10240 10245:11260 11265:12287 12289:13310 13315:15360 15365:16380" s="36" customFormat="1" outlineLevel="2" x14ac:dyDescent="0.25">
      <c r="A332" s="270" t="s">
        <v>4637</v>
      </c>
      <c r="B332" s="271" t="s">
        <v>4322</v>
      </c>
      <c r="C332" s="271">
        <v>100202</v>
      </c>
      <c r="D332" s="272" t="s">
        <v>173</v>
      </c>
      <c r="E332" s="271" t="s">
        <v>54</v>
      </c>
      <c r="F332" s="273">
        <v>18.38</v>
      </c>
      <c r="G332" s="274">
        <v>67.239999999999995</v>
      </c>
      <c r="H332" s="275">
        <f t="shared" ref="H332:H333" si="111">ROUND(G332*ROUND(1+(33.25/100),4),2)</f>
        <v>89.6</v>
      </c>
      <c r="I332" s="275">
        <f t="shared" ref="I332:I333" si="112">ROUND(ROUND(F332,2)*ROUND(G332,2),2)</f>
        <v>1235.8699999999999</v>
      </c>
      <c r="J332" s="276">
        <f t="shared" ref="J332:J333" si="113">ROUND(ROUND(F332,2)*ROUND(H332,2),2)</f>
        <v>1646.85</v>
      </c>
      <c r="K332" s="155"/>
      <c r="L332" s="40"/>
      <c r="O332" s="561">
        <f t="shared" si="110"/>
        <v>1646.85</v>
      </c>
      <c r="Q332" s="36">
        <f t="shared" si="109"/>
        <v>1646.8479999999997</v>
      </c>
    </row>
    <row r="333" spans="1:1020 1025:2047 2049:3070 3075:5120 5125:6140 6145:7167 7169:8190 8195:10240 10245:11260 11265:12287 12289:13310 13315:15360 15365:16380" s="36" customFormat="1" ht="22.5" outlineLevel="2" x14ac:dyDescent="0.25">
      <c r="A333" s="270" t="s">
        <v>4638</v>
      </c>
      <c r="B333" s="271" t="s">
        <v>4322</v>
      </c>
      <c r="C333" s="271" t="s">
        <v>757</v>
      </c>
      <c r="D333" s="255" t="s">
        <v>758</v>
      </c>
      <c r="E333" s="249" t="s">
        <v>54</v>
      </c>
      <c r="F333" s="250">
        <v>620</v>
      </c>
      <c r="G333" s="254">
        <v>15.2</v>
      </c>
      <c r="H333" s="275">
        <f t="shared" si="111"/>
        <v>20.25</v>
      </c>
      <c r="I333" s="275">
        <f t="shared" si="112"/>
        <v>9424</v>
      </c>
      <c r="J333" s="276">
        <f t="shared" si="113"/>
        <v>12555</v>
      </c>
      <c r="K333" s="155"/>
      <c r="L333" s="40">
        <f t="shared" ref="L333" si="114">F333*H333</f>
        <v>12555</v>
      </c>
      <c r="O333" s="561">
        <f t="shared" si="110"/>
        <v>12555</v>
      </c>
      <c r="Q333" s="36">
        <f t="shared" si="109"/>
        <v>12555</v>
      </c>
    </row>
    <row r="334" spans="1:1020 1025:2047 2049:3070 3075:5120 5125:6140 6145:7167 7169:8190 8195:10240 10245:11260 11265:12287 12289:13310 13315:15360 15365:16380" s="36" customFormat="1" ht="22.5" outlineLevel="2" x14ac:dyDescent="0.25">
      <c r="A334" s="270" t="s">
        <v>4721</v>
      </c>
      <c r="B334" s="271" t="s">
        <v>77</v>
      </c>
      <c r="C334" s="271" t="s">
        <v>4723</v>
      </c>
      <c r="D334" s="255" t="s">
        <v>4724</v>
      </c>
      <c r="E334" s="249" t="s">
        <v>251</v>
      </c>
      <c r="F334" s="250">
        <v>1</v>
      </c>
      <c r="G334" s="254">
        <v>1856466.6666666667</v>
      </c>
      <c r="H334" s="275">
        <f t="shared" ref="H334" si="115">ROUND(G334*ROUND(1+(33.25/100),4),2)</f>
        <v>2473741.83</v>
      </c>
      <c r="I334" s="275">
        <f t="shared" ref="I334" si="116">ROUND(ROUND(F334,2)*ROUND(G334,2),2)</f>
        <v>1856466.67</v>
      </c>
      <c r="J334" s="276">
        <f t="shared" ref="J334" si="117">ROUND(ROUND(F334,2)*ROUND(H334,2),2)</f>
        <v>2473741.83</v>
      </c>
      <c r="K334" s="155"/>
      <c r="L334" s="40">
        <f t="shared" si="105"/>
        <v>2473741.83</v>
      </c>
      <c r="O334" s="561">
        <f t="shared" si="110"/>
        <v>2473741.83</v>
      </c>
      <c r="Q334" s="36">
        <f t="shared" si="109"/>
        <v>2473741.83</v>
      </c>
    </row>
    <row r="335" spans="1:1020 1025:2047 2049:3070 3075:5120 5125:6140 6145:7167 7169:8190 8195:10240 10245:11260 11265:12287 12289:13310 13315:15360 15365:16380" s="110" customFormat="1" ht="11.25" x14ac:dyDescent="0.25">
      <c r="A335" s="282">
        <v>4</v>
      </c>
      <c r="B335" s="283"/>
      <c r="C335" s="283"/>
      <c r="D335" s="283" t="s">
        <v>4416</v>
      </c>
      <c r="E335" s="283"/>
      <c r="F335" s="284"/>
      <c r="G335" s="285"/>
      <c r="H335" s="283"/>
      <c r="I335" s="286">
        <f>ROUND(I381+I395,2)</f>
        <v>961364.16</v>
      </c>
      <c r="J335" s="287">
        <f>ROUND(J336+J344+J348+J381+J395+J397,2)</f>
        <v>1738290.68</v>
      </c>
      <c r="K335" s="157"/>
      <c r="L335" s="110">
        <f t="shared" ref="L335:L409" si="118">F335*H335</f>
        <v>0</v>
      </c>
      <c r="O335" s="563">
        <f t="shared" si="110"/>
        <v>1738290.68</v>
      </c>
      <c r="P335" s="112"/>
      <c r="Q335" s="113">
        <f t="shared" si="109"/>
        <v>0</v>
      </c>
      <c r="S335" s="114"/>
      <c r="T335" s="114"/>
      <c r="Y335" s="111"/>
      <c r="Z335" s="112"/>
      <c r="AA335" s="113"/>
      <c r="AC335" s="114"/>
      <c r="AD335" s="114"/>
      <c r="AI335" s="111"/>
      <c r="AJ335" s="112"/>
      <c r="AK335" s="113"/>
      <c r="AM335" s="114"/>
      <c r="AN335" s="114"/>
      <c r="AS335" s="111"/>
      <c r="AT335" s="112"/>
      <c r="AU335" s="113"/>
      <c r="AW335" s="114"/>
      <c r="AX335" s="114"/>
      <c r="BC335" s="111"/>
      <c r="BD335" s="112"/>
      <c r="BE335" s="113"/>
      <c r="BG335" s="114"/>
      <c r="BH335" s="114"/>
      <c r="BM335" s="111"/>
      <c r="BN335" s="112"/>
      <c r="BO335" s="113"/>
      <c r="BQ335" s="114"/>
      <c r="BR335" s="114"/>
      <c r="BW335" s="111"/>
      <c r="BX335" s="112"/>
      <c r="BY335" s="113"/>
      <c r="CA335" s="114"/>
      <c r="CB335" s="114"/>
      <c r="CG335" s="111"/>
      <c r="CH335" s="112"/>
      <c r="CI335" s="113"/>
      <c r="CK335" s="114"/>
      <c r="CL335" s="114"/>
      <c r="CQ335" s="111"/>
      <c r="CR335" s="112"/>
      <c r="CS335" s="113"/>
      <c r="CU335" s="114"/>
      <c r="CV335" s="114"/>
      <c r="DA335" s="111"/>
      <c r="DB335" s="112"/>
      <c r="DC335" s="113"/>
      <c r="DE335" s="114"/>
      <c r="DF335" s="114"/>
      <c r="DK335" s="111"/>
      <c r="DL335" s="112"/>
      <c r="DM335" s="113"/>
      <c r="DO335" s="114"/>
      <c r="DP335" s="114"/>
      <c r="DU335" s="111"/>
      <c r="DV335" s="112"/>
      <c r="DW335" s="113"/>
      <c r="DY335" s="114"/>
      <c r="DZ335" s="114"/>
      <c r="EE335" s="111"/>
      <c r="EF335" s="112"/>
      <c r="EG335" s="113"/>
      <c r="EI335" s="114"/>
      <c r="EJ335" s="114"/>
      <c r="EO335" s="111"/>
      <c r="EP335" s="112"/>
      <c r="EQ335" s="113"/>
      <c r="ES335" s="114"/>
      <c r="ET335" s="114"/>
      <c r="EY335" s="111"/>
      <c r="EZ335" s="112"/>
      <c r="FA335" s="113"/>
      <c r="FC335" s="114"/>
      <c r="FD335" s="114"/>
      <c r="FI335" s="111"/>
      <c r="FJ335" s="112"/>
      <c r="FK335" s="113"/>
      <c r="FM335" s="114"/>
      <c r="FN335" s="114"/>
      <c r="FS335" s="111"/>
      <c r="FT335" s="112"/>
      <c r="FU335" s="113"/>
      <c r="FW335" s="114"/>
      <c r="FX335" s="114"/>
      <c r="GC335" s="111"/>
      <c r="GD335" s="112"/>
      <c r="GE335" s="113"/>
      <c r="GG335" s="114"/>
      <c r="GH335" s="114"/>
      <c r="GM335" s="111"/>
      <c r="GN335" s="112"/>
      <c r="GO335" s="113"/>
      <c r="GQ335" s="114"/>
      <c r="GR335" s="114"/>
      <c r="GW335" s="111"/>
      <c r="GX335" s="112"/>
      <c r="GY335" s="113"/>
      <c r="HA335" s="114"/>
      <c r="HB335" s="114"/>
      <c r="HG335" s="111"/>
      <c r="HH335" s="112"/>
      <c r="HI335" s="113"/>
      <c r="HK335" s="114"/>
      <c r="HL335" s="114"/>
      <c r="HQ335" s="111"/>
      <c r="HR335" s="112"/>
      <c r="HS335" s="113"/>
      <c r="HU335" s="114"/>
      <c r="HV335" s="114"/>
      <c r="IA335" s="111"/>
      <c r="IB335" s="112"/>
      <c r="IC335" s="113"/>
      <c r="IE335" s="114"/>
      <c r="IF335" s="114"/>
      <c r="IK335" s="111"/>
      <c r="IL335" s="112"/>
      <c r="IM335" s="113"/>
      <c r="IO335" s="114"/>
      <c r="IP335" s="114"/>
      <c r="IU335" s="111"/>
      <c r="IV335" s="112"/>
      <c r="IW335" s="113"/>
      <c r="IY335" s="114"/>
      <c r="IZ335" s="114"/>
      <c r="JE335" s="111"/>
      <c r="JF335" s="112"/>
      <c r="JG335" s="113"/>
      <c r="JI335" s="114"/>
      <c r="JJ335" s="114"/>
      <c r="JO335" s="111"/>
      <c r="JP335" s="112"/>
      <c r="JQ335" s="113"/>
      <c r="JS335" s="114"/>
      <c r="JT335" s="114"/>
      <c r="JY335" s="111"/>
      <c r="JZ335" s="112"/>
      <c r="KA335" s="113"/>
      <c r="KC335" s="114"/>
      <c r="KD335" s="114"/>
      <c r="KI335" s="111"/>
      <c r="KJ335" s="112"/>
      <c r="KK335" s="113"/>
      <c r="KM335" s="114"/>
      <c r="KN335" s="114"/>
      <c r="KS335" s="111"/>
      <c r="KT335" s="112"/>
      <c r="KU335" s="113"/>
      <c r="KW335" s="114"/>
      <c r="KX335" s="114"/>
      <c r="LC335" s="111"/>
      <c r="LD335" s="112"/>
      <c r="LE335" s="113"/>
      <c r="LG335" s="114"/>
      <c r="LH335" s="114"/>
      <c r="LM335" s="111"/>
      <c r="LN335" s="112"/>
      <c r="LO335" s="113"/>
      <c r="LQ335" s="114"/>
      <c r="LR335" s="114"/>
      <c r="LW335" s="111"/>
      <c r="LX335" s="112"/>
      <c r="LY335" s="113"/>
      <c r="MA335" s="114"/>
      <c r="MB335" s="114"/>
      <c r="MG335" s="111"/>
      <c r="MH335" s="112"/>
      <c r="MI335" s="113"/>
      <c r="MK335" s="114"/>
      <c r="ML335" s="114"/>
      <c r="MQ335" s="111"/>
      <c r="MR335" s="112"/>
      <c r="MS335" s="113"/>
      <c r="MU335" s="114"/>
      <c r="MV335" s="114"/>
      <c r="NA335" s="111"/>
      <c r="NB335" s="112"/>
      <c r="NC335" s="113"/>
      <c r="NE335" s="114"/>
      <c r="NF335" s="114"/>
      <c r="NK335" s="111"/>
      <c r="NL335" s="112"/>
      <c r="NM335" s="113"/>
      <c r="NO335" s="114"/>
      <c r="NP335" s="114"/>
      <c r="NU335" s="111"/>
      <c r="NV335" s="112"/>
      <c r="NW335" s="113"/>
      <c r="NY335" s="114"/>
      <c r="NZ335" s="114"/>
      <c r="OE335" s="111"/>
      <c r="OF335" s="112"/>
      <c r="OG335" s="113"/>
      <c r="OI335" s="114"/>
      <c r="OJ335" s="114"/>
      <c r="OO335" s="111"/>
      <c r="OP335" s="112"/>
      <c r="OQ335" s="113"/>
      <c r="OS335" s="114"/>
      <c r="OT335" s="114"/>
      <c r="OY335" s="111"/>
      <c r="OZ335" s="112"/>
      <c r="PA335" s="113"/>
      <c r="PC335" s="114"/>
      <c r="PD335" s="114"/>
      <c r="PI335" s="111"/>
      <c r="PJ335" s="112"/>
      <c r="PK335" s="113"/>
      <c r="PM335" s="114"/>
      <c r="PN335" s="114"/>
      <c r="PS335" s="111"/>
      <c r="PT335" s="112"/>
      <c r="PU335" s="113"/>
      <c r="PW335" s="114"/>
      <c r="PX335" s="114"/>
      <c r="QC335" s="111"/>
      <c r="QD335" s="112"/>
      <c r="QE335" s="113"/>
      <c r="QG335" s="114"/>
      <c r="QH335" s="114"/>
      <c r="QM335" s="111"/>
      <c r="QN335" s="112"/>
      <c r="QO335" s="113"/>
      <c r="QQ335" s="114"/>
      <c r="QR335" s="114"/>
      <c r="QW335" s="111"/>
      <c r="QX335" s="112"/>
      <c r="QY335" s="113"/>
      <c r="RA335" s="114"/>
      <c r="RB335" s="114"/>
      <c r="RG335" s="111"/>
      <c r="RH335" s="112"/>
      <c r="RI335" s="113"/>
      <c r="RK335" s="114"/>
      <c r="RL335" s="114"/>
      <c r="RQ335" s="111"/>
      <c r="RR335" s="112"/>
      <c r="RS335" s="113"/>
      <c r="RU335" s="114"/>
      <c r="RV335" s="114"/>
      <c r="SA335" s="111"/>
      <c r="SB335" s="112"/>
      <c r="SC335" s="113"/>
      <c r="SE335" s="114"/>
      <c r="SF335" s="114"/>
      <c r="SK335" s="111"/>
      <c r="SL335" s="112"/>
      <c r="SM335" s="113"/>
      <c r="SO335" s="114"/>
      <c r="SP335" s="114"/>
      <c r="SU335" s="111"/>
      <c r="SV335" s="112"/>
      <c r="SW335" s="113"/>
      <c r="SY335" s="114"/>
      <c r="SZ335" s="114"/>
      <c r="TE335" s="111"/>
      <c r="TF335" s="112"/>
      <c r="TG335" s="113"/>
      <c r="TI335" s="114"/>
      <c r="TJ335" s="114"/>
      <c r="TO335" s="111"/>
      <c r="TP335" s="112"/>
      <c r="TQ335" s="113"/>
      <c r="TS335" s="114"/>
      <c r="TT335" s="114"/>
      <c r="TY335" s="111"/>
      <c r="TZ335" s="112"/>
      <c r="UA335" s="113"/>
      <c r="UC335" s="114"/>
      <c r="UD335" s="114"/>
      <c r="UI335" s="111"/>
      <c r="UJ335" s="112"/>
      <c r="UK335" s="113"/>
      <c r="UM335" s="114"/>
      <c r="UN335" s="114"/>
      <c r="US335" s="111"/>
      <c r="UT335" s="112"/>
      <c r="UU335" s="113"/>
      <c r="UW335" s="114"/>
      <c r="UX335" s="114"/>
      <c r="VC335" s="111"/>
      <c r="VD335" s="112"/>
      <c r="VE335" s="113"/>
      <c r="VG335" s="114"/>
      <c r="VH335" s="114"/>
      <c r="VM335" s="111"/>
      <c r="VN335" s="112"/>
      <c r="VO335" s="113"/>
      <c r="VQ335" s="114"/>
      <c r="VR335" s="114"/>
      <c r="VW335" s="111"/>
      <c r="VX335" s="112"/>
      <c r="VY335" s="113"/>
      <c r="WA335" s="114"/>
      <c r="WB335" s="114"/>
      <c r="WG335" s="111"/>
      <c r="WH335" s="112"/>
      <c r="WI335" s="113"/>
      <c r="WK335" s="114"/>
      <c r="WL335" s="114"/>
      <c r="WQ335" s="111"/>
      <c r="WR335" s="112"/>
      <c r="WS335" s="113"/>
      <c r="WU335" s="114"/>
      <c r="WV335" s="114"/>
      <c r="XA335" s="111"/>
      <c r="XB335" s="112"/>
      <c r="XC335" s="113"/>
      <c r="XE335" s="114"/>
      <c r="XF335" s="114"/>
      <c r="XK335" s="111"/>
      <c r="XL335" s="112"/>
      <c r="XM335" s="113"/>
      <c r="XO335" s="114"/>
      <c r="XP335" s="114"/>
      <c r="XU335" s="111"/>
      <c r="XV335" s="112"/>
      <c r="XW335" s="113"/>
      <c r="XY335" s="114"/>
      <c r="XZ335" s="114"/>
      <c r="YE335" s="111"/>
      <c r="YF335" s="112"/>
      <c r="YG335" s="113"/>
      <c r="YI335" s="114"/>
      <c r="YJ335" s="114"/>
      <c r="YO335" s="111"/>
      <c r="YP335" s="112"/>
      <c r="YQ335" s="113"/>
      <c r="YS335" s="114"/>
      <c r="YT335" s="114"/>
      <c r="YY335" s="111"/>
      <c r="YZ335" s="112"/>
      <c r="ZA335" s="113"/>
      <c r="ZC335" s="114"/>
      <c r="ZD335" s="114"/>
      <c r="ZI335" s="111"/>
      <c r="ZJ335" s="112"/>
      <c r="ZK335" s="113"/>
      <c r="ZM335" s="114"/>
      <c r="ZN335" s="114"/>
      <c r="ZS335" s="111"/>
      <c r="ZT335" s="112"/>
      <c r="ZU335" s="113"/>
      <c r="ZW335" s="114"/>
      <c r="ZX335" s="114"/>
      <c r="AAC335" s="111"/>
      <c r="AAD335" s="112"/>
      <c r="AAE335" s="113"/>
      <c r="AAG335" s="114"/>
      <c r="AAH335" s="114"/>
      <c r="AAM335" s="111"/>
      <c r="AAN335" s="112"/>
      <c r="AAO335" s="113"/>
      <c r="AAQ335" s="114"/>
      <c r="AAR335" s="114"/>
      <c r="AAW335" s="111"/>
      <c r="AAX335" s="112"/>
      <c r="AAY335" s="113"/>
      <c r="ABA335" s="114"/>
      <c r="ABB335" s="114"/>
      <c r="ABG335" s="111"/>
      <c r="ABH335" s="112"/>
      <c r="ABI335" s="113"/>
      <c r="ABK335" s="114"/>
      <c r="ABL335" s="114"/>
      <c r="ABQ335" s="111"/>
      <c r="ABR335" s="112"/>
      <c r="ABS335" s="113"/>
      <c r="ABU335" s="114"/>
      <c r="ABV335" s="114"/>
      <c r="ACA335" s="111"/>
      <c r="ACB335" s="112"/>
      <c r="ACC335" s="113"/>
      <c r="ACE335" s="114"/>
      <c r="ACF335" s="114"/>
      <c r="ACK335" s="111"/>
      <c r="ACL335" s="112"/>
      <c r="ACM335" s="113"/>
      <c r="ACO335" s="114"/>
      <c r="ACP335" s="114"/>
      <c r="ACU335" s="111"/>
      <c r="ACV335" s="112"/>
      <c r="ACW335" s="113"/>
      <c r="ACY335" s="114"/>
      <c r="ACZ335" s="114"/>
      <c r="ADE335" s="111"/>
      <c r="ADF335" s="112"/>
      <c r="ADG335" s="113"/>
      <c r="ADI335" s="114"/>
      <c r="ADJ335" s="114"/>
      <c r="ADO335" s="111"/>
      <c r="ADP335" s="112"/>
      <c r="ADQ335" s="113"/>
      <c r="ADS335" s="114"/>
      <c r="ADT335" s="114"/>
      <c r="ADY335" s="111"/>
      <c r="ADZ335" s="112"/>
      <c r="AEA335" s="113"/>
      <c r="AEC335" s="114"/>
      <c r="AED335" s="114"/>
      <c r="AEI335" s="111"/>
      <c r="AEJ335" s="112"/>
      <c r="AEK335" s="113"/>
      <c r="AEM335" s="114"/>
      <c r="AEN335" s="114"/>
      <c r="AES335" s="111"/>
      <c r="AET335" s="112"/>
      <c r="AEU335" s="113"/>
      <c r="AEW335" s="114"/>
      <c r="AEX335" s="114"/>
      <c r="AFC335" s="111"/>
      <c r="AFD335" s="112"/>
      <c r="AFE335" s="113"/>
      <c r="AFG335" s="114"/>
      <c r="AFH335" s="114"/>
      <c r="AFM335" s="111"/>
      <c r="AFN335" s="112"/>
      <c r="AFO335" s="113"/>
      <c r="AFQ335" s="114"/>
      <c r="AFR335" s="114"/>
      <c r="AFW335" s="111"/>
      <c r="AFX335" s="112"/>
      <c r="AFY335" s="113"/>
      <c r="AGA335" s="114"/>
      <c r="AGB335" s="114"/>
      <c r="AGG335" s="111"/>
      <c r="AGH335" s="112"/>
      <c r="AGI335" s="113"/>
      <c r="AGK335" s="114"/>
      <c r="AGL335" s="114"/>
      <c r="AGQ335" s="111"/>
      <c r="AGR335" s="112"/>
      <c r="AGS335" s="113"/>
      <c r="AGU335" s="114"/>
      <c r="AGV335" s="114"/>
      <c r="AHA335" s="111"/>
      <c r="AHB335" s="112"/>
      <c r="AHC335" s="113"/>
      <c r="AHE335" s="114"/>
      <c r="AHF335" s="114"/>
      <c r="AHK335" s="111"/>
      <c r="AHL335" s="112"/>
      <c r="AHM335" s="113"/>
      <c r="AHO335" s="114"/>
      <c r="AHP335" s="114"/>
      <c r="AHU335" s="111"/>
      <c r="AHV335" s="112"/>
      <c r="AHW335" s="113"/>
      <c r="AHY335" s="114"/>
      <c r="AHZ335" s="114"/>
      <c r="AIE335" s="111"/>
      <c r="AIF335" s="112"/>
      <c r="AIG335" s="113"/>
      <c r="AII335" s="114"/>
      <c r="AIJ335" s="114"/>
      <c r="AIO335" s="111"/>
      <c r="AIP335" s="112"/>
      <c r="AIQ335" s="113"/>
      <c r="AIS335" s="114"/>
      <c r="AIT335" s="114"/>
      <c r="AIY335" s="111"/>
      <c r="AIZ335" s="112"/>
      <c r="AJA335" s="113"/>
      <c r="AJC335" s="114"/>
      <c r="AJD335" s="114"/>
      <c r="AJI335" s="111"/>
      <c r="AJJ335" s="112"/>
      <c r="AJK335" s="113"/>
      <c r="AJM335" s="114"/>
      <c r="AJN335" s="114"/>
      <c r="AJS335" s="111"/>
      <c r="AJT335" s="112"/>
      <c r="AJU335" s="113"/>
      <c r="AJW335" s="114"/>
      <c r="AJX335" s="114"/>
      <c r="AKC335" s="111"/>
      <c r="AKD335" s="112"/>
      <c r="AKE335" s="113"/>
      <c r="AKG335" s="114"/>
      <c r="AKH335" s="114"/>
      <c r="AKM335" s="111"/>
      <c r="AKN335" s="112"/>
      <c r="AKO335" s="113"/>
      <c r="AKQ335" s="114"/>
      <c r="AKR335" s="114"/>
      <c r="AKW335" s="111"/>
      <c r="AKX335" s="112"/>
      <c r="AKY335" s="113"/>
      <c r="ALA335" s="114"/>
      <c r="ALB335" s="114"/>
      <c r="ALG335" s="111"/>
      <c r="ALH335" s="112"/>
      <c r="ALI335" s="113"/>
      <c r="ALK335" s="114"/>
      <c r="ALL335" s="114"/>
      <c r="ALQ335" s="111"/>
      <c r="ALR335" s="112"/>
      <c r="ALS335" s="113"/>
      <c r="ALU335" s="114"/>
      <c r="ALV335" s="114"/>
      <c r="AMA335" s="111"/>
      <c r="AMB335" s="112"/>
      <c r="AMC335" s="113"/>
      <c r="AME335" s="114"/>
      <c r="AMF335" s="114"/>
      <c r="AMK335" s="111"/>
      <c r="AML335" s="112"/>
      <c r="AMM335" s="113"/>
      <c r="AMO335" s="114"/>
      <c r="AMP335" s="114"/>
      <c r="AMU335" s="111"/>
      <c r="AMV335" s="112"/>
      <c r="AMW335" s="113"/>
      <c r="AMY335" s="114"/>
      <c r="AMZ335" s="114"/>
      <c r="ANE335" s="111"/>
      <c r="ANF335" s="112"/>
      <c r="ANG335" s="113"/>
      <c r="ANI335" s="114"/>
      <c r="ANJ335" s="114"/>
      <c r="ANO335" s="111"/>
      <c r="ANP335" s="112"/>
      <c r="ANQ335" s="113"/>
      <c r="ANS335" s="114"/>
      <c r="ANT335" s="114"/>
      <c r="ANY335" s="111"/>
      <c r="ANZ335" s="112"/>
      <c r="AOA335" s="113"/>
      <c r="AOC335" s="114"/>
      <c r="AOD335" s="114"/>
      <c r="AOI335" s="111"/>
      <c r="AOJ335" s="112"/>
      <c r="AOK335" s="113"/>
      <c r="AOM335" s="114"/>
      <c r="AON335" s="114"/>
      <c r="AOS335" s="111"/>
      <c r="AOT335" s="112"/>
      <c r="AOU335" s="113"/>
      <c r="AOW335" s="114"/>
      <c r="AOX335" s="114"/>
      <c r="APC335" s="111"/>
      <c r="APD335" s="112"/>
      <c r="APE335" s="113"/>
      <c r="APG335" s="114"/>
      <c r="APH335" s="114"/>
      <c r="APM335" s="111"/>
      <c r="APN335" s="112"/>
      <c r="APO335" s="113"/>
      <c r="APQ335" s="114"/>
      <c r="APR335" s="114"/>
      <c r="APW335" s="111"/>
      <c r="APX335" s="112"/>
      <c r="APY335" s="113"/>
      <c r="AQA335" s="114"/>
      <c r="AQB335" s="114"/>
      <c r="AQG335" s="111"/>
      <c r="AQH335" s="112"/>
      <c r="AQI335" s="113"/>
      <c r="AQK335" s="114"/>
      <c r="AQL335" s="114"/>
      <c r="AQQ335" s="111"/>
      <c r="AQR335" s="112"/>
      <c r="AQS335" s="113"/>
      <c r="AQU335" s="114"/>
      <c r="AQV335" s="114"/>
      <c r="ARA335" s="111"/>
      <c r="ARB335" s="112"/>
      <c r="ARC335" s="113"/>
      <c r="ARE335" s="114"/>
      <c r="ARF335" s="114"/>
      <c r="ARK335" s="111"/>
      <c r="ARL335" s="112"/>
      <c r="ARM335" s="113"/>
      <c r="ARO335" s="114"/>
      <c r="ARP335" s="114"/>
      <c r="ARU335" s="111"/>
      <c r="ARV335" s="112"/>
      <c r="ARW335" s="113"/>
      <c r="ARY335" s="114"/>
      <c r="ARZ335" s="114"/>
      <c r="ASE335" s="111"/>
      <c r="ASF335" s="112"/>
      <c r="ASG335" s="113"/>
      <c r="ASI335" s="114"/>
      <c r="ASJ335" s="114"/>
      <c r="ASO335" s="111"/>
      <c r="ASP335" s="112"/>
      <c r="ASQ335" s="113"/>
      <c r="ASS335" s="114"/>
      <c r="AST335" s="114"/>
      <c r="ASY335" s="111"/>
      <c r="ASZ335" s="112"/>
      <c r="ATA335" s="113"/>
      <c r="ATC335" s="114"/>
      <c r="ATD335" s="114"/>
      <c r="ATI335" s="111"/>
      <c r="ATJ335" s="112"/>
      <c r="ATK335" s="113"/>
      <c r="ATM335" s="114"/>
      <c r="ATN335" s="114"/>
      <c r="ATS335" s="111"/>
      <c r="ATT335" s="112"/>
      <c r="ATU335" s="113"/>
      <c r="ATW335" s="114"/>
      <c r="ATX335" s="114"/>
      <c r="AUC335" s="111"/>
      <c r="AUD335" s="112"/>
      <c r="AUE335" s="113"/>
      <c r="AUG335" s="114"/>
      <c r="AUH335" s="114"/>
      <c r="AUM335" s="111"/>
      <c r="AUN335" s="112"/>
      <c r="AUO335" s="113"/>
      <c r="AUQ335" s="114"/>
      <c r="AUR335" s="114"/>
      <c r="AUW335" s="111"/>
      <c r="AUX335" s="112"/>
      <c r="AUY335" s="113"/>
      <c r="AVA335" s="114"/>
      <c r="AVB335" s="114"/>
      <c r="AVG335" s="111"/>
      <c r="AVH335" s="112"/>
      <c r="AVI335" s="113"/>
      <c r="AVK335" s="114"/>
      <c r="AVL335" s="114"/>
      <c r="AVQ335" s="111"/>
      <c r="AVR335" s="112"/>
      <c r="AVS335" s="113"/>
      <c r="AVU335" s="114"/>
      <c r="AVV335" s="114"/>
      <c r="AWA335" s="111"/>
      <c r="AWB335" s="112"/>
      <c r="AWC335" s="113"/>
      <c r="AWE335" s="114"/>
      <c r="AWF335" s="114"/>
      <c r="AWK335" s="111"/>
      <c r="AWL335" s="112"/>
      <c r="AWM335" s="113"/>
      <c r="AWO335" s="114"/>
      <c r="AWP335" s="114"/>
      <c r="AWU335" s="111"/>
      <c r="AWV335" s="112"/>
      <c r="AWW335" s="113"/>
      <c r="AWY335" s="114"/>
      <c r="AWZ335" s="114"/>
      <c r="AXE335" s="111"/>
      <c r="AXF335" s="112"/>
      <c r="AXG335" s="113"/>
      <c r="AXI335" s="114"/>
      <c r="AXJ335" s="114"/>
      <c r="AXO335" s="111"/>
      <c r="AXP335" s="112"/>
      <c r="AXQ335" s="113"/>
      <c r="AXS335" s="114"/>
      <c r="AXT335" s="114"/>
      <c r="AXY335" s="111"/>
      <c r="AXZ335" s="112"/>
      <c r="AYA335" s="113"/>
      <c r="AYC335" s="114"/>
      <c r="AYD335" s="114"/>
      <c r="AYI335" s="111"/>
      <c r="AYJ335" s="112"/>
      <c r="AYK335" s="113"/>
      <c r="AYM335" s="114"/>
      <c r="AYN335" s="114"/>
      <c r="AYS335" s="111"/>
      <c r="AYT335" s="112"/>
      <c r="AYU335" s="113"/>
      <c r="AYW335" s="114"/>
      <c r="AYX335" s="114"/>
      <c r="AZC335" s="111"/>
      <c r="AZD335" s="112"/>
      <c r="AZE335" s="113"/>
      <c r="AZG335" s="114"/>
      <c r="AZH335" s="114"/>
      <c r="AZM335" s="111"/>
      <c r="AZN335" s="112"/>
      <c r="AZO335" s="113"/>
      <c r="AZQ335" s="114"/>
      <c r="AZR335" s="114"/>
      <c r="AZW335" s="111"/>
      <c r="AZX335" s="112"/>
      <c r="AZY335" s="113"/>
      <c r="BAA335" s="114"/>
      <c r="BAB335" s="114"/>
      <c r="BAG335" s="111"/>
      <c r="BAH335" s="112"/>
      <c r="BAI335" s="113"/>
      <c r="BAK335" s="114"/>
      <c r="BAL335" s="114"/>
      <c r="BAQ335" s="111"/>
      <c r="BAR335" s="112"/>
      <c r="BAS335" s="113"/>
      <c r="BAU335" s="114"/>
      <c r="BAV335" s="114"/>
      <c r="BBA335" s="111"/>
      <c r="BBB335" s="112"/>
      <c r="BBC335" s="113"/>
      <c r="BBE335" s="114"/>
      <c r="BBF335" s="114"/>
      <c r="BBK335" s="111"/>
      <c r="BBL335" s="112"/>
      <c r="BBM335" s="113"/>
      <c r="BBO335" s="114"/>
      <c r="BBP335" s="114"/>
      <c r="BBU335" s="111"/>
      <c r="BBV335" s="112"/>
      <c r="BBW335" s="113"/>
      <c r="BBY335" s="114"/>
      <c r="BBZ335" s="114"/>
      <c r="BCE335" s="111"/>
      <c r="BCF335" s="112"/>
      <c r="BCG335" s="113"/>
      <c r="BCI335" s="114"/>
      <c r="BCJ335" s="114"/>
      <c r="BCO335" s="111"/>
      <c r="BCP335" s="112"/>
      <c r="BCQ335" s="113"/>
      <c r="BCS335" s="114"/>
      <c r="BCT335" s="114"/>
      <c r="BCY335" s="111"/>
      <c r="BCZ335" s="112"/>
      <c r="BDA335" s="113"/>
      <c r="BDC335" s="114"/>
      <c r="BDD335" s="114"/>
      <c r="BDI335" s="111"/>
      <c r="BDJ335" s="112"/>
      <c r="BDK335" s="113"/>
      <c r="BDM335" s="114"/>
      <c r="BDN335" s="114"/>
      <c r="BDS335" s="111"/>
      <c r="BDT335" s="112"/>
      <c r="BDU335" s="113"/>
      <c r="BDW335" s="114"/>
      <c r="BDX335" s="114"/>
      <c r="BEC335" s="111"/>
      <c r="BED335" s="112"/>
      <c r="BEE335" s="113"/>
      <c r="BEG335" s="114"/>
      <c r="BEH335" s="114"/>
      <c r="BEM335" s="111"/>
      <c r="BEN335" s="112"/>
      <c r="BEO335" s="113"/>
      <c r="BEQ335" s="114"/>
      <c r="BER335" s="114"/>
      <c r="BEW335" s="111"/>
      <c r="BEX335" s="112"/>
      <c r="BEY335" s="113"/>
      <c r="BFA335" s="114"/>
      <c r="BFB335" s="114"/>
      <c r="BFG335" s="111"/>
      <c r="BFH335" s="112"/>
      <c r="BFI335" s="113"/>
      <c r="BFK335" s="114"/>
      <c r="BFL335" s="114"/>
      <c r="BFQ335" s="111"/>
      <c r="BFR335" s="112"/>
      <c r="BFS335" s="113"/>
      <c r="BFU335" s="114"/>
      <c r="BFV335" s="114"/>
      <c r="BGA335" s="111"/>
      <c r="BGB335" s="112"/>
      <c r="BGC335" s="113"/>
      <c r="BGE335" s="114"/>
      <c r="BGF335" s="114"/>
      <c r="BGK335" s="111"/>
      <c r="BGL335" s="112"/>
      <c r="BGM335" s="113"/>
      <c r="BGO335" s="114"/>
      <c r="BGP335" s="114"/>
      <c r="BGU335" s="111"/>
      <c r="BGV335" s="112"/>
      <c r="BGW335" s="113"/>
      <c r="BGY335" s="114"/>
      <c r="BGZ335" s="114"/>
      <c r="BHE335" s="111"/>
      <c r="BHF335" s="112"/>
      <c r="BHG335" s="113"/>
      <c r="BHI335" s="114"/>
      <c r="BHJ335" s="114"/>
      <c r="BHO335" s="111"/>
      <c r="BHP335" s="112"/>
      <c r="BHQ335" s="113"/>
      <c r="BHS335" s="114"/>
      <c r="BHT335" s="114"/>
      <c r="BHY335" s="111"/>
      <c r="BHZ335" s="112"/>
      <c r="BIA335" s="113"/>
      <c r="BIC335" s="114"/>
      <c r="BID335" s="114"/>
      <c r="BII335" s="111"/>
      <c r="BIJ335" s="112"/>
      <c r="BIK335" s="113"/>
      <c r="BIM335" s="114"/>
      <c r="BIN335" s="114"/>
      <c r="BIS335" s="111"/>
      <c r="BIT335" s="112"/>
      <c r="BIU335" s="113"/>
      <c r="BIW335" s="114"/>
      <c r="BIX335" s="114"/>
      <c r="BJC335" s="111"/>
      <c r="BJD335" s="112"/>
      <c r="BJE335" s="113"/>
      <c r="BJG335" s="114"/>
      <c r="BJH335" s="114"/>
      <c r="BJM335" s="111"/>
      <c r="BJN335" s="112"/>
      <c r="BJO335" s="113"/>
      <c r="BJQ335" s="114"/>
      <c r="BJR335" s="114"/>
      <c r="BJW335" s="111"/>
      <c r="BJX335" s="112"/>
      <c r="BJY335" s="113"/>
      <c r="BKA335" s="114"/>
      <c r="BKB335" s="114"/>
      <c r="BKG335" s="111"/>
      <c r="BKH335" s="112"/>
      <c r="BKI335" s="113"/>
      <c r="BKK335" s="114"/>
      <c r="BKL335" s="114"/>
      <c r="BKQ335" s="111"/>
      <c r="BKR335" s="112"/>
      <c r="BKS335" s="113"/>
      <c r="BKU335" s="114"/>
      <c r="BKV335" s="114"/>
      <c r="BLA335" s="111"/>
      <c r="BLB335" s="112"/>
      <c r="BLC335" s="113"/>
      <c r="BLE335" s="114"/>
      <c r="BLF335" s="114"/>
      <c r="BLK335" s="111"/>
      <c r="BLL335" s="112"/>
      <c r="BLM335" s="113"/>
      <c r="BLO335" s="114"/>
      <c r="BLP335" s="114"/>
      <c r="BLU335" s="111"/>
      <c r="BLV335" s="112"/>
      <c r="BLW335" s="113"/>
      <c r="BLY335" s="114"/>
      <c r="BLZ335" s="114"/>
      <c r="BME335" s="111"/>
      <c r="BMF335" s="112"/>
      <c r="BMG335" s="113"/>
      <c r="BMI335" s="114"/>
      <c r="BMJ335" s="114"/>
      <c r="BMO335" s="111"/>
      <c r="BMP335" s="112"/>
      <c r="BMQ335" s="113"/>
      <c r="BMS335" s="114"/>
      <c r="BMT335" s="114"/>
      <c r="BMY335" s="111"/>
      <c r="BMZ335" s="112"/>
      <c r="BNA335" s="113"/>
      <c r="BNC335" s="114"/>
      <c r="BND335" s="114"/>
      <c r="BNI335" s="111"/>
      <c r="BNJ335" s="112"/>
      <c r="BNK335" s="113"/>
      <c r="BNM335" s="114"/>
      <c r="BNN335" s="114"/>
      <c r="BNS335" s="111"/>
      <c r="BNT335" s="112"/>
      <c r="BNU335" s="113"/>
      <c r="BNW335" s="114"/>
      <c r="BNX335" s="114"/>
      <c r="BOC335" s="111"/>
      <c r="BOD335" s="112"/>
      <c r="BOE335" s="113"/>
      <c r="BOG335" s="114"/>
      <c r="BOH335" s="114"/>
      <c r="BOM335" s="111"/>
      <c r="BON335" s="112"/>
      <c r="BOO335" s="113"/>
      <c r="BOQ335" s="114"/>
      <c r="BOR335" s="114"/>
      <c r="BOW335" s="111"/>
      <c r="BOX335" s="112"/>
      <c r="BOY335" s="113"/>
      <c r="BPA335" s="114"/>
      <c r="BPB335" s="114"/>
      <c r="BPG335" s="111"/>
      <c r="BPH335" s="112"/>
      <c r="BPI335" s="113"/>
      <c r="BPK335" s="114"/>
      <c r="BPL335" s="114"/>
      <c r="BPQ335" s="111"/>
      <c r="BPR335" s="112"/>
      <c r="BPS335" s="113"/>
      <c r="BPU335" s="114"/>
      <c r="BPV335" s="114"/>
      <c r="BQA335" s="111"/>
      <c r="BQB335" s="112"/>
      <c r="BQC335" s="113"/>
      <c r="BQE335" s="114"/>
      <c r="BQF335" s="114"/>
      <c r="BQK335" s="111"/>
      <c r="BQL335" s="112"/>
      <c r="BQM335" s="113"/>
      <c r="BQO335" s="114"/>
      <c r="BQP335" s="114"/>
      <c r="BQU335" s="111"/>
      <c r="BQV335" s="112"/>
      <c r="BQW335" s="113"/>
      <c r="BQY335" s="114"/>
      <c r="BQZ335" s="114"/>
      <c r="BRE335" s="111"/>
      <c r="BRF335" s="112"/>
      <c r="BRG335" s="113"/>
      <c r="BRI335" s="114"/>
      <c r="BRJ335" s="114"/>
      <c r="BRO335" s="111"/>
      <c r="BRP335" s="112"/>
      <c r="BRQ335" s="113"/>
      <c r="BRS335" s="114"/>
      <c r="BRT335" s="114"/>
      <c r="BRY335" s="111"/>
      <c r="BRZ335" s="112"/>
      <c r="BSA335" s="113"/>
      <c r="BSC335" s="114"/>
      <c r="BSD335" s="114"/>
      <c r="BSI335" s="111"/>
      <c r="BSJ335" s="112"/>
      <c r="BSK335" s="113"/>
      <c r="BSM335" s="114"/>
      <c r="BSN335" s="114"/>
      <c r="BSS335" s="111"/>
      <c r="BST335" s="112"/>
      <c r="BSU335" s="113"/>
      <c r="BSW335" s="114"/>
      <c r="BSX335" s="114"/>
      <c r="BTC335" s="111"/>
      <c r="BTD335" s="112"/>
      <c r="BTE335" s="113"/>
      <c r="BTG335" s="114"/>
      <c r="BTH335" s="114"/>
      <c r="BTM335" s="111"/>
      <c r="BTN335" s="112"/>
      <c r="BTO335" s="113"/>
      <c r="BTQ335" s="114"/>
      <c r="BTR335" s="114"/>
      <c r="BTW335" s="111"/>
      <c r="BTX335" s="112"/>
      <c r="BTY335" s="113"/>
      <c r="BUA335" s="114"/>
      <c r="BUB335" s="114"/>
      <c r="BUG335" s="111"/>
      <c r="BUH335" s="112"/>
      <c r="BUI335" s="113"/>
      <c r="BUK335" s="114"/>
      <c r="BUL335" s="114"/>
      <c r="BUQ335" s="111"/>
      <c r="BUR335" s="112"/>
      <c r="BUS335" s="113"/>
      <c r="BUU335" s="114"/>
      <c r="BUV335" s="114"/>
      <c r="BVA335" s="111"/>
      <c r="BVB335" s="112"/>
      <c r="BVC335" s="113"/>
      <c r="BVE335" s="114"/>
      <c r="BVF335" s="114"/>
      <c r="BVK335" s="111"/>
      <c r="BVL335" s="112"/>
      <c r="BVM335" s="113"/>
      <c r="BVO335" s="114"/>
      <c r="BVP335" s="114"/>
      <c r="BVU335" s="111"/>
      <c r="BVV335" s="112"/>
      <c r="BVW335" s="113"/>
      <c r="BVY335" s="114"/>
      <c r="BVZ335" s="114"/>
      <c r="BWE335" s="111"/>
      <c r="BWF335" s="112"/>
      <c r="BWG335" s="113"/>
      <c r="BWI335" s="114"/>
      <c r="BWJ335" s="114"/>
      <c r="BWO335" s="111"/>
      <c r="BWP335" s="112"/>
      <c r="BWQ335" s="113"/>
      <c r="BWS335" s="114"/>
      <c r="BWT335" s="114"/>
      <c r="BWY335" s="111"/>
      <c r="BWZ335" s="112"/>
      <c r="BXA335" s="113"/>
      <c r="BXC335" s="114"/>
      <c r="BXD335" s="114"/>
      <c r="BXI335" s="111"/>
      <c r="BXJ335" s="112"/>
      <c r="BXK335" s="113"/>
      <c r="BXM335" s="114"/>
      <c r="BXN335" s="114"/>
      <c r="BXS335" s="111"/>
      <c r="BXT335" s="112"/>
      <c r="BXU335" s="113"/>
      <c r="BXW335" s="114"/>
      <c r="BXX335" s="114"/>
      <c r="BYC335" s="111"/>
      <c r="BYD335" s="112"/>
      <c r="BYE335" s="113"/>
      <c r="BYG335" s="114"/>
      <c r="BYH335" s="114"/>
      <c r="BYM335" s="111"/>
      <c r="BYN335" s="112"/>
      <c r="BYO335" s="113"/>
      <c r="BYQ335" s="114"/>
      <c r="BYR335" s="114"/>
      <c r="BYW335" s="111"/>
      <c r="BYX335" s="112"/>
      <c r="BYY335" s="113"/>
      <c r="BZA335" s="114"/>
      <c r="BZB335" s="114"/>
      <c r="BZG335" s="111"/>
      <c r="BZH335" s="112"/>
      <c r="BZI335" s="113"/>
      <c r="BZK335" s="114"/>
      <c r="BZL335" s="114"/>
      <c r="BZQ335" s="111"/>
      <c r="BZR335" s="112"/>
      <c r="BZS335" s="113"/>
      <c r="BZU335" s="114"/>
      <c r="BZV335" s="114"/>
      <c r="CAA335" s="111"/>
      <c r="CAB335" s="112"/>
      <c r="CAC335" s="113"/>
      <c r="CAE335" s="114"/>
      <c r="CAF335" s="114"/>
      <c r="CAK335" s="111"/>
      <c r="CAL335" s="112"/>
      <c r="CAM335" s="113"/>
      <c r="CAO335" s="114"/>
      <c r="CAP335" s="114"/>
      <c r="CAU335" s="111"/>
      <c r="CAV335" s="112"/>
      <c r="CAW335" s="113"/>
      <c r="CAY335" s="114"/>
      <c r="CAZ335" s="114"/>
      <c r="CBE335" s="111"/>
      <c r="CBF335" s="112"/>
      <c r="CBG335" s="113"/>
      <c r="CBI335" s="114"/>
      <c r="CBJ335" s="114"/>
      <c r="CBO335" s="111"/>
      <c r="CBP335" s="112"/>
      <c r="CBQ335" s="113"/>
      <c r="CBS335" s="114"/>
      <c r="CBT335" s="114"/>
      <c r="CBY335" s="111"/>
      <c r="CBZ335" s="112"/>
      <c r="CCA335" s="113"/>
      <c r="CCC335" s="114"/>
      <c r="CCD335" s="114"/>
      <c r="CCI335" s="111"/>
      <c r="CCJ335" s="112"/>
      <c r="CCK335" s="113"/>
      <c r="CCM335" s="114"/>
      <c r="CCN335" s="114"/>
      <c r="CCS335" s="111"/>
      <c r="CCT335" s="112"/>
      <c r="CCU335" s="113"/>
      <c r="CCW335" s="114"/>
      <c r="CCX335" s="114"/>
      <c r="CDC335" s="111"/>
      <c r="CDD335" s="112"/>
      <c r="CDE335" s="113"/>
      <c r="CDG335" s="114"/>
      <c r="CDH335" s="114"/>
      <c r="CDM335" s="111"/>
      <c r="CDN335" s="112"/>
      <c r="CDO335" s="113"/>
      <c r="CDQ335" s="114"/>
      <c r="CDR335" s="114"/>
      <c r="CDW335" s="111"/>
      <c r="CDX335" s="112"/>
      <c r="CDY335" s="113"/>
      <c r="CEA335" s="114"/>
      <c r="CEB335" s="114"/>
      <c r="CEG335" s="111"/>
      <c r="CEH335" s="112"/>
      <c r="CEI335" s="113"/>
      <c r="CEK335" s="114"/>
      <c r="CEL335" s="114"/>
      <c r="CEQ335" s="111"/>
      <c r="CER335" s="112"/>
      <c r="CES335" s="113"/>
      <c r="CEU335" s="114"/>
      <c r="CEV335" s="114"/>
      <c r="CFA335" s="111"/>
      <c r="CFB335" s="112"/>
      <c r="CFC335" s="113"/>
      <c r="CFE335" s="114"/>
      <c r="CFF335" s="114"/>
      <c r="CFK335" s="111"/>
      <c r="CFL335" s="112"/>
      <c r="CFM335" s="113"/>
      <c r="CFO335" s="114"/>
      <c r="CFP335" s="114"/>
      <c r="CFU335" s="111"/>
      <c r="CFV335" s="112"/>
      <c r="CFW335" s="113"/>
      <c r="CFY335" s="114"/>
      <c r="CFZ335" s="114"/>
      <c r="CGE335" s="111"/>
      <c r="CGF335" s="112"/>
      <c r="CGG335" s="113"/>
      <c r="CGI335" s="114"/>
      <c r="CGJ335" s="114"/>
      <c r="CGO335" s="111"/>
      <c r="CGP335" s="112"/>
      <c r="CGQ335" s="113"/>
      <c r="CGS335" s="114"/>
      <c r="CGT335" s="114"/>
      <c r="CGY335" s="111"/>
      <c r="CGZ335" s="112"/>
      <c r="CHA335" s="113"/>
      <c r="CHC335" s="114"/>
      <c r="CHD335" s="114"/>
      <c r="CHI335" s="111"/>
      <c r="CHJ335" s="112"/>
      <c r="CHK335" s="113"/>
      <c r="CHM335" s="114"/>
      <c r="CHN335" s="114"/>
      <c r="CHS335" s="111"/>
      <c r="CHT335" s="112"/>
      <c r="CHU335" s="113"/>
      <c r="CHW335" s="114"/>
      <c r="CHX335" s="114"/>
      <c r="CIC335" s="111"/>
      <c r="CID335" s="112"/>
      <c r="CIE335" s="113"/>
      <c r="CIG335" s="114"/>
      <c r="CIH335" s="114"/>
      <c r="CIM335" s="111"/>
      <c r="CIN335" s="112"/>
      <c r="CIO335" s="113"/>
      <c r="CIQ335" s="114"/>
      <c r="CIR335" s="114"/>
      <c r="CIW335" s="111"/>
      <c r="CIX335" s="112"/>
      <c r="CIY335" s="113"/>
      <c r="CJA335" s="114"/>
      <c r="CJB335" s="114"/>
      <c r="CJG335" s="111"/>
      <c r="CJH335" s="112"/>
      <c r="CJI335" s="113"/>
      <c r="CJK335" s="114"/>
      <c r="CJL335" s="114"/>
      <c r="CJQ335" s="111"/>
      <c r="CJR335" s="112"/>
      <c r="CJS335" s="113"/>
      <c r="CJU335" s="114"/>
      <c r="CJV335" s="114"/>
      <c r="CKA335" s="111"/>
      <c r="CKB335" s="112"/>
      <c r="CKC335" s="113"/>
      <c r="CKE335" s="114"/>
      <c r="CKF335" s="114"/>
      <c r="CKK335" s="111"/>
      <c r="CKL335" s="112"/>
      <c r="CKM335" s="113"/>
      <c r="CKO335" s="114"/>
      <c r="CKP335" s="114"/>
      <c r="CKU335" s="111"/>
      <c r="CKV335" s="112"/>
      <c r="CKW335" s="113"/>
      <c r="CKY335" s="114"/>
      <c r="CKZ335" s="114"/>
      <c r="CLE335" s="111"/>
      <c r="CLF335" s="112"/>
      <c r="CLG335" s="113"/>
      <c r="CLI335" s="114"/>
      <c r="CLJ335" s="114"/>
      <c r="CLO335" s="111"/>
      <c r="CLP335" s="112"/>
      <c r="CLQ335" s="113"/>
      <c r="CLS335" s="114"/>
      <c r="CLT335" s="114"/>
      <c r="CLY335" s="111"/>
      <c r="CLZ335" s="112"/>
      <c r="CMA335" s="113"/>
      <c r="CMC335" s="114"/>
      <c r="CMD335" s="114"/>
      <c r="CMI335" s="111"/>
      <c r="CMJ335" s="112"/>
      <c r="CMK335" s="113"/>
      <c r="CMM335" s="114"/>
      <c r="CMN335" s="114"/>
      <c r="CMS335" s="111"/>
      <c r="CMT335" s="112"/>
      <c r="CMU335" s="113"/>
      <c r="CMW335" s="114"/>
      <c r="CMX335" s="114"/>
      <c r="CNC335" s="111"/>
      <c r="CND335" s="112"/>
      <c r="CNE335" s="113"/>
      <c r="CNG335" s="114"/>
      <c r="CNH335" s="114"/>
      <c r="CNM335" s="111"/>
      <c r="CNN335" s="112"/>
      <c r="CNO335" s="113"/>
      <c r="CNQ335" s="114"/>
      <c r="CNR335" s="114"/>
      <c r="CNW335" s="111"/>
      <c r="CNX335" s="112"/>
      <c r="CNY335" s="113"/>
      <c r="COA335" s="114"/>
      <c r="COB335" s="114"/>
      <c r="COG335" s="111"/>
      <c r="COH335" s="112"/>
      <c r="COI335" s="113"/>
      <c r="COK335" s="114"/>
      <c r="COL335" s="114"/>
      <c r="COQ335" s="111"/>
      <c r="COR335" s="112"/>
      <c r="COS335" s="113"/>
      <c r="COU335" s="114"/>
      <c r="COV335" s="114"/>
      <c r="CPA335" s="111"/>
      <c r="CPB335" s="112"/>
      <c r="CPC335" s="113"/>
      <c r="CPE335" s="114"/>
      <c r="CPF335" s="114"/>
      <c r="CPK335" s="111"/>
      <c r="CPL335" s="112"/>
      <c r="CPM335" s="113"/>
      <c r="CPO335" s="114"/>
      <c r="CPP335" s="114"/>
      <c r="CPU335" s="111"/>
      <c r="CPV335" s="112"/>
      <c r="CPW335" s="113"/>
      <c r="CPY335" s="114"/>
      <c r="CPZ335" s="114"/>
      <c r="CQE335" s="111"/>
      <c r="CQF335" s="112"/>
      <c r="CQG335" s="113"/>
      <c r="CQI335" s="114"/>
      <c r="CQJ335" s="114"/>
      <c r="CQO335" s="111"/>
      <c r="CQP335" s="112"/>
      <c r="CQQ335" s="113"/>
      <c r="CQS335" s="114"/>
      <c r="CQT335" s="114"/>
      <c r="CQY335" s="111"/>
      <c r="CQZ335" s="112"/>
      <c r="CRA335" s="113"/>
      <c r="CRC335" s="114"/>
      <c r="CRD335" s="114"/>
      <c r="CRI335" s="111"/>
      <c r="CRJ335" s="112"/>
      <c r="CRK335" s="113"/>
      <c r="CRM335" s="114"/>
      <c r="CRN335" s="114"/>
      <c r="CRS335" s="111"/>
      <c r="CRT335" s="112"/>
      <c r="CRU335" s="113"/>
      <c r="CRW335" s="114"/>
      <c r="CRX335" s="114"/>
      <c r="CSC335" s="111"/>
      <c r="CSD335" s="112"/>
      <c r="CSE335" s="113"/>
      <c r="CSG335" s="114"/>
      <c r="CSH335" s="114"/>
      <c r="CSM335" s="111"/>
      <c r="CSN335" s="112"/>
      <c r="CSO335" s="113"/>
      <c r="CSQ335" s="114"/>
      <c r="CSR335" s="114"/>
      <c r="CSW335" s="111"/>
      <c r="CSX335" s="112"/>
      <c r="CSY335" s="113"/>
      <c r="CTA335" s="114"/>
      <c r="CTB335" s="114"/>
      <c r="CTG335" s="111"/>
      <c r="CTH335" s="112"/>
      <c r="CTI335" s="113"/>
      <c r="CTK335" s="114"/>
      <c r="CTL335" s="114"/>
      <c r="CTQ335" s="111"/>
      <c r="CTR335" s="112"/>
      <c r="CTS335" s="113"/>
      <c r="CTU335" s="114"/>
      <c r="CTV335" s="114"/>
      <c r="CUA335" s="111"/>
      <c r="CUB335" s="112"/>
      <c r="CUC335" s="113"/>
      <c r="CUE335" s="114"/>
      <c r="CUF335" s="114"/>
      <c r="CUK335" s="111"/>
      <c r="CUL335" s="112"/>
      <c r="CUM335" s="113"/>
      <c r="CUO335" s="114"/>
      <c r="CUP335" s="114"/>
      <c r="CUU335" s="111"/>
      <c r="CUV335" s="112"/>
      <c r="CUW335" s="113"/>
      <c r="CUY335" s="114"/>
      <c r="CUZ335" s="114"/>
      <c r="CVE335" s="111"/>
      <c r="CVF335" s="112"/>
      <c r="CVG335" s="113"/>
      <c r="CVI335" s="114"/>
      <c r="CVJ335" s="114"/>
      <c r="CVO335" s="111"/>
      <c r="CVP335" s="112"/>
      <c r="CVQ335" s="113"/>
      <c r="CVS335" s="114"/>
      <c r="CVT335" s="114"/>
      <c r="CVY335" s="111"/>
      <c r="CVZ335" s="112"/>
      <c r="CWA335" s="113"/>
      <c r="CWC335" s="114"/>
      <c r="CWD335" s="114"/>
      <c r="CWI335" s="111"/>
      <c r="CWJ335" s="112"/>
      <c r="CWK335" s="113"/>
      <c r="CWM335" s="114"/>
      <c r="CWN335" s="114"/>
      <c r="CWS335" s="111"/>
      <c r="CWT335" s="112"/>
      <c r="CWU335" s="113"/>
      <c r="CWW335" s="114"/>
      <c r="CWX335" s="114"/>
      <c r="CXC335" s="111"/>
      <c r="CXD335" s="112"/>
      <c r="CXE335" s="113"/>
      <c r="CXG335" s="114"/>
      <c r="CXH335" s="114"/>
      <c r="CXM335" s="111"/>
      <c r="CXN335" s="112"/>
      <c r="CXO335" s="113"/>
      <c r="CXQ335" s="114"/>
      <c r="CXR335" s="114"/>
      <c r="CXW335" s="111"/>
      <c r="CXX335" s="112"/>
      <c r="CXY335" s="113"/>
      <c r="CYA335" s="114"/>
      <c r="CYB335" s="114"/>
      <c r="CYG335" s="111"/>
      <c r="CYH335" s="112"/>
      <c r="CYI335" s="113"/>
      <c r="CYK335" s="114"/>
      <c r="CYL335" s="114"/>
      <c r="CYQ335" s="111"/>
      <c r="CYR335" s="112"/>
      <c r="CYS335" s="113"/>
      <c r="CYU335" s="114"/>
      <c r="CYV335" s="114"/>
      <c r="CZA335" s="111"/>
      <c r="CZB335" s="112"/>
      <c r="CZC335" s="113"/>
      <c r="CZE335" s="114"/>
      <c r="CZF335" s="114"/>
      <c r="CZK335" s="111"/>
      <c r="CZL335" s="112"/>
      <c r="CZM335" s="113"/>
      <c r="CZO335" s="114"/>
      <c r="CZP335" s="114"/>
      <c r="CZU335" s="111"/>
      <c r="CZV335" s="112"/>
      <c r="CZW335" s="113"/>
      <c r="CZY335" s="114"/>
      <c r="CZZ335" s="114"/>
      <c r="DAE335" s="111"/>
      <c r="DAF335" s="112"/>
      <c r="DAG335" s="113"/>
      <c r="DAI335" s="114"/>
      <c r="DAJ335" s="114"/>
      <c r="DAO335" s="111"/>
      <c r="DAP335" s="112"/>
      <c r="DAQ335" s="113"/>
      <c r="DAS335" s="114"/>
      <c r="DAT335" s="114"/>
      <c r="DAY335" s="111"/>
      <c r="DAZ335" s="112"/>
      <c r="DBA335" s="113"/>
      <c r="DBC335" s="114"/>
      <c r="DBD335" s="114"/>
      <c r="DBI335" s="111"/>
      <c r="DBJ335" s="112"/>
      <c r="DBK335" s="113"/>
      <c r="DBM335" s="114"/>
      <c r="DBN335" s="114"/>
      <c r="DBS335" s="111"/>
      <c r="DBT335" s="112"/>
      <c r="DBU335" s="113"/>
      <c r="DBW335" s="114"/>
      <c r="DBX335" s="114"/>
      <c r="DCC335" s="111"/>
      <c r="DCD335" s="112"/>
      <c r="DCE335" s="113"/>
      <c r="DCG335" s="114"/>
      <c r="DCH335" s="114"/>
      <c r="DCM335" s="111"/>
      <c r="DCN335" s="112"/>
      <c r="DCO335" s="113"/>
      <c r="DCQ335" s="114"/>
      <c r="DCR335" s="114"/>
      <c r="DCW335" s="111"/>
      <c r="DCX335" s="112"/>
      <c r="DCY335" s="113"/>
      <c r="DDA335" s="114"/>
      <c r="DDB335" s="114"/>
      <c r="DDG335" s="111"/>
      <c r="DDH335" s="112"/>
      <c r="DDI335" s="113"/>
      <c r="DDK335" s="114"/>
      <c r="DDL335" s="114"/>
      <c r="DDQ335" s="111"/>
      <c r="DDR335" s="112"/>
      <c r="DDS335" s="113"/>
      <c r="DDU335" s="114"/>
      <c r="DDV335" s="114"/>
      <c r="DEA335" s="111"/>
      <c r="DEB335" s="112"/>
      <c r="DEC335" s="113"/>
      <c r="DEE335" s="114"/>
      <c r="DEF335" s="114"/>
      <c r="DEK335" s="111"/>
      <c r="DEL335" s="112"/>
      <c r="DEM335" s="113"/>
      <c r="DEO335" s="114"/>
      <c r="DEP335" s="114"/>
      <c r="DEU335" s="111"/>
      <c r="DEV335" s="112"/>
      <c r="DEW335" s="113"/>
      <c r="DEY335" s="114"/>
      <c r="DEZ335" s="114"/>
      <c r="DFE335" s="111"/>
      <c r="DFF335" s="112"/>
      <c r="DFG335" s="113"/>
      <c r="DFI335" s="114"/>
      <c r="DFJ335" s="114"/>
      <c r="DFO335" s="111"/>
      <c r="DFP335" s="112"/>
      <c r="DFQ335" s="113"/>
      <c r="DFS335" s="114"/>
      <c r="DFT335" s="114"/>
      <c r="DFY335" s="111"/>
      <c r="DFZ335" s="112"/>
      <c r="DGA335" s="113"/>
      <c r="DGC335" s="114"/>
      <c r="DGD335" s="114"/>
      <c r="DGI335" s="111"/>
      <c r="DGJ335" s="112"/>
      <c r="DGK335" s="113"/>
      <c r="DGM335" s="114"/>
      <c r="DGN335" s="114"/>
      <c r="DGS335" s="111"/>
      <c r="DGT335" s="112"/>
      <c r="DGU335" s="113"/>
      <c r="DGW335" s="114"/>
      <c r="DGX335" s="114"/>
      <c r="DHC335" s="111"/>
      <c r="DHD335" s="112"/>
      <c r="DHE335" s="113"/>
      <c r="DHG335" s="114"/>
      <c r="DHH335" s="114"/>
      <c r="DHM335" s="111"/>
      <c r="DHN335" s="112"/>
      <c r="DHO335" s="113"/>
      <c r="DHQ335" s="114"/>
      <c r="DHR335" s="114"/>
      <c r="DHW335" s="111"/>
      <c r="DHX335" s="112"/>
      <c r="DHY335" s="113"/>
      <c r="DIA335" s="114"/>
      <c r="DIB335" s="114"/>
      <c r="DIG335" s="111"/>
      <c r="DIH335" s="112"/>
      <c r="DII335" s="113"/>
      <c r="DIK335" s="114"/>
      <c r="DIL335" s="114"/>
      <c r="DIQ335" s="111"/>
      <c r="DIR335" s="112"/>
      <c r="DIS335" s="113"/>
      <c r="DIU335" s="114"/>
      <c r="DIV335" s="114"/>
      <c r="DJA335" s="111"/>
      <c r="DJB335" s="112"/>
      <c r="DJC335" s="113"/>
      <c r="DJE335" s="114"/>
      <c r="DJF335" s="114"/>
      <c r="DJK335" s="111"/>
      <c r="DJL335" s="112"/>
      <c r="DJM335" s="113"/>
      <c r="DJO335" s="114"/>
      <c r="DJP335" s="114"/>
      <c r="DJU335" s="111"/>
      <c r="DJV335" s="112"/>
      <c r="DJW335" s="113"/>
      <c r="DJY335" s="114"/>
      <c r="DJZ335" s="114"/>
      <c r="DKE335" s="111"/>
      <c r="DKF335" s="112"/>
      <c r="DKG335" s="113"/>
      <c r="DKI335" s="114"/>
      <c r="DKJ335" s="114"/>
      <c r="DKO335" s="111"/>
      <c r="DKP335" s="112"/>
      <c r="DKQ335" s="113"/>
      <c r="DKS335" s="114"/>
      <c r="DKT335" s="114"/>
      <c r="DKY335" s="111"/>
      <c r="DKZ335" s="112"/>
      <c r="DLA335" s="113"/>
      <c r="DLC335" s="114"/>
      <c r="DLD335" s="114"/>
      <c r="DLI335" s="111"/>
      <c r="DLJ335" s="112"/>
      <c r="DLK335" s="113"/>
      <c r="DLM335" s="114"/>
      <c r="DLN335" s="114"/>
      <c r="DLS335" s="111"/>
      <c r="DLT335" s="112"/>
      <c r="DLU335" s="113"/>
      <c r="DLW335" s="114"/>
      <c r="DLX335" s="114"/>
      <c r="DMC335" s="111"/>
      <c r="DMD335" s="112"/>
      <c r="DME335" s="113"/>
      <c r="DMG335" s="114"/>
      <c r="DMH335" s="114"/>
      <c r="DMM335" s="111"/>
      <c r="DMN335" s="112"/>
      <c r="DMO335" s="113"/>
      <c r="DMQ335" s="114"/>
      <c r="DMR335" s="114"/>
      <c r="DMW335" s="111"/>
      <c r="DMX335" s="112"/>
      <c r="DMY335" s="113"/>
      <c r="DNA335" s="114"/>
      <c r="DNB335" s="114"/>
      <c r="DNG335" s="111"/>
      <c r="DNH335" s="112"/>
      <c r="DNI335" s="113"/>
      <c r="DNK335" s="114"/>
      <c r="DNL335" s="114"/>
      <c r="DNQ335" s="111"/>
      <c r="DNR335" s="112"/>
      <c r="DNS335" s="113"/>
      <c r="DNU335" s="114"/>
      <c r="DNV335" s="114"/>
      <c r="DOA335" s="111"/>
      <c r="DOB335" s="112"/>
      <c r="DOC335" s="113"/>
      <c r="DOE335" s="114"/>
      <c r="DOF335" s="114"/>
      <c r="DOK335" s="111"/>
      <c r="DOL335" s="112"/>
      <c r="DOM335" s="113"/>
      <c r="DOO335" s="114"/>
      <c r="DOP335" s="114"/>
      <c r="DOU335" s="111"/>
      <c r="DOV335" s="112"/>
      <c r="DOW335" s="113"/>
      <c r="DOY335" s="114"/>
      <c r="DOZ335" s="114"/>
      <c r="DPE335" s="111"/>
      <c r="DPF335" s="112"/>
      <c r="DPG335" s="113"/>
      <c r="DPI335" s="114"/>
      <c r="DPJ335" s="114"/>
      <c r="DPO335" s="111"/>
      <c r="DPP335" s="112"/>
      <c r="DPQ335" s="113"/>
      <c r="DPS335" s="114"/>
      <c r="DPT335" s="114"/>
      <c r="DPY335" s="111"/>
      <c r="DPZ335" s="112"/>
      <c r="DQA335" s="113"/>
      <c r="DQC335" s="114"/>
      <c r="DQD335" s="114"/>
      <c r="DQI335" s="111"/>
      <c r="DQJ335" s="112"/>
      <c r="DQK335" s="113"/>
      <c r="DQM335" s="114"/>
      <c r="DQN335" s="114"/>
      <c r="DQS335" s="111"/>
      <c r="DQT335" s="112"/>
      <c r="DQU335" s="113"/>
      <c r="DQW335" s="114"/>
      <c r="DQX335" s="114"/>
      <c r="DRC335" s="111"/>
      <c r="DRD335" s="112"/>
      <c r="DRE335" s="113"/>
      <c r="DRG335" s="114"/>
      <c r="DRH335" s="114"/>
      <c r="DRM335" s="111"/>
      <c r="DRN335" s="112"/>
      <c r="DRO335" s="113"/>
      <c r="DRQ335" s="114"/>
      <c r="DRR335" s="114"/>
      <c r="DRW335" s="111"/>
      <c r="DRX335" s="112"/>
      <c r="DRY335" s="113"/>
      <c r="DSA335" s="114"/>
      <c r="DSB335" s="114"/>
      <c r="DSG335" s="111"/>
      <c r="DSH335" s="112"/>
      <c r="DSI335" s="113"/>
      <c r="DSK335" s="114"/>
      <c r="DSL335" s="114"/>
      <c r="DSQ335" s="111"/>
      <c r="DSR335" s="112"/>
      <c r="DSS335" s="113"/>
      <c r="DSU335" s="114"/>
      <c r="DSV335" s="114"/>
      <c r="DTA335" s="111"/>
      <c r="DTB335" s="112"/>
      <c r="DTC335" s="113"/>
      <c r="DTE335" s="114"/>
      <c r="DTF335" s="114"/>
      <c r="DTK335" s="111"/>
      <c r="DTL335" s="112"/>
      <c r="DTM335" s="113"/>
      <c r="DTO335" s="114"/>
      <c r="DTP335" s="114"/>
      <c r="DTU335" s="111"/>
      <c r="DTV335" s="112"/>
      <c r="DTW335" s="113"/>
      <c r="DTY335" s="114"/>
      <c r="DTZ335" s="114"/>
      <c r="DUE335" s="111"/>
      <c r="DUF335" s="112"/>
      <c r="DUG335" s="113"/>
      <c r="DUI335" s="114"/>
      <c r="DUJ335" s="114"/>
      <c r="DUO335" s="111"/>
      <c r="DUP335" s="112"/>
      <c r="DUQ335" s="113"/>
      <c r="DUS335" s="114"/>
      <c r="DUT335" s="114"/>
      <c r="DUY335" s="111"/>
      <c r="DUZ335" s="112"/>
      <c r="DVA335" s="113"/>
      <c r="DVC335" s="114"/>
      <c r="DVD335" s="114"/>
      <c r="DVI335" s="111"/>
      <c r="DVJ335" s="112"/>
      <c r="DVK335" s="113"/>
      <c r="DVM335" s="114"/>
      <c r="DVN335" s="114"/>
      <c r="DVS335" s="111"/>
      <c r="DVT335" s="112"/>
      <c r="DVU335" s="113"/>
      <c r="DVW335" s="114"/>
      <c r="DVX335" s="114"/>
      <c r="DWC335" s="111"/>
      <c r="DWD335" s="112"/>
      <c r="DWE335" s="113"/>
      <c r="DWG335" s="114"/>
      <c r="DWH335" s="114"/>
      <c r="DWM335" s="111"/>
      <c r="DWN335" s="112"/>
      <c r="DWO335" s="113"/>
      <c r="DWQ335" s="114"/>
      <c r="DWR335" s="114"/>
      <c r="DWW335" s="111"/>
      <c r="DWX335" s="112"/>
      <c r="DWY335" s="113"/>
      <c r="DXA335" s="114"/>
      <c r="DXB335" s="114"/>
      <c r="DXG335" s="111"/>
      <c r="DXH335" s="112"/>
      <c r="DXI335" s="113"/>
      <c r="DXK335" s="114"/>
      <c r="DXL335" s="114"/>
      <c r="DXQ335" s="111"/>
      <c r="DXR335" s="112"/>
      <c r="DXS335" s="113"/>
      <c r="DXU335" s="114"/>
      <c r="DXV335" s="114"/>
      <c r="DYA335" s="111"/>
      <c r="DYB335" s="112"/>
      <c r="DYC335" s="113"/>
      <c r="DYE335" s="114"/>
      <c r="DYF335" s="114"/>
      <c r="DYK335" s="111"/>
      <c r="DYL335" s="112"/>
      <c r="DYM335" s="113"/>
      <c r="DYO335" s="114"/>
      <c r="DYP335" s="114"/>
      <c r="DYU335" s="111"/>
      <c r="DYV335" s="112"/>
      <c r="DYW335" s="113"/>
      <c r="DYY335" s="114"/>
      <c r="DYZ335" s="114"/>
      <c r="DZE335" s="111"/>
      <c r="DZF335" s="112"/>
      <c r="DZG335" s="113"/>
      <c r="DZI335" s="114"/>
      <c r="DZJ335" s="114"/>
      <c r="DZO335" s="111"/>
      <c r="DZP335" s="112"/>
      <c r="DZQ335" s="113"/>
      <c r="DZS335" s="114"/>
      <c r="DZT335" s="114"/>
      <c r="DZY335" s="111"/>
      <c r="DZZ335" s="112"/>
      <c r="EAA335" s="113"/>
      <c r="EAC335" s="114"/>
      <c r="EAD335" s="114"/>
      <c r="EAI335" s="111"/>
      <c r="EAJ335" s="112"/>
      <c r="EAK335" s="113"/>
      <c r="EAM335" s="114"/>
      <c r="EAN335" s="114"/>
      <c r="EAS335" s="111"/>
      <c r="EAT335" s="112"/>
      <c r="EAU335" s="113"/>
      <c r="EAW335" s="114"/>
      <c r="EAX335" s="114"/>
      <c r="EBC335" s="111"/>
      <c r="EBD335" s="112"/>
      <c r="EBE335" s="113"/>
      <c r="EBG335" s="114"/>
      <c r="EBH335" s="114"/>
      <c r="EBM335" s="111"/>
      <c r="EBN335" s="112"/>
      <c r="EBO335" s="113"/>
      <c r="EBQ335" s="114"/>
      <c r="EBR335" s="114"/>
      <c r="EBW335" s="111"/>
      <c r="EBX335" s="112"/>
      <c r="EBY335" s="113"/>
      <c r="ECA335" s="114"/>
      <c r="ECB335" s="114"/>
      <c r="ECG335" s="111"/>
      <c r="ECH335" s="112"/>
      <c r="ECI335" s="113"/>
      <c r="ECK335" s="114"/>
      <c r="ECL335" s="114"/>
      <c r="ECQ335" s="111"/>
      <c r="ECR335" s="112"/>
      <c r="ECS335" s="113"/>
      <c r="ECU335" s="114"/>
      <c r="ECV335" s="114"/>
      <c r="EDA335" s="111"/>
      <c r="EDB335" s="112"/>
      <c r="EDC335" s="113"/>
      <c r="EDE335" s="114"/>
      <c r="EDF335" s="114"/>
      <c r="EDK335" s="111"/>
      <c r="EDL335" s="112"/>
      <c r="EDM335" s="113"/>
      <c r="EDO335" s="114"/>
      <c r="EDP335" s="114"/>
      <c r="EDU335" s="111"/>
      <c r="EDV335" s="112"/>
      <c r="EDW335" s="113"/>
      <c r="EDY335" s="114"/>
      <c r="EDZ335" s="114"/>
      <c r="EEE335" s="111"/>
      <c r="EEF335" s="112"/>
      <c r="EEG335" s="113"/>
      <c r="EEI335" s="114"/>
      <c r="EEJ335" s="114"/>
      <c r="EEO335" s="111"/>
      <c r="EEP335" s="112"/>
      <c r="EEQ335" s="113"/>
      <c r="EES335" s="114"/>
      <c r="EET335" s="114"/>
      <c r="EEY335" s="111"/>
      <c r="EEZ335" s="112"/>
      <c r="EFA335" s="113"/>
      <c r="EFC335" s="114"/>
      <c r="EFD335" s="114"/>
      <c r="EFI335" s="111"/>
      <c r="EFJ335" s="112"/>
      <c r="EFK335" s="113"/>
      <c r="EFM335" s="114"/>
      <c r="EFN335" s="114"/>
      <c r="EFS335" s="111"/>
      <c r="EFT335" s="112"/>
      <c r="EFU335" s="113"/>
      <c r="EFW335" s="114"/>
      <c r="EFX335" s="114"/>
      <c r="EGC335" s="111"/>
      <c r="EGD335" s="112"/>
      <c r="EGE335" s="113"/>
      <c r="EGG335" s="114"/>
      <c r="EGH335" s="114"/>
      <c r="EGM335" s="111"/>
      <c r="EGN335" s="112"/>
      <c r="EGO335" s="113"/>
      <c r="EGQ335" s="114"/>
      <c r="EGR335" s="114"/>
      <c r="EGW335" s="111"/>
      <c r="EGX335" s="112"/>
      <c r="EGY335" s="113"/>
      <c r="EHA335" s="114"/>
      <c r="EHB335" s="114"/>
      <c r="EHG335" s="111"/>
      <c r="EHH335" s="112"/>
      <c r="EHI335" s="113"/>
      <c r="EHK335" s="114"/>
      <c r="EHL335" s="114"/>
      <c r="EHQ335" s="111"/>
      <c r="EHR335" s="112"/>
      <c r="EHS335" s="113"/>
      <c r="EHU335" s="114"/>
      <c r="EHV335" s="114"/>
      <c r="EIA335" s="111"/>
      <c r="EIB335" s="112"/>
      <c r="EIC335" s="113"/>
      <c r="EIE335" s="114"/>
      <c r="EIF335" s="114"/>
      <c r="EIK335" s="111"/>
      <c r="EIL335" s="112"/>
      <c r="EIM335" s="113"/>
      <c r="EIO335" s="114"/>
      <c r="EIP335" s="114"/>
      <c r="EIU335" s="111"/>
      <c r="EIV335" s="112"/>
      <c r="EIW335" s="113"/>
      <c r="EIY335" s="114"/>
      <c r="EIZ335" s="114"/>
      <c r="EJE335" s="111"/>
      <c r="EJF335" s="112"/>
      <c r="EJG335" s="113"/>
      <c r="EJI335" s="114"/>
      <c r="EJJ335" s="114"/>
      <c r="EJO335" s="111"/>
      <c r="EJP335" s="112"/>
      <c r="EJQ335" s="113"/>
      <c r="EJS335" s="114"/>
      <c r="EJT335" s="114"/>
      <c r="EJY335" s="111"/>
      <c r="EJZ335" s="112"/>
      <c r="EKA335" s="113"/>
      <c r="EKC335" s="114"/>
      <c r="EKD335" s="114"/>
      <c r="EKI335" s="111"/>
      <c r="EKJ335" s="112"/>
      <c r="EKK335" s="113"/>
      <c r="EKM335" s="114"/>
      <c r="EKN335" s="114"/>
      <c r="EKS335" s="111"/>
      <c r="EKT335" s="112"/>
      <c r="EKU335" s="113"/>
      <c r="EKW335" s="114"/>
      <c r="EKX335" s="114"/>
      <c r="ELC335" s="111"/>
      <c r="ELD335" s="112"/>
      <c r="ELE335" s="113"/>
      <c r="ELG335" s="114"/>
      <c r="ELH335" s="114"/>
      <c r="ELM335" s="111"/>
      <c r="ELN335" s="112"/>
      <c r="ELO335" s="113"/>
      <c r="ELQ335" s="114"/>
      <c r="ELR335" s="114"/>
      <c r="ELW335" s="111"/>
      <c r="ELX335" s="112"/>
      <c r="ELY335" s="113"/>
      <c r="EMA335" s="114"/>
      <c r="EMB335" s="114"/>
      <c r="EMG335" s="111"/>
      <c r="EMH335" s="112"/>
      <c r="EMI335" s="113"/>
      <c r="EMK335" s="114"/>
      <c r="EML335" s="114"/>
      <c r="EMQ335" s="111"/>
      <c r="EMR335" s="112"/>
      <c r="EMS335" s="113"/>
      <c r="EMU335" s="114"/>
      <c r="EMV335" s="114"/>
      <c r="ENA335" s="111"/>
      <c r="ENB335" s="112"/>
      <c r="ENC335" s="113"/>
      <c r="ENE335" s="114"/>
      <c r="ENF335" s="114"/>
      <c r="ENK335" s="111"/>
      <c r="ENL335" s="112"/>
      <c r="ENM335" s="113"/>
      <c r="ENO335" s="114"/>
      <c r="ENP335" s="114"/>
      <c r="ENU335" s="111"/>
      <c r="ENV335" s="112"/>
      <c r="ENW335" s="113"/>
      <c r="ENY335" s="114"/>
      <c r="ENZ335" s="114"/>
      <c r="EOE335" s="111"/>
      <c r="EOF335" s="112"/>
      <c r="EOG335" s="113"/>
      <c r="EOI335" s="114"/>
      <c r="EOJ335" s="114"/>
      <c r="EOO335" s="111"/>
      <c r="EOP335" s="112"/>
      <c r="EOQ335" s="113"/>
      <c r="EOS335" s="114"/>
      <c r="EOT335" s="114"/>
      <c r="EOY335" s="111"/>
      <c r="EOZ335" s="112"/>
      <c r="EPA335" s="113"/>
      <c r="EPC335" s="114"/>
      <c r="EPD335" s="114"/>
      <c r="EPI335" s="111"/>
      <c r="EPJ335" s="112"/>
      <c r="EPK335" s="113"/>
      <c r="EPM335" s="114"/>
      <c r="EPN335" s="114"/>
      <c r="EPS335" s="111"/>
      <c r="EPT335" s="112"/>
      <c r="EPU335" s="113"/>
      <c r="EPW335" s="114"/>
      <c r="EPX335" s="114"/>
      <c r="EQC335" s="111"/>
      <c r="EQD335" s="112"/>
      <c r="EQE335" s="113"/>
      <c r="EQG335" s="114"/>
      <c r="EQH335" s="114"/>
      <c r="EQM335" s="111"/>
      <c r="EQN335" s="112"/>
      <c r="EQO335" s="113"/>
      <c r="EQQ335" s="114"/>
      <c r="EQR335" s="114"/>
      <c r="EQW335" s="111"/>
      <c r="EQX335" s="112"/>
      <c r="EQY335" s="113"/>
      <c r="ERA335" s="114"/>
      <c r="ERB335" s="114"/>
      <c r="ERG335" s="111"/>
      <c r="ERH335" s="112"/>
      <c r="ERI335" s="113"/>
      <c r="ERK335" s="114"/>
      <c r="ERL335" s="114"/>
      <c r="ERQ335" s="111"/>
      <c r="ERR335" s="112"/>
      <c r="ERS335" s="113"/>
      <c r="ERU335" s="114"/>
      <c r="ERV335" s="114"/>
      <c r="ESA335" s="111"/>
      <c r="ESB335" s="112"/>
      <c r="ESC335" s="113"/>
      <c r="ESE335" s="114"/>
      <c r="ESF335" s="114"/>
      <c r="ESK335" s="111"/>
      <c r="ESL335" s="112"/>
      <c r="ESM335" s="113"/>
      <c r="ESO335" s="114"/>
      <c r="ESP335" s="114"/>
      <c r="ESU335" s="111"/>
      <c r="ESV335" s="112"/>
      <c r="ESW335" s="113"/>
      <c r="ESY335" s="114"/>
      <c r="ESZ335" s="114"/>
      <c r="ETE335" s="111"/>
      <c r="ETF335" s="112"/>
      <c r="ETG335" s="113"/>
      <c r="ETI335" s="114"/>
      <c r="ETJ335" s="114"/>
      <c r="ETO335" s="111"/>
      <c r="ETP335" s="112"/>
      <c r="ETQ335" s="113"/>
      <c r="ETS335" s="114"/>
      <c r="ETT335" s="114"/>
      <c r="ETY335" s="111"/>
      <c r="ETZ335" s="112"/>
      <c r="EUA335" s="113"/>
      <c r="EUC335" s="114"/>
      <c r="EUD335" s="114"/>
      <c r="EUI335" s="111"/>
      <c r="EUJ335" s="112"/>
      <c r="EUK335" s="113"/>
      <c r="EUM335" s="114"/>
      <c r="EUN335" s="114"/>
      <c r="EUS335" s="111"/>
      <c r="EUT335" s="112"/>
      <c r="EUU335" s="113"/>
      <c r="EUW335" s="114"/>
      <c r="EUX335" s="114"/>
      <c r="EVC335" s="111"/>
      <c r="EVD335" s="112"/>
      <c r="EVE335" s="113"/>
      <c r="EVG335" s="114"/>
      <c r="EVH335" s="114"/>
      <c r="EVM335" s="111"/>
      <c r="EVN335" s="112"/>
      <c r="EVO335" s="113"/>
      <c r="EVQ335" s="114"/>
      <c r="EVR335" s="114"/>
      <c r="EVW335" s="111"/>
      <c r="EVX335" s="112"/>
      <c r="EVY335" s="113"/>
      <c r="EWA335" s="114"/>
      <c r="EWB335" s="114"/>
      <c r="EWG335" s="111"/>
      <c r="EWH335" s="112"/>
      <c r="EWI335" s="113"/>
      <c r="EWK335" s="114"/>
      <c r="EWL335" s="114"/>
      <c r="EWQ335" s="111"/>
      <c r="EWR335" s="112"/>
      <c r="EWS335" s="113"/>
      <c r="EWU335" s="114"/>
      <c r="EWV335" s="114"/>
      <c r="EXA335" s="111"/>
      <c r="EXB335" s="112"/>
      <c r="EXC335" s="113"/>
      <c r="EXE335" s="114"/>
      <c r="EXF335" s="114"/>
      <c r="EXK335" s="111"/>
      <c r="EXL335" s="112"/>
      <c r="EXM335" s="113"/>
      <c r="EXO335" s="114"/>
      <c r="EXP335" s="114"/>
      <c r="EXU335" s="111"/>
      <c r="EXV335" s="112"/>
      <c r="EXW335" s="113"/>
      <c r="EXY335" s="114"/>
      <c r="EXZ335" s="114"/>
      <c r="EYE335" s="111"/>
      <c r="EYF335" s="112"/>
      <c r="EYG335" s="113"/>
      <c r="EYI335" s="114"/>
      <c r="EYJ335" s="114"/>
      <c r="EYO335" s="111"/>
      <c r="EYP335" s="112"/>
      <c r="EYQ335" s="113"/>
      <c r="EYS335" s="114"/>
      <c r="EYT335" s="114"/>
      <c r="EYY335" s="111"/>
      <c r="EYZ335" s="112"/>
      <c r="EZA335" s="113"/>
      <c r="EZC335" s="114"/>
      <c r="EZD335" s="114"/>
      <c r="EZI335" s="111"/>
      <c r="EZJ335" s="112"/>
      <c r="EZK335" s="113"/>
      <c r="EZM335" s="114"/>
      <c r="EZN335" s="114"/>
      <c r="EZS335" s="111"/>
      <c r="EZT335" s="112"/>
      <c r="EZU335" s="113"/>
      <c r="EZW335" s="114"/>
      <c r="EZX335" s="114"/>
      <c r="FAC335" s="111"/>
      <c r="FAD335" s="112"/>
      <c r="FAE335" s="113"/>
      <c r="FAG335" s="114"/>
      <c r="FAH335" s="114"/>
      <c r="FAM335" s="111"/>
      <c r="FAN335" s="112"/>
      <c r="FAO335" s="113"/>
      <c r="FAQ335" s="114"/>
      <c r="FAR335" s="114"/>
      <c r="FAW335" s="111"/>
      <c r="FAX335" s="112"/>
      <c r="FAY335" s="113"/>
      <c r="FBA335" s="114"/>
      <c r="FBB335" s="114"/>
      <c r="FBG335" s="111"/>
      <c r="FBH335" s="112"/>
      <c r="FBI335" s="113"/>
      <c r="FBK335" s="114"/>
      <c r="FBL335" s="114"/>
      <c r="FBQ335" s="111"/>
      <c r="FBR335" s="112"/>
      <c r="FBS335" s="113"/>
      <c r="FBU335" s="114"/>
      <c r="FBV335" s="114"/>
      <c r="FCA335" s="111"/>
      <c r="FCB335" s="112"/>
      <c r="FCC335" s="113"/>
      <c r="FCE335" s="114"/>
      <c r="FCF335" s="114"/>
      <c r="FCK335" s="111"/>
      <c r="FCL335" s="112"/>
      <c r="FCM335" s="113"/>
      <c r="FCO335" s="114"/>
      <c r="FCP335" s="114"/>
      <c r="FCU335" s="111"/>
      <c r="FCV335" s="112"/>
      <c r="FCW335" s="113"/>
      <c r="FCY335" s="114"/>
      <c r="FCZ335" s="114"/>
      <c r="FDE335" s="111"/>
      <c r="FDF335" s="112"/>
      <c r="FDG335" s="113"/>
      <c r="FDI335" s="114"/>
      <c r="FDJ335" s="114"/>
      <c r="FDO335" s="111"/>
      <c r="FDP335" s="112"/>
      <c r="FDQ335" s="113"/>
      <c r="FDS335" s="114"/>
      <c r="FDT335" s="114"/>
      <c r="FDY335" s="111"/>
      <c r="FDZ335" s="112"/>
      <c r="FEA335" s="113"/>
      <c r="FEC335" s="114"/>
      <c r="FED335" s="114"/>
      <c r="FEI335" s="111"/>
      <c r="FEJ335" s="112"/>
      <c r="FEK335" s="113"/>
      <c r="FEM335" s="114"/>
      <c r="FEN335" s="114"/>
      <c r="FES335" s="111"/>
      <c r="FET335" s="112"/>
      <c r="FEU335" s="113"/>
      <c r="FEW335" s="114"/>
      <c r="FEX335" s="114"/>
      <c r="FFC335" s="111"/>
      <c r="FFD335" s="112"/>
      <c r="FFE335" s="113"/>
      <c r="FFG335" s="114"/>
      <c r="FFH335" s="114"/>
      <c r="FFM335" s="111"/>
      <c r="FFN335" s="112"/>
      <c r="FFO335" s="113"/>
      <c r="FFQ335" s="114"/>
      <c r="FFR335" s="114"/>
      <c r="FFW335" s="111"/>
      <c r="FFX335" s="112"/>
      <c r="FFY335" s="113"/>
      <c r="FGA335" s="114"/>
      <c r="FGB335" s="114"/>
      <c r="FGG335" s="111"/>
      <c r="FGH335" s="112"/>
      <c r="FGI335" s="113"/>
      <c r="FGK335" s="114"/>
      <c r="FGL335" s="114"/>
      <c r="FGQ335" s="111"/>
      <c r="FGR335" s="112"/>
      <c r="FGS335" s="113"/>
      <c r="FGU335" s="114"/>
      <c r="FGV335" s="114"/>
      <c r="FHA335" s="111"/>
      <c r="FHB335" s="112"/>
      <c r="FHC335" s="113"/>
      <c r="FHE335" s="114"/>
      <c r="FHF335" s="114"/>
      <c r="FHK335" s="111"/>
      <c r="FHL335" s="112"/>
      <c r="FHM335" s="113"/>
      <c r="FHO335" s="114"/>
      <c r="FHP335" s="114"/>
      <c r="FHU335" s="111"/>
      <c r="FHV335" s="112"/>
      <c r="FHW335" s="113"/>
      <c r="FHY335" s="114"/>
      <c r="FHZ335" s="114"/>
      <c r="FIE335" s="111"/>
      <c r="FIF335" s="112"/>
      <c r="FIG335" s="113"/>
      <c r="FII335" s="114"/>
      <c r="FIJ335" s="114"/>
      <c r="FIO335" s="111"/>
      <c r="FIP335" s="112"/>
      <c r="FIQ335" s="113"/>
      <c r="FIS335" s="114"/>
      <c r="FIT335" s="114"/>
      <c r="FIY335" s="111"/>
      <c r="FIZ335" s="112"/>
      <c r="FJA335" s="113"/>
      <c r="FJC335" s="114"/>
      <c r="FJD335" s="114"/>
      <c r="FJI335" s="111"/>
      <c r="FJJ335" s="112"/>
      <c r="FJK335" s="113"/>
      <c r="FJM335" s="114"/>
      <c r="FJN335" s="114"/>
      <c r="FJS335" s="111"/>
      <c r="FJT335" s="112"/>
      <c r="FJU335" s="113"/>
      <c r="FJW335" s="114"/>
      <c r="FJX335" s="114"/>
      <c r="FKC335" s="111"/>
      <c r="FKD335" s="112"/>
      <c r="FKE335" s="113"/>
      <c r="FKG335" s="114"/>
      <c r="FKH335" s="114"/>
      <c r="FKM335" s="111"/>
      <c r="FKN335" s="112"/>
      <c r="FKO335" s="113"/>
      <c r="FKQ335" s="114"/>
      <c r="FKR335" s="114"/>
      <c r="FKW335" s="111"/>
      <c r="FKX335" s="112"/>
      <c r="FKY335" s="113"/>
      <c r="FLA335" s="114"/>
      <c r="FLB335" s="114"/>
      <c r="FLG335" s="111"/>
      <c r="FLH335" s="112"/>
      <c r="FLI335" s="113"/>
      <c r="FLK335" s="114"/>
      <c r="FLL335" s="114"/>
      <c r="FLQ335" s="111"/>
      <c r="FLR335" s="112"/>
      <c r="FLS335" s="113"/>
      <c r="FLU335" s="114"/>
      <c r="FLV335" s="114"/>
      <c r="FMA335" s="111"/>
      <c r="FMB335" s="112"/>
      <c r="FMC335" s="113"/>
      <c r="FME335" s="114"/>
      <c r="FMF335" s="114"/>
      <c r="FMK335" s="111"/>
      <c r="FML335" s="112"/>
      <c r="FMM335" s="113"/>
      <c r="FMO335" s="114"/>
      <c r="FMP335" s="114"/>
      <c r="FMU335" s="111"/>
      <c r="FMV335" s="112"/>
      <c r="FMW335" s="113"/>
      <c r="FMY335" s="114"/>
      <c r="FMZ335" s="114"/>
      <c r="FNE335" s="111"/>
      <c r="FNF335" s="112"/>
      <c r="FNG335" s="113"/>
      <c r="FNI335" s="114"/>
      <c r="FNJ335" s="114"/>
      <c r="FNO335" s="111"/>
      <c r="FNP335" s="112"/>
      <c r="FNQ335" s="113"/>
      <c r="FNS335" s="114"/>
      <c r="FNT335" s="114"/>
      <c r="FNY335" s="111"/>
      <c r="FNZ335" s="112"/>
      <c r="FOA335" s="113"/>
      <c r="FOC335" s="114"/>
      <c r="FOD335" s="114"/>
      <c r="FOI335" s="111"/>
      <c r="FOJ335" s="112"/>
      <c r="FOK335" s="113"/>
      <c r="FOM335" s="114"/>
      <c r="FON335" s="114"/>
      <c r="FOS335" s="111"/>
      <c r="FOT335" s="112"/>
      <c r="FOU335" s="113"/>
      <c r="FOW335" s="114"/>
      <c r="FOX335" s="114"/>
      <c r="FPC335" s="111"/>
      <c r="FPD335" s="112"/>
      <c r="FPE335" s="113"/>
      <c r="FPG335" s="114"/>
      <c r="FPH335" s="114"/>
      <c r="FPM335" s="111"/>
      <c r="FPN335" s="112"/>
      <c r="FPO335" s="113"/>
      <c r="FPQ335" s="114"/>
      <c r="FPR335" s="114"/>
      <c r="FPW335" s="111"/>
      <c r="FPX335" s="112"/>
      <c r="FPY335" s="113"/>
      <c r="FQA335" s="114"/>
      <c r="FQB335" s="114"/>
      <c r="FQG335" s="111"/>
      <c r="FQH335" s="112"/>
      <c r="FQI335" s="113"/>
      <c r="FQK335" s="114"/>
      <c r="FQL335" s="114"/>
      <c r="FQQ335" s="111"/>
      <c r="FQR335" s="112"/>
      <c r="FQS335" s="113"/>
      <c r="FQU335" s="114"/>
      <c r="FQV335" s="114"/>
      <c r="FRA335" s="111"/>
      <c r="FRB335" s="112"/>
      <c r="FRC335" s="113"/>
      <c r="FRE335" s="114"/>
      <c r="FRF335" s="114"/>
      <c r="FRK335" s="111"/>
      <c r="FRL335" s="112"/>
      <c r="FRM335" s="113"/>
      <c r="FRO335" s="114"/>
      <c r="FRP335" s="114"/>
      <c r="FRU335" s="111"/>
      <c r="FRV335" s="112"/>
      <c r="FRW335" s="113"/>
      <c r="FRY335" s="114"/>
      <c r="FRZ335" s="114"/>
      <c r="FSE335" s="111"/>
      <c r="FSF335" s="112"/>
      <c r="FSG335" s="113"/>
      <c r="FSI335" s="114"/>
      <c r="FSJ335" s="114"/>
      <c r="FSO335" s="111"/>
      <c r="FSP335" s="112"/>
      <c r="FSQ335" s="113"/>
      <c r="FSS335" s="114"/>
      <c r="FST335" s="114"/>
      <c r="FSY335" s="111"/>
      <c r="FSZ335" s="112"/>
      <c r="FTA335" s="113"/>
      <c r="FTC335" s="114"/>
      <c r="FTD335" s="114"/>
      <c r="FTI335" s="111"/>
      <c r="FTJ335" s="112"/>
      <c r="FTK335" s="113"/>
      <c r="FTM335" s="114"/>
      <c r="FTN335" s="114"/>
      <c r="FTS335" s="111"/>
      <c r="FTT335" s="112"/>
      <c r="FTU335" s="113"/>
      <c r="FTW335" s="114"/>
      <c r="FTX335" s="114"/>
      <c r="FUC335" s="111"/>
      <c r="FUD335" s="112"/>
      <c r="FUE335" s="113"/>
      <c r="FUG335" s="114"/>
      <c r="FUH335" s="114"/>
      <c r="FUM335" s="111"/>
      <c r="FUN335" s="112"/>
      <c r="FUO335" s="113"/>
      <c r="FUQ335" s="114"/>
      <c r="FUR335" s="114"/>
      <c r="FUW335" s="111"/>
      <c r="FUX335" s="112"/>
      <c r="FUY335" s="113"/>
      <c r="FVA335" s="114"/>
      <c r="FVB335" s="114"/>
      <c r="FVG335" s="111"/>
      <c r="FVH335" s="112"/>
      <c r="FVI335" s="113"/>
      <c r="FVK335" s="114"/>
      <c r="FVL335" s="114"/>
      <c r="FVQ335" s="111"/>
      <c r="FVR335" s="112"/>
      <c r="FVS335" s="113"/>
      <c r="FVU335" s="114"/>
      <c r="FVV335" s="114"/>
      <c r="FWA335" s="111"/>
      <c r="FWB335" s="112"/>
      <c r="FWC335" s="113"/>
      <c r="FWE335" s="114"/>
      <c r="FWF335" s="114"/>
      <c r="FWK335" s="111"/>
      <c r="FWL335" s="112"/>
      <c r="FWM335" s="113"/>
      <c r="FWO335" s="114"/>
      <c r="FWP335" s="114"/>
      <c r="FWU335" s="111"/>
      <c r="FWV335" s="112"/>
      <c r="FWW335" s="113"/>
      <c r="FWY335" s="114"/>
      <c r="FWZ335" s="114"/>
      <c r="FXE335" s="111"/>
      <c r="FXF335" s="112"/>
      <c r="FXG335" s="113"/>
      <c r="FXI335" s="114"/>
      <c r="FXJ335" s="114"/>
      <c r="FXO335" s="111"/>
      <c r="FXP335" s="112"/>
      <c r="FXQ335" s="113"/>
      <c r="FXS335" s="114"/>
      <c r="FXT335" s="114"/>
      <c r="FXY335" s="111"/>
      <c r="FXZ335" s="112"/>
      <c r="FYA335" s="113"/>
      <c r="FYC335" s="114"/>
      <c r="FYD335" s="114"/>
      <c r="FYI335" s="111"/>
      <c r="FYJ335" s="112"/>
      <c r="FYK335" s="113"/>
      <c r="FYM335" s="114"/>
      <c r="FYN335" s="114"/>
      <c r="FYS335" s="111"/>
      <c r="FYT335" s="112"/>
      <c r="FYU335" s="113"/>
      <c r="FYW335" s="114"/>
      <c r="FYX335" s="114"/>
      <c r="FZC335" s="111"/>
      <c r="FZD335" s="112"/>
      <c r="FZE335" s="113"/>
      <c r="FZG335" s="114"/>
      <c r="FZH335" s="114"/>
      <c r="FZM335" s="111"/>
      <c r="FZN335" s="112"/>
      <c r="FZO335" s="113"/>
      <c r="FZQ335" s="114"/>
      <c r="FZR335" s="114"/>
      <c r="FZW335" s="111"/>
      <c r="FZX335" s="112"/>
      <c r="FZY335" s="113"/>
      <c r="GAA335" s="114"/>
      <c r="GAB335" s="114"/>
      <c r="GAG335" s="111"/>
      <c r="GAH335" s="112"/>
      <c r="GAI335" s="113"/>
      <c r="GAK335" s="114"/>
      <c r="GAL335" s="114"/>
      <c r="GAQ335" s="111"/>
      <c r="GAR335" s="112"/>
      <c r="GAS335" s="113"/>
      <c r="GAU335" s="114"/>
      <c r="GAV335" s="114"/>
      <c r="GBA335" s="111"/>
      <c r="GBB335" s="112"/>
      <c r="GBC335" s="113"/>
      <c r="GBE335" s="114"/>
      <c r="GBF335" s="114"/>
      <c r="GBK335" s="111"/>
      <c r="GBL335" s="112"/>
      <c r="GBM335" s="113"/>
      <c r="GBO335" s="114"/>
      <c r="GBP335" s="114"/>
      <c r="GBU335" s="111"/>
      <c r="GBV335" s="112"/>
      <c r="GBW335" s="113"/>
      <c r="GBY335" s="114"/>
      <c r="GBZ335" s="114"/>
      <c r="GCE335" s="111"/>
      <c r="GCF335" s="112"/>
      <c r="GCG335" s="113"/>
      <c r="GCI335" s="114"/>
      <c r="GCJ335" s="114"/>
      <c r="GCO335" s="111"/>
      <c r="GCP335" s="112"/>
      <c r="GCQ335" s="113"/>
      <c r="GCS335" s="114"/>
      <c r="GCT335" s="114"/>
      <c r="GCY335" s="111"/>
      <c r="GCZ335" s="112"/>
      <c r="GDA335" s="113"/>
      <c r="GDC335" s="114"/>
      <c r="GDD335" s="114"/>
      <c r="GDI335" s="111"/>
      <c r="GDJ335" s="112"/>
      <c r="GDK335" s="113"/>
      <c r="GDM335" s="114"/>
      <c r="GDN335" s="114"/>
      <c r="GDS335" s="111"/>
      <c r="GDT335" s="112"/>
      <c r="GDU335" s="113"/>
      <c r="GDW335" s="114"/>
      <c r="GDX335" s="114"/>
      <c r="GEC335" s="111"/>
      <c r="GED335" s="112"/>
      <c r="GEE335" s="113"/>
      <c r="GEG335" s="114"/>
      <c r="GEH335" s="114"/>
      <c r="GEM335" s="111"/>
      <c r="GEN335" s="112"/>
      <c r="GEO335" s="113"/>
      <c r="GEQ335" s="114"/>
      <c r="GER335" s="114"/>
      <c r="GEW335" s="111"/>
      <c r="GEX335" s="112"/>
      <c r="GEY335" s="113"/>
      <c r="GFA335" s="114"/>
      <c r="GFB335" s="114"/>
      <c r="GFG335" s="111"/>
      <c r="GFH335" s="112"/>
      <c r="GFI335" s="113"/>
      <c r="GFK335" s="114"/>
      <c r="GFL335" s="114"/>
      <c r="GFQ335" s="111"/>
      <c r="GFR335" s="112"/>
      <c r="GFS335" s="113"/>
      <c r="GFU335" s="114"/>
      <c r="GFV335" s="114"/>
      <c r="GGA335" s="111"/>
      <c r="GGB335" s="112"/>
      <c r="GGC335" s="113"/>
      <c r="GGE335" s="114"/>
      <c r="GGF335" s="114"/>
      <c r="GGK335" s="111"/>
      <c r="GGL335" s="112"/>
      <c r="GGM335" s="113"/>
      <c r="GGO335" s="114"/>
      <c r="GGP335" s="114"/>
      <c r="GGU335" s="111"/>
      <c r="GGV335" s="112"/>
      <c r="GGW335" s="113"/>
      <c r="GGY335" s="114"/>
      <c r="GGZ335" s="114"/>
      <c r="GHE335" s="111"/>
      <c r="GHF335" s="112"/>
      <c r="GHG335" s="113"/>
      <c r="GHI335" s="114"/>
      <c r="GHJ335" s="114"/>
      <c r="GHO335" s="111"/>
      <c r="GHP335" s="112"/>
      <c r="GHQ335" s="113"/>
      <c r="GHS335" s="114"/>
      <c r="GHT335" s="114"/>
      <c r="GHY335" s="111"/>
      <c r="GHZ335" s="112"/>
      <c r="GIA335" s="113"/>
      <c r="GIC335" s="114"/>
      <c r="GID335" s="114"/>
      <c r="GII335" s="111"/>
      <c r="GIJ335" s="112"/>
      <c r="GIK335" s="113"/>
      <c r="GIM335" s="114"/>
      <c r="GIN335" s="114"/>
      <c r="GIS335" s="111"/>
      <c r="GIT335" s="112"/>
      <c r="GIU335" s="113"/>
      <c r="GIW335" s="114"/>
      <c r="GIX335" s="114"/>
      <c r="GJC335" s="111"/>
      <c r="GJD335" s="112"/>
      <c r="GJE335" s="113"/>
      <c r="GJG335" s="114"/>
      <c r="GJH335" s="114"/>
      <c r="GJM335" s="111"/>
      <c r="GJN335" s="112"/>
      <c r="GJO335" s="113"/>
      <c r="GJQ335" s="114"/>
      <c r="GJR335" s="114"/>
      <c r="GJW335" s="111"/>
      <c r="GJX335" s="112"/>
      <c r="GJY335" s="113"/>
      <c r="GKA335" s="114"/>
      <c r="GKB335" s="114"/>
      <c r="GKG335" s="111"/>
      <c r="GKH335" s="112"/>
      <c r="GKI335" s="113"/>
      <c r="GKK335" s="114"/>
      <c r="GKL335" s="114"/>
      <c r="GKQ335" s="111"/>
      <c r="GKR335" s="112"/>
      <c r="GKS335" s="113"/>
      <c r="GKU335" s="114"/>
      <c r="GKV335" s="114"/>
      <c r="GLA335" s="111"/>
      <c r="GLB335" s="112"/>
      <c r="GLC335" s="113"/>
      <c r="GLE335" s="114"/>
      <c r="GLF335" s="114"/>
      <c r="GLK335" s="111"/>
      <c r="GLL335" s="112"/>
      <c r="GLM335" s="113"/>
      <c r="GLO335" s="114"/>
      <c r="GLP335" s="114"/>
      <c r="GLU335" s="111"/>
      <c r="GLV335" s="112"/>
      <c r="GLW335" s="113"/>
      <c r="GLY335" s="114"/>
      <c r="GLZ335" s="114"/>
      <c r="GME335" s="111"/>
      <c r="GMF335" s="112"/>
      <c r="GMG335" s="113"/>
      <c r="GMI335" s="114"/>
      <c r="GMJ335" s="114"/>
      <c r="GMO335" s="111"/>
      <c r="GMP335" s="112"/>
      <c r="GMQ335" s="113"/>
      <c r="GMS335" s="114"/>
      <c r="GMT335" s="114"/>
      <c r="GMY335" s="111"/>
      <c r="GMZ335" s="112"/>
      <c r="GNA335" s="113"/>
      <c r="GNC335" s="114"/>
      <c r="GND335" s="114"/>
      <c r="GNI335" s="111"/>
      <c r="GNJ335" s="112"/>
      <c r="GNK335" s="113"/>
      <c r="GNM335" s="114"/>
      <c r="GNN335" s="114"/>
      <c r="GNS335" s="111"/>
      <c r="GNT335" s="112"/>
      <c r="GNU335" s="113"/>
      <c r="GNW335" s="114"/>
      <c r="GNX335" s="114"/>
      <c r="GOC335" s="111"/>
      <c r="GOD335" s="112"/>
      <c r="GOE335" s="113"/>
      <c r="GOG335" s="114"/>
      <c r="GOH335" s="114"/>
      <c r="GOM335" s="111"/>
      <c r="GON335" s="112"/>
      <c r="GOO335" s="113"/>
      <c r="GOQ335" s="114"/>
      <c r="GOR335" s="114"/>
      <c r="GOW335" s="111"/>
      <c r="GOX335" s="112"/>
      <c r="GOY335" s="113"/>
      <c r="GPA335" s="114"/>
      <c r="GPB335" s="114"/>
      <c r="GPG335" s="111"/>
      <c r="GPH335" s="112"/>
      <c r="GPI335" s="113"/>
      <c r="GPK335" s="114"/>
      <c r="GPL335" s="114"/>
      <c r="GPQ335" s="111"/>
      <c r="GPR335" s="112"/>
      <c r="GPS335" s="113"/>
      <c r="GPU335" s="114"/>
      <c r="GPV335" s="114"/>
      <c r="GQA335" s="111"/>
      <c r="GQB335" s="112"/>
      <c r="GQC335" s="113"/>
      <c r="GQE335" s="114"/>
      <c r="GQF335" s="114"/>
      <c r="GQK335" s="111"/>
      <c r="GQL335" s="112"/>
      <c r="GQM335" s="113"/>
      <c r="GQO335" s="114"/>
      <c r="GQP335" s="114"/>
      <c r="GQU335" s="111"/>
      <c r="GQV335" s="112"/>
      <c r="GQW335" s="113"/>
      <c r="GQY335" s="114"/>
      <c r="GQZ335" s="114"/>
      <c r="GRE335" s="111"/>
      <c r="GRF335" s="112"/>
      <c r="GRG335" s="113"/>
      <c r="GRI335" s="114"/>
      <c r="GRJ335" s="114"/>
      <c r="GRO335" s="111"/>
      <c r="GRP335" s="112"/>
      <c r="GRQ335" s="113"/>
      <c r="GRS335" s="114"/>
      <c r="GRT335" s="114"/>
      <c r="GRY335" s="111"/>
      <c r="GRZ335" s="112"/>
      <c r="GSA335" s="113"/>
      <c r="GSC335" s="114"/>
      <c r="GSD335" s="114"/>
      <c r="GSI335" s="111"/>
      <c r="GSJ335" s="112"/>
      <c r="GSK335" s="113"/>
      <c r="GSM335" s="114"/>
      <c r="GSN335" s="114"/>
      <c r="GSS335" s="111"/>
      <c r="GST335" s="112"/>
      <c r="GSU335" s="113"/>
      <c r="GSW335" s="114"/>
      <c r="GSX335" s="114"/>
      <c r="GTC335" s="111"/>
      <c r="GTD335" s="112"/>
      <c r="GTE335" s="113"/>
      <c r="GTG335" s="114"/>
      <c r="GTH335" s="114"/>
      <c r="GTM335" s="111"/>
      <c r="GTN335" s="112"/>
      <c r="GTO335" s="113"/>
      <c r="GTQ335" s="114"/>
      <c r="GTR335" s="114"/>
      <c r="GTW335" s="111"/>
      <c r="GTX335" s="112"/>
      <c r="GTY335" s="113"/>
      <c r="GUA335" s="114"/>
      <c r="GUB335" s="114"/>
      <c r="GUG335" s="111"/>
      <c r="GUH335" s="112"/>
      <c r="GUI335" s="113"/>
      <c r="GUK335" s="114"/>
      <c r="GUL335" s="114"/>
      <c r="GUQ335" s="111"/>
      <c r="GUR335" s="112"/>
      <c r="GUS335" s="113"/>
      <c r="GUU335" s="114"/>
      <c r="GUV335" s="114"/>
      <c r="GVA335" s="111"/>
      <c r="GVB335" s="112"/>
      <c r="GVC335" s="113"/>
      <c r="GVE335" s="114"/>
      <c r="GVF335" s="114"/>
      <c r="GVK335" s="111"/>
      <c r="GVL335" s="112"/>
      <c r="GVM335" s="113"/>
      <c r="GVO335" s="114"/>
      <c r="GVP335" s="114"/>
      <c r="GVU335" s="111"/>
      <c r="GVV335" s="112"/>
      <c r="GVW335" s="113"/>
      <c r="GVY335" s="114"/>
      <c r="GVZ335" s="114"/>
      <c r="GWE335" s="111"/>
      <c r="GWF335" s="112"/>
      <c r="GWG335" s="113"/>
      <c r="GWI335" s="114"/>
      <c r="GWJ335" s="114"/>
      <c r="GWO335" s="111"/>
      <c r="GWP335" s="112"/>
      <c r="GWQ335" s="113"/>
      <c r="GWS335" s="114"/>
      <c r="GWT335" s="114"/>
      <c r="GWY335" s="111"/>
      <c r="GWZ335" s="112"/>
      <c r="GXA335" s="113"/>
      <c r="GXC335" s="114"/>
      <c r="GXD335" s="114"/>
      <c r="GXI335" s="111"/>
      <c r="GXJ335" s="112"/>
      <c r="GXK335" s="113"/>
      <c r="GXM335" s="114"/>
      <c r="GXN335" s="114"/>
      <c r="GXS335" s="111"/>
      <c r="GXT335" s="112"/>
      <c r="GXU335" s="113"/>
      <c r="GXW335" s="114"/>
      <c r="GXX335" s="114"/>
      <c r="GYC335" s="111"/>
      <c r="GYD335" s="112"/>
      <c r="GYE335" s="113"/>
      <c r="GYG335" s="114"/>
      <c r="GYH335" s="114"/>
      <c r="GYM335" s="111"/>
      <c r="GYN335" s="112"/>
      <c r="GYO335" s="113"/>
      <c r="GYQ335" s="114"/>
      <c r="GYR335" s="114"/>
      <c r="GYW335" s="111"/>
      <c r="GYX335" s="112"/>
      <c r="GYY335" s="113"/>
      <c r="GZA335" s="114"/>
      <c r="GZB335" s="114"/>
      <c r="GZG335" s="111"/>
      <c r="GZH335" s="112"/>
      <c r="GZI335" s="113"/>
      <c r="GZK335" s="114"/>
      <c r="GZL335" s="114"/>
      <c r="GZQ335" s="111"/>
      <c r="GZR335" s="112"/>
      <c r="GZS335" s="113"/>
      <c r="GZU335" s="114"/>
      <c r="GZV335" s="114"/>
      <c r="HAA335" s="111"/>
      <c r="HAB335" s="112"/>
      <c r="HAC335" s="113"/>
      <c r="HAE335" s="114"/>
      <c r="HAF335" s="114"/>
      <c r="HAK335" s="111"/>
      <c r="HAL335" s="112"/>
      <c r="HAM335" s="113"/>
      <c r="HAO335" s="114"/>
      <c r="HAP335" s="114"/>
      <c r="HAU335" s="111"/>
      <c r="HAV335" s="112"/>
      <c r="HAW335" s="113"/>
      <c r="HAY335" s="114"/>
      <c r="HAZ335" s="114"/>
      <c r="HBE335" s="111"/>
      <c r="HBF335" s="112"/>
      <c r="HBG335" s="113"/>
      <c r="HBI335" s="114"/>
      <c r="HBJ335" s="114"/>
      <c r="HBO335" s="111"/>
      <c r="HBP335" s="112"/>
      <c r="HBQ335" s="113"/>
      <c r="HBS335" s="114"/>
      <c r="HBT335" s="114"/>
      <c r="HBY335" s="111"/>
      <c r="HBZ335" s="112"/>
      <c r="HCA335" s="113"/>
      <c r="HCC335" s="114"/>
      <c r="HCD335" s="114"/>
      <c r="HCI335" s="111"/>
      <c r="HCJ335" s="112"/>
      <c r="HCK335" s="113"/>
      <c r="HCM335" s="114"/>
      <c r="HCN335" s="114"/>
      <c r="HCS335" s="111"/>
      <c r="HCT335" s="112"/>
      <c r="HCU335" s="113"/>
      <c r="HCW335" s="114"/>
      <c r="HCX335" s="114"/>
      <c r="HDC335" s="111"/>
      <c r="HDD335" s="112"/>
      <c r="HDE335" s="113"/>
      <c r="HDG335" s="114"/>
      <c r="HDH335" s="114"/>
      <c r="HDM335" s="111"/>
      <c r="HDN335" s="112"/>
      <c r="HDO335" s="113"/>
      <c r="HDQ335" s="114"/>
      <c r="HDR335" s="114"/>
      <c r="HDW335" s="111"/>
      <c r="HDX335" s="112"/>
      <c r="HDY335" s="113"/>
      <c r="HEA335" s="114"/>
      <c r="HEB335" s="114"/>
      <c r="HEG335" s="111"/>
      <c r="HEH335" s="112"/>
      <c r="HEI335" s="113"/>
      <c r="HEK335" s="114"/>
      <c r="HEL335" s="114"/>
      <c r="HEQ335" s="111"/>
      <c r="HER335" s="112"/>
      <c r="HES335" s="113"/>
      <c r="HEU335" s="114"/>
      <c r="HEV335" s="114"/>
      <c r="HFA335" s="111"/>
      <c r="HFB335" s="112"/>
      <c r="HFC335" s="113"/>
      <c r="HFE335" s="114"/>
      <c r="HFF335" s="114"/>
      <c r="HFK335" s="111"/>
      <c r="HFL335" s="112"/>
      <c r="HFM335" s="113"/>
      <c r="HFO335" s="114"/>
      <c r="HFP335" s="114"/>
      <c r="HFU335" s="111"/>
      <c r="HFV335" s="112"/>
      <c r="HFW335" s="113"/>
      <c r="HFY335" s="114"/>
      <c r="HFZ335" s="114"/>
      <c r="HGE335" s="111"/>
      <c r="HGF335" s="112"/>
      <c r="HGG335" s="113"/>
      <c r="HGI335" s="114"/>
      <c r="HGJ335" s="114"/>
      <c r="HGO335" s="111"/>
      <c r="HGP335" s="112"/>
      <c r="HGQ335" s="113"/>
      <c r="HGS335" s="114"/>
      <c r="HGT335" s="114"/>
      <c r="HGY335" s="111"/>
      <c r="HGZ335" s="112"/>
      <c r="HHA335" s="113"/>
      <c r="HHC335" s="114"/>
      <c r="HHD335" s="114"/>
      <c r="HHI335" s="111"/>
      <c r="HHJ335" s="112"/>
      <c r="HHK335" s="113"/>
      <c r="HHM335" s="114"/>
      <c r="HHN335" s="114"/>
      <c r="HHS335" s="111"/>
      <c r="HHT335" s="112"/>
      <c r="HHU335" s="113"/>
      <c r="HHW335" s="114"/>
      <c r="HHX335" s="114"/>
      <c r="HIC335" s="111"/>
      <c r="HID335" s="112"/>
      <c r="HIE335" s="113"/>
      <c r="HIG335" s="114"/>
      <c r="HIH335" s="114"/>
      <c r="HIM335" s="111"/>
      <c r="HIN335" s="112"/>
      <c r="HIO335" s="113"/>
      <c r="HIQ335" s="114"/>
      <c r="HIR335" s="114"/>
      <c r="HIW335" s="111"/>
      <c r="HIX335" s="112"/>
      <c r="HIY335" s="113"/>
      <c r="HJA335" s="114"/>
      <c r="HJB335" s="114"/>
      <c r="HJG335" s="111"/>
      <c r="HJH335" s="112"/>
      <c r="HJI335" s="113"/>
      <c r="HJK335" s="114"/>
      <c r="HJL335" s="114"/>
      <c r="HJQ335" s="111"/>
      <c r="HJR335" s="112"/>
      <c r="HJS335" s="113"/>
      <c r="HJU335" s="114"/>
      <c r="HJV335" s="114"/>
      <c r="HKA335" s="111"/>
      <c r="HKB335" s="112"/>
      <c r="HKC335" s="113"/>
      <c r="HKE335" s="114"/>
      <c r="HKF335" s="114"/>
      <c r="HKK335" s="111"/>
      <c r="HKL335" s="112"/>
      <c r="HKM335" s="113"/>
      <c r="HKO335" s="114"/>
      <c r="HKP335" s="114"/>
      <c r="HKU335" s="111"/>
      <c r="HKV335" s="112"/>
      <c r="HKW335" s="113"/>
      <c r="HKY335" s="114"/>
      <c r="HKZ335" s="114"/>
      <c r="HLE335" s="111"/>
      <c r="HLF335" s="112"/>
      <c r="HLG335" s="113"/>
      <c r="HLI335" s="114"/>
      <c r="HLJ335" s="114"/>
      <c r="HLO335" s="111"/>
      <c r="HLP335" s="112"/>
      <c r="HLQ335" s="113"/>
      <c r="HLS335" s="114"/>
      <c r="HLT335" s="114"/>
      <c r="HLY335" s="111"/>
      <c r="HLZ335" s="112"/>
      <c r="HMA335" s="113"/>
      <c r="HMC335" s="114"/>
      <c r="HMD335" s="114"/>
      <c r="HMI335" s="111"/>
      <c r="HMJ335" s="112"/>
      <c r="HMK335" s="113"/>
      <c r="HMM335" s="114"/>
      <c r="HMN335" s="114"/>
      <c r="HMS335" s="111"/>
      <c r="HMT335" s="112"/>
      <c r="HMU335" s="113"/>
      <c r="HMW335" s="114"/>
      <c r="HMX335" s="114"/>
      <c r="HNC335" s="111"/>
      <c r="HND335" s="112"/>
      <c r="HNE335" s="113"/>
      <c r="HNG335" s="114"/>
      <c r="HNH335" s="114"/>
      <c r="HNM335" s="111"/>
      <c r="HNN335" s="112"/>
      <c r="HNO335" s="113"/>
      <c r="HNQ335" s="114"/>
      <c r="HNR335" s="114"/>
      <c r="HNW335" s="111"/>
      <c r="HNX335" s="112"/>
      <c r="HNY335" s="113"/>
      <c r="HOA335" s="114"/>
      <c r="HOB335" s="114"/>
      <c r="HOG335" s="111"/>
      <c r="HOH335" s="112"/>
      <c r="HOI335" s="113"/>
      <c r="HOK335" s="114"/>
      <c r="HOL335" s="114"/>
      <c r="HOQ335" s="111"/>
      <c r="HOR335" s="112"/>
      <c r="HOS335" s="113"/>
      <c r="HOU335" s="114"/>
      <c r="HOV335" s="114"/>
      <c r="HPA335" s="111"/>
      <c r="HPB335" s="112"/>
      <c r="HPC335" s="113"/>
      <c r="HPE335" s="114"/>
      <c r="HPF335" s="114"/>
      <c r="HPK335" s="111"/>
      <c r="HPL335" s="112"/>
      <c r="HPM335" s="113"/>
      <c r="HPO335" s="114"/>
      <c r="HPP335" s="114"/>
      <c r="HPU335" s="111"/>
      <c r="HPV335" s="112"/>
      <c r="HPW335" s="113"/>
      <c r="HPY335" s="114"/>
      <c r="HPZ335" s="114"/>
      <c r="HQE335" s="111"/>
      <c r="HQF335" s="112"/>
      <c r="HQG335" s="113"/>
      <c r="HQI335" s="114"/>
      <c r="HQJ335" s="114"/>
      <c r="HQO335" s="111"/>
      <c r="HQP335" s="112"/>
      <c r="HQQ335" s="113"/>
      <c r="HQS335" s="114"/>
      <c r="HQT335" s="114"/>
      <c r="HQY335" s="111"/>
      <c r="HQZ335" s="112"/>
      <c r="HRA335" s="113"/>
      <c r="HRC335" s="114"/>
      <c r="HRD335" s="114"/>
      <c r="HRI335" s="111"/>
      <c r="HRJ335" s="112"/>
      <c r="HRK335" s="113"/>
      <c r="HRM335" s="114"/>
      <c r="HRN335" s="114"/>
      <c r="HRS335" s="111"/>
      <c r="HRT335" s="112"/>
      <c r="HRU335" s="113"/>
      <c r="HRW335" s="114"/>
      <c r="HRX335" s="114"/>
      <c r="HSC335" s="111"/>
      <c r="HSD335" s="112"/>
      <c r="HSE335" s="113"/>
      <c r="HSG335" s="114"/>
      <c r="HSH335" s="114"/>
      <c r="HSM335" s="111"/>
      <c r="HSN335" s="112"/>
      <c r="HSO335" s="113"/>
      <c r="HSQ335" s="114"/>
      <c r="HSR335" s="114"/>
      <c r="HSW335" s="111"/>
      <c r="HSX335" s="112"/>
      <c r="HSY335" s="113"/>
      <c r="HTA335" s="114"/>
      <c r="HTB335" s="114"/>
      <c r="HTG335" s="111"/>
      <c r="HTH335" s="112"/>
      <c r="HTI335" s="113"/>
      <c r="HTK335" s="114"/>
      <c r="HTL335" s="114"/>
      <c r="HTQ335" s="111"/>
      <c r="HTR335" s="112"/>
      <c r="HTS335" s="113"/>
      <c r="HTU335" s="114"/>
      <c r="HTV335" s="114"/>
      <c r="HUA335" s="111"/>
      <c r="HUB335" s="112"/>
      <c r="HUC335" s="113"/>
      <c r="HUE335" s="114"/>
      <c r="HUF335" s="114"/>
      <c r="HUK335" s="111"/>
      <c r="HUL335" s="112"/>
      <c r="HUM335" s="113"/>
      <c r="HUO335" s="114"/>
      <c r="HUP335" s="114"/>
      <c r="HUU335" s="111"/>
      <c r="HUV335" s="112"/>
      <c r="HUW335" s="113"/>
      <c r="HUY335" s="114"/>
      <c r="HUZ335" s="114"/>
      <c r="HVE335" s="111"/>
      <c r="HVF335" s="112"/>
      <c r="HVG335" s="113"/>
      <c r="HVI335" s="114"/>
      <c r="HVJ335" s="114"/>
      <c r="HVO335" s="111"/>
      <c r="HVP335" s="112"/>
      <c r="HVQ335" s="113"/>
      <c r="HVS335" s="114"/>
      <c r="HVT335" s="114"/>
      <c r="HVY335" s="111"/>
      <c r="HVZ335" s="112"/>
      <c r="HWA335" s="113"/>
      <c r="HWC335" s="114"/>
      <c r="HWD335" s="114"/>
      <c r="HWI335" s="111"/>
      <c r="HWJ335" s="112"/>
      <c r="HWK335" s="113"/>
      <c r="HWM335" s="114"/>
      <c r="HWN335" s="114"/>
      <c r="HWS335" s="111"/>
      <c r="HWT335" s="112"/>
      <c r="HWU335" s="113"/>
      <c r="HWW335" s="114"/>
      <c r="HWX335" s="114"/>
      <c r="HXC335" s="111"/>
      <c r="HXD335" s="112"/>
      <c r="HXE335" s="113"/>
      <c r="HXG335" s="114"/>
      <c r="HXH335" s="114"/>
      <c r="HXM335" s="111"/>
      <c r="HXN335" s="112"/>
      <c r="HXO335" s="113"/>
      <c r="HXQ335" s="114"/>
      <c r="HXR335" s="114"/>
      <c r="HXW335" s="111"/>
      <c r="HXX335" s="112"/>
      <c r="HXY335" s="113"/>
      <c r="HYA335" s="114"/>
      <c r="HYB335" s="114"/>
      <c r="HYG335" s="111"/>
      <c r="HYH335" s="112"/>
      <c r="HYI335" s="113"/>
      <c r="HYK335" s="114"/>
      <c r="HYL335" s="114"/>
      <c r="HYQ335" s="111"/>
      <c r="HYR335" s="112"/>
      <c r="HYS335" s="113"/>
      <c r="HYU335" s="114"/>
      <c r="HYV335" s="114"/>
      <c r="HZA335" s="111"/>
      <c r="HZB335" s="112"/>
      <c r="HZC335" s="113"/>
      <c r="HZE335" s="114"/>
      <c r="HZF335" s="114"/>
      <c r="HZK335" s="111"/>
      <c r="HZL335" s="112"/>
      <c r="HZM335" s="113"/>
      <c r="HZO335" s="114"/>
      <c r="HZP335" s="114"/>
      <c r="HZU335" s="111"/>
      <c r="HZV335" s="112"/>
      <c r="HZW335" s="113"/>
      <c r="HZY335" s="114"/>
      <c r="HZZ335" s="114"/>
      <c r="IAE335" s="111"/>
      <c r="IAF335" s="112"/>
      <c r="IAG335" s="113"/>
      <c r="IAI335" s="114"/>
      <c r="IAJ335" s="114"/>
      <c r="IAO335" s="111"/>
      <c r="IAP335" s="112"/>
      <c r="IAQ335" s="113"/>
      <c r="IAS335" s="114"/>
      <c r="IAT335" s="114"/>
      <c r="IAY335" s="111"/>
      <c r="IAZ335" s="112"/>
      <c r="IBA335" s="113"/>
      <c r="IBC335" s="114"/>
      <c r="IBD335" s="114"/>
      <c r="IBI335" s="111"/>
      <c r="IBJ335" s="112"/>
      <c r="IBK335" s="113"/>
      <c r="IBM335" s="114"/>
      <c r="IBN335" s="114"/>
      <c r="IBS335" s="111"/>
      <c r="IBT335" s="112"/>
      <c r="IBU335" s="113"/>
      <c r="IBW335" s="114"/>
      <c r="IBX335" s="114"/>
      <c r="ICC335" s="111"/>
      <c r="ICD335" s="112"/>
      <c r="ICE335" s="113"/>
      <c r="ICG335" s="114"/>
      <c r="ICH335" s="114"/>
      <c r="ICM335" s="111"/>
      <c r="ICN335" s="112"/>
      <c r="ICO335" s="113"/>
      <c r="ICQ335" s="114"/>
      <c r="ICR335" s="114"/>
      <c r="ICW335" s="111"/>
      <c r="ICX335" s="112"/>
      <c r="ICY335" s="113"/>
      <c r="IDA335" s="114"/>
      <c r="IDB335" s="114"/>
      <c r="IDG335" s="111"/>
      <c r="IDH335" s="112"/>
      <c r="IDI335" s="113"/>
      <c r="IDK335" s="114"/>
      <c r="IDL335" s="114"/>
      <c r="IDQ335" s="111"/>
      <c r="IDR335" s="112"/>
      <c r="IDS335" s="113"/>
      <c r="IDU335" s="114"/>
      <c r="IDV335" s="114"/>
      <c r="IEA335" s="111"/>
      <c r="IEB335" s="112"/>
      <c r="IEC335" s="113"/>
      <c r="IEE335" s="114"/>
      <c r="IEF335" s="114"/>
      <c r="IEK335" s="111"/>
      <c r="IEL335" s="112"/>
      <c r="IEM335" s="113"/>
      <c r="IEO335" s="114"/>
      <c r="IEP335" s="114"/>
      <c r="IEU335" s="111"/>
      <c r="IEV335" s="112"/>
      <c r="IEW335" s="113"/>
      <c r="IEY335" s="114"/>
      <c r="IEZ335" s="114"/>
      <c r="IFE335" s="111"/>
      <c r="IFF335" s="112"/>
      <c r="IFG335" s="113"/>
      <c r="IFI335" s="114"/>
      <c r="IFJ335" s="114"/>
      <c r="IFO335" s="111"/>
      <c r="IFP335" s="112"/>
      <c r="IFQ335" s="113"/>
      <c r="IFS335" s="114"/>
      <c r="IFT335" s="114"/>
      <c r="IFY335" s="111"/>
      <c r="IFZ335" s="112"/>
      <c r="IGA335" s="113"/>
      <c r="IGC335" s="114"/>
      <c r="IGD335" s="114"/>
      <c r="IGI335" s="111"/>
      <c r="IGJ335" s="112"/>
      <c r="IGK335" s="113"/>
      <c r="IGM335" s="114"/>
      <c r="IGN335" s="114"/>
      <c r="IGS335" s="111"/>
      <c r="IGT335" s="112"/>
      <c r="IGU335" s="113"/>
      <c r="IGW335" s="114"/>
      <c r="IGX335" s="114"/>
      <c r="IHC335" s="111"/>
      <c r="IHD335" s="112"/>
      <c r="IHE335" s="113"/>
      <c r="IHG335" s="114"/>
      <c r="IHH335" s="114"/>
      <c r="IHM335" s="111"/>
      <c r="IHN335" s="112"/>
      <c r="IHO335" s="113"/>
      <c r="IHQ335" s="114"/>
      <c r="IHR335" s="114"/>
      <c r="IHW335" s="111"/>
      <c r="IHX335" s="112"/>
      <c r="IHY335" s="113"/>
      <c r="IIA335" s="114"/>
      <c r="IIB335" s="114"/>
      <c r="IIG335" s="111"/>
      <c r="IIH335" s="112"/>
      <c r="III335" s="113"/>
      <c r="IIK335" s="114"/>
      <c r="IIL335" s="114"/>
      <c r="IIQ335" s="111"/>
      <c r="IIR335" s="112"/>
      <c r="IIS335" s="113"/>
      <c r="IIU335" s="114"/>
      <c r="IIV335" s="114"/>
      <c r="IJA335" s="111"/>
      <c r="IJB335" s="112"/>
      <c r="IJC335" s="113"/>
      <c r="IJE335" s="114"/>
      <c r="IJF335" s="114"/>
      <c r="IJK335" s="111"/>
      <c r="IJL335" s="112"/>
      <c r="IJM335" s="113"/>
      <c r="IJO335" s="114"/>
      <c r="IJP335" s="114"/>
      <c r="IJU335" s="111"/>
      <c r="IJV335" s="112"/>
      <c r="IJW335" s="113"/>
      <c r="IJY335" s="114"/>
      <c r="IJZ335" s="114"/>
      <c r="IKE335" s="111"/>
      <c r="IKF335" s="112"/>
      <c r="IKG335" s="113"/>
      <c r="IKI335" s="114"/>
      <c r="IKJ335" s="114"/>
      <c r="IKO335" s="111"/>
      <c r="IKP335" s="112"/>
      <c r="IKQ335" s="113"/>
      <c r="IKS335" s="114"/>
      <c r="IKT335" s="114"/>
      <c r="IKY335" s="111"/>
      <c r="IKZ335" s="112"/>
      <c r="ILA335" s="113"/>
      <c r="ILC335" s="114"/>
      <c r="ILD335" s="114"/>
      <c r="ILI335" s="111"/>
      <c r="ILJ335" s="112"/>
      <c r="ILK335" s="113"/>
      <c r="ILM335" s="114"/>
      <c r="ILN335" s="114"/>
      <c r="ILS335" s="111"/>
      <c r="ILT335" s="112"/>
      <c r="ILU335" s="113"/>
      <c r="ILW335" s="114"/>
      <c r="ILX335" s="114"/>
      <c r="IMC335" s="111"/>
      <c r="IMD335" s="112"/>
      <c r="IME335" s="113"/>
      <c r="IMG335" s="114"/>
      <c r="IMH335" s="114"/>
      <c r="IMM335" s="111"/>
      <c r="IMN335" s="112"/>
      <c r="IMO335" s="113"/>
      <c r="IMQ335" s="114"/>
      <c r="IMR335" s="114"/>
      <c r="IMW335" s="111"/>
      <c r="IMX335" s="112"/>
      <c r="IMY335" s="113"/>
      <c r="INA335" s="114"/>
      <c r="INB335" s="114"/>
      <c r="ING335" s="111"/>
      <c r="INH335" s="112"/>
      <c r="INI335" s="113"/>
      <c r="INK335" s="114"/>
      <c r="INL335" s="114"/>
      <c r="INQ335" s="111"/>
      <c r="INR335" s="112"/>
      <c r="INS335" s="113"/>
      <c r="INU335" s="114"/>
      <c r="INV335" s="114"/>
      <c r="IOA335" s="111"/>
      <c r="IOB335" s="112"/>
      <c r="IOC335" s="113"/>
      <c r="IOE335" s="114"/>
      <c r="IOF335" s="114"/>
      <c r="IOK335" s="111"/>
      <c r="IOL335" s="112"/>
      <c r="IOM335" s="113"/>
      <c r="IOO335" s="114"/>
      <c r="IOP335" s="114"/>
      <c r="IOU335" s="111"/>
      <c r="IOV335" s="112"/>
      <c r="IOW335" s="113"/>
      <c r="IOY335" s="114"/>
      <c r="IOZ335" s="114"/>
      <c r="IPE335" s="111"/>
      <c r="IPF335" s="112"/>
      <c r="IPG335" s="113"/>
      <c r="IPI335" s="114"/>
      <c r="IPJ335" s="114"/>
      <c r="IPO335" s="111"/>
      <c r="IPP335" s="112"/>
      <c r="IPQ335" s="113"/>
      <c r="IPS335" s="114"/>
      <c r="IPT335" s="114"/>
      <c r="IPY335" s="111"/>
      <c r="IPZ335" s="112"/>
      <c r="IQA335" s="113"/>
      <c r="IQC335" s="114"/>
      <c r="IQD335" s="114"/>
      <c r="IQI335" s="111"/>
      <c r="IQJ335" s="112"/>
      <c r="IQK335" s="113"/>
      <c r="IQM335" s="114"/>
      <c r="IQN335" s="114"/>
      <c r="IQS335" s="111"/>
      <c r="IQT335" s="112"/>
      <c r="IQU335" s="113"/>
      <c r="IQW335" s="114"/>
      <c r="IQX335" s="114"/>
      <c r="IRC335" s="111"/>
      <c r="IRD335" s="112"/>
      <c r="IRE335" s="113"/>
      <c r="IRG335" s="114"/>
      <c r="IRH335" s="114"/>
      <c r="IRM335" s="111"/>
      <c r="IRN335" s="112"/>
      <c r="IRO335" s="113"/>
      <c r="IRQ335" s="114"/>
      <c r="IRR335" s="114"/>
      <c r="IRW335" s="111"/>
      <c r="IRX335" s="112"/>
      <c r="IRY335" s="113"/>
      <c r="ISA335" s="114"/>
      <c r="ISB335" s="114"/>
      <c r="ISG335" s="111"/>
      <c r="ISH335" s="112"/>
      <c r="ISI335" s="113"/>
      <c r="ISK335" s="114"/>
      <c r="ISL335" s="114"/>
      <c r="ISQ335" s="111"/>
      <c r="ISR335" s="112"/>
      <c r="ISS335" s="113"/>
      <c r="ISU335" s="114"/>
      <c r="ISV335" s="114"/>
      <c r="ITA335" s="111"/>
      <c r="ITB335" s="112"/>
      <c r="ITC335" s="113"/>
      <c r="ITE335" s="114"/>
      <c r="ITF335" s="114"/>
      <c r="ITK335" s="111"/>
      <c r="ITL335" s="112"/>
      <c r="ITM335" s="113"/>
      <c r="ITO335" s="114"/>
      <c r="ITP335" s="114"/>
      <c r="ITU335" s="111"/>
      <c r="ITV335" s="112"/>
      <c r="ITW335" s="113"/>
      <c r="ITY335" s="114"/>
      <c r="ITZ335" s="114"/>
      <c r="IUE335" s="111"/>
      <c r="IUF335" s="112"/>
      <c r="IUG335" s="113"/>
      <c r="IUI335" s="114"/>
      <c r="IUJ335" s="114"/>
      <c r="IUO335" s="111"/>
      <c r="IUP335" s="112"/>
      <c r="IUQ335" s="113"/>
      <c r="IUS335" s="114"/>
      <c r="IUT335" s="114"/>
      <c r="IUY335" s="111"/>
      <c r="IUZ335" s="112"/>
      <c r="IVA335" s="113"/>
      <c r="IVC335" s="114"/>
      <c r="IVD335" s="114"/>
      <c r="IVI335" s="111"/>
      <c r="IVJ335" s="112"/>
      <c r="IVK335" s="113"/>
      <c r="IVM335" s="114"/>
      <c r="IVN335" s="114"/>
      <c r="IVS335" s="111"/>
      <c r="IVT335" s="112"/>
      <c r="IVU335" s="113"/>
      <c r="IVW335" s="114"/>
      <c r="IVX335" s="114"/>
      <c r="IWC335" s="111"/>
      <c r="IWD335" s="112"/>
      <c r="IWE335" s="113"/>
      <c r="IWG335" s="114"/>
      <c r="IWH335" s="114"/>
      <c r="IWM335" s="111"/>
      <c r="IWN335" s="112"/>
      <c r="IWO335" s="113"/>
      <c r="IWQ335" s="114"/>
      <c r="IWR335" s="114"/>
      <c r="IWW335" s="111"/>
      <c r="IWX335" s="112"/>
      <c r="IWY335" s="113"/>
      <c r="IXA335" s="114"/>
      <c r="IXB335" s="114"/>
      <c r="IXG335" s="111"/>
      <c r="IXH335" s="112"/>
      <c r="IXI335" s="113"/>
      <c r="IXK335" s="114"/>
      <c r="IXL335" s="114"/>
      <c r="IXQ335" s="111"/>
      <c r="IXR335" s="112"/>
      <c r="IXS335" s="113"/>
      <c r="IXU335" s="114"/>
      <c r="IXV335" s="114"/>
      <c r="IYA335" s="111"/>
      <c r="IYB335" s="112"/>
      <c r="IYC335" s="113"/>
      <c r="IYE335" s="114"/>
      <c r="IYF335" s="114"/>
      <c r="IYK335" s="111"/>
      <c r="IYL335" s="112"/>
      <c r="IYM335" s="113"/>
      <c r="IYO335" s="114"/>
      <c r="IYP335" s="114"/>
      <c r="IYU335" s="111"/>
      <c r="IYV335" s="112"/>
      <c r="IYW335" s="113"/>
      <c r="IYY335" s="114"/>
      <c r="IYZ335" s="114"/>
      <c r="IZE335" s="111"/>
      <c r="IZF335" s="112"/>
      <c r="IZG335" s="113"/>
      <c r="IZI335" s="114"/>
      <c r="IZJ335" s="114"/>
      <c r="IZO335" s="111"/>
      <c r="IZP335" s="112"/>
      <c r="IZQ335" s="113"/>
      <c r="IZS335" s="114"/>
      <c r="IZT335" s="114"/>
      <c r="IZY335" s="111"/>
      <c r="IZZ335" s="112"/>
      <c r="JAA335" s="113"/>
      <c r="JAC335" s="114"/>
      <c r="JAD335" s="114"/>
      <c r="JAI335" s="111"/>
      <c r="JAJ335" s="112"/>
      <c r="JAK335" s="113"/>
      <c r="JAM335" s="114"/>
      <c r="JAN335" s="114"/>
      <c r="JAS335" s="111"/>
      <c r="JAT335" s="112"/>
      <c r="JAU335" s="113"/>
      <c r="JAW335" s="114"/>
      <c r="JAX335" s="114"/>
      <c r="JBC335" s="111"/>
      <c r="JBD335" s="112"/>
      <c r="JBE335" s="113"/>
      <c r="JBG335" s="114"/>
      <c r="JBH335" s="114"/>
      <c r="JBM335" s="111"/>
      <c r="JBN335" s="112"/>
      <c r="JBO335" s="113"/>
      <c r="JBQ335" s="114"/>
      <c r="JBR335" s="114"/>
      <c r="JBW335" s="111"/>
      <c r="JBX335" s="112"/>
      <c r="JBY335" s="113"/>
      <c r="JCA335" s="114"/>
      <c r="JCB335" s="114"/>
      <c r="JCG335" s="111"/>
      <c r="JCH335" s="112"/>
      <c r="JCI335" s="113"/>
      <c r="JCK335" s="114"/>
      <c r="JCL335" s="114"/>
      <c r="JCQ335" s="111"/>
      <c r="JCR335" s="112"/>
      <c r="JCS335" s="113"/>
      <c r="JCU335" s="114"/>
      <c r="JCV335" s="114"/>
      <c r="JDA335" s="111"/>
      <c r="JDB335" s="112"/>
      <c r="JDC335" s="113"/>
      <c r="JDE335" s="114"/>
      <c r="JDF335" s="114"/>
      <c r="JDK335" s="111"/>
      <c r="JDL335" s="112"/>
      <c r="JDM335" s="113"/>
      <c r="JDO335" s="114"/>
      <c r="JDP335" s="114"/>
      <c r="JDU335" s="111"/>
      <c r="JDV335" s="112"/>
      <c r="JDW335" s="113"/>
      <c r="JDY335" s="114"/>
      <c r="JDZ335" s="114"/>
      <c r="JEE335" s="111"/>
      <c r="JEF335" s="112"/>
      <c r="JEG335" s="113"/>
      <c r="JEI335" s="114"/>
      <c r="JEJ335" s="114"/>
      <c r="JEO335" s="111"/>
      <c r="JEP335" s="112"/>
      <c r="JEQ335" s="113"/>
      <c r="JES335" s="114"/>
      <c r="JET335" s="114"/>
      <c r="JEY335" s="111"/>
      <c r="JEZ335" s="112"/>
      <c r="JFA335" s="113"/>
      <c r="JFC335" s="114"/>
      <c r="JFD335" s="114"/>
      <c r="JFI335" s="111"/>
      <c r="JFJ335" s="112"/>
      <c r="JFK335" s="113"/>
      <c r="JFM335" s="114"/>
      <c r="JFN335" s="114"/>
      <c r="JFS335" s="111"/>
      <c r="JFT335" s="112"/>
      <c r="JFU335" s="113"/>
      <c r="JFW335" s="114"/>
      <c r="JFX335" s="114"/>
      <c r="JGC335" s="111"/>
      <c r="JGD335" s="112"/>
      <c r="JGE335" s="113"/>
      <c r="JGG335" s="114"/>
      <c r="JGH335" s="114"/>
      <c r="JGM335" s="111"/>
      <c r="JGN335" s="112"/>
      <c r="JGO335" s="113"/>
      <c r="JGQ335" s="114"/>
      <c r="JGR335" s="114"/>
      <c r="JGW335" s="111"/>
      <c r="JGX335" s="112"/>
      <c r="JGY335" s="113"/>
      <c r="JHA335" s="114"/>
      <c r="JHB335" s="114"/>
      <c r="JHG335" s="111"/>
      <c r="JHH335" s="112"/>
      <c r="JHI335" s="113"/>
      <c r="JHK335" s="114"/>
      <c r="JHL335" s="114"/>
      <c r="JHQ335" s="111"/>
      <c r="JHR335" s="112"/>
      <c r="JHS335" s="113"/>
      <c r="JHU335" s="114"/>
      <c r="JHV335" s="114"/>
      <c r="JIA335" s="111"/>
      <c r="JIB335" s="112"/>
      <c r="JIC335" s="113"/>
      <c r="JIE335" s="114"/>
      <c r="JIF335" s="114"/>
      <c r="JIK335" s="111"/>
      <c r="JIL335" s="112"/>
      <c r="JIM335" s="113"/>
      <c r="JIO335" s="114"/>
      <c r="JIP335" s="114"/>
      <c r="JIU335" s="111"/>
      <c r="JIV335" s="112"/>
      <c r="JIW335" s="113"/>
      <c r="JIY335" s="114"/>
      <c r="JIZ335" s="114"/>
      <c r="JJE335" s="111"/>
      <c r="JJF335" s="112"/>
      <c r="JJG335" s="113"/>
      <c r="JJI335" s="114"/>
      <c r="JJJ335" s="114"/>
      <c r="JJO335" s="111"/>
      <c r="JJP335" s="112"/>
      <c r="JJQ335" s="113"/>
      <c r="JJS335" s="114"/>
      <c r="JJT335" s="114"/>
      <c r="JJY335" s="111"/>
      <c r="JJZ335" s="112"/>
      <c r="JKA335" s="113"/>
      <c r="JKC335" s="114"/>
      <c r="JKD335" s="114"/>
      <c r="JKI335" s="111"/>
      <c r="JKJ335" s="112"/>
      <c r="JKK335" s="113"/>
      <c r="JKM335" s="114"/>
      <c r="JKN335" s="114"/>
      <c r="JKS335" s="111"/>
      <c r="JKT335" s="112"/>
      <c r="JKU335" s="113"/>
      <c r="JKW335" s="114"/>
      <c r="JKX335" s="114"/>
      <c r="JLC335" s="111"/>
      <c r="JLD335" s="112"/>
      <c r="JLE335" s="113"/>
      <c r="JLG335" s="114"/>
      <c r="JLH335" s="114"/>
      <c r="JLM335" s="111"/>
      <c r="JLN335" s="112"/>
      <c r="JLO335" s="113"/>
      <c r="JLQ335" s="114"/>
      <c r="JLR335" s="114"/>
      <c r="JLW335" s="111"/>
      <c r="JLX335" s="112"/>
      <c r="JLY335" s="113"/>
      <c r="JMA335" s="114"/>
      <c r="JMB335" s="114"/>
      <c r="JMG335" s="111"/>
      <c r="JMH335" s="112"/>
      <c r="JMI335" s="113"/>
      <c r="JMK335" s="114"/>
      <c r="JML335" s="114"/>
      <c r="JMQ335" s="111"/>
      <c r="JMR335" s="112"/>
      <c r="JMS335" s="113"/>
      <c r="JMU335" s="114"/>
      <c r="JMV335" s="114"/>
      <c r="JNA335" s="111"/>
      <c r="JNB335" s="112"/>
      <c r="JNC335" s="113"/>
      <c r="JNE335" s="114"/>
      <c r="JNF335" s="114"/>
      <c r="JNK335" s="111"/>
      <c r="JNL335" s="112"/>
      <c r="JNM335" s="113"/>
      <c r="JNO335" s="114"/>
      <c r="JNP335" s="114"/>
      <c r="JNU335" s="111"/>
      <c r="JNV335" s="112"/>
      <c r="JNW335" s="113"/>
      <c r="JNY335" s="114"/>
      <c r="JNZ335" s="114"/>
      <c r="JOE335" s="111"/>
      <c r="JOF335" s="112"/>
      <c r="JOG335" s="113"/>
      <c r="JOI335" s="114"/>
      <c r="JOJ335" s="114"/>
      <c r="JOO335" s="111"/>
      <c r="JOP335" s="112"/>
      <c r="JOQ335" s="113"/>
      <c r="JOS335" s="114"/>
      <c r="JOT335" s="114"/>
      <c r="JOY335" s="111"/>
      <c r="JOZ335" s="112"/>
      <c r="JPA335" s="113"/>
      <c r="JPC335" s="114"/>
      <c r="JPD335" s="114"/>
      <c r="JPI335" s="111"/>
      <c r="JPJ335" s="112"/>
      <c r="JPK335" s="113"/>
      <c r="JPM335" s="114"/>
      <c r="JPN335" s="114"/>
      <c r="JPS335" s="111"/>
      <c r="JPT335" s="112"/>
      <c r="JPU335" s="113"/>
      <c r="JPW335" s="114"/>
      <c r="JPX335" s="114"/>
      <c r="JQC335" s="111"/>
      <c r="JQD335" s="112"/>
      <c r="JQE335" s="113"/>
      <c r="JQG335" s="114"/>
      <c r="JQH335" s="114"/>
      <c r="JQM335" s="111"/>
      <c r="JQN335" s="112"/>
      <c r="JQO335" s="113"/>
      <c r="JQQ335" s="114"/>
      <c r="JQR335" s="114"/>
      <c r="JQW335" s="111"/>
      <c r="JQX335" s="112"/>
      <c r="JQY335" s="113"/>
      <c r="JRA335" s="114"/>
      <c r="JRB335" s="114"/>
      <c r="JRG335" s="111"/>
      <c r="JRH335" s="112"/>
      <c r="JRI335" s="113"/>
      <c r="JRK335" s="114"/>
      <c r="JRL335" s="114"/>
      <c r="JRQ335" s="111"/>
      <c r="JRR335" s="112"/>
      <c r="JRS335" s="113"/>
      <c r="JRU335" s="114"/>
      <c r="JRV335" s="114"/>
      <c r="JSA335" s="111"/>
      <c r="JSB335" s="112"/>
      <c r="JSC335" s="113"/>
      <c r="JSE335" s="114"/>
      <c r="JSF335" s="114"/>
      <c r="JSK335" s="111"/>
      <c r="JSL335" s="112"/>
      <c r="JSM335" s="113"/>
      <c r="JSO335" s="114"/>
      <c r="JSP335" s="114"/>
      <c r="JSU335" s="111"/>
      <c r="JSV335" s="112"/>
      <c r="JSW335" s="113"/>
      <c r="JSY335" s="114"/>
      <c r="JSZ335" s="114"/>
      <c r="JTE335" s="111"/>
      <c r="JTF335" s="112"/>
      <c r="JTG335" s="113"/>
      <c r="JTI335" s="114"/>
      <c r="JTJ335" s="114"/>
      <c r="JTO335" s="111"/>
      <c r="JTP335" s="112"/>
      <c r="JTQ335" s="113"/>
      <c r="JTS335" s="114"/>
      <c r="JTT335" s="114"/>
      <c r="JTY335" s="111"/>
      <c r="JTZ335" s="112"/>
      <c r="JUA335" s="113"/>
      <c r="JUC335" s="114"/>
      <c r="JUD335" s="114"/>
      <c r="JUI335" s="111"/>
      <c r="JUJ335" s="112"/>
      <c r="JUK335" s="113"/>
      <c r="JUM335" s="114"/>
      <c r="JUN335" s="114"/>
      <c r="JUS335" s="111"/>
      <c r="JUT335" s="112"/>
      <c r="JUU335" s="113"/>
      <c r="JUW335" s="114"/>
      <c r="JUX335" s="114"/>
      <c r="JVC335" s="111"/>
      <c r="JVD335" s="112"/>
      <c r="JVE335" s="113"/>
      <c r="JVG335" s="114"/>
      <c r="JVH335" s="114"/>
      <c r="JVM335" s="111"/>
      <c r="JVN335" s="112"/>
      <c r="JVO335" s="113"/>
      <c r="JVQ335" s="114"/>
      <c r="JVR335" s="114"/>
      <c r="JVW335" s="111"/>
      <c r="JVX335" s="112"/>
      <c r="JVY335" s="113"/>
      <c r="JWA335" s="114"/>
      <c r="JWB335" s="114"/>
      <c r="JWG335" s="111"/>
      <c r="JWH335" s="112"/>
      <c r="JWI335" s="113"/>
      <c r="JWK335" s="114"/>
      <c r="JWL335" s="114"/>
      <c r="JWQ335" s="111"/>
      <c r="JWR335" s="112"/>
      <c r="JWS335" s="113"/>
      <c r="JWU335" s="114"/>
      <c r="JWV335" s="114"/>
      <c r="JXA335" s="111"/>
      <c r="JXB335" s="112"/>
      <c r="JXC335" s="113"/>
      <c r="JXE335" s="114"/>
      <c r="JXF335" s="114"/>
      <c r="JXK335" s="111"/>
      <c r="JXL335" s="112"/>
      <c r="JXM335" s="113"/>
      <c r="JXO335" s="114"/>
      <c r="JXP335" s="114"/>
      <c r="JXU335" s="111"/>
      <c r="JXV335" s="112"/>
      <c r="JXW335" s="113"/>
      <c r="JXY335" s="114"/>
      <c r="JXZ335" s="114"/>
      <c r="JYE335" s="111"/>
      <c r="JYF335" s="112"/>
      <c r="JYG335" s="113"/>
      <c r="JYI335" s="114"/>
      <c r="JYJ335" s="114"/>
      <c r="JYO335" s="111"/>
      <c r="JYP335" s="112"/>
      <c r="JYQ335" s="113"/>
      <c r="JYS335" s="114"/>
      <c r="JYT335" s="114"/>
      <c r="JYY335" s="111"/>
      <c r="JYZ335" s="112"/>
      <c r="JZA335" s="113"/>
      <c r="JZC335" s="114"/>
      <c r="JZD335" s="114"/>
      <c r="JZI335" s="111"/>
      <c r="JZJ335" s="112"/>
      <c r="JZK335" s="113"/>
      <c r="JZM335" s="114"/>
      <c r="JZN335" s="114"/>
      <c r="JZS335" s="111"/>
      <c r="JZT335" s="112"/>
      <c r="JZU335" s="113"/>
      <c r="JZW335" s="114"/>
      <c r="JZX335" s="114"/>
      <c r="KAC335" s="111"/>
      <c r="KAD335" s="112"/>
      <c r="KAE335" s="113"/>
      <c r="KAG335" s="114"/>
      <c r="KAH335" s="114"/>
      <c r="KAM335" s="111"/>
      <c r="KAN335" s="112"/>
      <c r="KAO335" s="113"/>
      <c r="KAQ335" s="114"/>
      <c r="KAR335" s="114"/>
      <c r="KAW335" s="111"/>
      <c r="KAX335" s="112"/>
      <c r="KAY335" s="113"/>
      <c r="KBA335" s="114"/>
      <c r="KBB335" s="114"/>
      <c r="KBG335" s="111"/>
      <c r="KBH335" s="112"/>
      <c r="KBI335" s="113"/>
      <c r="KBK335" s="114"/>
      <c r="KBL335" s="114"/>
      <c r="KBQ335" s="111"/>
      <c r="KBR335" s="112"/>
      <c r="KBS335" s="113"/>
      <c r="KBU335" s="114"/>
      <c r="KBV335" s="114"/>
      <c r="KCA335" s="111"/>
      <c r="KCB335" s="112"/>
      <c r="KCC335" s="113"/>
      <c r="KCE335" s="114"/>
      <c r="KCF335" s="114"/>
      <c r="KCK335" s="111"/>
      <c r="KCL335" s="112"/>
      <c r="KCM335" s="113"/>
      <c r="KCO335" s="114"/>
      <c r="KCP335" s="114"/>
      <c r="KCU335" s="111"/>
      <c r="KCV335" s="112"/>
      <c r="KCW335" s="113"/>
      <c r="KCY335" s="114"/>
      <c r="KCZ335" s="114"/>
      <c r="KDE335" s="111"/>
      <c r="KDF335" s="112"/>
      <c r="KDG335" s="113"/>
      <c r="KDI335" s="114"/>
      <c r="KDJ335" s="114"/>
      <c r="KDO335" s="111"/>
      <c r="KDP335" s="112"/>
      <c r="KDQ335" s="113"/>
      <c r="KDS335" s="114"/>
      <c r="KDT335" s="114"/>
      <c r="KDY335" s="111"/>
      <c r="KDZ335" s="112"/>
      <c r="KEA335" s="113"/>
      <c r="KEC335" s="114"/>
      <c r="KED335" s="114"/>
      <c r="KEI335" s="111"/>
      <c r="KEJ335" s="112"/>
      <c r="KEK335" s="113"/>
      <c r="KEM335" s="114"/>
      <c r="KEN335" s="114"/>
      <c r="KES335" s="111"/>
      <c r="KET335" s="112"/>
      <c r="KEU335" s="113"/>
      <c r="KEW335" s="114"/>
      <c r="KEX335" s="114"/>
      <c r="KFC335" s="111"/>
      <c r="KFD335" s="112"/>
      <c r="KFE335" s="113"/>
      <c r="KFG335" s="114"/>
      <c r="KFH335" s="114"/>
      <c r="KFM335" s="111"/>
      <c r="KFN335" s="112"/>
      <c r="KFO335" s="113"/>
      <c r="KFQ335" s="114"/>
      <c r="KFR335" s="114"/>
      <c r="KFW335" s="111"/>
      <c r="KFX335" s="112"/>
      <c r="KFY335" s="113"/>
      <c r="KGA335" s="114"/>
      <c r="KGB335" s="114"/>
      <c r="KGG335" s="111"/>
      <c r="KGH335" s="112"/>
      <c r="KGI335" s="113"/>
      <c r="KGK335" s="114"/>
      <c r="KGL335" s="114"/>
      <c r="KGQ335" s="111"/>
      <c r="KGR335" s="112"/>
      <c r="KGS335" s="113"/>
      <c r="KGU335" s="114"/>
      <c r="KGV335" s="114"/>
      <c r="KHA335" s="111"/>
      <c r="KHB335" s="112"/>
      <c r="KHC335" s="113"/>
      <c r="KHE335" s="114"/>
      <c r="KHF335" s="114"/>
      <c r="KHK335" s="111"/>
      <c r="KHL335" s="112"/>
      <c r="KHM335" s="113"/>
      <c r="KHO335" s="114"/>
      <c r="KHP335" s="114"/>
      <c r="KHU335" s="111"/>
      <c r="KHV335" s="112"/>
      <c r="KHW335" s="113"/>
      <c r="KHY335" s="114"/>
      <c r="KHZ335" s="114"/>
      <c r="KIE335" s="111"/>
      <c r="KIF335" s="112"/>
      <c r="KIG335" s="113"/>
      <c r="KII335" s="114"/>
      <c r="KIJ335" s="114"/>
      <c r="KIO335" s="111"/>
      <c r="KIP335" s="112"/>
      <c r="KIQ335" s="113"/>
      <c r="KIS335" s="114"/>
      <c r="KIT335" s="114"/>
      <c r="KIY335" s="111"/>
      <c r="KIZ335" s="112"/>
      <c r="KJA335" s="113"/>
      <c r="KJC335" s="114"/>
      <c r="KJD335" s="114"/>
      <c r="KJI335" s="111"/>
      <c r="KJJ335" s="112"/>
      <c r="KJK335" s="113"/>
      <c r="KJM335" s="114"/>
      <c r="KJN335" s="114"/>
      <c r="KJS335" s="111"/>
      <c r="KJT335" s="112"/>
      <c r="KJU335" s="113"/>
      <c r="KJW335" s="114"/>
      <c r="KJX335" s="114"/>
      <c r="KKC335" s="111"/>
      <c r="KKD335" s="112"/>
      <c r="KKE335" s="113"/>
      <c r="KKG335" s="114"/>
      <c r="KKH335" s="114"/>
      <c r="KKM335" s="111"/>
      <c r="KKN335" s="112"/>
      <c r="KKO335" s="113"/>
      <c r="KKQ335" s="114"/>
      <c r="KKR335" s="114"/>
      <c r="KKW335" s="111"/>
      <c r="KKX335" s="112"/>
      <c r="KKY335" s="113"/>
      <c r="KLA335" s="114"/>
      <c r="KLB335" s="114"/>
      <c r="KLG335" s="111"/>
      <c r="KLH335" s="112"/>
      <c r="KLI335" s="113"/>
      <c r="KLK335" s="114"/>
      <c r="KLL335" s="114"/>
      <c r="KLQ335" s="111"/>
      <c r="KLR335" s="112"/>
      <c r="KLS335" s="113"/>
      <c r="KLU335" s="114"/>
      <c r="KLV335" s="114"/>
      <c r="KMA335" s="111"/>
      <c r="KMB335" s="112"/>
      <c r="KMC335" s="113"/>
      <c r="KME335" s="114"/>
      <c r="KMF335" s="114"/>
      <c r="KMK335" s="111"/>
      <c r="KML335" s="112"/>
      <c r="KMM335" s="113"/>
      <c r="KMO335" s="114"/>
      <c r="KMP335" s="114"/>
      <c r="KMU335" s="111"/>
      <c r="KMV335" s="112"/>
      <c r="KMW335" s="113"/>
      <c r="KMY335" s="114"/>
      <c r="KMZ335" s="114"/>
      <c r="KNE335" s="111"/>
      <c r="KNF335" s="112"/>
      <c r="KNG335" s="113"/>
      <c r="KNI335" s="114"/>
      <c r="KNJ335" s="114"/>
      <c r="KNO335" s="111"/>
      <c r="KNP335" s="112"/>
      <c r="KNQ335" s="113"/>
      <c r="KNS335" s="114"/>
      <c r="KNT335" s="114"/>
      <c r="KNY335" s="111"/>
      <c r="KNZ335" s="112"/>
      <c r="KOA335" s="113"/>
      <c r="KOC335" s="114"/>
      <c r="KOD335" s="114"/>
      <c r="KOI335" s="111"/>
      <c r="KOJ335" s="112"/>
      <c r="KOK335" s="113"/>
      <c r="KOM335" s="114"/>
      <c r="KON335" s="114"/>
      <c r="KOS335" s="111"/>
      <c r="KOT335" s="112"/>
      <c r="KOU335" s="113"/>
      <c r="KOW335" s="114"/>
      <c r="KOX335" s="114"/>
      <c r="KPC335" s="111"/>
      <c r="KPD335" s="112"/>
      <c r="KPE335" s="113"/>
      <c r="KPG335" s="114"/>
      <c r="KPH335" s="114"/>
      <c r="KPM335" s="111"/>
      <c r="KPN335" s="112"/>
      <c r="KPO335" s="113"/>
      <c r="KPQ335" s="114"/>
      <c r="KPR335" s="114"/>
      <c r="KPW335" s="111"/>
      <c r="KPX335" s="112"/>
      <c r="KPY335" s="113"/>
      <c r="KQA335" s="114"/>
      <c r="KQB335" s="114"/>
      <c r="KQG335" s="111"/>
      <c r="KQH335" s="112"/>
      <c r="KQI335" s="113"/>
      <c r="KQK335" s="114"/>
      <c r="KQL335" s="114"/>
      <c r="KQQ335" s="111"/>
      <c r="KQR335" s="112"/>
      <c r="KQS335" s="113"/>
      <c r="KQU335" s="114"/>
      <c r="KQV335" s="114"/>
      <c r="KRA335" s="111"/>
      <c r="KRB335" s="112"/>
      <c r="KRC335" s="113"/>
      <c r="KRE335" s="114"/>
      <c r="KRF335" s="114"/>
      <c r="KRK335" s="111"/>
      <c r="KRL335" s="112"/>
      <c r="KRM335" s="113"/>
      <c r="KRO335" s="114"/>
      <c r="KRP335" s="114"/>
      <c r="KRU335" s="111"/>
      <c r="KRV335" s="112"/>
      <c r="KRW335" s="113"/>
      <c r="KRY335" s="114"/>
      <c r="KRZ335" s="114"/>
      <c r="KSE335" s="111"/>
      <c r="KSF335" s="112"/>
      <c r="KSG335" s="113"/>
      <c r="KSI335" s="114"/>
      <c r="KSJ335" s="114"/>
      <c r="KSO335" s="111"/>
      <c r="KSP335" s="112"/>
      <c r="KSQ335" s="113"/>
      <c r="KSS335" s="114"/>
      <c r="KST335" s="114"/>
      <c r="KSY335" s="111"/>
      <c r="KSZ335" s="112"/>
      <c r="KTA335" s="113"/>
      <c r="KTC335" s="114"/>
      <c r="KTD335" s="114"/>
      <c r="KTI335" s="111"/>
      <c r="KTJ335" s="112"/>
      <c r="KTK335" s="113"/>
      <c r="KTM335" s="114"/>
      <c r="KTN335" s="114"/>
      <c r="KTS335" s="111"/>
      <c r="KTT335" s="112"/>
      <c r="KTU335" s="113"/>
      <c r="KTW335" s="114"/>
      <c r="KTX335" s="114"/>
      <c r="KUC335" s="111"/>
      <c r="KUD335" s="112"/>
      <c r="KUE335" s="113"/>
      <c r="KUG335" s="114"/>
      <c r="KUH335" s="114"/>
      <c r="KUM335" s="111"/>
      <c r="KUN335" s="112"/>
      <c r="KUO335" s="113"/>
      <c r="KUQ335" s="114"/>
      <c r="KUR335" s="114"/>
      <c r="KUW335" s="111"/>
      <c r="KUX335" s="112"/>
      <c r="KUY335" s="113"/>
      <c r="KVA335" s="114"/>
      <c r="KVB335" s="114"/>
      <c r="KVG335" s="111"/>
      <c r="KVH335" s="112"/>
      <c r="KVI335" s="113"/>
      <c r="KVK335" s="114"/>
      <c r="KVL335" s="114"/>
      <c r="KVQ335" s="111"/>
      <c r="KVR335" s="112"/>
      <c r="KVS335" s="113"/>
      <c r="KVU335" s="114"/>
      <c r="KVV335" s="114"/>
      <c r="KWA335" s="111"/>
      <c r="KWB335" s="112"/>
      <c r="KWC335" s="113"/>
      <c r="KWE335" s="114"/>
      <c r="KWF335" s="114"/>
      <c r="KWK335" s="111"/>
      <c r="KWL335" s="112"/>
      <c r="KWM335" s="113"/>
      <c r="KWO335" s="114"/>
      <c r="KWP335" s="114"/>
      <c r="KWU335" s="111"/>
      <c r="KWV335" s="112"/>
      <c r="KWW335" s="113"/>
      <c r="KWY335" s="114"/>
      <c r="KWZ335" s="114"/>
      <c r="KXE335" s="111"/>
      <c r="KXF335" s="112"/>
      <c r="KXG335" s="113"/>
      <c r="KXI335" s="114"/>
      <c r="KXJ335" s="114"/>
      <c r="KXO335" s="111"/>
      <c r="KXP335" s="112"/>
      <c r="KXQ335" s="113"/>
      <c r="KXS335" s="114"/>
      <c r="KXT335" s="114"/>
      <c r="KXY335" s="111"/>
      <c r="KXZ335" s="112"/>
      <c r="KYA335" s="113"/>
      <c r="KYC335" s="114"/>
      <c r="KYD335" s="114"/>
      <c r="KYI335" s="111"/>
      <c r="KYJ335" s="112"/>
      <c r="KYK335" s="113"/>
      <c r="KYM335" s="114"/>
      <c r="KYN335" s="114"/>
      <c r="KYS335" s="111"/>
      <c r="KYT335" s="112"/>
      <c r="KYU335" s="113"/>
      <c r="KYW335" s="114"/>
      <c r="KYX335" s="114"/>
      <c r="KZC335" s="111"/>
      <c r="KZD335" s="112"/>
      <c r="KZE335" s="113"/>
      <c r="KZG335" s="114"/>
      <c r="KZH335" s="114"/>
      <c r="KZM335" s="111"/>
      <c r="KZN335" s="112"/>
      <c r="KZO335" s="113"/>
      <c r="KZQ335" s="114"/>
      <c r="KZR335" s="114"/>
      <c r="KZW335" s="111"/>
      <c r="KZX335" s="112"/>
      <c r="KZY335" s="113"/>
      <c r="LAA335" s="114"/>
      <c r="LAB335" s="114"/>
      <c r="LAG335" s="111"/>
      <c r="LAH335" s="112"/>
      <c r="LAI335" s="113"/>
      <c r="LAK335" s="114"/>
      <c r="LAL335" s="114"/>
      <c r="LAQ335" s="111"/>
      <c r="LAR335" s="112"/>
      <c r="LAS335" s="113"/>
      <c r="LAU335" s="114"/>
      <c r="LAV335" s="114"/>
      <c r="LBA335" s="111"/>
      <c r="LBB335" s="112"/>
      <c r="LBC335" s="113"/>
      <c r="LBE335" s="114"/>
      <c r="LBF335" s="114"/>
      <c r="LBK335" s="111"/>
      <c r="LBL335" s="112"/>
      <c r="LBM335" s="113"/>
      <c r="LBO335" s="114"/>
      <c r="LBP335" s="114"/>
      <c r="LBU335" s="111"/>
      <c r="LBV335" s="112"/>
      <c r="LBW335" s="113"/>
      <c r="LBY335" s="114"/>
      <c r="LBZ335" s="114"/>
      <c r="LCE335" s="111"/>
      <c r="LCF335" s="112"/>
      <c r="LCG335" s="113"/>
      <c r="LCI335" s="114"/>
      <c r="LCJ335" s="114"/>
      <c r="LCO335" s="111"/>
      <c r="LCP335" s="112"/>
      <c r="LCQ335" s="113"/>
      <c r="LCS335" s="114"/>
      <c r="LCT335" s="114"/>
      <c r="LCY335" s="111"/>
      <c r="LCZ335" s="112"/>
      <c r="LDA335" s="113"/>
      <c r="LDC335" s="114"/>
      <c r="LDD335" s="114"/>
      <c r="LDI335" s="111"/>
      <c r="LDJ335" s="112"/>
      <c r="LDK335" s="113"/>
      <c r="LDM335" s="114"/>
      <c r="LDN335" s="114"/>
      <c r="LDS335" s="111"/>
      <c r="LDT335" s="112"/>
      <c r="LDU335" s="113"/>
      <c r="LDW335" s="114"/>
      <c r="LDX335" s="114"/>
      <c r="LEC335" s="111"/>
      <c r="LED335" s="112"/>
      <c r="LEE335" s="113"/>
      <c r="LEG335" s="114"/>
      <c r="LEH335" s="114"/>
      <c r="LEM335" s="111"/>
      <c r="LEN335" s="112"/>
      <c r="LEO335" s="113"/>
      <c r="LEQ335" s="114"/>
      <c r="LER335" s="114"/>
      <c r="LEW335" s="111"/>
      <c r="LEX335" s="112"/>
      <c r="LEY335" s="113"/>
      <c r="LFA335" s="114"/>
      <c r="LFB335" s="114"/>
      <c r="LFG335" s="111"/>
      <c r="LFH335" s="112"/>
      <c r="LFI335" s="113"/>
      <c r="LFK335" s="114"/>
      <c r="LFL335" s="114"/>
      <c r="LFQ335" s="111"/>
      <c r="LFR335" s="112"/>
      <c r="LFS335" s="113"/>
      <c r="LFU335" s="114"/>
      <c r="LFV335" s="114"/>
      <c r="LGA335" s="111"/>
      <c r="LGB335" s="112"/>
      <c r="LGC335" s="113"/>
      <c r="LGE335" s="114"/>
      <c r="LGF335" s="114"/>
      <c r="LGK335" s="111"/>
      <c r="LGL335" s="112"/>
      <c r="LGM335" s="113"/>
      <c r="LGO335" s="114"/>
      <c r="LGP335" s="114"/>
      <c r="LGU335" s="111"/>
      <c r="LGV335" s="112"/>
      <c r="LGW335" s="113"/>
      <c r="LGY335" s="114"/>
      <c r="LGZ335" s="114"/>
      <c r="LHE335" s="111"/>
      <c r="LHF335" s="112"/>
      <c r="LHG335" s="113"/>
      <c r="LHI335" s="114"/>
      <c r="LHJ335" s="114"/>
      <c r="LHO335" s="111"/>
      <c r="LHP335" s="112"/>
      <c r="LHQ335" s="113"/>
      <c r="LHS335" s="114"/>
      <c r="LHT335" s="114"/>
      <c r="LHY335" s="111"/>
      <c r="LHZ335" s="112"/>
      <c r="LIA335" s="113"/>
      <c r="LIC335" s="114"/>
      <c r="LID335" s="114"/>
      <c r="LII335" s="111"/>
      <c r="LIJ335" s="112"/>
      <c r="LIK335" s="113"/>
      <c r="LIM335" s="114"/>
      <c r="LIN335" s="114"/>
      <c r="LIS335" s="111"/>
      <c r="LIT335" s="112"/>
      <c r="LIU335" s="113"/>
      <c r="LIW335" s="114"/>
      <c r="LIX335" s="114"/>
      <c r="LJC335" s="111"/>
      <c r="LJD335" s="112"/>
      <c r="LJE335" s="113"/>
      <c r="LJG335" s="114"/>
      <c r="LJH335" s="114"/>
      <c r="LJM335" s="111"/>
      <c r="LJN335" s="112"/>
      <c r="LJO335" s="113"/>
      <c r="LJQ335" s="114"/>
      <c r="LJR335" s="114"/>
      <c r="LJW335" s="111"/>
      <c r="LJX335" s="112"/>
      <c r="LJY335" s="113"/>
      <c r="LKA335" s="114"/>
      <c r="LKB335" s="114"/>
      <c r="LKG335" s="111"/>
      <c r="LKH335" s="112"/>
      <c r="LKI335" s="113"/>
      <c r="LKK335" s="114"/>
      <c r="LKL335" s="114"/>
      <c r="LKQ335" s="111"/>
      <c r="LKR335" s="112"/>
      <c r="LKS335" s="113"/>
      <c r="LKU335" s="114"/>
      <c r="LKV335" s="114"/>
      <c r="LLA335" s="111"/>
      <c r="LLB335" s="112"/>
      <c r="LLC335" s="113"/>
      <c r="LLE335" s="114"/>
      <c r="LLF335" s="114"/>
      <c r="LLK335" s="111"/>
      <c r="LLL335" s="112"/>
      <c r="LLM335" s="113"/>
      <c r="LLO335" s="114"/>
      <c r="LLP335" s="114"/>
      <c r="LLU335" s="111"/>
      <c r="LLV335" s="112"/>
      <c r="LLW335" s="113"/>
      <c r="LLY335" s="114"/>
      <c r="LLZ335" s="114"/>
      <c r="LME335" s="111"/>
      <c r="LMF335" s="112"/>
      <c r="LMG335" s="113"/>
      <c r="LMI335" s="114"/>
      <c r="LMJ335" s="114"/>
      <c r="LMO335" s="111"/>
      <c r="LMP335" s="112"/>
      <c r="LMQ335" s="113"/>
      <c r="LMS335" s="114"/>
      <c r="LMT335" s="114"/>
      <c r="LMY335" s="111"/>
      <c r="LMZ335" s="112"/>
      <c r="LNA335" s="113"/>
      <c r="LNC335" s="114"/>
      <c r="LND335" s="114"/>
      <c r="LNI335" s="111"/>
      <c r="LNJ335" s="112"/>
      <c r="LNK335" s="113"/>
      <c r="LNM335" s="114"/>
      <c r="LNN335" s="114"/>
      <c r="LNS335" s="111"/>
      <c r="LNT335" s="112"/>
      <c r="LNU335" s="113"/>
      <c r="LNW335" s="114"/>
      <c r="LNX335" s="114"/>
      <c r="LOC335" s="111"/>
      <c r="LOD335" s="112"/>
      <c r="LOE335" s="113"/>
      <c r="LOG335" s="114"/>
      <c r="LOH335" s="114"/>
      <c r="LOM335" s="111"/>
      <c r="LON335" s="112"/>
      <c r="LOO335" s="113"/>
      <c r="LOQ335" s="114"/>
      <c r="LOR335" s="114"/>
      <c r="LOW335" s="111"/>
      <c r="LOX335" s="112"/>
      <c r="LOY335" s="113"/>
      <c r="LPA335" s="114"/>
      <c r="LPB335" s="114"/>
      <c r="LPG335" s="111"/>
      <c r="LPH335" s="112"/>
      <c r="LPI335" s="113"/>
      <c r="LPK335" s="114"/>
      <c r="LPL335" s="114"/>
      <c r="LPQ335" s="111"/>
      <c r="LPR335" s="112"/>
      <c r="LPS335" s="113"/>
      <c r="LPU335" s="114"/>
      <c r="LPV335" s="114"/>
      <c r="LQA335" s="111"/>
      <c r="LQB335" s="112"/>
      <c r="LQC335" s="113"/>
      <c r="LQE335" s="114"/>
      <c r="LQF335" s="114"/>
      <c r="LQK335" s="111"/>
      <c r="LQL335" s="112"/>
      <c r="LQM335" s="113"/>
      <c r="LQO335" s="114"/>
      <c r="LQP335" s="114"/>
      <c r="LQU335" s="111"/>
      <c r="LQV335" s="112"/>
      <c r="LQW335" s="113"/>
      <c r="LQY335" s="114"/>
      <c r="LQZ335" s="114"/>
      <c r="LRE335" s="111"/>
      <c r="LRF335" s="112"/>
      <c r="LRG335" s="113"/>
      <c r="LRI335" s="114"/>
      <c r="LRJ335" s="114"/>
      <c r="LRO335" s="111"/>
      <c r="LRP335" s="112"/>
      <c r="LRQ335" s="113"/>
      <c r="LRS335" s="114"/>
      <c r="LRT335" s="114"/>
      <c r="LRY335" s="111"/>
      <c r="LRZ335" s="112"/>
      <c r="LSA335" s="113"/>
      <c r="LSC335" s="114"/>
      <c r="LSD335" s="114"/>
      <c r="LSI335" s="111"/>
      <c r="LSJ335" s="112"/>
      <c r="LSK335" s="113"/>
      <c r="LSM335" s="114"/>
      <c r="LSN335" s="114"/>
      <c r="LSS335" s="111"/>
      <c r="LST335" s="112"/>
      <c r="LSU335" s="113"/>
      <c r="LSW335" s="114"/>
      <c r="LSX335" s="114"/>
      <c r="LTC335" s="111"/>
      <c r="LTD335" s="112"/>
      <c r="LTE335" s="113"/>
      <c r="LTG335" s="114"/>
      <c r="LTH335" s="114"/>
      <c r="LTM335" s="111"/>
      <c r="LTN335" s="112"/>
      <c r="LTO335" s="113"/>
      <c r="LTQ335" s="114"/>
      <c r="LTR335" s="114"/>
      <c r="LTW335" s="111"/>
      <c r="LTX335" s="112"/>
      <c r="LTY335" s="113"/>
      <c r="LUA335" s="114"/>
      <c r="LUB335" s="114"/>
      <c r="LUG335" s="111"/>
      <c r="LUH335" s="112"/>
      <c r="LUI335" s="113"/>
      <c r="LUK335" s="114"/>
      <c r="LUL335" s="114"/>
      <c r="LUQ335" s="111"/>
      <c r="LUR335" s="112"/>
      <c r="LUS335" s="113"/>
      <c r="LUU335" s="114"/>
      <c r="LUV335" s="114"/>
      <c r="LVA335" s="111"/>
      <c r="LVB335" s="112"/>
      <c r="LVC335" s="113"/>
      <c r="LVE335" s="114"/>
      <c r="LVF335" s="114"/>
      <c r="LVK335" s="111"/>
      <c r="LVL335" s="112"/>
      <c r="LVM335" s="113"/>
      <c r="LVO335" s="114"/>
      <c r="LVP335" s="114"/>
      <c r="LVU335" s="111"/>
      <c r="LVV335" s="112"/>
      <c r="LVW335" s="113"/>
      <c r="LVY335" s="114"/>
      <c r="LVZ335" s="114"/>
      <c r="LWE335" s="111"/>
      <c r="LWF335" s="112"/>
      <c r="LWG335" s="113"/>
      <c r="LWI335" s="114"/>
      <c r="LWJ335" s="114"/>
      <c r="LWO335" s="111"/>
      <c r="LWP335" s="112"/>
      <c r="LWQ335" s="113"/>
      <c r="LWS335" s="114"/>
      <c r="LWT335" s="114"/>
      <c r="LWY335" s="111"/>
      <c r="LWZ335" s="112"/>
      <c r="LXA335" s="113"/>
      <c r="LXC335" s="114"/>
      <c r="LXD335" s="114"/>
      <c r="LXI335" s="111"/>
      <c r="LXJ335" s="112"/>
      <c r="LXK335" s="113"/>
      <c r="LXM335" s="114"/>
      <c r="LXN335" s="114"/>
      <c r="LXS335" s="111"/>
      <c r="LXT335" s="112"/>
      <c r="LXU335" s="113"/>
      <c r="LXW335" s="114"/>
      <c r="LXX335" s="114"/>
      <c r="LYC335" s="111"/>
      <c r="LYD335" s="112"/>
      <c r="LYE335" s="113"/>
      <c r="LYG335" s="114"/>
      <c r="LYH335" s="114"/>
      <c r="LYM335" s="111"/>
      <c r="LYN335" s="112"/>
      <c r="LYO335" s="113"/>
      <c r="LYQ335" s="114"/>
      <c r="LYR335" s="114"/>
      <c r="LYW335" s="111"/>
      <c r="LYX335" s="112"/>
      <c r="LYY335" s="113"/>
      <c r="LZA335" s="114"/>
      <c r="LZB335" s="114"/>
      <c r="LZG335" s="111"/>
      <c r="LZH335" s="112"/>
      <c r="LZI335" s="113"/>
      <c r="LZK335" s="114"/>
      <c r="LZL335" s="114"/>
      <c r="LZQ335" s="111"/>
      <c r="LZR335" s="112"/>
      <c r="LZS335" s="113"/>
      <c r="LZU335" s="114"/>
      <c r="LZV335" s="114"/>
      <c r="MAA335" s="111"/>
      <c r="MAB335" s="112"/>
      <c r="MAC335" s="113"/>
      <c r="MAE335" s="114"/>
      <c r="MAF335" s="114"/>
      <c r="MAK335" s="111"/>
      <c r="MAL335" s="112"/>
      <c r="MAM335" s="113"/>
      <c r="MAO335" s="114"/>
      <c r="MAP335" s="114"/>
      <c r="MAU335" s="111"/>
      <c r="MAV335" s="112"/>
      <c r="MAW335" s="113"/>
      <c r="MAY335" s="114"/>
      <c r="MAZ335" s="114"/>
      <c r="MBE335" s="111"/>
      <c r="MBF335" s="112"/>
      <c r="MBG335" s="113"/>
      <c r="MBI335" s="114"/>
      <c r="MBJ335" s="114"/>
      <c r="MBO335" s="111"/>
      <c r="MBP335" s="112"/>
      <c r="MBQ335" s="113"/>
      <c r="MBS335" s="114"/>
      <c r="MBT335" s="114"/>
      <c r="MBY335" s="111"/>
      <c r="MBZ335" s="112"/>
      <c r="MCA335" s="113"/>
      <c r="MCC335" s="114"/>
      <c r="MCD335" s="114"/>
      <c r="MCI335" s="111"/>
      <c r="MCJ335" s="112"/>
      <c r="MCK335" s="113"/>
      <c r="MCM335" s="114"/>
      <c r="MCN335" s="114"/>
      <c r="MCS335" s="111"/>
      <c r="MCT335" s="112"/>
      <c r="MCU335" s="113"/>
      <c r="MCW335" s="114"/>
      <c r="MCX335" s="114"/>
      <c r="MDC335" s="111"/>
      <c r="MDD335" s="112"/>
      <c r="MDE335" s="113"/>
      <c r="MDG335" s="114"/>
      <c r="MDH335" s="114"/>
      <c r="MDM335" s="111"/>
      <c r="MDN335" s="112"/>
      <c r="MDO335" s="113"/>
      <c r="MDQ335" s="114"/>
      <c r="MDR335" s="114"/>
      <c r="MDW335" s="111"/>
      <c r="MDX335" s="112"/>
      <c r="MDY335" s="113"/>
      <c r="MEA335" s="114"/>
      <c r="MEB335" s="114"/>
      <c r="MEG335" s="111"/>
      <c r="MEH335" s="112"/>
      <c r="MEI335" s="113"/>
      <c r="MEK335" s="114"/>
      <c r="MEL335" s="114"/>
      <c r="MEQ335" s="111"/>
      <c r="MER335" s="112"/>
      <c r="MES335" s="113"/>
      <c r="MEU335" s="114"/>
      <c r="MEV335" s="114"/>
      <c r="MFA335" s="111"/>
      <c r="MFB335" s="112"/>
      <c r="MFC335" s="113"/>
      <c r="MFE335" s="114"/>
      <c r="MFF335" s="114"/>
      <c r="MFK335" s="111"/>
      <c r="MFL335" s="112"/>
      <c r="MFM335" s="113"/>
      <c r="MFO335" s="114"/>
      <c r="MFP335" s="114"/>
      <c r="MFU335" s="111"/>
      <c r="MFV335" s="112"/>
      <c r="MFW335" s="113"/>
      <c r="MFY335" s="114"/>
      <c r="MFZ335" s="114"/>
      <c r="MGE335" s="111"/>
      <c r="MGF335" s="112"/>
      <c r="MGG335" s="113"/>
      <c r="MGI335" s="114"/>
      <c r="MGJ335" s="114"/>
      <c r="MGO335" s="111"/>
      <c r="MGP335" s="112"/>
      <c r="MGQ335" s="113"/>
      <c r="MGS335" s="114"/>
      <c r="MGT335" s="114"/>
      <c r="MGY335" s="111"/>
      <c r="MGZ335" s="112"/>
      <c r="MHA335" s="113"/>
      <c r="MHC335" s="114"/>
      <c r="MHD335" s="114"/>
      <c r="MHI335" s="111"/>
      <c r="MHJ335" s="112"/>
      <c r="MHK335" s="113"/>
      <c r="MHM335" s="114"/>
      <c r="MHN335" s="114"/>
      <c r="MHS335" s="111"/>
      <c r="MHT335" s="112"/>
      <c r="MHU335" s="113"/>
      <c r="MHW335" s="114"/>
      <c r="MHX335" s="114"/>
      <c r="MIC335" s="111"/>
      <c r="MID335" s="112"/>
      <c r="MIE335" s="113"/>
      <c r="MIG335" s="114"/>
      <c r="MIH335" s="114"/>
      <c r="MIM335" s="111"/>
      <c r="MIN335" s="112"/>
      <c r="MIO335" s="113"/>
      <c r="MIQ335" s="114"/>
      <c r="MIR335" s="114"/>
      <c r="MIW335" s="111"/>
      <c r="MIX335" s="112"/>
      <c r="MIY335" s="113"/>
      <c r="MJA335" s="114"/>
      <c r="MJB335" s="114"/>
      <c r="MJG335" s="111"/>
      <c r="MJH335" s="112"/>
      <c r="MJI335" s="113"/>
      <c r="MJK335" s="114"/>
      <c r="MJL335" s="114"/>
      <c r="MJQ335" s="111"/>
      <c r="MJR335" s="112"/>
      <c r="MJS335" s="113"/>
      <c r="MJU335" s="114"/>
      <c r="MJV335" s="114"/>
      <c r="MKA335" s="111"/>
      <c r="MKB335" s="112"/>
      <c r="MKC335" s="113"/>
      <c r="MKE335" s="114"/>
      <c r="MKF335" s="114"/>
      <c r="MKK335" s="111"/>
      <c r="MKL335" s="112"/>
      <c r="MKM335" s="113"/>
      <c r="MKO335" s="114"/>
      <c r="MKP335" s="114"/>
      <c r="MKU335" s="111"/>
      <c r="MKV335" s="112"/>
      <c r="MKW335" s="113"/>
      <c r="MKY335" s="114"/>
      <c r="MKZ335" s="114"/>
      <c r="MLE335" s="111"/>
      <c r="MLF335" s="112"/>
      <c r="MLG335" s="113"/>
      <c r="MLI335" s="114"/>
      <c r="MLJ335" s="114"/>
      <c r="MLO335" s="111"/>
      <c r="MLP335" s="112"/>
      <c r="MLQ335" s="113"/>
      <c r="MLS335" s="114"/>
      <c r="MLT335" s="114"/>
      <c r="MLY335" s="111"/>
      <c r="MLZ335" s="112"/>
      <c r="MMA335" s="113"/>
      <c r="MMC335" s="114"/>
      <c r="MMD335" s="114"/>
      <c r="MMI335" s="111"/>
      <c r="MMJ335" s="112"/>
      <c r="MMK335" s="113"/>
      <c r="MMM335" s="114"/>
      <c r="MMN335" s="114"/>
      <c r="MMS335" s="111"/>
      <c r="MMT335" s="112"/>
      <c r="MMU335" s="113"/>
      <c r="MMW335" s="114"/>
      <c r="MMX335" s="114"/>
      <c r="MNC335" s="111"/>
      <c r="MND335" s="112"/>
      <c r="MNE335" s="113"/>
      <c r="MNG335" s="114"/>
      <c r="MNH335" s="114"/>
      <c r="MNM335" s="111"/>
      <c r="MNN335" s="112"/>
      <c r="MNO335" s="113"/>
      <c r="MNQ335" s="114"/>
      <c r="MNR335" s="114"/>
      <c r="MNW335" s="111"/>
      <c r="MNX335" s="112"/>
      <c r="MNY335" s="113"/>
      <c r="MOA335" s="114"/>
      <c r="MOB335" s="114"/>
      <c r="MOG335" s="111"/>
      <c r="MOH335" s="112"/>
      <c r="MOI335" s="113"/>
      <c r="MOK335" s="114"/>
      <c r="MOL335" s="114"/>
      <c r="MOQ335" s="111"/>
      <c r="MOR335" s="112"/>
      <c r="MOS335" s="113"/>
      <c r="MOU335" s="114"/>
      <c r="MOV335" s="114"/>
      <c r="MPA335" s="111"/>
      <c r="MPB335" s="112"/>
      <c r="MPC335" s="113"/>
      <c r="MPE335" s="114"/>
      <c r="MPF335" s="114"/>
      <c r="MPK335" s="111"/>
      <c r="MPL335" s="112"/>
      <c r="MPM335" s="113"/>
      <c r="MPO335" s="114"/>
      <c r="MPP335" s="114"/>
      <c r="MPU335" s="111"/>
      <c r="MPV335" s="112"/>
      <c r="MPW335" s="113"/>
      <c r="MPY335" s="114"/>
      <c r="MPZ335" s="114"/>
      <c r="MQE335" s="111"/>
      <c r="MQF335" s="112"/>
      <c r="MQG335" s="113"/>
      <c r="MQI335" s="114"/>
      <c r="MQJ335" s="114"/>
      <c r="MQO335" s="111"/>
      <c r="MQP335" s="112"/>
      <c r="MQQ335" s="113"/>
      <c r="MQS335" s="114"/>
      <c r="MQT335" s="114"/>
      <c r="MQY335" s="111"/>
      <c r="MQZ335" s="112"/>
      <c r="MRA335" s="113"/>
      <c r="MRC335" s="114"/>
      <c r="MRD335" s="114"/>
      <c r="MRI335" s="111"/>
      <c r="MRJ335" s="112"/>
      <c r="MRK335" s="113"/>
      <c r="MRM335" s="114"/>
      <c r="MRN335" s="114"/>
      <c r="MRS335" s="111"/>
      <c r="MRT335" s="112"/>
      <c r="MRU335" s="113"/>
      <c r="MRW335" s="114"/>
      <c r="MRX335" s="114"/>
      <c r="MSC335" s="111"/>
      <c r="MSD335" s="112"/>
      <c r="MSE335" s="113"/>
      <c r="MSG335" s="114"/>
      <c r="MSH335" s="114"/>
      <c r="MSM335" s="111"/>
      <c r="MSN335" s="112"/>
      <c r="MSO335" s="113"/>
      <c r="MSQ335" s="114"/>
      <c r="MSR335" s="114"/>
      <c r="MSW335" s="111"/>
      <c r="MSX335" s="112"/>
      <c r="MSY335" s="113"/>
      <c r="MTA335" s="114"/>
      <c r="MTB335" s="114"/>
      <c r="MTG335" s="111"/>
      <c r="MTH335" s="112"/>
      <c r="MTI335" s="113"/>
      <c r="MTK335" s="114"/>
      <c r="MTL335" s="114"/>
      <c r="MTQ335" s="111"/>
      <c r="MTR335" s="112"/>
      <c r="MTS335" s="113"/>
      <c r="MTU335" s="114"/>
      <c r="MTV335" s="114"/>
      <c r="MUA335" s="111"/>
      <c r="MUB335" s="112"/>
      <c r="MUC335" s="113"/>
      <c r="MUE335" s="114"/>
      <c r="MUF335" s="114"/>
      <c r="MUK335" s="111"/>
      <c r="MUL335" s="112"/>
      <c r="MUM335" s="113"/>
      <c r="MUO335" s="114"/>
      <c r="MUP335" s="114"/>
      <c r="MUU335" s="111"/>
      <c r="MUV335" s="112"/>
      <c r="MUW335" s="113"/>
      <c r="MUY335" s="114"/>
      <c r="MUZ335" s="114"/>
      <c r="MVE335" s="111"/>
      <c r="MVF335" s="112"/>
      <c r="MVG335" s="113"/>
      <c r="MVI335" s="114"/>
      <c r="MVJ335" s="114"/>
      <c r="MVO335" s="111"/>
      <c r="MVP335" s="112"/>
      <c r="MVQ335" s="113"/>
      <c r="MVS335" s="114"/>
      <c r="MVT335" s="114"/>
      <c r="MVY335" s="111"/>
      <c r="MVZ335" s="112"/>
      <c r="MWA335" s="113"/>
      <c r="MWC335" s="114"/>
      <c r="MWD335" s="114"/>
      <c r="MWI335" s="111"/>
      <c r="MWJ335" s="112"/>
      <c r="MWK335" s="113"/>
      <c r="MWM335" s="114"/>
      <c r="MWN335" s="114"/>
      <c r="MWS335" s="111"/>
      <c r="MWT335" s="112"/>
      <c r="MWU335" s="113"/>
      <c r="MWW335" s="114"/>
      <c r="MWX335" s="114"/>
      <c r="MXC335" s="111"/>
      <c r="MXD335" s="112"/>
      <c r="MXE335" s="113"/>
      <c r="MXG335" s="114"/>
      <c r="MXH335" s="114"/>
      <c r="MXM335" s="111"/>
      <c r="MXN335" s="112"/>
      <c r="MXO335" s="113"/>
      <c r="MXQ335" s="114"/>
      <c r="MXR335" s="114"/>
      <c r="MXW335" s="111"/>
      <c r="MXX335" s="112"/>
      <c r="MXY335" s="113"/>
      <c r="MYA335" s="114"/>
      <c r="MYB335" s="114"/>
      <c r="MYG335" s="111"/>
      <c r="MYH335" s="112"/>
      <c r="MYI335" s="113"/>
      <c r="MYK335" s="114"/>
      <c r="MYL335" s="114"/>
      <c r="MYQ335" s="111"/>
      <c r="MYR335" s="112"/>
      <c r="MYS335" s="113"/>
      <c r="MYU335" s="114"/>
      <c r="MYV335" s="114"/>
      <c r="MZA335" s="111"/>
      <c r="MZB335" s="112"/>
      <c r="MZC335" s="113"/>
      <c r="MZE335" s="114"/>
      <c r="MZF335" s="114"/>
      <c r="MZK335" s="111"/>
      <c r="MZL335" s="112"/>
      <c r="MZM335" s="113"/>
      <c r="MZO335" s="114"/>
      <c r="MZP335" s="114"/>
      <c r="MZU335" s="111"/>
      <c r="MZV335" s="112"/>
      <c r="MZW335" s="113"/>
      <c r="MZY335" s="114"/>
      <c r="MZZ335" s="114"/>
      <c r="NAE335" s="111"/>
      <c r="NAF335" s="112"/>
      <c r="NAG335" s="113"/>
      <c r="NAI335" s="114"/>
      <c r="NAJ335" s="114"/>
      <c r="NAO335" s="111"/>
      <c r="NAP335" s="112"/>
      <c r="NAQ335" s="113"/>
      <c r="NAS335" s="114"/>
      <c r="NAT335" s="114"/>
      <c r="NAY335" s="111"/>
      <c r="NAZ335" s="112"/>
      <c r="NBA335" s="113"/>
      <c r="NBC335" s="114"/>
      <c r="NBD335" s="114"/>
      <c r="NBI335" s="111"/>
      <c r="NBJ335" s="112"/>
      <c r="NBK335" s="113"/>
      <c r="NBM335" s="114"/>
      <c r="NBN335" s="114"/>
      <c r="NBS335" s="111"/>
      <c r="NBT335" s="112"/>
      <c r="NBU335" s="113"/>
      <c r="NBW335" s="114"/>
      <c r="NBX335" s="114"/>
      <c r="NCC335" s="111"/>
      <c r="NCD335" s="112"/>
      <c r="NCE335" s="113"/>
      <c r="NCG335" s="114"/>
      <c r="NCH335" s="114"/>
      <c r="NCM335" s="111"/>
      <c r="NCN335" s="112"/>
      <c r="NCO335" s="113"/>
      <c r="NCQ335" s="114"/>
      <c r="NCR335" s="114"/>
      <c r="NCW335" s="111"/>
      <c r="NCX335" s="112"/>
      <c r="NCY335" s="113"/>
      <c r="NDA335" s="114"/>
      <c r="NDB335" s="114"/>
      <c r="NDG335" s="111"/>
      <c r="NDH335" s="112"/>
      <c r="NDI335" s="113"/>
      <c r="NDK335" s="114"/>
      <c r="NDL335" s="114"/>
      <c r="NDQ335" s="111"/>
      <c r="NDR335" s="112"/>
      <c r="NDS335" s="113"/>
      <c r="NDU335" s="114"/>
      <c r="NDV335" s="114"/>
      <c r="NEA335" s="111"/>
      <c r="NEB335" s="112"/>
      <c r="NEC335" s="113"/>
      <c r="NEE335" s="114"/>
      <c r="NEF335" s="114"/>
      <c r="NEK335" s="111"/>
      <c r="NEL335" s="112"/>
      <c r="NEM335" s="113"/>
      <c r="NEO335" s="114"/>
      <c r="NEP335" s="114"/>
      <c r="NEU335" s="111"/>
      <c r="NEV335" s="112"/>
      <c r="NEW335" s="113"/>
      <c r="NEY335" s="114"/>
      <c r="NEZ335" s="114"/>
      <c r="NFE335" s="111"/>
      <c r="NFF335" s="112"/>
      <c r="NFG335" s="113"/>
      <c r="NFI335" s="114"/>
      <c r="NFJ335" s="114"/>
      <c r="NFO335" s="111"/>
      <c r="NFP335" s="112"/>
      <c r="NFQ335" s="113"/>
      <c r="NFS335" s="114"/>
      <c r="NFT335" s="114"/>
      <c r="NFY335" s="111"/>
      <c r="NFZ335" s="112"/>
      <c r="NGA335" s="113"/>
      <c r="NGC335" s="114"/>
      <c r="NGD335" s="114"/>
      <c r="NGI335" s="111"/>
      <c r="NGJ335" s="112"/>
      <c r="NGK335" s="113"/>
      <c r="NGM335" s="114"/>
      <c r="NGN335" s="114"/>
      <c r="NGS335" s="111"/>
      <c r="NGT335" s="112"/>
      <c r="NGU335" s="113"/>
      <c r="NGW335" s="114"/>
      <c r="NGX335" s="114"/>
      <c r="NHC335" s="111"/>
      <c r="NHD335" s="112"/>
      <c r="NHE335" s="113"/>
      <c r="NHG335" s="114"/>
      <c r="NHH335" s="114"/>
      <c r="NHM335" s="111"/>
      <c r="NHN335" s="112"/>
      <c r="NHO335" s="113"/>
      <c r="NHQ335" s="114"/>
      <c r="NHR335" s="114"/>
      <c r="NHW335" s="111"/>
      <c r="NHX335" s="112"/>
      <c r="NHY335" s="113"/>
      <c r="NIA335" s="114"/>
      <c r="NIB335" s="114"/>
      <c r="NIG335" s="111"/>
      <c r="NIH335" s="112"/>
      <c r="NII335" s="113"/>
      <c r="NIK335" s="114"/>
      <c r="NIL335" s="114"/>
      <c r="NIQ335" s="111"/>
      <c r="NIR335" s="112"/>
      <c r="NIS335" s="113"/>
      <c r="NIU335" s="114"/>
      <c r="NIV335" s="114"/>
      <c r="NJA335" s="111"/>
      <c r="NJB335" s="112"/>
      <c r="NJC335" s="113"/>
      <c r="NJE335" s="114"/>
      <c r="NJF335" s="114"/>
      <c r="NJK335" s="111"/>
      <c r="NJL335" s="112"/>
      <c r="NJM335" s="113"/>
      <c r="NJO335" s="114"/>
      <c r="NJP335" s="114"/>
      <c r="NJU335" s="111"/>
      <c r="NJV335" s="112"/>
      <c r="NJW335" s="113"/>
      <c r="NJY335" s="114"/>
      <c r="NJZ335" s="114"/>
      <c r="NKE335" s="111"/>
      <c r="NKF335" s="112"/>
      <c r="NKG335" s="113"/>
      <c r="NKI335" s="114"/>
      <c r="NKJ335" s="114"/>
      <c r="NKO335" s="111"/>
      <c r="NKP335" s="112"/>
      <c r="NKQ335" s="113"/>
      <c r="NKS335" s="114"/>
      <c r="NKT335" s="114"/>
      <c r="NKY335" s="111"/>
      <c r="NKZ335" s="112"/>
      <c r="NLA335" s="113"/>
      <c r="NLC335" s="114"/>
      <c r="NLD335" s="114"/>
      <c r="NLI335" s="111"/>
      <c r="NLJ335" s="112"/>
      <c r="NLK335" s="113"/>
      <c r="NLM335" s="114"/>
      <c r="NLN335" s="114"/>
      <c r="NLS335" s="111"/>
      <c r="NLT335" s="112"/>
      <c r="NLU335" s="113"/>
      <c r="NLW335" s="114"/>
      <c r="NLX335" s="114"/>
      <c r="NMC335" s="111"/>
      <c r="NMD335" s="112"/>
      <c r="NME335" s="113"/>
      <c r="NMG335" s="114"/>
      <c r="NMH335" s="114"/>
      <c r="NMM335" s="111"/>
      <c r="NMN335" s="112"/>
      <c r="NMO335" s="113"/>
      <c r="NMQ335" s="114"/>
      <c r="NMR335" s="114"/>
      <c r="NMW335" s="111"/>
      <c r="NMX335" s="112"/>
      <c r="NMY335" s="113"/>
      <c r="NNA335" s="114"/>
      <c r="NNB335" s="114"/>
      <c r="NNG335" s="111"/>
      <c r="NNH335" s="112"/>
      <c r="NNI335" s="113"/>
      <c r="NNK335" s="114"/>
      <c r="NNL335" s="114"/>
      <c r="NNQ335" s="111"/>
      <c r="NNR335" s="112"/>
      <c r="NNS335" s="113"/>
      <c r="NNU335" s="114"/>
      <c r="NNV335" s="114"/>
      <c r="NOA335" s="111"/>
      <c r="NOB335" s="112"/>
      <c r="NOC335" s="113"/>
      <c r="NOE335" s="114"/>
      <c r="NOF335" s="114"/>
      <c r="NOK335" s="111"/>
      <c r="NOL335" s="112"/>
      <c r="NOM335" s="113"/>
      <c r="NOO335" s="114"/>
      <c r="NOP335" s="114"/>
      <c r="NOU335" s="111"/>
      <c r="NOV335" s="112"/>
      <c r="NOW335" s="113"/>
      <c r="NOY335" s="114"/>
      <c r="NOZ335" s="114"/>
      <c r="NPE335" s="111"/>
      <c r="NPF335" s="112"/>
      <c r="NPG335" s="113"/>
      <c r="NPI335" s="114"/>
      <c r="NPJ335" s="114"/>
      <c r="NPO335" s="111"/>
      <c r="NPP335" s="112"/>
      <c r="NPQ335" s="113"/>
      <c r="NPS335" s="114"/>
      <c r="NPT335" s="114"/>
      <c r="NPY335" s="111"/>
      <c r="NPZ335" s="112"/>
      <c r="NQA335" s="113"/>
      <c r="NQC335" s="114"/>
      <c r="NQD335" s="114"/>
      <c r="NQI335" s="111"/>
      <c r="NQJ335" s="112"/>
      <c r="NQK335" s="113"/>
      <c r="NQM335" s="114"/>
      <c r="NQN335" s="114"/>
      <c r="NQS335" s="111"/>
      <c r="NQT335" s="112"/>
      <c r="NQU335" s="113"/>
      <c r="NQW335" s="114"/>
      <c r="NQX335" s="114"/>
      <c r="NRC335" s="111"/>
      <c r="NRD335" s="112"/>
      <c r="NRE335" s="113"/>
      <c r="NRG335" s="114"/>
      <c r="NRH335" s="114"/>
      <c r="NRM335" s="111"/>
      <c r="NRN335" s="112"/>
      <c r="NRO335" s="113"/>
      <c r="NRQ335" s="114"/>
      <c r="NRR335" s="114"/>
      <c r="NRW335" s="111"/>
      <c r="NRX335" s="112"/>
      <c r="NRY335" s="113"/>
      <c r="NSA335" s="114"/>
      <c r="NSB335" s="114"/>
      <c r="NSG335" s="111"/>
      <c r="NSH335" s="112"/>
      <c r="NSI335" s="113"/>
      <c r="NSK335" s="114"/>
      <c r="NSL335" s="114"/>
      <c r="NSQ335" s="111"/>
      <c r="NSR335" s="112"/>
      <c r="NSS335" s="113"/>
      <c r="NSU335" s="114"/>
      <c r="NSV335" s="114"/>
      <c r="NTA335" s="111"/>
      <c r="NTB335" s="112"/>
      <c r="NTC335" s="113"/>
      <c r="NTE335" s="114"/>
      <c r="NTF335" s="114"/>
      <c r="NTK335" s="111"/>
      <c r="NTL335" s="112"/>
      <c r="NTM335" s="113"/>
      <c r="NTO335" s="114"/>
      <c r="NTP335" s="114"/>
      <c r="NTU335" s="111"/>
      <c r="NTV335" s="112"/>
      <c r="NTW335" s="113"/>
      <c r="NTY335" s="114"/>
      <c r="NTZ335" s="114"/>
      <c r="NUE335" s="111"/>
      <c r="NUF335" s="112"/>
      <c r="NUG335" s="113"/>
      <c r="NUI335" s="114"/>
      <c r="NUJ335" s="114"/>
      <c r="NUO335" s="111"/>
      <c r="NUP335" s="112"/>
      <c r="NUQ335" s="113"/>
      <c r="NUS335" s="114"/>
      <c r="NUT335" s="114"/>
      <c r="NUY335" s="111"/>
      <c r="NUZ335" s="112"/>
      <c r="NVA335" s="113"/>
      <c r="NVC335" s="114"/>
      <c r="NVD335" s="114"/>
      <c r="NVI335" s="111"/>
      <c r="NVJ335" s="112"/>
      <c r="NVK335" s="113"/>
      <c r="NVM335" s="114"/>
      <c r="NVN335" s="114"/>
      <c r="NVS335" s="111"/>
      <c r="NVT335" s="112"/>
      <c r="NVU335" s="113"/>
      <c r="NVW335" s="114"/>
      <c r="NVX335" s="114"/>
      <c r="NWC335" s="111"/>
      <c r="NWD335" s="112"/>
      <c r="NWE335" s="113"/>
      <c r="NWG335" s="114"/>
      <c r="NWH335" s="114"/>
      <c r="NWM335" s="111"/>
      <c r="NWN335" s="112"/>
      <c r="NWO335" s="113"/>
      <c r="NWQ335" s="114"/>
      <c r="NWR335" s="114"/>
      <c r="NWW335" s="111"/>
      <c r="NWX335" s="112"/>
      <c r="NWY335" s="113"/>
      <c r="NXA335" s="114"/>
      <c r="NXB335" s="114"/>
      <c r="NXG335" s="111"/>
      <c r="NXH335" s="112"/>
      <c r="NXI335" s="113"/>
      <c r="NXK335" s="114"/>
      <c r="NXL335" s="114"/>
      <c r="NXQ335" s="111"/>
      <c r="NXR335" s="112"/>
      <c r="NXS335" s="113"/>
      <c r="NXU335" s="114"/>
      <c r="NXV335" s="114"/>
      <c r="NYA335" s="111"/>
      <c r="NYB335" s="112"/>
      <c r="NYC335" s="113"/>
      <c r="NYE335" s="114"/>
      <c r="NYF335" s="114"/>
      <c r="NYK335" s="111"/>
      <c r="NYL335" s="112"/>
      <c r="NYM335" s="113"/>
      <c r="NYO335" s="114"/>
      <c r="NYP335" s="114"/>
      <c r="NYU335" s="111"/>
      <c r="NYV335" s="112"/>
      <c r="NYW335" s="113"/>
      <c r="NYY335" s="114"/>
      <c r="NYZ335" s="114"/>
      <c r="NZE335" s="111"/>
      <c r="NZF335" s="112"/>
      <c r="NZG335" s="113"/>
      <c r="NZI335" s="114"/>
      <c r="NZJ335" s="114"/>
      <c r="NZO335" s="111"/>
      <c r="NZP335" s="112"/>
      <c r="NZQ335" s="113"/>
      <c r="NZS335" s="114"/>
      <c r="NZT335" s="114"/>
      <c r="NZY335" s="111"/>
      <c r="NZZ335" s="112"/>
      <c r="OAA335" s="113"/>
      <c r="OAC335" s="114"/>
      <c r="OAD335" s="114"/>
      <c r="OAI335" s="111"/>
      <c r="OAJ335" s="112"/>
      <c r="OAK335" s="113"/>
      <c r="OAM335" s="114"/>
      <c r="OAN335" s="114"/>
      <c r="OAS335" s="111"/>
      <c r="OAT335" s="112"/>
      <c r="OAU335" s="113"/>
      <c r="OAW335" s="114"/>
      <c r="OAX335" s="114"/>
      <c r="OBC335" s="111"/>
      <c r="OBD335" s="112"/>
      <c r="OBE335" s="113"/>
      <c r="OBG335" s="114"/>
      <c r="OBH335" s="114"/>
      <c r="OBM335" s="111"/>
      <c r="OBN335" s="112"/>
      <c r="OBO335" s="113"/>
      <c r="OBQ335" s="114"/>
      <c r="OBR335" s="114"/>
      <c r="OBW335" s="111"/>
      <c r="OBX335" s="112"/>
      <c r="OBY335" s="113"/>
      <c r="OCA335" s="114"/>
      <c r="OCB335" s="114"/>
      <c r="OCG335" s="111"/>
      <c r="OCH335" s="112"/>
      <c r="OCI335" s="113"/>
      <c r="OCK335" s="114"/>
      <c r="OCL335" s="114"/>
      <c r="OCQ335" s="111"/>
      <c r="OCR335" s="112"/>
      <c r="OCS335" s="113"/>
      <c r="OCU335" s="114"/>
      <c r="OCV335" s="114"/>
      <c r="ODA335" s="111"/>
      <c r="ODB335" s="112"/>
      <c r="ODC335" s="113"/>
      <c r="ODE335" s="114"/>
      <c r="ODF335" s="114"/>
      <c r="ODK335" s="111"/>
      <c r="ODL335" s="112"/>
      <c r="ODM335" s="113"/>
      <c r="ODO335" s="114"/>
      <c r="ODP335" s="114"/>
      <c r="ODU335" s="111"/>
      <c r="ODV335" s="112"/>
      <c r="ODW335" s="113"/>
      <c r="ODY335" s="114"/>
      <c r="ODZ335" s="114"/>
      <c r="OEE335" s="111"/>
      <c r="OEF335" s="112"/>
      <c r="OEG335" s="113"/>
      <c r="OEI335" s="114"/>
      <c r="OEJ335" s="114"/>
      <c r="OEO335" s="111"/>
      <c r="OEP335" s="112"/>
      <c r="OEQ335" s="113"/>
      <c r="OES335" s="114"/>
      <c r="OET335" s="114"/>
      <c r="OEY335" s="111"/>
      <c r="OEZ335" s="112"/>
      <c r="OFA335" s="113"/>
      <c r="OFC335" s="114"/>
      <c r="OFD335" s="114"/>
      <c r="OFI335" s="111"/>
      <c r="OFJ335" s="112"/>
      <c r="OFK335" s="113"/>
      <c r="OFM335" s="114"/>
      <c r="OFN335" s="114"/>
      <c r="OFS335" s="111"/>
      <c r="OFT335" s="112"/>
      <c r="OFU335" s="113"/>
      <c r="OFW335" s="114"/>
      <c r="OFX335" s="114"/>
      <c r="OGC335" s="111"/>
      <c r="OGD335" s="112"/>
      <c r="OGE335" s="113"/>
      <c r="OGG335" s="114"/>
      <c r="OGH335" s="114"/>
      <c r="OGM335" s="111"/>
      <c r="OGN335" s="112"/>
      <c r="OGO335" s="113"/>
      <c r="OGQ335" s="114"/>
      <c r="OGR335" s="114"/>
      <c r="OGW335" s="111"/>
      <c r="OGX335" s="112"/>
      <c r="OGY335" s="113"/>
      <c r="OHA335" s="114"/>
      <c r="OHB335" s="114"/>
      <c r="OHG335" s="111"/>
      <c r="OHH335" s="112"/>
      <c r="OHI335" s="113"/>
      <c r="OHK335" s="114"/>
      <c r="OHL335" s="114"/>
      <c r="OHQ335" s="111"/>
      <c r="OHR335" s="112"/>
      <c r="OHS335" s="113"/>
      <c r="OHU335" s="114"/>
      <c r="OHV335" s="114"/>
      <c r="OIA335" s="111"/>
      <c r="OIB335" s="112"/>
      <c r="OIC335" s="113"/>
      <c r="OIE335" s="114"/>
      <c r="OIF335" s="114"/>
      <c r="OIK335" s="111"/>
      <c r="OIL335" s="112"/>
      <c r="OIM335" s="113"/>
      <c r="OIO335" s="114"/>
      <c r="OIP335" s="114"/>
      <c r="OIU335" s="111"/>
      <c r="OIV335" s="112"/>
      <c r="OIW335" s="113"/>
      <c r="OIY335" s="114"/>
      <c r="OIZ335" s="114"/>
      <c r="OJE335" s="111"/>
      <c r="OJF335" s="112"/>
      <c r="OJG335" s="113"/>
      <c r="OJI335" s="114"/>
      <c r="OJJ335" s="114"/>
      <c r="OJO335" s="111"/>
      <c r="OJP335" s="112"/>
      <c r="OJQ335" s="113"/>
      <c r="OJS335" s="114"/>
      <c r="OJT335" s="114"/>
      <c r="OJY335" s="111"/>
      <c r="OJZ335" s="112"/>
      <c r="OKA335" s="113"/>
      <c r="OKC335" s="114"/>
      <c r="OKD335" s="114"/>
      <c r="OKI335" s="111"/>
      <c r="OKJ335" s="112"/>
      <c r="OKK335" s="113"/>
      <c r="OKM335" s="114"/>
      <c r="OKN335" s="114"/>
      <c r="OKS335" s="111"/>
      <c r="OKT335" s="112"/>
      <c r="OKU335" s="113"/>
      <c r="OKW335" s="114"/>
      <c r="OKX335" s="114"/>
      <c r="OLC335" s="111"/>
      <c r="OLD335" s="112"/>
      <c r="OLE335" s="113"/>
      <c r="OLG335" s="114"/>
      <c r="OLH335" s="114"/>
      <c r="OLM335" s="111"/>
      <c r="OLN335" s="112"/>
      <c r="OLO335" s="113"/>
      <c r="OLQ335" s="114"/>
      <c r="OLR335" s="114"/>
      <c r="OLW335" s="111"/>
      <c r="OLX335" s="112"/>
      <c r="OLY335" s="113"/>
      <c r="OMA335" s="114"/>
      <c r="OMB335" s="114"/>
      <c r="OMG335" s="111"/>
      <c r="OMH335" s="112"/>
      <c r="OMI335" s="113"/>
      <c r="OMK335" s="114"/>
      <c r="OML335" s="114"/>
      <c r="OMQ335" s="111"/>
      <c r="OMR335" s="112"/>
      <c r="OMS335" s="113"/>
      <c r="OMU335" s="114"/>
      <c r="OMV335" s="114"/>
      <c r="ONA335" s="111"/>
      <c r="ONB335" s="112"/>
      <c r="ONC335" s="113"/>
      <c r="ONE335" s="114"/>
      <c r="ONF335" s="114"/>
      <c r="ONK335" s="111"/>
      <c r="ONL335" s="112"/>
      <c r="ONM335" s="113"/>
      <c r="ONO335" s="114"/>
      <c r="ONP335" s="114"/>
      <c r="ONU335" s="111"/>
      <c r="ONV335" s="112"/>
      <c r="ONW335" s="113"/>
      <c r="ONY335" s="114"/>
      <c r="ONZ335" s="114"/>
      <c r="OOE335" s="111"/>
      <c r="OOF335" s="112"/>
      <c r="OOG335" s="113"/>
      <c r="OOI335" s="114"/>
      <c r="OOJ335" s="114"/>
      <c r="OOO335" s="111"/>
      <c r="OOP335" s="112"/>
      <c r="OOQ335" s="113"/>
      <c r="OOS335" s="114"/>
      <c r="OOT335" s="114"/>
      <c r="OOY335" s="111"/>
      <c r="OOZ335" s="112"/>
      <c r="OPA335" s="113"/>
      <c r="OPC335" s="114"/>
      <c r="OPD335" s="114"/>
      <c r="OPI335" s="111"/>
      <c r="OPJ335" s="112"/>
      <c r="OPK335" s="113"/>
      <c r="OPM335" s="114"/>
      <c r="OPN335" s="114"/>
      <c r="OPS335" s="111"/>
      <c r="OPT335" s="112"/>
      <c r="OPU335" s="113"/>
      <c r="OPW335" s="114"/>
      <c r="OPX335" s="114"/>
      <c r="OQC335" s="111"/>
      <c r="OQD335" s="112"/>
      <c r="OQE335" s="113"/>
      <c r="OQG335" s="114"/>
      <c r="OQH335" s="114"/>
      <c r="OQM335" s="111"/>
      <c r="OQN335" s="112"/>
      <c r="OQO335" s="113"/>
      <c r="OQQ335" s="114"/>
      <c r="OQR335" s="114"/>
      <c r="OQW335" s="111"/>
      <c r="OQX335" s="112"/>
      <c r="OQY335" s="113"/>
      <c r="ORA335" s="114"/>
      <c r="ORB335" s="114"/>
      <c r="ORG335" s="111"/>
      <c r="ORH335" s="112"/>
      <c r="ORI335" s="113"/>
      <c r="ORK335" s="114"/>
      <c r="ORL335" s="114"/>
      <c r="ORQ335" s="111"/>
      <c r="ORR335" s="112"/>
      <c r="ORS335" s="113"/>
      <c r="ORU335" s="114"/>
      <c r="ORV335" s="114"/>
      <c r="OSA335" s="111"/>
      <c r="OSB335" s="112"/>
      <c r="OSC335" s="113"/>
      <c r="OSE335" s="114"/>
      <c r="OSF335" s="114"/>
      <c r="OSK335" s="111"/>
      <c r="OSL335" s="112"/>
      <c r="OSM335" s="113"/>
      <c r="OSO335" s="114"/>
      <c r="OSP335" s="114"/>
      <c r="OSU335" s="111"/>
      <c r="OSV335" s="112"/>
      <c r="OSW335" s="113"/>
      <c r="OSY335" s="114"/>
      <c r="OSZ335" s="114"/>
      <c r="OTE335" s="111"/>
      <c r="OTF335" s="112"/>
      <c r="OTG335" s="113"/>
      <c r="OTI335" s="114"/>
      <c r="OTJ335" s="114"/>
      <c r="OTO335" s="111"/>
      <c r="OTP335" s="112"/>
      <c r="OTQ335" s="113"/>
      <c r="OTS335" s="114"/>
      <c r="OTT335" s="114"/>
      <c r="OTY335" s="111"/>
      <c r="OTZ335" s="112"/>
      <c r="OUA335" s="113"/>
      <c r="OUC335" s="114"/>
      <c r="OUD335" s="114"/>
      <c r="OUI335" s="111"/>
      <c r="OUJ335" s="112"/>
      <c r="OUK335" s="113"/>
      <c r="OUM335" s="114"/>
      <c r="OUN335" s="114"/>
      <c r="OUS335" s="111"/>
      <c r="OUT335" s="112"/>
      <c r="OUU335" s="113"/>
      <c r="OUW335" s="114"/>
      <c r="OUX335" s="114"/>
      <c r="OVC335" s="111"/>
      <c r="OVD335" s="112"/>
      <c r="OVE335" s="113"/>
      <c r="OVG335" s="114"/>
      <c r="OVH335" s="114"/>
      <c r="OVM335" s="111"/>
      <c r="OVN335" s="112"/>
      <c r="OVO335" s="113"/>
      <c r="OVQ335" s="114"/>
      <c r="OVR335" s="114"/>
      <c r="OVW335" s="111"/>
      <c r="OVX335" s="112"/>
      <c r="OVY335" s="113"/>
      <c r="OWA335" s="114"/>
      <c r="OWB335" s="114"/>
      <c r="OWG335" s="111"/>
      <c r="OWH335" s="112"/>
      <c r="OWI335" s="113"/>
      <c r="OWK335" s="114"/>
      <c r="OWL335" s="114"/>
      <c r="OWQ335" s="111"/>
      <c r="OWR335" s="112"/>
      <c r="OWS335" s="113"/>
      <c r="OWU335" s="114"/>
      <c r="OWV335" s="114"/>
      <c r="OXA335" s="111"/>
      <c r="OXB335" s="112"/>
      <c r="OXC335" s="113"/>
      <c r="OXE335" s="114"/>
      <c r="OXF335" s="114"/>
      <c r="OXK335" s="111"/>
      <c r="OXL335" s="112"/>
      <c r="OXM335" s="113"/>
      <c r="OXO335" s="114"/>
      <c r="OXP335" s="114"/>
      <c r="OXU335" s="111"/>
      <c r="OXV335" s="112"/>
      <c r="OXW335" s="113"/>
      <c r="OXY335" s="114"/>
      <c r="OXZ335" s="114"/>
      <c r="OYE335" s="111"/>
      <c r="OYF335" s="112"/>
      <c r="OYG335" s="113"/>
      <c r="OYI335" s="114"/>
      <c r="OYJ335" s="114"/>
      <c r="OYO335" s="111"/>
      <c r="OYP335" s="112"/>
      <c r="OYQ335" s="113"/>
      <c r="OYS335" s="114"/>
      <c r="OYT335" s="114"/>
      <c r="OYY335" s="111"/>
      <c r="OYZ335" s="112"/>
      <c r="OZA335" s="113"/>
      <c r="OZC335" s="114"/>
      <c r="OZD335" s="114"/>
      <c r="OZI335" s="111"/>
      <c r="OZJ335" s="112"/>
      <c r="OZK335" s="113"/>
      <c r="OZM335" s="114"/>
      <c r="OZN335" s="114"/>
      <c r="OZS335" s="111"/>
      <c r="OZT335" s="112"/>
      <c r="OZU335" s="113"/>
      <c r="OZW335" s="114"/>
      <c r="OZX335" s="114"/>
      <c r="PAC335" s="111"/>
      <c r="PAD335" s="112"/>
      <c r="PAE335" s="113"/>
      <c r="PAG335" s="114"/>
      <c r="PAH335" s="114"/>
      <c r="PAM335" s="111"/>
      <c r="PAN335" s="112"/>
      <c r="PAO335" s="113"/>
      <c r="PAQ335" s="114"/>
      <c r="PAR335" s="114"/>
      <c r="PAW335" s="111"/>
      <c r="PAX335" s="112"/>
      <c r="PAY335" s="113"/>
      <c r="PBA335" s="114"/>
      <c r="PBB335" s="114"/>
      <c r="PBG335" s="111"/>
      <c r="PBH335" s="112"/>
      <c r="PBI335" s="113"/>
      <c r="PBK335" s="114"/>
      <c r="PBL335" s="114"/>
      <c r="PBQ335" s="111"/>
      <c r="PBR335" s="112"/>
      <c r="PBS335" s="113"/>
      <c r="PBU335" s="114"/>
      <c r="PBV335" s="114"/>
      <c r="PCA335" s="111"/>
      <c r="PCB335" s="112"/>
      <c r="PCC335" s="113"/>
      <c r="PCE335" s="114"/>
      <c r="PCF335" s="114"/>
      <c r="PCK335" s="111"/>
      <c r="PCL335" s="112"/>
      <c r="PCM335" s="113"/>
      <c r="PCO335" s="114"/>
      <c r="PCP335" s="114"/>
      <c r="PCU335" s="111"/>
      <c r="PCV335" s="112"/>
      <c r="PCW335" s="113"/>
      <c r="PCY335" s="114"/>
      <c r="PCZ335" s="114"/>
      <c r="PDE335" s="111"/>
      <c r="PDF335" s="112"/>
      <c r="PDG335" s="113"/>
      <c r="PDI335" s="114"/>
      <c r="PDJ335" s="114"/>
      <c r="PDO335" s="111"/>
      <c r="PDP335" s="112"/>
      <c r="PDQ335" s="113"/>
      <c r="PDS335" s="114"/>
      <c r="PDT335" s="114"/>
      <c r="PDY335" s="111"/>
      <c r="PDZ335" s="112"/>
      <c r="PEA335" s="113"/>
      <c r="PEC335" s="114"/>
      <c r="PED335" s="114"/>
      <c r="PEI335" s="111"/>
      <c r="PEJ335" s="112"/>
      <c r="PEK335" s="113"/>
      <c r="PEM335" s="114"/>
      <c r="PEN335" s="114"/>
      <c r="PES335" s="111"/>
      <c r="PET335" s="112"/>
      <c r="PEU335" s="113"/>
      <c r="PEW335" s="114"/>
      <c r="PEX335" s="114"/>
      <c r="PFC335" s="111"/>
      <c r="PFD335" s="112"/>
      <c r="PFE335" s="113"/>
      <c r="PFG335" s="114"/>
      <c r="PFH335" s="114"/>
      <c r="PFM335" s="111"/>
      <c r="PFN335" s="112"/>
      <c r="PFO335" s="113"/>
      <c r="PFQ335" s="114"/>
      <c r="PFR335" s="114"/>
      <c r="PFW335" s="111"/>
      <c r="PFX335" s="112"/>
      <c r="PFY335" s="113"/>
      <c r="PGA335" s="114"/>
      <c r="PGB335" s="114"/>
      <c r="PGG335" s="111"/>
      <c r="PGH335" s="112"/>
      <c r="PGI335" s="113"/>
      <c r="PGK335" s="114"/>
      <c r="PGL335" s="114"/>
      <c r="PGQ335" s="111"/>
      <c r="PGR335" s="112"/>
      <c r="PGS335" s="113"/>
      <c r="PGU335" s="114"/>
      <c r="PGV335" s="114"/>
      <c r="PHA335" s="111"/>
      <c r="PHB335" s="112"/>
      <c r="PHC335" s="113"/>
      <c r="PHE335" s="114"/>
      <c r="PHF335" s="114"/>
      <c r="PHK335" s="111"/>
      <c r="PHL335" s="112"/>
      <c r="PHM335" s="113"/>
      <c r="PHO335" s="114"/>
      <c r="PHP335" s="114"/>
      <c r="PHU335" s="111"/>
      <c r="PHV335" s="112"/>
      <c r="PHW335" s="113"/>
      <c r="PHY335" s="114"/>
      <c r="PHZ335" s="114"/>
      <c r="PIE335" s="111"/>
      <c r="PIF335" s="112"/>
      <c r="PIG335" s="113"/>
      <c r="PII335" s="114"/>
      <c r="PIJ335" s="114"/>
      <c r="PIO335" s="111"/>
      <c r="PIP335" s="112"/>
      <c r="PIQ335" s="113"/>
      <c r="PIS335" s="114"/>
      <c r="PIT335" s="114"/>
      <c r="PIY335" s="111"/>
      <c r="PIZ335" s="112"/>
      <c r="PJA335" s="113"/>
      <c r="PJC335" s="114"/>
      <c r="PJD335" s="114"/>
      <c r="PJI335" s="111"/>
      <c r="PJJ335" s="112"/>
      <c r="PJK335" s="113"/>
      <c r="PJM335" s="114"/>
      <c r="PJN335" s="114"/>
      <c r="PJS335" s="111"/>
      <c r="PJT335" s="112"/>
      <c r="PJU335" s="113"/>
      <c r="PJW335" s="114"/>
      <c r="PJX335" s="114"/>
      <c r="PKC335" s="111"/>
      <c r="PKD335" s="112"/>
      <c r="PKE335" s="113"/>
      <c r="PKG335" s="114"/>
      <c r="PKH335" s="114"/>
      <c r="PKM335" s="111"/>
      <c r="PKN335" s="112"/>
      <c r="PKO335" s="113"/>
      <c r="PKQ335" s="114"/>
      <c r="PKR335" s="114"/>
      <c r="PKW335" s="111"/>
      <c r="PKX335" s="112"/>
      <c r="PKY335" s="113"/>
      <c r="PLA335" s="114"/>
      <c r="PLB335" s="114"/>
      <c r="PLG335" s="111"/>
      <c r="PLH335" s="112"/>
      <c r="PLI335" s="113"/>
      <c r="PLK335" s="114"/>
      <c r="PLL335" s="114"/>
      <c r="PLQ335" s="111"/>
      <c r="PLR335" s="112"/>
      <c r="PLS335" s="113"/>
      <c r="PLU335" s="114"/>
      <c r="PLV335" s="114"/>
      <c r="PMA335" s="111"/>
      <c r="PMB335" s="112"/>
      <c r="PMC335" s="113"/>
      <c r="PME335" s="114"/>
      <c r="PMF335" s="114"/>
      <c r="PMK335" s="111"/>
      <c r="PML335" s="112"/>
      <c r="PMM335" s="113"/>
      <c r="PMO335" s="114"/>
      <c r="PMP335" s="114"/>
      <c r="PMU335" s="111"/>
      <c r="PMV335" s="112"/>
      <c r="PMW335" s="113"/>
      <c r="PMY335" s="114"/>
      <c r="PMZ335" s="114"/>
      <c r="PNE335" s="111"/>
      <c r="PNF335" s="112"/>
      <c r="PNG335" s="113"/>
      <c r="PNI335" s="114"/>
      <c r="PNJ335" s="114"/>
      <c r="PNO335" s="111"/>
      <c r="PNP335" s="112"/>
      <c r="PNQ335" s="113"/>
      <c r="PNS335" s="114"/>
      <c r="PNT335" s="114"/>
      <c r="PNY335" s="111"/>
      <c r="PNZ335" s="112"/>
      <c r="POA335" s="113"/>
      <c r="POC335" s="114"/>
      <c r="POD335" s="114"/>
      <c r="POI335" s="111"/>
      <c r="POJ335" s="112"/>
      <c r="POK335" s="113"/>
      <c r="POM335" s="114"/>
      <c r="PON335" s="114"/>
      <c r="POS335" s="111"/>
      <c r="POT335" s="112"/>
      <c r="POU335" s="113"/>
      <c r="POW335" s="114"/>
      <c r="POX335" s="114"/>
      <c r="PPC335" s="111"/>
      <c r="PPD335" s="112"/>
      <c r="PPE335" s="113"/>
      <c r="PPG335" s="114"/>
      <c r="PPH335" s="114"/>
      <c r="PPM335" s="111"/>
      <c r="PPN335" s="112"/>
      <c r="PPO335" s="113"/>
      <c r="PPQ335" s="114"/>
      <c r="PPR335" s="114"/>
      <c r="PPW335" s="111"/>
      <c r="PPX335" s="112"/>
      <c r="PPY335" s="113"/>
      <c r="PQA335" s="114"/>
      <c r="PQB335" s="114"/>
      <c r="PQG335" s="111"/>
      <c r="PQH335" s="112"/>
      <c r="PQI335" s="113"/>
      <c r="PQK335" s="114"/>
      <c r="PQL335" s="114"/>
      <c r="PQQ335" s="111"/>
      <c r="PQR335" s="112"/>
      <c r="PQS335" s="113"/>
      <c r="PQU335" s="114"/>
      <c r="PQV335" s="114"/>
      <c r="PRA335" s="111"/>
      <c r="PRB335" s="112"/>
      <c r="PRC335" s="113"/>
      <c r="PRE335" s="114"/>
      <c r="PRF335" s="114"/>
      <c r="PRK335" s="111"/>
      <c r="PRL335" s="112"/>
      <c r="PRM335" s="113"/>
      <c r="PRO335" s="114"/>
      <c r="PRP335" s="114"/>
      <c r="PRU335" s="111"/>
      <c r="PRV335" s="112"/>
      <c r="PRW335" s="113"/>
      <c r="PRY335" s="114"/>
      <c r="PRZ335" s="114"/>
      <c r="PSE335" s="111"/>
      <c r="PSF335" s="112"/>
      <c r="PSG335" s="113"/>
      <c r="PSI335" s="114"/>
      <c r="PSJ335" s="114"/>
      <c r="PSO335" s="111"/>
      <c r="PSP335" s="112"/>
      <c r="PSQ335" s="113"/>
      <c r="PSS335" s="114"/>
      <c r="PST335" s="114"/>
      <c r="PSY335" s="111"/>
      <c r="PSZ335" s="112"/>
      <c r="PTA335" s="113"/>
      <c r="PTC335" s="114"/>
      <c r="PTD335" s="114"/>
      <c r="PTI335" s="111"/>
      <c r="PTJ335" s="112"/>
      <c r="PTK335" s="113"/>
      <c r="PTM335" s="114"/>
      <c r="PTN335" s="114"/>
      <c r="PTS335" s="111"/>
      <c r="PTT335" s="112"/>
      <c r="PTU335" s="113"/>
      <c r="PTW335" s="114"/>
      <c r="PTX335" s="114"/>
      <c r="PUC335" s="111"/>
      <c r="PUD335" s="112"/>
      <c r="PUE335" s="113"/>
      <c r="PUG335" s="114"/>
      <c r="PUH335" s="114"/>
      <c r="PUM335" s="111"/>
      <c r="PUN335" s="112"/>
      <c r="PUO335" s="113"/>
      <c r="PUQ335" s="114"/>
      <c r="PUR335" s="114"/>
      <c r="PUW335" s="111"/>
      <c r="PUX335" s="112"/>
      <c r="PUY335" s="113"/>
      <c r="PVA335" s="114"/>
      <c r="PVB335" s="114"/>
      <c r="PVG335" s="111"/>
      <c r="PVH335" s="112"/>
      <c r="PVI335" s="113"/>
      <c r="PVK335" s="114"/>
      <c r="PVL335" s="114"/>
      <c r="PVQ335" s="111"/>
      <c r="PVR335" s="112"/>
      <c r="PVS335" s="113"/>
      <c r="PVU335" s="114"/>
      <c r="PVV335" s="114"/>
      <c r="PWA335" s="111"/>
      <c r="PWB335" s="112"/>
      <c r="PWC335" s="113"/>
      <c r="PWE335" s="114"/>
      <c r="PWF335" s="114"/>
      <c r="PWK335" s="111"/>
      <c r="PWL335" s="112"/>
      <c r="PWM335" s="113"/>
      <c r="PWO335" s="114"/>
      <c r="PWP335" s="114"/>
      <c r="PWU335" s="111"/>
      <c r="PWV335" s="112"/>
      <c r="PWW335" s="113"/>
      <c r="PWY335" s="114"/>
      <c r="PWZ335" s="114"/>
      <c r="PXE335" s="111"/>
      <c r="PXF335" s="112"/>
      <c r="PXG335" s="113"/>
      <c r="PXI335" s="114"/>
      <c r="PXJ335" s="114"/>
      <c r="PXO335" s="111"/>
      <c r="PXP335" s="112"/>
      <c r="PXQ335" s="113"/>
      <c r="PXS335" s="114"/>
      <c r="PXT335" s="114"/>
      <c r="PXY335" s="111"/>
      <c r="PXZ335" s="112"/>
      <c r="PYA335" s="113"/>
      <c r="PYC335" s="114"/>
      <c r="PYD335" s="114"/>
      <c r="PYI335" s="111"/>
      <c r="PYJ335" s="112"/>
      <c r="PYK335" s="113"/>
      <c r="PYM335" s="114"/>
      <c r="PYN335" s="114"/>
      <c r="PYS335" s="111"/>
      <c r="PYT335" s="112"/>
      <c r="PYU335" s="113"/>
      <c r="PYW335" s="114"/>
      <c r="PYX335" s="114"/>
      <c r="PZC335" s="111"/>
      <c r="PZD335" s="112"/>
      <c r="PZE335" s="113"/>
      <c r="PZG335" s="114"/>
      <c r="PZH335" s="114"/>
      <c r="PZM335" s="111"/>
      <c r="PZN335" s="112"/>
      <c r="PZO335" s="113"/>
      <c r="PZQ335" s="114"/>
      <c r="PZR335" s="114"/>
      <c r="PZW335" s="111"/>
      <c r="PZX335" s="112"/>
      <c r="PZY335" s="113"/>
      <c r="QAA335" s="114"/>
      <c r="QAB335" s="114"/>
      <c r="QAG335" s="111"/>
      <c r="QAH335" s="112"/>
      <c r="QAI335" s="113"/>
      <c r="QAK335" s="114"/>
      <c r="QAL335" s="114"/>
      <c r="QAQ335" s="111"/>
      <c r="QAR335" s="112"/>
      <c r="QAS335" s="113"/>
      <c r="QAU335" s="114"/>
      <c r="QAV335" s="114"/>
      <c r="QBA335" s="111"/>
      <c r="QBB335" s="112"/>
      <c r="QBC335" s="113"/>
      <c r="QBE335" s="114"/>
      <c r="QBF335" s="114"/>
      <c r="QBK335" s="111"/>
      <c r="QBL335" s="112"/>
      <c r="QBM335" s="113"/>
      <c r="QBO335" s="114"/>
      <c r="QBP335" s="114"/>
      <c r="QBU335" s="111"/>
      <c r="QBV335" s="112"/>
      <c r="QBW335" s="113"/>
      <c r="QBY335" s="114"/>
      <c r="QBZ335" s="114"/>
      <c r="QCE335" s="111"/>
      <c r="QCF335" s="112"/>
      <c r="QCG335" s="113"/>
      <c r="QCI335" s="114"/>
      <c r="QCJ335" s="114"/>
      <c r="QCO335" s="111"/>
      <c r="QCP335" s="112"/>
      <c r="QCQ335" s="113"/>
      <c r="QCS335" s="114"/>
      <c r="QCT335" s="114"/>
      <c r="QCY335" s="111"/>
      <c r="QCZ335" s="112"/>
      <c r="QDA335" s="113"/>
      <c r="QDC335" s="114"/>
      <c r="QDD335" s="114"/>
      <c r="QDI335" s="111"/>
      <c r="QDJ335" s="112"/>
      <c r="QDK335" s="113"/>
      <c r="QDM335" s="114"/>
      <c r="QDN335" s="114"/>
      <c r="QDS335" s="111"/>
      <c r="QDT335" s="112"/>
      <c r="QDU335" s="113"/>
      <c r="QDW335" s="114"/>
      <c r="QDX335" s="114"/>
      <c r="QEC335" s="111"/>
      <c r="QED335" s="112"/>
      <c r="QEE335" s="113"/>
      <c r="QEG335" s="114"/>
      <c r="QEH335" s="114"/>
      <c r="QEM335" s="111"/>
      <c r="QEN335" s="112"/>
      <c r="QEO335" s="113"/>
      <c r="QEQ335" s="114"/>
      <c r="QER335" s="114"/>
      <c r="QEW335" s="111"/>
      <c r="QEX335" s="112"/>
      <c r="QEY335" s="113"/>
      <c r="QFA335" s="114"/>
      <c r="QFB335" s="114"/>
      <c r="QFG335" s="111"/>
      <c r="QFH335" s="112"/>
      <c r="QFI335" s="113"/>
      <c r="QFK335" s="114"/>
      <c r="QFL335" s="114"/>
      <c r="QFQ335" s="111"/>
      <c r="QFR335" s="112"/>
      <c r="QFS335" s="113"/>
      <c r="QFU335" s="114"/>
      <c r="QFV335" s="114"/>
      <c r="QGA335" s="111"/>
      <c r="QGB335" s="112"/>
      <c r="QGC335" s="113"/>
      <c r="QGE335" s="114"/>
      <c r="QGF335" s="114"/>
      <c r="QGK335" s="111"/>
      <c r="QGL335" s="112"/>
      <c r="QGM335" s="113"/>
      <c r="QGO335" s="114"/>
      <c r="QGP335" s="114"/>
      <c r="QGU335" s="111"/>
      <c r="QGV335" s="112"/>
      <c r="QGW335" s="113"/>
      <c r="QGY335" s="114"/>
      <c r="QGZ335" s="114"/>
      <c r="QHE335" s="111"/>
      <c r="QHF335" s="112"/>
      <c r="QHG335" s="113"/>
      <c r="QHI335" s="114"/>
      <c r="QHJ335" s="114"/>
      <c r="QHO335" s="111"/>
      <c r="QHP335" s="112"/>
      <c r="QHQ335" s="113"/>
      <c r="QHS335" s="114"/>
      <c r="QHT335" s="114"/>
      <c r="QHY335" s="111"/>
      <c r="QHZ335" s="112"/>
      <c r="QIA335" s="113"/>
      <c r="QIC335" s="114"/>
      <c r="QID335" s="114"/>
      <c r="QII335" s="111"/>
      <c r="QIJ335" s="112"/>
      <c r="QIK335" s="113"/>
      <c r="QIM335" s="114"/>
      <c r="QIN335" s="114"/>
      <c r="QIS335" s="111"/>
      <c r="QIT335" s="112"/>
      <c r="QIU335" s="113"/>
      <c r="QIW335" s="114"/>
      <c r="QIX335" s="114"/>
      <c r="QJC335" s="111"/>
      <c r="QJD335" s="112"/>
      <c r="QJE335" s="113"/>
      <c r="QJG335" s="114"/>
      <c r="QJH335" s="114"/>
      <c r="QJM335" s="111"/>
      <c r="QJN335" s="112"/>
      <c r="QJO335" s="113"/>
      <c r="QJQ335" s="114"/>
      <c r="QJR335" s="114"/>
      <c r="QJW335" s="111"/>
      <c r="QJX335" s="112"/>
      <c r="QJY335" s="113"/>
      <c r="QKA335" s="114"/>
      <c r="QKB335" s="114"/>
      <c r="QKG335" s="111"/>
      <c r="QKH335" s="112"/>
      <c r="QKI335" s="113"/>
      <c r="QKK335" s="114"/>
      <c r="QKL335" s="114"/>
      <c r="QKQ335" s="111"/>
      <c r="QKR335" s="112"/>
      <c r="QKS335" s="113"/>
      <c r="QKU335" s="114"/>
      <c r="QKV335" s="114"/>
      <c r="QLA335" s="111"/>
      <c r="QLB335" s="112"/>
      <c r="QLC335" s="113"/>
      <c r="QLE335" s="114"/>
      <c r="QLF335" s="114"/>
      <c r="QLK335" s="111"/>
      <c r="QLL335" s="112"/>
      <c r="QLM335" s="113"/>
      <c r="QLO335" s="114"/>
      <c r="QLP335" s="114"/>
      <c r="QLU335" s="111"/>
      <c r="QLV335" s="112"/>
      <c r="QLW335" s="113"/>
      <c r="QLY335" s="114"/>
      <c r="QLZ335" s="114"/>
      <c r="QME335" s="111"/>
      <c r="QMF335" s="112"/>
      <c r="QMG335" s="113"/>
      <c r="QMI335" s="114"/>
      <c r="QMJ335" s="114"/>
      <c r="QMO335" s="111"/>
      <c r="QMP335" s="112"/>
      <c r="QMQ335" s="113"/>
      <c r="QMS335" s="114"/>
      <c r="QMT335" s="114"/>
      <c r="QMY335" s="111"/>
      <c r="QMZ335" s="112"/>
      <c r="QNA335" s="113"/>
      <c r="QNC335" s="114"/>
      <c r="QND335" s="114"/>
      <c r="QNI335" s="111"/>
      <c r="QNJ335" s="112"/>
      <c r="QNK335" s="113"/>
      <c r="QNM335" s="114"/>
      <c r="QNN335" s="114"/>
      <c r="QNS335" s="111"/>
      <c r="QNT335" s="112"/>
      <c r="QNU335" s="113"/>
      <c r="QNW335" s="114"/>
      <c r="QNX335" s="114"/>
      <c r="QOC335" s="111"/>
      <c r="QOD335" s="112"/>
      <c r="QOE335" s="113"/>
      <c r="QOG335" s="114"/>
      <c r="QOH335" s="114"/>
      <c r="QOM335" s="111"/>
      <c r="QON335" s="112"/>
      <c r="QOO335" s="113"/>
      <c r="QOQ335" s="114"/>
      <c r="QOR335" s="114"/>
      <c r="QOW335" s="111"/>
      <c r="QOX335" s="112"/>
      <c r="QOY335" s="113"/>
      <c r="QPA335" s="114"/>
      <c r="QPB335" s="114"/>
      <c r="QPG335" s="111"/>
      <c r="QPH335" s="112"/>
      <c r="QPI335" s="113"/>
      <c r="QPK335" s="114"/>
      <c r="QPL335" s="114"/>
      <c r="QPQ335" s="111"/>
      <c r="QPR335" s="112"/>
      <c r="QPS335" s="113"/>
      <c r="QPU335" s="114"/>
      <c r="QPV335" s="114"/>
      <c r="QQA335" s="111"/>
      <c r="QQB335" s="112"/>
      <c r="QQC335" s="113"/>
      <c r="QQE335" s="114"/>
      <c r="QQF335" s="114"/>
      <c r="QQK335" s="111"/>
      <c r="QQL335" s="112"/>
      <c r="QQM335" s="113"/>
      <c r="QQO335" s="114"/>
      <c r="QQP335" s="114"/>
      <c r="QQU335" s="111"/>
      <c r="QQV335" s="112"/>
      <c r="QQW335" s="113"/>
      <c r="QQY335" s="114"/>
      <c r="QQZ335" s="114"/>
      <c r="QRE335" s="111"/>
      <c r="QRF335" s="112"/>
      <c r="QRG335" s="113"/>
      <c r="QRI335" s="114"/>
      <c r="QRJ335" s="114"/>
      <c r="QRO335" s="111"/>
      <c r="QRP335" s="112"/>
      <c r="QRQ335" s="113"/>
      <c r="QRS335" s="114"/>
      <c r="QRT335" s="114"/>
      <c r="QRY335" s="111"/>
      <c r="QRZ335" s="112"/>
      <c r="QSA335" s="113"/>
      <c r="QSC335" s="114"/>
      <c r="QSD335" s="114"/>
      <c r="QSI335" s="111"/>
      <c r="QSJ335" s="112"/>
      <c r="QSK335" s="113"/>
      <c r="QSM335" s="114"/>
      <c r="QSN335" s="114"/>
      <c r="QSS335" s="111"/>
      <c r="QST335" s="112"/>
      <c r="QSU335" s="113"/>
      <c r="QSW335" s="114"/>
      <c r="QSX335" s="114"/>
      <c r="QTC335" s="111"/>
      <c r="QTD335" s="112"/>
      <c r="QTE335" s="113"/>
      <c r="QTG335" s="114"/>
      <c r="QTH335" s="114"/>
      <c r="QTM335" s="111"/>
      <c r="QTN335" s="112"/>
      <c r="QTO335" s="113"/>
      <c r="QTQ335" s="114"/>
      <c r="QTR335" s="114"/>
      <c r="QTW335" s="111"/>
      <c r="QTX335" s="112"/>
      <c r="QTY335" s="113"/>
      <c r="QUA335" s="114"/>
      <c r="QUB335" s="114"/>
      <c r="QUG335" s="111"/>
      <c r="QUH335" s="112"/>
      <c r="QUI335" s="113"/>
      <c r="QUK335" s="114"/>
      <c r="QUL335" s="114"/>
      <c r="QUQ335" s="111"/>
      <c r="QUR335" s="112"/>
      <c r="QUS335" s="113"/>
      <c r="QUU335" s="114"/>
      <c r="QUV335" s="114"/>
      <c r="QVA335" s="111"/>
      <c r="QVB335" s="112"/>
      <c r="QVC335" s="113"/>
      <c r="QVE335" s="114"/>
      <c r="QVF335" s="114"/>
      <c r="QVK335" s="111"/>
      <c r="QVL335" s="112"/>
      <c r="QVM335" s="113"/>
      <c r="QVO335" s="114"/>
      <c r="QVP335" s="114"/>
      <c r="QVU335" s="111"/>
      <c r="QVV335" s="112"/>
      <c r="QVW335" s="113"/>
      <c r="QVY335" s="114"/>
      <c r="QVZ335" s="114"/>
      <c r="QWE335" s="111"/>
      <c r="QWF335" s="112"/>
      <c r="QWG335" s="113"/>
      <c r="QWI335" s="114"/>
      <c r="QWJ335" s="114"/>
      <c r="QWO335" s="111"/>
      <c r="QWP335" s="112"/>
      <c r="QWQ335" s="113"/>
      <c r="QWS335" s="114"/>
      <c r="QWT335" s="114"/>
      <c r="QWY335" s="111"/>
      <c r="QWZ335" s="112"/>
      <c r="QXA335" s="113"/>
      <c r="QXC335" s="114"/>
      <c r="QXD335" s="114"/>
      <c r="QXI335" s="111"/>
      <c r="QXJ335" s="112"/>
      <c r="QXK335" s="113"/>
      <c r="QXM335" s="114"/>
      <c r="QXN335" s="114"/>
      <c r="QXS335" s="111"/>
      <c r="QXT335" s="112"/>
      <c r="QXU335" s="113"/>
      <c r="QXW335" s="114"/>
      <c r="QXX335" s="114"/>
      <c r="QYC335" s="111"/>
      <c r="QYD335" s="112"/>
      <c r="QYE335" s="113"/>
      <c r="QYG335" s="114"/>
      <c r="QYH335" s="114"/>
      <c r="QYM335" s="111"/>
      <c r="QYN335" s="112"/>
      <c r="QYO335" s="113"/>
      <c r="QYQ335" s="114"/>
      <c r="QYR335" s="114"/>
      <c r="QYW335" s="111"/>
      <c r="QYX335" s="112"/>
      <c r="QYY335" s="113"/>
      <c r="QZA335" s="114"/>
      <c r="QZB335" s="114"/>
      <c r="QZG335" s="111"/>
      <c r="QZH335" s="112"/>
      <c r="QZI335" s="113"/>
      <c r="QZK335" s="114"/>
      <c r="QZL335" s="114"/>
      <c r="QZQ335" s="111"/>
      <c r="QZR335" s="112"/>
      <c r="QZS335" s="113"/>
      <c r="QZU335" s="114"/>
      <c r="QZV335" s="114"/>
      <c r="RAA335" s="111"/>
      <c r="RAB335" s="112"/>
      <c r="RAC335" s="113"/>
      <c r="RAE335" s="114"/>
      <c r="RAF335" s="114"/>
      <c r="RAK335" s="111"/>
      <c r="RAL335" s="112"/>
      <c r="RAM335" s="113"/>
      <c r="RAO335" s="114"/>
      <c r="RAP335" s="114"/>
      <c r="RAU335" s="111"/>
      <c r="RAV335" s="112"/>
      <c r="RAW335" s="113"/>
      <c r="RAY335" s="114"/>
      <c r="RAZ335" s="114"/>
      <c r="RBE335" s="111"/>
      <c r="RBF335" s="112"/>
      <c r="RBG335" s="113"/>
      <c r="RBI335" s="114"/>
      <c r="RBJ335" s="114"/>
      <c r="RBO335" s="111"/>
      <c r="RBP335" s="112"/>
      <c r="RBQ335" s="113"/>
      <c r="RBS335" s="114"/>
      <c r="RBT335" s="114"/>
      <c r="RBY335" s="111"/>
      <c r="RBZ335" s="112"/>
      <c r="RCA335" s="113"/>
      <c r="RCC335" s="114"/>
      <c r="RCD335" s="114"/>
      <c r="RCI335" s="111"/>
      <c r="RCJ335" s="112"/>
      <c r="RCK335" s="113"/>
      <c r="RCM335" s="114"/>
      <c r="RCN335" s="114"/>
      <c r="RCS335" s="111"/>
      <c r="RCT335" s="112"/>
      <c r="RCU335" s="113"/>
      <c r="RCW335" s="114"/>
      <c r="RCX335" s="114"/>
      <c r="RDC335" s="111"/>
      <c r="RDD335" s="112"/>
      <c r="RDE335" s="113"/>
      <c r="RDG335" s="114"/>
      <c r="RDH335" s="114"/>
      <c r="RDM335" s="111"/>
      <c r="RDN335" s="112"/>
      <c r="RDO335" s="113"/>
      <c r="RDQ335" s="114"/>
      <c r="RDR335" s="114"/>
      <c r="RDW335" s="111"/>
      <c r="RDX335" s="112"/>
      <c r="RDY335" s="113"/>
      <c r="REA335" s="114"/>
      <c r="REB335" s="114"/>
      <c r="REG335" s="111"/>
      <c r="REH335" s="112"/>
      <c r="REI335" s="113"/>
      <c r="REK335" s="114"/>
      <c r="REL335" s="114"/>
      <c r="REQ335" s="111"/>
      <c r="RER335" s="112"/>
      <c r="RES335" s="113"/>
      <c r="REU335" s="114"/>
      <c r="REV335" s="114"/>
      <c r="RFA335" s="111"/>
      <c r="RFB335" s="112"/>
      <c r="RFC335" s="113"/>
      <c r="RFE335" s="114"/>
      <c r="RFF335" s="114"/>
      <c r="RFK335" s="111"/>
      <c r="RFL335" s="112"/>
      <c r="RFM335" s="113"/>
      <c r="RFO335" s="114"/>
      <c r="RFP335" s="114"/>
      <c r="RFU335" s="111"/>
      <c r="RFV335" s="112"/>
      <c r="RFW335" s="113"/>
      <c r="RFY335" s="114"/>
      <c r="RFZ335" s="114"/>
      <c r="RGE335" s="111"/>
      <c r="RGF335" s="112"/>
      <c r="RGG335" s="113"/>
      <c r="RGI335" s="114"/>
      <c r="RGJ335" s="114"/>
      <c r="RGO335" s="111"/>
      <c r="RGP335" s="112"/>
      <c r="RGQ335" s="113"/>
      <c r="RGS335" s="114"/>
      <c r="RGT335" s="114"/>
      <c r="RGY335" s="111"/>
      <c r="RGZ335" s="112"/>
      <c r="RHA335" s="113"/>
      <c r="RHC335" s="114"/>
      <c r="RHD335" s="114"/>
      <c r="RHI335" s="111"/>
      <c r="RHJ335" s="112"/>
      <c r="RHK335" s="113"/>
      <c r="RHM335" s="114"/>
      <c r="RHN335" s="114"/>
      <c r="RHS335" s="111"/>
      <c r="RHT335" s="112"/>
      <c r="RHU335" s="113"/>
      <c r="RHW335" s="114"/>
      <c r="RHX335" s="114"/>
      <c r="RIC335" s="111"/>
      <c r="RID335" s="112"/>
      <c r="RIE335" s="113"/>
      <c r="RIG335" s="114"/>
      <c r="RIH335" s="114"/>
      <c r="RIM335" s="111"/>
      <c r="RIN335" s="112"/>
      <c r="RIO335" s="113"/>
      <c r="RIQ335" s="114"/>
      <c r="RIR335" s="114"/>
      <c r="RIW335" s="111"/>
      <c r="RIX335" s="112"/>
      <c r="RIY335" s="113"/>
      <c r="RJA335" s="114"/>
      <c r="RJB335" s="114"/>
      <c r="RJG335" s="111"/>
      <c r="RJH335" s="112"/>
      <c r="RJI335" s="113"/>
      <c r="RJK335" s="114"/>
      <c r="RJL335" s="114"/>
      <c r="RJQ335" s="111"/>
      <c r="RJR335" s="112"/>
      <c r="RJS335" s="113"/>
      <c r="RJU335" s="114"/>
      <c r="RJV335" s="114"/>
      <c r="RKA335" s="111"/>
      <c r="RKB335" s="112"/>
      <c r="RKC335" s="113"/>
      <c r="RKE335" s="114"/>
      <c r="RKF335" s="114"/>
      <c r="RKK335" s="111"/>
      <c r="RKL335" s="112"/>
      <c r="RKM335" s="113"/>
      <c r="RKO335" s="114"/>
      <c r="RKP335" s="114"/>
      <c r="RKU335" s="111"/>
      <c r="RKV335" s="112"/>
      <c r="RKW335" s="113"/>
      <c r="RKY335" s="114"/>
      <c r="RKZ335" s="114"/>
      <c r="RLE335" s="111"/>
      <c r="RLF335" s="112"/>
      <c r="RLG335" s="113"/>
      <c r="RLI335" s="114"/>
      <c r="RLJ335" s="114"/>
      <c r="RLO335" s="111"/>
      <c r="RLP335" s="112"/>
      <c r="RLQ335" s="113"/>
      <c r="RLS335" s="114"/>
      <c r="RLT335" s="114"/>
      <c r="RLY335" s="111"/>
      <c r="RLZ335" s="112"/>
      <c r="RMA335" s="113"/>
      <c r="RMC335" s="114"/>
      <c r="RMD335" s="114"/>
      <c r="RMI335" s="111"/>
      <c r="RMJ335" s="112"/>
      <c r="RMK335" s="113"/>
      <c r="RMM335" s="114"/>
      <c r="RMN335" s="114"/>
      <c r="RMS335" s="111"/>
      <c r="RMT335" s="112"/>
      <c r="RMU335" s="113"/>
      <c r="RMW335" s="114"/>
      <c r="RMX335" s="114"/>
      <c r="RNC335" s="111"/>
      <c r="RND335" s="112"/>
      <c r="RNE335" s="113"/>
      <c r="RNG335" s="114"/>
      <c r="RNH335" s="114"/>
      <c r="RNM335" s="111"/>
      <c r="RNN335" s="112"/>
      <c r="RNO335" s="113"/>
      <c r="RNQ335" s="114"/>
      <c r="RNR335" s="114"/>
      <c r="RNW335" s="111"/>
      <c r="RNX335" s="112"/>
      <c r="RNY335" s="113"/>
      <c r="ROA335" s="114"/>
      <c r="ROB335" s="114"/>
      <c r="ROG335" s="111"/>
      <c r="ROH335" s="112"/>
      <c r="ROI335" s="113"/>
      <c r="ROK335" s="114"/>
      <c r="ROL335" s="114"/>
      <c r="ROQ335" s="111"/>
      <c r="ROR335" s="112"/>
      <c r="ROS335" s="113"/>
      <c r="ROU335" s="114"/>
      <c r="ROV335" s="114"/>
      <c r="RPA335" s="111"/>
      <c r="RPB335" s="112"/>
      <c r="RPC335" s="113"/>
      <c r="RPE335" s="114"/>
      <c r="RPF335" s="114"/>
      <c r="RPK335" s="111"/>
      <c r="RPL335" s="112"/>
      <c r="RPM335" s="113"/>
      <c r="RPO335" s="114"/>
      <c r="RPP335" s="114"/>
      <c r="RPU335" s="111"/>
      <c r="RPV335" s="112"/>
      <c r="RPW335" s="113"/>
      <c r="RPY335" s="114"/>
      <c r="RPZ335" s="114"/>
      <c r="RQE335" s="111"/>
      <c r="RQF335" s="112"/>
      <c r="RQG335" s="113"/>
      <c r="RQI335" s="114"/>
      <c r="RQJ335" s="114"/>
      <c r="RQO335" s="111"/>
      <c r="RQP335" s="112"/>
      <c r="RQQ335" s="113"/>
      <c r="RQS335" s="114"/>
      <c r="RQT335" s="114"/>
      <c r="RQY335" s="111"/>
      <c r="RQZ335" s="112"/>
      <c r="RRA335" s="113"/>
      <c r="RRC335" s="114"/>
      <c r="RRD335" s="114"/>
      <c r="RRI335" s="111"/>
      <c r="RRJ335" s="112"/>
      <c r="RRK335" s="113"/>
      <c r="RRM335" s="114"/>
      <c r="RRN335" s="114"/>
      <c r="RRS335" s="111"/>
      <c r="RRT335" s="112"/>
      <c r="RRU335" s="113"/>
      <c r="RRW335" s="114"/>
      <c r="RRX335" s="114"/>
      <c r="RSC335" s="111"/>
      <c r="RSD335" s="112"/>
      <c r="RSE335" s="113"/>
      <c r="RSG335" s="114"/>
      <c r="RSH335" s="114"/>
      <c r="RSM335" s="111"/>
      <c r="RSN335" s="112"/>
      <c r="RSO335" s="113"/>
      <c r="RSQ335" s="114"/>
      <c r="RSR335" s="114"/>
      <c r="RSW335" s="111"/>
      <c r="RSX335" s="112"/>
      <c r="RSY335" s="113"/>
      <c r="RTA335" s="114"/>
      <c r="RTB335" s="114"/>
      <c r="RTG335" s="111"/>
      <c r="RTH335" s="112"/>
      <c r="RTI335" s="113"/>
      <c r="RTK335" s="114"/>
      <c r="RTL335" s="114"/>
      <c r="RTQ335" s="111"/>
      <c r="RTR335" s="112"/>
      <c r="RTS335" s="113"/>
      <c r="RTU335" s="114"/>
      <c r="RTV335" s="114"/>
      <c r="RUA335" s="111"/>
      <c r="RUB335" s="112"/>
      <c r="RUC335" s="113"/>
      <c r="RUE335" s="114"/>
      <c r="RUF335" s="114"/>
      <c r="RUK335" s="111"/>
      <c r="RUL335" s="112"/>
      <c r="RUM335" s="113"/>
      <c r="RUO335" s="114"/>
      <c r="RUP335" s="114"/>
      <c r="RUU335" s="111"/>
      <c r="RUV335" s="112"/>
      <c r="RUW335" s="113"/>
      <c r="RUY335" s="114"/>
      <c r="RUZ335" s="114"/>
      <c r="RVE335" s="111"/>
      <c r="RVF335" s="112"/>
      <c r="RVG335" s="113"/>
      <c r="RVI335" s="114"/>
      <c r="RVJ335" s="114"/>
      <c r="RVO335" s="111"/>
      <c r="RVP335" s="112"/>
      <c r="RVQ335" s="113"/>
      <c r="RVS335" s="114"/>
      <c r="RVT335" s="114"/>
      <c r="RVY335" s="111"/>
      <c r="RVZ335" s="112"/>
      <c r="RWA335" s="113"/>
      <c r="RWC335" s="114"/>
      <c r="RWD335" s="114"/>
      <c r="RWI335" s="111"/>
      <c r="RWJ335" s="112"/>
      <c r="RWK335" s="113"/>
      <c r="RWM335" s="114"/>
      <c r="RWN335" s="114"/>
      <c r="RWS335" s="111"/>
      <c r="RWT335" s="112"/>
      <c r="RWU335" s="113"/>
      <c r="RWW335" s="114"/>
      <c r="RWX335" s="114"/>
      <c r="RXC335" s="111"/>
      <c r="RXD335" s="112"/>
      <c r="RXE335" s="113"/>
      <c r="RXG335" s="114"/>
      <c r="RXH335" s="114"/>
      <c r="RXM335" s="111"/>
      <c r="RXN335" s="112"/>
      <c r="RXO335" s="113"/>
      <c r="RXQ335" s="114"/>
      <c r="RXR335" s="114"/>
      <c r="RXW335" s="111"/>
      <c r="RXX335" s="112"/>
      <c r="RXY335" s="113"/>
      <c r="RYA335" s="114"/>
      <c r="RYB335" s="114"/>
      <c r="RYG335" s="111"/>
      <c r="RYH335" s="112"/>
      <c r="RYI335" s="113"/>
      <c r="RYK335" s="114"/>
      <c r="RYL335" s="114"/>
      <c r="RYQ335" s="111"/>
      <c r="RYR335" s="112"/>
      <c r="RYS335" s="113"/>
      <c r="RYU335" s="114"/>
      <c r="RYV335" s="114"/>
      <c r="RZA335" s="111"/>
      <c r="RZB335" s="112"/>
      <c r="RZC335" s="113"/>
      <c r="RZE335" s="114"/>
      <c r="RZF335" s="114"/>
      <c r="RZK335" s="111"/>
      <c r="RZL335" s="112"/>
      <c r="RZM335" s="113"/>
      <c r="RZO335" s="114"/>
      <c r="RZP335" s="114"/>
      <c r="RZU335" s="111"/>
      <c r="RZV335" s="112"/>
      <c r="RZW335" s="113"/>
      <c r="RZY335" s="114"/>
      <c r="RZZ335" s="114"/>
      <c r="SAE335" s="111"/>
      <c r="SAF335" s="112"/>
      <c r="SAG335" s="113"/>
      <c r="SAI335" s="114"/>
      <c r="SAJ335" s="114"/>
      <c r="SAO335" s="111"/>
      <c r="SAP335" s="112"/>
      <c r="SAQ335" s="113"/>
      <c r="SAS335" s="114"/>
      <c r="SAT335" s="114"/>
      <c r="SAY335" s="111"/>
      <c r="SAZ335" s="112"/>
      <c r="SBA335" s="113"/>
      <c r="SBC335" s="114"/>
      <c r="SBD335" s="114"/>
      <c r="SBI335" s="111"/>
      <c r="SBJ335" s="112"/>
      <c r="SBK335" s="113"/>
      <c r="SBM335" s="114"/>
      <c r="SBN335" s="114"/>
      <c r="SBS335" s="111"/>
      <c r="SBT335" s="112"/>
      <c r="SBU335" s="113"/>
      <c r="SBW335" s="114"/>
      <c r="SBX335" s="114"/>
      <c r="SCC335" s="111"/>
      <c r="SCD335" s="112"/>
      <c r="SCE335" s="113"/>
      <c r="SCG335" s="114"/>
      <c r="SCH335" s="114"/>
      <c r="SCM335" s="111"/>
      <c r="SCN335" s="112"/>
      <c r="SCO335" s="113"/>
      <c r="SCQ335" s="114"/>
      <c r="SCR335" s="114"/>
      <c r="SCW335" s="111"/>
      <c r="SCX335" s="112"/>
      <c r="SCY335" s="113"/>
      <c r="SDA335" s="114"/>
      <c r="SDB335" s="114"/>
      <c r="SDG335" s="111"/>
      <c r="SDH335" s="112"/>
      <c r="SDI335" s="113"/>
      <c r="SDK335" s="114"/>
      <c r="SDL335" s="114"/>
      <c r="SDQ335" s="111"/>
      <c r="SDR335" s="112"/>
      <c r="SDS335" s="113"/>
      <c r="SDU335" s="114"/>
      <c r="SDV335" s="114"/>
      <c r="SEA335" s="111"/>
      <c r="SEB335" s="112"/>
      <c r="SEC335" s="113"/>
      <c r="SEE335" s="114"/>
      <c r="SEF335" s="114"/>
      <c r="SEK335" s="111"/>
      <c r="SEL335" s="112"/>
      <c r="SEM335" s="113"/>
      <c r="SEO335" s="114"/>
      <c r="SEP335" s="114"/>
      <c r="SEU335" s="111"/>
      <c r="SEV335" s="112"/>
      <c r="SEW335" s="113"/>
      <c r="SEY335" s="114"/>
      <c r="SEZ335" s="114"/>
      <c r="SFE335" s="111"/>
      <c r="SFF335" s="112"/>
      <c r="SFG335" s="113"/>
      <c r="SFI335" s="114"/>
      <c r="SFJ335" s="114"/>
      <c r="SFO335" s="111"/>
      <c r="SFP335" s="112"/>
      <c r="SFQ335" s="113"/>
      <c r="SFS335" s="114"/>
      <c r="SFT335" s="114"/>
      <c r="SFY335" s="111"/>
      <c r="SFZ335" s="112"/>
      <c r="SGA335" s="113"/>
      <c r="SGC335" s="114"/>
      <c r="SGD335" s="114"/>
      <c r="SGI335" s="111"/>
      <c r="SGJ335" s="112"/>
      <c r="SGK335" s="113"/>
      <c r="SGM335" s="114"/>
      <c r="SGN335" s="114"/>
      <c r="SGS335" s="111"/>
      <c r="SGT335" s="112"/>
      <c r="SGU335" s="113"/>
      <c r="SGW335" s="114"/>
      <c r="SGX335" s="114"/>
      <c r="SHC335" s="111"/>
      <c r="SHD335" s="112"/>
      <c r="SHE335" s="113"/>
      <c r="SHG335" s="114"/>
      <c r="SHH335" s="114"/>
      <c r="SHM335" s="111"/>
      <c r="SHN335" s="112"/>
      <c r="SHO335" s="113"/>
      <c r="SHQ335" s="114"/>
      <c r="SHR335" s="114"/>
      <c r="SHW335" s="111"/>
      <c r="SHX335" s="112"/>
      <c r="SHY335" s="113"/>
      <c r="SIA335" s="114"/>
      <c r="SIB335" s="114"/>
      <c r="SIG335" s="111"/>
      <c r="SIH335" s="112"/>
      <c r="SII335" s="113"/>
      <c r="SIK335" s="114"/>
      <c r="SIL335" s="114"/>
      <c r="SIQ335" s="111"/>
      <c r="SIR335" s="112"/>
      <c r="SIS335" s="113"/>
      <c r="SIU335" s="114"/>
      <c r="SIV335" s="114"/>
      <c r="SJA335" s="111"/>
      <c r="SJB335" s="112"/>
      <c r="SJC335" s="113"/>
      <c r="SJE335" s="114"/>
      <c r="SJF335" s="114"/>
      <c r="SJK335" s="111"/>
      <c r="SJL335" s="112"/>
      <c r="SJM335" s="113"/>
      <c r="SJO335" s="114"/>
      <c r="SJP335" s="114"/>
      <c r="SJU335" s="111"/>
      <c r="SJV335" s="112"/>
      <c r="SJW335" s="113"/>
      <c r="SJY335" s="114"/>
      <c r="SJZ335" s="114"/>
      <c r="SKE335" s="111"/>
      <c r="SKF335" s="112"/>
      <c r="SKG335" s="113"/>
      <c r="SKI335" s="114"/>
      <c r="SKJ335" s="114"/>
      <c r="SKO335" s="111"/>
      <c r="SKP335" s="112"/>
      <c r="SKQ335" s="113"/>
      <c r="SKS335" s="114"/>
      <c r="SKT335" s="114"/>
      <c r="SKY335" s="111"/>
      <c r="SKZ335" s="112"/>
      <c r="SLA335" s="113"/>
      <c r="SLC335" s="114"/>
      <c r="SLD335" s="114"/>
      <c r="SLI335" s="111"/>
      <c r="SLJ335" s="112"/>
      <c r="SLK335" s="113"/>
      <c r="SLM335" s="114"/>
      <c r="SLN335" s="114"/>
      <c r="SLS335" s="111"/>
      <c r="SLT335" s="112"/>
      <c r="SLU335" s="113"/>
      <c r="SLW335" s="114"/>
      <c r="SLX335" s="114"/>
      <c r="SMC335" s="111"/>
      <c r="SMD335" s="112"/>
      <c r="SME335" s="113"/>
      <c r="SMG335" s="114"/>
      <c r="SMH335" s="114"/>
      <c r="SMM335" s="111"/>
      <c r="SMN335" s="112"/>
      <c r="SMO335" s="113"/>
      <c r="SMQ335" s="114"/>
      <c r="SMR335" s="114"/>
      <c r="SMW335" s="111"/>
      <c r="SMX335" s="112"/>
      <c r="SMY335" s="113"/>
      <c r="SNA335" s="114"/>
      <c r="SNB335" s="114"/>
      <c r="SNG335" s="111"/>
      <c r="SNH335" s="112"/>
      <c r="SNI335" s="113"/>
      <c r="SNK335" s="114"/>
      <c r="SNL335" s="114"/>
      <c r="SNQ335" s="111"/>
      <c r="SNR335" s="112"/>
      <c r="SNS335" s="113"/>
      <c r="SNU335" s="114"/>
      <c r="SNV335" s="114"/>
      <c r="SOA335" s="111"/>
      <c r="SOB335" s="112"/>
      <c r="SOC335" s="113"/>
      <c r="SOE335" s="114"/>
      <c r="SOF335" s="114"/>
      <c r="SOK335" s="111"/>
      <c r="SOL335" s="112"/>
      <c r="SOM335" s="113"/>
      <c r="SOO335" s="114"/>
      <c r="SOP335" s="114"/>
      <c r="SOU335" s="111"/>
      <c r="SOV335" s="112"/>
      <c r="SOW335" s="113"/>
      <c r="SOY335" s="114"/>
      <c r="SOZ335" s="114"/>
      <c r="SPE335" s="111"/>
      <c r="SPF335" s="112"/>
      <c r="SPG335" s="113"/>
      <c r="SPI335" s="114"/>
      <c r="SPJ335" s="114"/>
      <c r="SPO335" s="111"/>
      <c r="SPP335" s="112"/>
      <c r="SPQ335" s="113"/>
      <c r="SPS335" s="114"/>
      <c r="SPT335" s="114"/>
      <c r="SPY335" s="111"/>
      <c r="SPZ335" s="112"/>
      <c r="SQA335" s="113"/>
      <c r="SQC335" s="114"/>
      <c r="SQD335" s="114"/>
      <c r="SQI335" s="111"/>
      <c r="SQJ335" s="112"/>
      <c r="SQK335" s="113"/>
      <c r="SQM335" s="114"/>
      <c r="SQN335" s="114"/>
      <c r="SQS335" s="111"/>
      <c r="SQT335" s="112"/>
      <c r="SQU335" s="113"/>
      <c r="SQW335" s="114"/>
      <c r="SQX335" s="114"/>
      <c r="SRC335" s="111"/>
      <c r="SRD335" s="112"/>
      <c r="SRE335" s="113"/>
      <c r="SRG335" s="114"/>
      <c r="SRH335" s="114"/>
      <c r="SRM335" s="111"/>
      <c r="SRN335" s="112"/>
      <c r="SRO335" s="113"/>
      <c r="SRQ335" s="114"/>
      <c r="SRR335" s="114"/>
      <c r="SRW335" s="111"/>
      <c r="SRX335" s="112"/>
      <c r="SRY335" s="113"/>
      <c r="SSA335" s="114"/>
      <c r="SSB335" s="114"/>
      <c r="SSG335" s="111"/>
      <c r="SSH335" s="112"/>
      <c r="SSI335" s="113"/>
      <c r="SSK335" s="114"/>
      <c r="SSL335" s="114"/>
      <c r="SSQ335" s="111"/>
      <c r="SSR335" s="112"/>
      <c r="SSS335" s="113"/>
      <c r="SSU335" s="114"/>
      <c r="SSV335" s="114"/>
      <c r="STA335" s="111"/>
      <c r="STB335" s="112"/>
      <c r="STC335" s="113"/>
      <c r="STE335" s="114"/>
      <c r="STF335" s="114"/>
      <c r="STK335" s="111"/>
      <c r="STL335" s="112"/>
      <c r="STM335" s="113"/>
      <c r="STO335" s="114"/>
      <c r="STP335" s="114"/>
      <c r="STU335" s="111"/>
      <c r="STV335" s="112"/>
      <c r="STW335" s="113"/>
      <c r="STY335" s="114"/>
      <c r="STZ335" s="114"/>
      <c r="SUE335" s="111"/>
      <c r="SUF335" s="112"/>
      <c r="SUG335" s="113"/>
      <c r="SUI335" s="114"/>
      <c r="SUJ335" s="114"/>
      <c r="SUO335" s="111"/>
      <c r="SUP335" s="112"/>
      <c r="SUQ335" s="113"/>
      <c r="SUS335" s="114"/>
      <c r="SUT335" s="114"/>
      <c r="SUY335" s="111"/>
      <c r="SUZ335" s="112"/>
      <c r="SVA335" s="113"/>
      <c r="SVC335" s="114"/>
      <c r="SVD335" s="114"/>
      <c r="SVI335" s="111"/>
      <c r="SVJ335" s="112"/>
      <c r="SVK335" s="113"/>
      <c r="SVM335" s="114"/>
      <c r="SVN335" s="114"/>
      <c r="SVS335" s="111"/>
      <c r="SVT335" s="112"/>
      <c r="SVU335" s="113"/>
      <c r="SVW335" s="114"/>
      <c r="SVX335" s="114"/>
      <c r="SWC335" s="111"/>
      <c r="SWD335" s="112"/>
      <c r="SWE335" s="113"/>
      <c r="SWG335" s="114"/>
      <c r="SWH335" s="114"/>
      <c r="SWM335" s="111"/>
      <c r="SWN335" s="112"/>
      <c r="SWO335" s="113"/>
      <c r="SWQ335" s="114"/>
      <c r="SWR335" s="114"/>
      <c r="SWW335" s="111"/>
      <c r="SWX335" s="112"/>
      <c r="SWY335" s="113"/>
      <c r="SXA335" s="114"/>
      <c r="SXB335" s="114"/>
      <c r="SXG335" s="111"/>
      <c r="SXH335" s="112"/>
      <c r="SXI335" s="113"/>
      <c r="SXK335" s="114"/>
      <c r="SXL335" s="114"/>
      <c r="SXQ335" s="111"/>
      <c r="SXR335" s="112"/>
      <c r="SXS335" s="113"/>
      <c r="SXU335" s="114"/>
      <c r="SXV335" s="114"/>
      <c r="SYA335" s="111"/>
      <c r="SYB335" s="112"/>
      <c r="SYC335" s="113"/>
      <c r="SYE335" s="114"/>
      <c r="SYF335" s="114"/>
      <c r="SYK335" s="111"/>
      <c r="SYL335" s="112"/>
      <c r="SYM335" s="113"/>
      <c r="SYO335" s="114"/>
      <c r="SYP335" s="114"/>
      <c r="SYU335" s="111"/>
      <c r="SYV335" s="112"/>
      <c r="SYW335" s="113"/>
      <c r="SYY335" s="114"/>
      <c r="SYZ335" s="114"/>
      <c r="SZE335" s="111"/>
      <c r="SZF335" s="112"/>
      <c r="SZG335" s="113"/>
      <c r="SZI335" s="114"/>
      <c r="SZJ335" s="114"/>
      <c r="SZO335" s="111"/>
      <c r="SZP335" s="112"/>
      <c r="SZQ335" s="113"/>
      <c r="SZS335" s="114"/>
      <c r="SZT335" s="114"/>
      <c r="SZY335" s="111"/>
      <c r="SZZ335" s="112"/>
      <c r="TAA335" s="113"/>
      <c r="TAC335" s="114"/>
      <c r="TAD335" s="114"/>
      <c r="TAI335" s="111"/>
      <c r="TAJ335" s="112"/>
      <c r="TAK335" s="113"/>
      <c r="TAM335" s="114"/>
      <c r="TAN335" s="114"/>
      <c r="TAS335" s="111"/>
      <c r="TAT335" s="112"/>
      <c r="TAU335" s="113"/>
      <c r="TAW335" s="114"/>
      <c r="TAX335" s="114"/>
      <c r="TBC335" s="111"/>
      <c r="TBD335" s="112"/>
      <c r="TBE335" s="113"/>
      <c r="TBG335" s="114"/>
      <c r="TBH335" s="114"/>
      <c r="TBM335" s="111"/>
      <c r="TBN335" s="112"/>
      <c r="TBO335" s="113"/>
      <c r="TBQ335" s="114"/>
      <c r="TBR335" s="114"/>
      <c r="TBW335" s="111"/>
      <c r="TBX335" s="112"/>
      <c r="TBY335" s="113"/>
      <c r="TCA335" s="114"/>
      <c r="TCB335" s="114"/>
      <c r="TCG335" s="111"/>
      <c r="TCH335" s="112"/>
      <c r="TCI335" s="113"/>
      <c r="TCK335" s="114"/>
      <c r="TCL335" s="114"/>
      <c r="TCQ335" s="111"/>
      <c r="TCR335" s="112"/>
      <c r="TCS335" s="113"/>
      <c r="TCU335" s="114"/>
      <c r="TCV335" s="114"/>
      <c r="TDA335" s="111"/>
      <c r="TDB335" s="112"/>
      <c r="TDC335" s="113"/>
      <c r="TDE335" s="114"/>
      <c r="TDF335" s="114"/>
      <c r="TDK335" s="111"/>
      <c r="TDL335" s="112"/>
      <c r="TDM335" s="113"/>
      <c r="TDO335" s="114"/>
      <c r="TDP335" s="114"/>
      <c r="TDU335" s="111"/>
      <c r="TDV335" s="112"/>
      <c r="TDW335" s="113"/>
      <c r="TDY335" s="114"/>
      <c r="TDZ335" s="114"/>
      <c r="TEE335" s="111"/>
      <c r="TEF335" s="112"/>
      <c r="TEG335" s="113"/>
      <c r="TEI335" s="114"/>
      <c r="TEJ335" s="114"/>
      <c r="TEO335" s="111"/>
      <c r="TEP335" s="112"/>
      <c r="TEQ335" s="113"/>
      <c r="TES335" s="114"/>
      <c r="TET335" s="114"/>
      <c r="TEY335" s="111"/>
      <c r="TEZ335" s="112"/>
      <c r="TFA335" s="113"/>
      <c r="TFC335" s="114"/>
      <c r="TFD335" s="114"/>
      <c r="TFI335" s="111"/>
      <c r="TFJ335" s="112"/>
      <c r="TFK335" s="113"/>
      <c r="TFM335" s="114"/>
      <c r="TFN335" s="114"/>
      <c r="TFS335" s="111"/>
      <c r="TFT335" s="112"/>
      <c r="TFU335" s="113"/>
      <c r="TFW335" s="114"/>
      <c r="TFX335" s="114"/>
      <c r="TGC335" s="111"/>
      <c r="TGD335" s="112"/>
      <c r="TGE335" s="113"/>
      <c r="TGG335" s="114"/>
      <c r="TGH335" s="114"/>
      <c r="TGM335" s="111"/>
      <c r="TGN335" s="112"/>
      <c r="TGO335" s="113"/>
      <c r="TGQ335" s="114"/>
      <c r="TGR335" s="114"/>
      <c r="TGW335" s="111"/>
      <c r="TGX335" s="112"/>
      <c r="TGY335" s="113"/>
      <c r="THA335" s="114"/>
      <c r="THB335" s="114"/>
      <c r="THG335" s="111"/>
      <c r="THH335" s="112"/>
      <c r="THI335" s="113"/>
      <c r="THK335" s="114"/>
      <c r="THL335" s="114"/>
      <c r="THQ335" s="111"/>
      <c r="THR335" s="112"/>
      <c r="THS335" s="113"/>
      <c r="THU335" s="114"/>
      <c r="THV335" s="114"/>
      <c r="TIA335" s="111"/>
      <c r="TIB335" s="112"/>
      <c r="TIC335" s="113"/>
      <c r="TIE335" s="114"/>
      <c r="TIF335" s="114"/>
      <c r="TIK335" s="111"/>
      <c r="TIL335" s="112"/>
      <c r="TIM335" s="113"/>
      <c r="TIO335" s="114"/>
      <c r="TIP335" s="114"/>
      <c r="TIU335" s="111"/>
      <c r="TIV335" s="112"/>
      <c r="TIW335" s="113"/>
      <c r="TIY335" s="114"/>
      <c r="TIZ335" s="114"/>
      <c r="TJE335" s="111"/>
      <c r="TJF335" s="112"/>
      <c r="TJG335" s="113"/>
      <c r="TJI335" s="114"/>
      <c r="TJJ335" s="114"/>
      <c r="TJO335" s="111"/>
      <c r="TJP335" s="112"/>
      <c r="TJQ335" s="113"/>
      <c r="TJS335" s="114"/>
      <c r="TJT335" s="114"/>
      <c r="TJY335" s="111"/>
      <c r="TJZ335" s="112"/>
      <c r="TKA335" s="113"/>
      <c r="TKC335" s="114"/>
      <c r="TKD335" s="114"/>
      <c r="TKI335" s="111"/>
      <c r="TKJ335" s="112"/>
      <c r="TKK335" s="113"/>
      <c r="TKM335" s="114"/>
      <c r="TKN335" s="114"/>
      <c r="TKS335" s="111"/>
      <c r="TKT335" s="112"/>
      <c r="TKU335" s="113"/>
      <c r="TKW335" s="114"/>
      <c r="TKX335" s="114"/>
      <c r="TLC335" s="111"/>
      <c r="TLD335" s="112"/>
      <c r="TLE335" s="113"/>
      <c r="TLG335" s="114"/>
      <c r="TLH335" s="114"/>
      <c r="TLM335" s="111"/>
      <c r="TLN335" s="112"/>
      <c r="TLO335" s="113"/>
      <c r="TLQ335" s="114"/>
      <c r="TLR335" s="114"/>
      <c r="TLW335" s="111"/>
      <c r="TLX335" s="112"/>
      <c r="TLY335" s="113"/>
      <c r="TMA335" s="114"/>
      <c r="TMB335" s="114"/>
      <c r="TMG335" s="111"/>
      <c r="TMH335" s="112"/>
      <c r="TMI335" s="113"/>
      <c r="TMK335" s="114"/>
      <c r="TML335" s="114"/>
      <c r="TMQ335" s="111"/>
      <c r="TMR335" s="112"/>
      <c r="TMS335" s="113"/>
      <c r="TMU335" s="114"/>
      <c r="TMV335" s="114"/>
      <c r="TNA335" s="111"/>
      <c r="TNB335" s="112"/>
      <c r="TNC335" s="113"/>
      <c r="TNE335" s="114"/>
      <c r="TNF335" s="114"/>
      <c r="TNK335" s="111"/>
      <c r="TNL335" s="112"/>
      <c r="TNM335" s="113"/>
      <c r="TNO335" s="114"/>
      <c r="TNP335" s="114"/>
      <c r="TNU335" s="111"/>
      <c r="TNV335" s="112"/>
      <c r="TNW335" s="113"/>
      <c r="TNY335" s="114"/>
      <c r="TNZ335" s="114"/>
      <c r="TOE335" s="111"/>
      <c r="TOF335" s="112"/>
      <c r="TOG335" s="113"/>
      <c r="TOI335" s="114"/>
      <c r="TOJ335" s="114"/>
      <c r="TOO335" s="111"/>
      <c r="TOP335" s="112"/>
      <c r="TOQ335" s="113"/>
      <c r="TOS335" s="114"/>
      <c r="TOT335" s="114"/>
      <c r="TOY335" s="111"/>
      <c r="TOZ335" s="112"/>
      <c r="TPA335" s="113"/>
      <c r="TPC335" s="114"/>
      <c r="TPD335" s="114"/>
      <c r="TPI335" s="111"/>
      <c r="TPJ335" s="112"/>
      <c r="TPK335" s="113"/>
      <c r="TPM335" s="114"/>
      <c r="TPN335" s="114"/>
      <c r="TPS335" s="111"/>
      <c r="TPT335" s="112"/>
      <c r="TPU335" s="113"/>
      <c r="TPW335" s="114"/>
      <c r="TPX335" s="114"/>
      <c r="TQC335" s="111"/>
      <c r="TQD335" s="112"/>
      <c r="TQE335" s="113"/>
      <c r="TQG335" s="114"/>
      <c r="TQH335" s="114"/>
      <c r="TQM335" s="111"/>
      <c r="TQN335" s="112"/>
      <c r="TQO335" s="113"/>
      <c r="TQQ335" s="114"/>
      <c r="TQR335" s="114"/>
      <c r="TQW335" s="111"/>
      <c r="TQX335" s="112"/>
      <c r="TQY335" s="113"/>
      <c r="TRA335" s="114"/>
      <c r="TRB335" s="114"/>
      <c r="TRG335" s="111"/>
      <c r="TRH335" s="112"/>
      <c r="TRI335" s="113"/>
      <c r="TRK335" s="114"/>
      <c r="TRL335" s="114"/>
      <c r="TRQ335" s="111"/>
      <c r="TRR335" s="112"/>
      <c r="TRS335" s="113"/>
      <c r="TRU335" s="114"/>
      <c r="TRV335" s="114"/>
      <c r="TSA335" s="111"/>
      <c r="TSB335" s="112"/>
      <c r="TSC335" s="113"/>
      <c r="TSE335" s="114"/>
      <c r="TSF335" s="114"/>
      <c r="TSK335" s="111"/>
      <c r="TSL335" s="112"/>
      <c r="TSM335" s="113"/>
      <c r="TSO335" s="114"/>
      <c r="TSP335" s="114"/>
      <c r="TSU335" s="111"/>
      <c r="TSV335" s="112"/>
      <c r="TSW335" s="113"/>
      <c r="TSY335" s="114"/>
      <c r="TSZ335" s="114"/>
      <c r="TTE335" s="111"/>
      <c r="TTF335" s="112"/>
      <c r="TTG335" s="113"/>
      <c r="TTI335" s="114"/>
      <c r="TTJ335" s="114"/>
      <c r="TTO335" s="111"/>
      <c r="TTP335" s="112"/>
      <c r="TTQ335" s="113"/>
      <c r="TTS335" s="114"/>
      <c r="TTT335" s="114"/>
      <c r="TTY335" s="111"/>
      <c r="TTZ335" s="112"/>
      <c r="TUA335" s="113"/>
      <c r="TUC335" s="114"/>
      <c r="TUD335" s="114"/>
      <c r="TUI335" s="111"/>
      <c r="TUJ335" s="112"/>
      <c r="TUK335" s="113"/>
      <c r="TUM335" s="114"/>
      <c r="TUN335" s="114"/>
      <c r="TUS335" s="111"/>
      <c r="TUT335" s="112"/>
      <c r="TUU335" s="113"/>
      <c r="TUW335" s="114"/>
      <c r="TUX335" s="114"/>
      <c r="TVC335" s="111"/>
      <c r="TVD335" s="112"/>
      <c r="TVE335" s="113"/>
      <c r="TVG335" s="114"/>
      <c r="TVH335" s="114"/>
      <c r="TVM335" s="111"/>
      <c r="TVN335" s="112"/>
      <c r="TVO335" s="113"/>
      <c r="TVQ335" s="114"/>
      <c r="TVR335" s="114"/>
      <c r="TVW335" s="111"/>
      <c r="TVX335" s="112"/>
      <c r="TVY335" s="113"/>
      <c r="TWA335" s="114"/>
      <c r="TWB335" s="114"/>
      <c r="TWG335" s="111"/>
      <c r="TWH335" s="112"/>
      <c r="TWI335" s="113"/>
      <c r="TWK335" s="114"/>
      <c r="TWL335" s="114"/>
      <c r="TWQ335" s="111"/>
      <c r="TWR335" s="112"/>
      <c r="TWS335" s="113"/>
      <c r="TWU335" s="114"/>
      <c r="TWV335" s="114"/>
      <c r="TXA335" s="111"/>
      <c r="TXB335" s="112"/>
      <c r="TXC335" s="113"/>
      <c r="TXE335" s="114"/>
      <c r="TXF335" s="114"/>
      <c r="TXK335" s="111"/>
      <c r="TXL335" s="112"/>
      <c r="TXM335" s="113"/>
      <c r="TXO335" s="114"/>
      <c r="TXP335" s="114"/>
      <c r="TXU335" s="111"/>
      <c r="TXV335" s="112"/>
      <c r="TXW335" s="113"/>
      <c r="TXY335" s="114"/>
      <c r="TXZ335" s="114"/>
      <c r="TYE335" s="111"/>
      <c r="TYF335" s="112"/>
      <c r="TYG335" s="113"/>
      <c r="TYI335" s="114"/>
      <c r="TYJ335" s="114"/>
      <c r="TYO335" s="111"/>
      <c r="TYP335" s="112"/>
      <c r="TYQ335" s="113"/>
      <c r="TYS335" s="114"/>
      <c r="TYT335" s="114"/>
      <c r="TYY335" s="111"/>
      <c r="TYZ335" s="112"/>
      <c r="TZA335" s="113"/>
      <c r="TZC335" s="114"/>
      <c r="TZD335" s="114"/>
      <c r="TZI335" s="111"/>
      <c r="TZJ335" s="112"/>
      <c r="TZK335" s="113"/>
      <c r="TZM335" s="114"/>
      <c r="TZN335" s="114"/>
      <c r="TZS335" s="111"/>
      <c r="TZT335" s="112"/>
      <c r="TZU335" s="113"/>
      <c r="TZW335" s="114"/>
      <c r="TZX335" s="114"/>
      <c r="UAC335" s="111"/>
      <c r="UAD335" s="112"/>
      <c r="UAE335" s="113"/>
      <c r="UAG335" s="114"/>
      <c r="UAH335" s="114"/>
      <c r="UAM335" s="111"/>
      <c r="UAN335" s="112"/>
      <c r="UAO335" s="113"/>
      <c r="UAQ335" s="114"/>
      <c r="UAR335" s="114"/>
      <c r="UAW335" s="111"/>
      <c r="UAX335" s="112"/>
      <c r="UAY335" s="113"/>
      <c r="UBA335" s="114"/>
      <c r="UBB335" s="114"/>
      <c r="UBG335" s="111"/>
      <c r="UBH335" s="112"/>
      <c r="UBI335" s="113"/>
      <c r="UBK335" s="114"/>
      <c r="UBL335" s="114"/>
      <c r="UBQ335" s="111"/>
      <c r="UBR335" s="112"/>
      <c r="UBS335" s="113"/>
      <c r="UBU335" s="114"/>
      <c r="UBV335" s="114"/>
      <c r="UCA335" s="111"/>
      <c r="UCB335" s="112"/>
      <c r="UCC335" s="113"/>
      <c r="UCE335" s="114"/>
      <c r="UCF335" s="114"/>
      <c r="UCK335" s="111"/>
      <c r="UCL335" s="112"/>
      <c r="UCM335" s="113"/>
      <c r="UCO335" s="114"/>
      <c r="UCP335" s="114"/>
      <c r="UCU335" s="111"/>
      <c r="UCV335" s="112"/>
      <c r="UCW335" s="113"/>
      <c r="UCY335" s="114"/>
      <c r="UCZ335" s="114"/>
      <c r="UDE335" s="111"/>
      <c r="UDF335" s="112"/>
      <c r="UDG335" s="113"/>
      <c r="UDI335" s="114"/>
      <c r="UDJ335" s="114"/>
      <c r="UDO335" s="111"/>
      <c r="UDP335" s="112"/>
      <c r="UDQ335" s="113"/>
      <c r="UDS335" s="114"/>
      <c r="UDT335" s="114"/>
      <c r="UDY335" s="111"/>
      <c r="UDZ335" s="112"/>
      <c r="UEA335" s="113"/>
      <c r="UEC335" s="114"/>
      <c r="UED335" s="114"/>
      <c r="UEI335" s="111"/>
      <c r="UEJ335" s="112"/>
      <c r="UEK335" s="113"/>
      <c r="UEM335" s="114"/>
      <c r="UEN335" s="114"/>
      <c r="UES335" s="111"/>
      <c r="UET335" s="112"/>
      <c r="UEU335" s="113"/>
      <c r="UEW335" s="114"/>
      <c r="UEX335" s="114"/>
      <c r="UFC335" s="111"/>
      <c r="UFD335" s="112"/>
      <c r="UFE335" s="113"/>
      <c r="UFG335" s="114"/>
      <c r="UFH335" s="114"/>
      <c r="UFM335" s="111"/>
      <c r="UFN335" s="112"/>
      <c r="UFO335" s="113"/>
      <c r="UFQ335" s="114"/>
      <c r="UFR335" s="114"/>
      <c r="UFW335" s="111"/>
      <c r="UFX335" s="112"/>
      <c r="UFY335" s="113"/>
      <c r="UGA335" s="114"/>
      <c r="UGB335" s="114"/>
      <c r="UGG335" s="111"/>
      <c r="UGH335" s="112"/>
      <c r="UGI335" s="113"/>
      <c r="UGK335" s="114"/>
      <c r="UGL335" s="114"/>
      <c r="UGQ335" s="111"/>
      <c r="UGR335" s="112"/>
      <c r="UGS335" s="113"/>
      <c r="UGU335" s="114"/>
      <c r="UGV335" s="114"/>
      <c r="UHA335" s="111"/>
      <c r="UHB335" s="112"/>
      <c r="UHC335" s="113"/>
      <c r="UHE335" s="114"/>
      <c r="UHF335" s="114"/>
      <c r="UHK335" s="111"/>
      <c r="UHL335" s="112"/>
      <c r="UHM335" s="113"/>
      <c r="UHO335" s="114"/>
      <c r="UHP335" s="114"/>
      <c r="UHU335" s="111"/>
      <c r="UHV335" s="112"/>
      <c r="UHW335" s="113"/>
      <c r="UHY335" s="114"/>
      <c r="UHZ335" s="114"/>
      <c r="UIE335" s="111"/>
      <c r="UIF335" s="112"/>
      <c r="UIG335" s="113"/>
      <c r="UII335" s="114"/>
      <c r="UIJ335" s="114"/>
      <c r="UIO335" s="111"/>
      <c r="UIP335" s="112"/>
      <c r="UIQ335" s="113"/>
      <c r="UIS335" s="114"/>
      <c r="UIT335" s="114"/>
      <c r="UIY335" s="111"/>
      <c r="UIZ335" s="112"/>
      <c r="UJA335" s="113"/>
      <c r="UJC335" s="114"/>
      <c r="UJD335" s="114"/>
      <c r="UJI335" s="111"/>
      <c r="UJJ335" s="112"/>
      <c r="UJK335" s="113"/>
      <c r="UJM335" s="114"/>
      <c r="UJN335" s="114"/>
      <c r="UJS335" s="111"/>
      <c r="UJT335" s="112"/>
      <c r="UJU335" s="113"/>
      <c r="UJW335" s="114"/>
      <c r="UJX335" s="114"/>
      <c r="UKC335" s="111"/>
      <c r="UKD335" s="112"/>
      <c r="UKE335" s="113"/>
      <c r="UKG335" s="114"/>
      <c r="UKH335" s="114"/>
      <c r="UKM335" s="111"/>
      <c r="UKN335" s="112"/>
      <c r="UKO335" s="113"/>
      <c r="UKQ335" s="114"/>
      <c r="UKR335" s="114"/>
      <c r="UKW335" s="111"/>
      <c r="UKX335" s="112"/>
      <c r="UKY335" s="113"/>
      <c r="ULA335" s="114"/>
      <c r="ULB335" s="114"/>
      <c r="ULG335" s="111"/>
      <c r="ULH335" s="112"/>
      <c r="ULI335" s="113"/>
      <c r="ULK335" s="114"/>
      <c r="ULL335" s="114"/>
      <c r="ULQ335" s="111"/>
      <c r="ULR335" s="112"/>
      <c r="ULS335" s="113"/>
      <c r="ULU335" s="114"/>
      <c r="ULV335" s="114"/>
      <c r="UMA335" s="111"/>
      <c r="UMB335" s="112"/>
      <c r="UMC335" s="113"/>
      <c r="UME335" s="114"/>
      <c r="UMF335" s="114"/>
      <c r="UMK335" s="111"/>
      <c r="UML335" s="112"/>
      <c r="UMM335" s="113"/>
      <c r="UMO335" s="114"/>
      <c r="UMP335" s="114"/>
      <c r="UMU335" s="111"/>
      <c r="UMV335" s="112"/>
      <c r="UMW335" s="113"/>
      <c r="UMY335" s="114"/>
      <c r="UMZ335" s="114"/>
      <c r="UNE335" s="111"/>
      <c r="UNF335" s="112"/>
      <c r="UNG335" s="113"/>
      <c r="UNI335" s="114"/>
      <c r="UNJ335" s="114"/>
      <c r="UNO335" s="111"/>
      <c r="UNP335" s="112"/>
      <c r="UNQ335" s="113"/>
      <c r="UNS335" s="114"/>
      <c r="UNT335" s="114"/>
      <c r="UNY335" s="111"/>
      <c r="UNZ335" s="112"/>
      <c r="UOA335" s="113"/>
      <c r="UOC335" s="114"/>
      <c r="UOD335" s="114"/>
      <c r="UOI335" s="111"/>
      <c r="UOJ335" s="112"/>
      <c r="UOK335" s="113"/>
      <c r="UOM335" s="114"/>
      <c r="UON335" s="114"/>
      <c r="UOS335" s="111"/>
      <c r="UOT335" s="112"/>
      <c r="UOU335" s="113"/>
      <c r="UOW335" s="114"/>
      <c r="UOX335" s="114"/>
      <c r="UPC335" s="111"/>
      <c r="UPD335" s="112"/>
      <c r="UPE335" s="113"/>
      <c r="UPG335" s="114"/>
      <c r="UPH335" s="114"/>
      <c r="UPM335" s="111"/>
      <c r="UPN335" s="112"/>
      <c r="UPO335" s="113"/>
      <c r="UPQ335" s="114"/>
      <c r="UPR335" s="114"/>
      <c r="UPW335" s="111"/>
      <c r="UPX335" s="112"/>
      <c r="UPY335" s="113"/>
      <c r="UQA335" s="114"/>
      <c r="UQB335" s="114"/>
      <c r="UQG335" s="111"/>
      <c r="UQH335" s="112"/>
      <c r="UQI335" s="113"/>
      <c r="UQK335" s="114"/>
      <c r="UQL335" s="114"/>
      <c r="UQQ335" s="111"/>
      <c r="UQR335" s="112"/>
      <c r="UQS335" s="113"/>
      <c r="UQU335" s="114"/>
      <c r="UQV335" s="114"/>
      <c r="URA335" s="111"/>
      <c r="URB335" s="112"/>
      <c r="URC335" s="113"/>
      <c r="URE335" s="114"/>
      <c r="URF335" s="114"/>
      <c r="URK335" s="111"/>
      <c r="URL335" s="112"/>
      <c r="URM335" s="113"/>
      <c r="URO335" s="114"/>
      <c r="URP335" s="114"/>
      <c r="URU335" s="111"/>
      <c r="URV335" s="112"/>
      <c r="URW335" s="113"/>
      <c r="URY335" s="114"/>
      <c r="URZ335" s="114"/>
      <c r="USE335" s="111"/>
      <c r="USF335" s="112"/>
      <c r="USG335" s="113"/>
      <c r="USI335" s="114"/>
      <c r="USJ335" s="114"/>
      <c r="USO335" s="111"/>
      <c r="USP335" s="112"/>
      <c r="USQ335" s="113"/>
      <c r="USS335" s="114"/>
      <c r="UST335" s="114"/>
      <c r="USY335" s="111"/>
      <c r="USZ335" s="112"/>
      <c r="UTA335" s="113"/>
      <c r="UTC335" s="114"/>
      <c r="UTD335" s="114"/>
      <c r="UTI335" s="111"/>
      <c r="UTJ335" s="112"/>
      <c r="UTK335" s="113"/>
      <c r="UTM335" s="114"/>
      <c r="UTN335" s="114"/>
      <c r="UTS335" s="111"/>
      <c r="UTT335" s="112"/>
      <c r="UTU335" s="113"/>
      <c r="UTW335" s="114"/>
      <c r="UTX335" s="114"/>
      <c r="UUC335" s="111"/>
      <c r="UUD335" s="112"/>
      <c r="UUE335" s="113"/>
      <c r="UUG335" s="114"/>
      <c r="UUH335" s="114"/>
      <c r="UUM335" s="111"/>
      <c r="UUN335" s="112"/>
      <c r="UUO335" s="113"/>
      <c r="UUQ335" s="114"/>
      <c r="UUR335" s="114"/>
      <c r="UUW335" s="111"/>
      <c r="UUX335" s="112"/>
      <c r="UUY335" s="113"/>
      <c r="UVA335" s="114"/>
      <c r="UVB335" s="114"/>
      <c r="UVG335" s="111"/>
      <c r="UVH335" s="112"/>
      <c r="UVI335" s="113"/>
      <c r="UVK335" s="114"/>
      <c r="UVL335" s="114"/>
      <c r="UVQ335" s="111"/>
      <c r="UVR335" s="112"/>
      <c r="UVS335" s="113"/>
      <c r="UVU335" s="114"/>
      <c r="UVV335" s="114"/>
      <c r="UWA335" s="111"/>
      <c r="UWB335" s="112"/>
      <c r="UWC335" s="113"/>
      <c r="UWE335" s="114"/>
      <c r="UWF335" s="114"/>
      <c r="UWK335" s="111"/>
      <c r="UWL335" s="112"/>
      <c r="UWM335" s="113"/>
      <c r="UWO335" s="114"/>
      <c r="UWP335" s="114"/>
      <c r="UWU335" s="111"/>
      <c r="UWV335" s="112"/>
      <c r="UWW335" s="113"/>
      <c r="UWY335" s="114"/>
      <c r="UWZ335" s="114"/>
      <c r="UXE335" s="111"/>
      <c r="UXF335" s="112"/>
      <c r="UXG335" s="113"/>
      <c r="UXI335" s="114"/>
      <c r="UXJ335" s="114"/>
      <c r="UXO335" s="111"/>
      <c r="UXP335" s="112"/>
      <c r="UXQ335" s="113"/>
      <c r="UXS335" s="114"/>
      <c r="UXT335" s="114"/>
      <c r="UXY335" s="111"/>
      <c r="UXZ335" s="112"/>
      <c r="UYA335" s="113"/>
      <c r="UYC335" s="114"/>
      <c r="UYD335" s="114"/>
      <c r="UYI335" s="111"/>
      <c r="UYJ335" s="112"/>
      <c r="UYK335" s="113"/>
      <c r="UYM335" s="114"/>
      <c r="UYN335" s="114"/>
      <c r="UYS335" s="111"/>
      <c r="UYT335" s="112"/>
      <c r="UYU335" s="113"/>
      <c r="UYW335" s="114"/>
      <c r="UYX335" s="114"/>
      <c r="UZC335" s="111"/>
      <c r="UZD335" s="112"/>
      <c r="UZE335" s="113"/>
      <c r="UZG335" s="114"/>
      <c r="UZH335" s="114"/>
      <c r="UZM335" s="111"/>
      <c r="UZN335" s="112"/>
      <c r="UZO335" s="113"/>
      <c r="UZQ335" s="114"/>
      <c r="UZR335" s="114"/>
      <c r="UZW335" s="111"/>
      <c r="UZX335" s="112"/>
      <c r="UZY335" s="113"/>
      <c r="VAA335" s="114"/>
      <c r="VAB335" s="114"/>
      <c r="VAG335" s="111"/>
      <c r="VAH335" s="112"/>
      <c r="VAI335" s="113"/>
      <c r="VAK335" s="114"/>
      <c r="VAL335" s="114"/>
      <c r="VAQ335" s="111"/>
      <c r="VAR335" s="112"/>
      <c r="VAS335" s="113"/>
      <c r="VAU335" s="114"/>
      <c r="VAV335" s="114"/>
      <c r="VBA335" s="111"/>
      <c r="VBB335" s="112"/>
      <c r="VBC335" s="113"/>
      <c r="VBE335" s="114"/>
      <c r="VBF335" s="114"/>
      <c r="VBK335" s="111"/>
      <c r="VBL335" s="112"/>
      <c r="VBM335" s="113"/>
      <c r="VBO335" s="114"/>
      <c r="VBP335" s="114"/>
      <c r="VBU335" s="111"/>
      <c r="VBV335" s="112"/>
      <c r="VBW335" s="113"/>
      <c r="VBY335" s="114"/>
      <c r="VBZ335" s="114"/>
      <c r="VCE335" s="111"/>
      <c r="VCF335" s="112"/>
      <c r="VCG335" s="113"/>
      <c r="VCI335" s="114"/>
      <c r="VCJ335" s="114"/>
      <c r="VCO335" s="111"/>
      <c r="VCP335" s="112"/>
      <c r="VCQ335" s="113"/>
      <c r="VCS335" s="114"/>
      <c r="VCT335" s="114"/>
      <c r="VCY335" s="111"/>
      <c r="VCZ335" s="112"/>
      <c r="VDA335" s="113"/>
      <c r="VDC335" s="114"/>
      <c r="VDD335" s="114"/>
      <c r="VDI335" s="111"/>
      <c r="VDJ335" s="112"/>
      <c r="VDK335" s="113"/>
      <c r="VDM335" s="114"/>
      <c r="VDN335" s="114"/>
      <c r="VDS335" s="111"/>
      <c r="VDT335" s="112"/>
      <c r="VDU335" s="113"/>
      <c r="VDW335" s="114"/>
      <c r="VDX335" s="114"/>
      <c r="VEC335" s="111"/>
      <c r="VED335" s="112"/>
      <c r="VEE335" s="113"/>
      <c r="VEG335" s="114"/>
      <c r="VEH335" s="114"/>
      <c r="VEM335" s="111"/>
      <c r="VEN335" s="112"/>
      <c r="VEO335" s="113"/>
      <c r="VEQ335" s="114"/>
      <c r="VER335" s="114"/>
      <c r="VEW335" s="111"/>
      <c r="VEX335" s="112"/>
      <c r="VEY335" s="113"/>
      <c r="VFA335" s="114"/>
      <c r="VFB335" s="114"/>
      <c r="VFG335" s="111"/>
      <c r="VFH335" s="112"/>
      <c r="VFI335" s="113"/>
      <c r="VFK335" s="114"/>
      <c r="VFL335" s="114"/>
      <c r="VFQ335" s="111"/>
      <c r="VFR335" s="112"/>
      <c r="VFS335" s="113"/>
      <c r="VFU335" s="114"/>
      <c r="VFV335" s="114"/>
      <c r="VGA335" s="111"/>
      <c r="VGB335" s="112"/>
      <c r="VGC335" s="113"/>
      <c r="VGE335" s="114"/>
      <c r="VGF335" s="114"/>
      <c r="VGK335" s="111"/>
      <c r="VGL335" s="112"/>
      <c r="VGM335" s="113"/>
      <c r="VGO335" s="114"/>
      <c r="VGP335" s="114"/>
      <c r="VGU335" s="111"/>
      <c r="VGV335" s="112"/>
      <c r="VGW335" s="113"/>
      <c r="VGY335" s="114"/>
      <c r="VGZ335" s="114"/>
      <c r="VHE335" s="111"/>
      <c r="VHF335" s="112"/>
      <c r="VHG335" s="113"/>
      <c r="VHI335" s="114"/>
      <c r="VHJ335" s="114"/>
      <c r="VHO335" s="111"/>
      <c r="VHP335" s="112"/>
      <c r="VHQ335" s="113"/>
      <c r="VHS335" s="114"/>
      <c r="VHT335" s="114"/>
      <c r="VHY335" s="111"/>
      <c r="VHZ335" s="112"/>
      <c r="VIA335" s="113"/>
      <c r="VIC335" s="114"/>
      <c r="VID335" s="114"/>
      <c r="VII335" s="111"/>
      <c r="VIJ335" s="112"/>
      <c r="VIK335" s="113"/>
      <c r="VIM335" s="114"/>
      <c r="VIN335" s="114"/>
      <c r="VIS335" s="111"/>
      <c r="VIT335" s="112"/>
      <c r="VIU335" s="113"/>
      <c r="VIW335" s="114"/>
      <c r="VIX335" s="114"/>
      <c r="VJC335" s="111"/>
      <c r="VJD335" s="112"/>
      <c r="VJE335" s="113"/>
      <c r="VJG335" s="114"/>
      <c r="VJH335" s="114"/>
      <c r="VJM335" s="111"/>
      <c r="VJN335" s="112"/>
      <c r="VJO335" s="113"/>
      <c r="VJQ335" s="114"/>
      <c r="VJR335" s="114"/>
      <c r="VJW335" s="111"/>
      <c r="VJX335" s="112"/>
      <c r="VJY335" s="113"/>
      <c r="VKA335" s="114"/>
      <c r="VKB335" s="114"/>
      <c r="VKG335" s="111"/>
      <c r="VKH335" s="112"/>
      <c r="VKI335" s="113"/>
      <c r="VKK335" s="114"/>
      <c r="VKL335" s="114"/>
      <c r="VKQ335" s="111"/>
      <c r="VKR335" s="112"/>
      <c r="VKS335" s="113"/>
      <c r="VKU335" s="114"/>
      <c r="VKV335" s="114"/>
      <c r="VLA335" s="111"/>
      <c r="VLB335" s="112"/>
      <c r="VLC335" s="113"/>
      <c r="VLE335" s="114"/>
      <c r="VLF335" s="114"/>
      <c r="VLK335" s="111"/>
      <c r="VLL335" s="112"/>
      <c r="VLM335" s="113"/>
      <c r="VLO335" s="114"/>
      <c r="VLP335" s="114"/>
      <c r="VLU335" s="111"/>
      <c r="VLV335" s="112"/>
      <c r="VLW335" s="113"/>
      <c r="VLY335" s="114"/>
      <c r="VLZ335" s="114"/>
      <c r="VME335" s="111"/>
      <c r="VMF335" s="112"/>
      <c r="VMG335" s="113"/>
      <c r="VMI335" s="114"/>
      <c r="VMJ335" s="114"/>
      <c r="VMO335" s="111"/>
      <c r="VMP335" s="112"/>
      <c r="VMQ335" s="113"/>
      <c r="VMS335" s="114"/>
      <c r="VMT335" s="114"/>
      <c r="VMY335" s="111"/>
      <c r="VMZ335" s="112"/>
      <c r="VNA335" s="113"/>
      <c r="VNC335" s="114"/>
      <c r="VND335" s="114"/>
      <c r="VNI335" s="111"/>
      <c r="VNJ335" s="112"/>
      <c r="VNK335" s="113"/>
      <c r="VNM335" s="114"/>
      <c r="VNN335" s="114"/>
      <c r="VNS335" s="111"/>
      <c r="VNT335" s="112"/>
      <c r="VNU335" s="113"/>
      <c r="VNW335" s="114"/>
      <c r="VNX335" s="114"/>
      <c r="VOC335" s="111"/>
      <c r="VOD335" s="112"/>
      <c r="VOE335" s="113"/>
      <c r="VOG335" s="114"/>
      <c r="VOH335" s="114"/>
      <c r="VOM335" s="111"/>
      <c r="VON335" s="112"/>
      <c r="VOO335" s="113"/>
      <c r="VOQ335" s="114"/>
      <c r="VOR335" s="114"/>
      <c r="VOW335" s="111"/>
      <c r="VOX335" s="112"/>
      <c r="VOY335" s="113"/>
      <c r="VPA335" s="114"/>
      <c r="VPB335" s="114"/>
      <c r="VPG335" s="111"/>
      <c r="VPH335" s="112"/>
      <c r="VPI335" s="113"/>
      <c r="VPK335" s="114"/>
      <c r="VPL335" s="114"/>
      <c r="VPQ335" s="111"/>
      <c r="VPR335" s="112"/>
      <c r="VPS335" s="113"/>
      <c r="VPU335" s="114"/>
      <c r="VPV335" s="114"/>
      <c r="VQA335" s="111"/>
      <c r="VQB335" s="112"/>
      <c r="VQC335" s="113"/>
      <c r="VQE335" s="114"/>
      <c r="VQF335" s="114"/>
      <c r="VQK335" s="111"/>
      <c r="VQL335" s="112"/>
      <c r="VQM335" s="113"/>
      <c r="VQO335" s="114"/>
      <c r="VQP335" s="114"/>
      <c r="VQU335" s="111"/>
      <c r="VQV335" s="112"/>
      <c r="VQW335" s="113"/>
      <c r="VQY335" s="114"/>
      <c r="VQZ335" s="114"/>
      <c r="VRE335" s="111"/>
      <c r="VRF335" s="112"/>
      <c r="VRG335" s="113"/>
      <c r="VRI335" s="114"/>
      <c r="VRJ335" s="114"/>
      <c r="VRO335" s="111"/>
      <c r="VRP335" s="112"/>
      <c r="VRQ335" s="113"/>
      <c r="VRS335" s="114"/>
      <c r="VRT335" s="114"/>
      <c r="VRY335" s="111"/>
      <c r="VRZ335" s="112"/>
      <c r="VSA335" s="113"/>
      <c r="VSC335" s="114"/>
      <c r="VSD335" s="114"/>
      <c r="VSI335" s="111"/>
      <c r="VSJ335" s="112"/>
      <c r="VSK335" s="113"/>
      <c r="VSM335" s="114"/>
      <c r="VSN335" s="114"/>
      <c r="VSS335" s="111"/>
      <c r="VST335" s="112"/>
      <c r="VSU335" s="113"/>
      <c r="VSW335" s="114"/>
      <c r="VSX335" s="114"/>
      <c r="VTC335" s="111"/>
      <c r="VTD335" s="112"/>
      <c r="VTE335" s="113"/>
      <c r="VTG335" s="114"/>
      <c r="VTH335" s="114"/>
      <c r="VTM335" s="111"/>
      <c r="VTN335" s="112"/>
      <c r="VTO335" s="113"/>
      <c r="VTQ335" s="114"/>
      <c r="VTR335" s="114"/>
      <c r="VTW335" s="111"/>
      <c r="VTX335" s="112"/>
      <c r="VTY335" s="113"/>
      <c r="VUA335" s="114"/>
      <c r="VUB335" s="114"/>
      <c r="VUG335" s="111"/>
      <c r="VUH335" s="112"/>
      <c r="VUI335" s="113"/>
      <c r="VUK335" s="114"/>
      <c r="VUL335" s="114"/>
      <c r="VUQ335" s="111"/>
      <c r="VUR335" s="112"/>
      <c r="VUS335" s="113"/>
      <c r="VUU335" s="114"/>
      <c r="VUV335" s="114"/>
      <c r="VVA335" s="111"/>
      <c r="VVB335" s="112"/>
      <c r="VVC335" s="113"/>
      <c r="VVE335" s="114"/>
      <c r="VVF335" s="114"/>
      <c r="VVK335" s="111"/>
      <c r="VVL335" s="112"/>
      <c r="VVM335" s="113"/>
      <c r="VVO335" s="114"/>
      <c r="VVP335" s="114"/>
      <c r="VVU335" s="111"/>
      <c r="VVV335" s="112"/>
      <c r="VVW335" s="113"/>
      <c r="VVY335" s="114"/>
      <c r="VVZ335" s="114"/>
      <c r="VWE335" s="111"/>
      <c r="VWF335" s="112"/>
      <c r="VWG335" s="113"/>
      <c r="VWI335" s="114"/>
      <c r="VWJ335" s="114"/>
      <c r="VWO335" s="111"/>
      <c r="VWP335" s="112"/>
      <c r="VWQ335" s="113"/>
      <c r="VWS335" s="114"/>
      <c r="VWT335" s="114"/>
      <c r="VWY335" s="111"/>
      <c r="VWZ335" s="112"/>
      <c r="VXA335" s="113"/>
      <c r="VXC335" s="114"/>
      <c r="VXD335" s="114"/>
      <c r="VXI335" s="111"/>
      <c r="VXJ335" s="112"/>
      <c r="VXK335" s="113"/>
      <c r="VXM335" s="114"/>
      <c r="VXN335" s="114"/>
      <c r="VXS335" s="111"/>
      <c r="VXT335" s="112"/>
      <c r="VXU335" s="113"/>
      <c r="VXW335" s="114"/>
      <c r="VXX335" s="114"/>
      <c r="VYC335" s="111"/>
      <c r="VYD335" s="112"/>
      <c r="VYE335" s="113"/>
      <c r="VYG335" s="114"/>
      <c r="VYH335" s="114"/>
      <c r="VYM335" s="111"/>
      <c r="VYN335" s="112"/>
      <c r="VYO335" s="113"/>
      <c r="VYQ335" s="114"/>
      <c r="VYR335" s="114"/>
      <c r="VYW335" s="111"/>
      <c r="VYX335" s="112"/>
      <c r="VYY335" s="113"/>
      <c r="VZA335" s="114"/>
      <c r="VZB335" s="114"/>
      <c r="VZG335" s="111"/>
      <c r="VZH335" s="112"/>
      <c r="VZI335" s="113"/>
      <c r="VZK335" s="114"/>
      <c r="VZL335" s="114"/>
      <c r="VZQ335" s="111"/>
      <c r="VZR335" s="112"/>
      <c r="VZS335" s="113"/>
      <c r="VZU335" s="114"/>
      <c r="VZV335" s="114"/>
      <c r="WAA335" s="111"/>
      <c r="WAB335" s="112"/>
      <c r="WAC335" s="113"/>
      <c r="WAE335" s="114"/>
      <c r="WAF335" s="114"/>
      <c r="WAK335" s="111"/>
      <c r="WAL335" s="112"/>
      <c r="WAM335" s="113"/>
      <c r="WAO335" s="114"/>
      <c r="WAP335" s="114"/>
      <c r="WAU335" s="111"/>
      <c r="WAV335" s="112"/>
      <c r="WAW335" s="113"/>
      <c r="WAY335" s="114"/>
      <c r="WAZ335" s="114"/>
      <c r="WBE335" s="111"/>
      <c r="WBF335" s="112"/>
      <c r="WBG335" s="113"/>
      <c r="WBI335" s="114"/>
      <c r="WBJ335" s="114"/>
      <c r="WBO335" s="111"/>
      <c r="WBP335" s="112"/>
      <c r="WBQ335" s="113"/>
      <c r="WBS335" s="114"/>
      <c r="WBT335" s="114"/>
      <c r="WBY335" s="111"/>
      <c r="WBZ335" s="112"/>
      <c r="WCA335" s="113"/>
      <c r="WCC335" s="114"/>
      <c r="WCD335" s="114"/>
      <c r="WCI335" s="111"/>
      <c r="WCJ335" s="112"/>
      <c r="WCK335" s="113"/>
      <c r="WCM335" s="114"/>
      <c r="WCN335" s="114"/>
      <c r="WCS335" s="111"/>
      <c r="WCT335" s="112"/>
      <c r="WCU335" s="113"/>
      <c r="WCW335" s="114"/>
      <c r="WCX335" s="114"/>
      <c r="WDC335" s="111"/>
      <c r="WDD335" s="112"/>
      <c r="WDE335" s="113"/>
      <c r="WDG335" s="114"/>
      <c r="WDH335" s="114"/>
      <c r="WDM335" s="111"/>
      <c r="WDN335" s="112"/>
      <c r="WDO335" s="113"/>
      <c r="WDQ335" s="114"/>
      <c r="WDR335" s="114"/>
      <c r="WDW335" s="111"/>
      <c r="WDX335" s="112"/>
      <c r="WDY335" s="113"/>
      <c r="WEA335" s="114"/>
      <c r="WEB335" s="114"/>
      <c r="WEG335" s="111"/>
      <c r="WEH335" s="112"/>
      <c r="WEI335" s="113"/>
      <c r="WEK335" s="114"/>
      <c r="WEL335" s="114"/>
      <c r="WEQ335" s="111"/>
      <c r="WER335" s="112"/>
      <c r="WES335" s="113"/>
      <c r="WEU335" s="114"/>
      <c r="WEV335" s="114"/>
      <c r="WFA335" s="111"/>
      <c r="WFB335" s="112"/>
      <c r="WFC335" s="113"/>
      <c r="WFE335" s="114"/>
      <c r="WFF335" s="114"/>
      <c r="WFK335" s="111"/>
      <c r="WFL335" s="112"/>
      <c r="WFM335" s="113"/>
      <c r="WFO335" s="114"/>
      <c r="WFP335" s="114"/>
      <c r="WFU335" s="111"/>
      <c r="WFV335" s="112"/>
      <c r="WFW335" s="113"/>
      <c r="WFY335" s="114"/>
      <c r="WFZ335" s="114"/>
      <c r="WGE335" s="111"/>
      <c r="WGF335" s="112"/>
      <c r="WGG335" s="113"/>
      <c r="WGI335" s="114"/>
      <c r="WGJ335" s="114"/>
      <c r="WGO335" s="111"/>
      <c r="WGP335" s="112"/>
      <c r="WGQ335" s="113"/>
      <c r="WGS335" s="114"/>
      <c r="WGT335" s="114"/>
      <c r="WGY335" s="111"/>
      <c r="WGZ335" s="112"/>
      <c r="WHA335" s="113"/>
      <c r="WHC335" s="114"/>
      <c r="WHD335" s="114"/>
      <c r="WHI335" s="111"/>
      <c r="WHJ335" s="112"/>
      <c r="WHK335" s="113"/>
      <c r="WHM335" s="114"/>
      <c r="WHN335" s="114"/>
      <c r="WHS335" s="111"/>
      <c r="WHT335" s="112"/>
      <c r="WHU335" s="113"/>
      <c r="WHW335" s="114"/>
      <c r="WHX335" s="114"/>
      <c r="WIC335" s="111"/>
      <c r="WID335" s="112"/>
      <c r="WIE335" s="113"/>
      <c r="WIG335" s="114"/>
      <c r="WIH335" s="114"/>
      <c r="WIM335" s="111"/>
      <c r="WIN335" s="112"/>
      <c r="WIO335" s="113"/>
      <c r="WIQ335" s="114"/>
      <c r="WIR335" s="114"/>
      <c r="WIW335" s="111"/>
      <c r="WIX335" s="112"/>
      <c r="WIY335" s="113"/>
      <c r="WJA335" s="114"/>
      <c r="WJB335" s="114"/>
      <c r="WJG335" s="111"/>
      <c r="WJH335" s="112"/>
      <c r="WJI335" s="113"/>
      <c r="WJK335" s="114"/>
      <c r="WJL335" s="114"/>
      <c r="WJQ335" s="111"/>
      <c r="WJR335" s="112"/>
      <c r="WJS335" s="113"/>
      <c r="WJU335" s="114"/>
      <c r="WJV335" s="114"/>
      <c r="WKA335" s="111"/>
      <c r="WKB335" s="112"/>
      <c r="WKC335" s="113"/>
      <c r="WKE335" s="114"/>
      <c r="WKF335" s="114"/>
      <c r="WKK335" s="111"/>
      <c r="WKL335" s="112"/>
      <c r="WKM335" s="113"/>
      <c r="WKO335" s="114"/>
      <c r="WKP335" s="114"/>
      <c r="WKU335" s="111"/>
      <c r="WKV335" s="112"/>
      <c r="WKW335" s="113"/>
      <c r="WKY335" s="114"/>
      <c r="WKZ335" s="114"/>
      <c r="WLE335" s="111"/>
      <c r="WLF335" s="112"/>
      <c r="WLG335" s="113"/>
      <c r="WLI335" s="114"/>
      <c r="WLJ335" s="114"/>
      <c r="WLO335" s="111"/>
      <c r="WLP335" s="112"/>
      <c r="WLQ335" s="113"/>
      <c r="WLS335" s="114"/>
      <c r="WLT335" s="114"/>
      <c r="WLY335" s="111"/>
      <c r="WLZ335" s="112"/>
      <c r="WMA335" s="113"/>
      <c r="WMC335" s="114"/>
      <c r="WMD335" s="114"/>
      <c r="WMI335" s="111"/>
      <c r="WMJ335" s="112"/>
      <c r="WMK335" s="113"/>
      <c r="WMM335" s="114"/>
      <c r="WMN335" s="114"/>
      <c r="WMS335" s="111"/>
      <c r="WMT335" s="112"/>
      <c r="WMU335" s="113"/>
      <c r="WMW335" s="114"/>
      <c r="WMX335" s="114"/>
      <c r="WNC335" s="111"/>
      <c r="WND335" s="112"/>
      <c r="WNE335" s="113"/>
      <c r="WNG335" s="114"/>
      <c r="WNH335" s="114"/>
      <c r="WNM335" s="111"/>
      <c r="WNN335" s="112"/>
      <c r="WNO335" s="113"/>
      <c r="WNQ335" s="114"/>
      <c r="WNR335" s="114"/>
      <c r="WNW335" s="111"/>
      <c r="WNX335" s="112"/>
      <c r="WNY335" s="113"/>
      <c r="WOA335" s="114"/>
      <c r="WOB335" s="114"/>
      <c r="WOG335" s="111"/>
      <c r="WOH335" s="112"/>
      <c r="WOI335" s="113"/>
      <c r="WOK335" s="114"/>
      <c r="WOL335" s="114"/>
      <c r="WOQ335" s="111"/>
      <c r="WOR335" s="112"/>
      <c r="WOS335" s="113"/>
      <c r="WOU335" s="114"/>
      <c r="WOV335" s="114"/>
      <c r="WPA335" s="111"/>
      <c r="WPB335" s="112"/>
      <c r="WPC335" s="113"/>
      <c r="WPE335" s="114"/>
      <c r="WPF335" s="114"/>
      <c r="WPK335" s="111"/>
      <c r="WPL335" s="112"/>
      <c r="WPM335" s="113"/>
      <c r="WPO335" s="114"/>
      <c r="WPP335" s="114"/>
      <c r="WPU335" s="111"/>
      <c r="WPV335" s="112"/>
      <c r="WPW335" s="113"/>
      <c r="WPY335" s="114"/>
      <c r="WPZ335" s="114"/>
      <c r="WQE335" s="111"/>
      <c r="WQF335" s="112"/>
      <c r="WQG335" s="113"/>
      <c r="WQI335" s="114"/>
      <c r="WQJ335" s="114"/>
      <c r="WQO335" s="111"/>
      <c r="WQP335" s="112"/>
      <c r="WQQ335" s="113"/>
      <c r="WQS335" s="114"/>
      <c r="WQT335" s="114"/>
      <c r="WQY335" s="111"/>
      <c r="WQZ335" s="112"/>
      <c r="WRA335" s="113"/>
      <c r="WRC335" s="114"/>
      <c r="WRD335" s="114"/>
      <c r="WRI335" s="111"/>
      <c r="WRJ335" s="112"/>
      <c r="WRK335" s="113"/>
      <c r="WRM335" s="114"/>
      <c r="WRN335" s="114"/>
      <c r="WRS335" s="111"/>
      <c r="WRT335" s="112"/>
      <c r="WRU335" s="113"/>
      <c r="WRW335" s="114"/>
      <c r="WRX335" s="114"/>
      <c r="WSC335" s="111"/>
      <c r="WSD335" s="112"/>
      <c r="WSE335" s="113"/>
      <c r="WSG335" s="114"/>
      <c r="WSH335" s="114"/>
      <c r="WSM335" s="111"/>
      <c r="WSN335" s="112"/>
      <c r="WSO335" s="113"/>
      <c r="WSQ335" s="114"/>
      <c r="WSR335" s="114"/>
      <c r="WSW335" s="111"/>
      <c r="WSX335" s="112"/>
      <c r="WSY335" s="113"/>
      <c r="WTA335" s="114"/>
      <c r="WTB335" s="114"/>
      <c r="WTG335" s="111"/>
      <c r="WTH335" s="112"/>
      <c r="WTI335" s="113"/>
      <c r="WTK335" s="114"/>
      <c r="WTL335" s="114"/>
      <c r="WTQ335" s="111"/>
      <c r="WTR335" s="112"/>
      <c r="WTS335" s="113"/>
      <c r="WTU335" s="114"/>
      <c r="WTV335" s="114"/>
      <c r="WUA335" s="111"/>
      <c r="WUB335" s="112"/>
      <c r="WUC335" s="113"/>
      <c r="WUE335" s="114"/>
      <c r="WUF335" s="114"/>
      <c r="WUK335" s="111"/>
      <c r="WUL335" s="112"/>
      <c r="WUM335" s="113"/>
      <c r="WUO335" s="114"/>
      <c r="WUP335" s="114"/>
      <c r="WUU335" s="111"/>
      <c r="WUV335" s="112"/>
      <c r="WUW335" s="113"/>
      <c r="WUY335" s="114"/>
      <c r="WUZ335" s="114"/>
      <c r="WVE335" s="111"/>
      <c r="WVF335" s="112"/>
      <c r="WVG335" s="113"/>
      <c r="WVI335" s="114"/>
      <c r="WVJ335" s="114"/>
      <c r="WVO335" s="111"/>
      <c r="WVP335" s="112"/>
      <c r="WVQ335" s="113"/>
      <c r="WVS335" s="114"/>
      <c r="WVT335" s="114"/>
      <c r="WVY335" s="111"/>
      <c r="WVZ335" s="112"/>
      <c r="WWA335" s="113"/>
      <c r="WWC335" s="114"/>
      <c r="WWD335" s="114"/>
      <c r="WWI335" s="111"/>
      <c r="WWJ335" s="112"/>
      <c r="WWK335" s="113"/>
      <c r="WWM335" s="114"/>
      <c r="WWN335" s="114"/>
      <c r="WWS335" s="111"/>
      <c r="WWT335" s="112"/>
      <c r="WWU335" s="113"/>
      <c r="WWW335" s="114"/>
      <c r="WWX335" s="114"/>
      <c r="WXC335" s="111"/>
      <c r="WXD335" s="112"/>
      <c r="WXE335" s="113"/>
      <c r="WXG335" s="114"/>
      <c r="WXH335" s="114"/>
      <c r="WXM335" s="111"/>
      <c r="WXN335" s="112"/>
      <c r="WXO335" s="113"/>
      <c r="WXQ335" s="114"/>
      <c r="WXR335" s="114"/>
      <c r="WXW335" s="111"/>
      <c r="WXX335" s="112"/>
      <c r="WXY335" s="113"/>
      <c r="WYA335" s="114"/>
      <c r="WYB335" s="114"/>
      <c r="WYG335" s="111"/>
      <c r="WYH335" s="112"/>
      <c r="WYI335" s="113"/>
      <c r="WYK335" s="114"/>
      <c r="WYL335" s="114"/>
      <c r="WYQ335" s="111"/>
      <c r="WYR335" s="112"/>
      <c r="WYS335" s="113"/>
      <c r="WYU335" s="114"/>
      <c r="WYV335" s="114"/>
      <c r="WZA335" s="111"/>
      <c r="WZB335" s="112"/>
      <c r="WZC335" s="113"/>
      <c r="WZE335" s="114"/>
      <c r="WZF335" s="114"/>
      <c r="WZK335" s="111"/>
      <c r="WZL335" s="112"/>
      <c r="WZM335" s="113"/>
      <c r="WZO335" s="114"/>
      <c r="WZP335" s="114"/>
      <c r="WZU335" s="111"/>
      <c r="WZV335" s="112"/>
      <c r="WZW335" s="113"/>
      <c r="WZY335" s="114"/>
      <c r="WZZ335" s="114"/>
      <c r="XAE335" s="111"/>
      <c r="XAF335" s="112"/>
      <c r="XAG335" s="113"/>
      <c r="XAI335" s="114"/>
      <c r="XAJ335" s="114"/>
      <c r="XAO335" s="111"/>
      <c r="XAP335" s="112"/>
      <c r="XAQ335" s="113"/>
      <c r="XAS335" s="114"/>
      <c r="XAT335" s="114"/>
      <c r="XAY335" s="111"/>
      <c r="XAZ335" s="112"/>
      <c r="XBA335" s="113"/>
      <c r="XBC335" s="114"/>
      <c r="XBD335" s="114"/>
      <c r="XBI335" s="111"/>
      <c r="XBJ335" s="112"/>
      <c r="XBK335" s="113"/>
      <c r="XBM335" s="114"/>
      <c r="XBN335" s="114"/>
      <c r="XBS335" s="111"/>
      <c r="XBT335" s="112"/>
      <c r="XBU335" s="113"/>
      <c r="XBW335" s="114"/>
      <c r="XBX335" s="114"/>
      <c r="XCC335" s="111"/>
      <c r="XCD335" s="112"/>
      <c r="XCE335" s="113"/>
      <c r="XCG335" s="114"/>
      <c r="XCH335" s="114"/>
      <c r="XCM335" s="111"/>
      <c r="XCN335" s="112"/>
      <c r="XCO335" s="113"/>
      <c r="XCQ335" s="114"/>
      <c r="XCR335" s="114"/>
      <c r="XCW335" s="111"/>
      <c r="XCX335" s="112"/>
      <c r="XCY335" s="113"/>
      <c r="XDA335" s="114"/>
      <c r="XDB335" s="114"/>
      <c r="XDG335" s="111"/>
      <c r="XDH335" s="112"/>
      <c r="XDI335" s="113"/>
      <c r="XDK335" s="114"/>
      <c r="XDL335" s="114"/>
      <c r="XDQ335" s="111"/>
      <c r="XDR335" s="112"/>
      <c r="XDS335" s="113"/>
      <c r="XDU335" s="114"/>
      <c r="XDV335" s="114"/>
      <c r="XEA335" s="111"/>
      <c r="XEB335" s="112"/>
      <c r="XEC335" s="113"/>
      <c r="XEE335" s="114"/>
      <c r="XEF335" s="114"/>
      <c r="XEK335" s="111"/>
      <c r="XEL335" s="112"/>
      <c r="XEM335" s="113"/>
      <c r="XEO335" s="114"/>
      <c r="XEP335" s="114"/>
      <c r="XEU335" s="111"/>
      <c r="XEV335" s="112"/>
      <c r="XEW335" s="113"/>
      <c r="XEY335" s="114"/>
      <c r="XEZ335" s="114"/>
    </row>
    <row r="336" spans="1:1020 1025:2047 2049:3070 3075:5120 5125:6140 6145:7167 7169:8190 8195:10240 10245:11260 11265:12287 12289:13310 13315:15360 15365:16380" s="311" customFormat="1" outlineLevel="2" x14ac:dyDescent="0.25">
      <c r="A336" s="301" t="s">
        <v>499</v>
      </c>
      <c r="B336" s="302"/>
      <c r="C336" s="308"/>
      <c r="D336" s="302" t="s">
        <v>4417</v>
      </c>
      <c r="E336" s="302"/>
      <c r="F336" s="304"/>
      <c r="G336" s="305"/>
      <c r="H336" s="302"/>
      <c r="I336" s="306">
        <f>ROUND(SUM(I337:I343),2)</f>
        <v>61829.09</v>
      </c>
      <c r="J336" s="307">
        <f>ROUND(SUM(J337:J343),2)</f>
        <v>82381.03</v>
      </c>
      <c r="K336" s="309"/>
      <c r="L336" s="310">
        <f t="shared" ref="L336:L354" si="119">F336*H336</f>
        <v>0</v>
      </c>
      <c r="N336" s="560">
        <f>SUM(J337:J343)</f>
        <v>82381.030000000013</v>
      </c>
      <c r="O336" s="564">
        <f t="shared" si="110"/>
        <v>0</v>
      </c>
      <c r="Q336" s="311">
        <f t="shared" si="109"/>
        <v>0</v>
      </c>
    </row>
    <row r="337" spans="1:17" s="43" customFormat="1" ht="22.5" outlineLevel="3" x14ac:dyDescent="0.25">
      <c r="A337" s="294" t="s">
        <v>500</v>
      </c>
      <c r="B337" s="249" t="s">
        <v>82</v>
      </c>
      <c r="C337" s="271">
        <v>97635</v>
      </c>
      <c r="D337" s="260" t="s">
        <v>121</v>
      </c>
      <c r="E337" s="249" t="s">
        <v>122</v>
      </c>
      <c r="F337" s="295">
        <v>869.67</v>
      </c>
      <c r="G337" s="251">
        <v>21</v>
      </c>
      <c r="H337" s="296">
        <f t="shared" ref="H337:H343" si="120">ROUND(G337*ROUND(1+(33.25/100),4),2)</f>
        <v>27.98</v>
      </c>
      <c r="I337" s="296">
        <f t="shared" ref="I337:I343" si="121">ROUND(ROUND(F337,2)*ROUND(G337,2),2)</f>
        <v>18263.07</v>
      </c>
      <c r="J337" s="297">
        <f t="shared" ref="J337:J343" si="122">ROUND(ROUND(F337,2)*ROUND(H337,2),2)</f>
        <v>24333.37</v>
      </c>
      <c r="K337" s="158"/>
      <c r="L337" s="40">
        <f t="shared" si="119"/>
        <v>24333.366599999998</v>
      </c>
      <c r="O337" s="567">
        <f t="shared" si="110"/>
        <v>24333.37</v>
      </c>
      <c r="Q337" s="43">
        <f t="shared" si="109"/>
        <v>24333.366599999998</v>
      </c>
    </row>
    <row r="338" spans="1:17" s="43" customFormat="1" ht="22.5" outlineLevel="3" x14ac:dyDescent="0.25">
      <c r="A338" s="294" t="s">
        <v>537</v>
      </c>
      <c r="B338" s="271" t="s">
        <v>4322</v>
      </c>
      <c r="C338" s="271">
        <v>10212</v>
      </c>
      <c r="D338" s="260" t="s">
        <v>124</v>
      </c>
      <c r="E338" s="249" t="s">
        <v>54</v>
      </c>
      <c r="F338" s="295">
        <v>1181.5</v>
      </c>
      <c r="G338" s="251">
        <v>21.51</v>
      </c>
      <c r="H338" s="296">
        <f t="shared" si="120"/>
        <v>28.66</v>
      </c>
      <c r="I338" s="296">
        <f t="shared" si="121"/>
        <v>25414.07</v>
      </c>
      <c r="J338" s="297">
        <f t="shared" si="122"/>
        <v>33861.79</v>
      </c>
      <c r="K338" s="158"/>
      <c r="L338" s="40">
        <f t="shared" si="119"/>
        <v>33861.79</v>
      </c>
      <c r="O338" s="567">
        <f t="shared" si="110"/>
        <v>33861.79</v>
      </c>
      <c r="Q338" s="43">
        <f t="shared" si="109"/>
        <v>33861.79</v>
      </c>
    </row>
    <row r="339" spans="1:17" s="36" customFormat="1" ht="22.5" outlineLevel="3" x14ac:dyDescent="0.25">
      <c r="A339" s="294" t="s">
        <v>4639</v>
      </c>
      <c r="B339" s="249" t="s">
        <v>82</v>
      </c>
      <c r="C339" s="271">
        <v>97625</v>
      </c>
      <c r="D339" s="260" t="s">
        <v>127</v>
      </c>
      <c r="E339" s="249" t="s">
        <v>85</v>
      </c>
      <c r="F339" s="295">
        <v>48.5</v>
      </c>
      <c r="G339" s="251">
        <v>58.36</v>
      </c>
      <c r="H339" s="296">
        <f t="shared" si="120"/>
        <v>77.760000000000005</v>
      </c>
      <c r="I339" s="296">
        <f t="shared" si="121"/>
        <v>2830.46</v>
      </c>
      <c r="J339" s="297">
        <f t="shared" si="122"/>
        <v>3771.36</v>
      </c>
      <c r="K339" s="155"/>
      <c r="L339" s="40">
        <f t="shared" si="119"/>
        <v>3771.36</v>
      </c>
      <c r="O339" s="561">
        <f t="shared" si="110"/>
        <v>3771.36</v>
      </c>
      <c r="Q339" s="36">
        <f t="shared" si="109"/>
        <v>3771.36</v>
      </c>
    </row>
    <row r="340" spans="1:17" s="36" customFormat="1" outlineLevel="3" x14ac:dyDescent="0.25">
      <c r="A340" s="294" t="s">
        <v>4640</v>
      </c>
      <c r="B340" s="271" t="s">
        <v>4322</v>
      </c>
      <c r="C340" s="271">
        <v>10216</v>
      </c>
      <c r="D340" s="272" t="s">
        <v>130</v>
      </c>
      <c r="E340" s="271" t="s">
        <v>72</v>
      </c>
      <c r="F340" s="273">
        <v>314.25</v>
      </c>
      <c r="G340" s="274">
        <v>11.14</v>
      </c>
      <c r="H340" s="275">
        <f t="shared" si="120"/>
        <v>14.84</v>
      </c>
      <c r="I340" s="275">
        <f t="shared" si="121"/>
        <v>3500.75</v>
      </c>
      <c r="J340" s="276">
        <f t="shared" si="122"/>
        <v>4663.47</v>
      </c>
      <c r="K340" s="155"/>
      <c r="L340" s="40">
        <f t="shared" si="119"/>
        <v>4663.47</v>
      </c>
      <c r="O340" s="561">
        <f t="shared" si="110"/>
        <v>4663.47</v>
      </c>
      <c r="Q340" s="36">
        <f t="shared" si="109"/>
        <v>4663.47</v>
      </c>
    </row>
    <row r="341" spans="1:17" s="36" customFormat="1" outlineLevel="3" x14ac:dyDescent="0.25">
      <c r="A341" s="294" t="s">
        <v>4641</v>
      </c>
      <c r="B341" s="271" t="s">
        <v>4322</v>
      </c>
      <c r="C341" s="271">
        <v>10403</v>
      </c>
      <c r="D341" s="272" t="s">
        <v>133</v>
      </c>
      <c r="E341" s="271" t="s">
        <v>68</v>
      </c>
      <c r="F341" s="273">
        <v>6</v>
      </c>
      <c r="G341" s="274">
        <v>59.04</v>
      </c>
      <c r="H341" s="275">
        <f t="shared" si="120"/>
        <v>78.67</v>
      </c>
      <c r="I341" s="275">
        <f t="shared" si="121"/>
        <v>354.24</v>
      </c>
      <c r="J341" s="276">
        <f t="shared" si="122"/>
        <v>472.02</v>
      </c>
      <c r="K341" s="155"/>
      <c r="L341" s="40">
        <f t="shared" si="119"/>
        <v>472.02</v>
      </c>
      <c r="O341" s="561">
        <f t="shared" si="110"/>
        <v>472.02</v>
      </c>
      <c r="Q341" s="36">
        <f t="shared" si="109"/>
        <v>472.02</v>
      </c>
    </row>
    <row r="342" spans="1:17" s="36" customFormat="1" outlineLevel="3" x14ac:dyDescent="0.25">
      <c r="A342" s="294" t="s">
        <v>4642</v>
      </c>
      <c r="B342" s="271" t="s">
        <v>4322</v>
      </c>
      <c r="C342" s="271">
        <v>10210</v>
      </c>
      <c r="D342" s="272" t="s">
        <v>136</v>
      </c>
      <c r="E342" s="271" t="s">
        <v>89</v>
      </c>
      <c r="F342" s="273">
        <v>36</v>
      </c>
      <c r="G342" s="274">
        <v>225.81</v>
      </c>
      <c r="H342" s="275">
        <f t="shared" si="120"/>
        <v>300.89</v>
      </c>
      <c r="I342" s="275">
        <f t="shared" si="121"/>
        <v>8129.16</v>
      </c>
      <c r="J342" s="276">
        <f t="shared" si="122"/>
        <v>10832.04</v>
      </c>
      <c r="K342" s="155"/>
      <c r="L342" s="40">
        <f t="shared" si="119"/>
        <v>10832.039999999999</v>
      </c>
      <c r="O342" s="561">
        <f t="shared" si="110"/>
        <v>10832.04</v>
      </c>
      <c r="Q342" s="36">
        <f t="shared" si="109"/>
        <v>10832.039999999999</v>
      </c>
    </row>
    <row r="343" spans="1:17" s="36" customFormat="1" outlineLevel="3" x14ac:dyDescent="0.25">
      <c r="A343" s="294" t="s">
        <v>4643</v>
      </c>
      <c r="B343" s="271" t="s">
        <v>4322</v>
      </c>
      <c r="C343" s="271">
        <v>10219</v>
      </c>
      <c r="D343" s="272" t="s">
        <v>139</v>
      </c>
      <c r="E343" s="271" t="s">
        <v>89</v>
      </c>
      <c r="F343" s="273">
        <v>12.8</v>
      </c>
      <c r="G343" s="274">
        <v>260.73</v>
      </c>
      <c r="H343" s="275">
        <f t="shared" si="120"/>
        <v>347.42</v>
      </c>
      <c r="I343" s="275">
        <f t="shared" si="121"/>
        <v>3337.34</v>
      </c>
      <c r="J343" s="276">
        <f t="shared" si="122"/>
        <v>4446.9799999999996</v>
      </c>
      <c r="K343" s="155"/>
      <c r="L343" s="40">
        <f t="shared" si="119"/>
        <v>4446.9760000000006</v>
      </c>
      <c r="O343" s="561">
        <f t="shared" si="110"/>
        <v>4446.9799999999996</v>
      </c>
      <c r="Q343" s="36">
        <f t="shared" si="109"/>
        <v>4446.9760000000006</v>
      </c>
    </row>
    <row r="344" spans="1:17" s="311" customFormat="1" outlineLevel="2" x14ac:dyDescent="0.25">
      <c r="A344" s="301" t="s">
        <v>568</v>
      </c>
      <c r="B344" s="302"/>
      <c r="C344" s="308"/>
      <c r="D344" s="302" t="s">
        <v>140</v>
      </c>
      <c r="E344" s="302"/>
      <c r="F344" s="304"/>
      <c r="G344" s="305"/>
      <c r="H344" s="302"/>
      <c r="I344" s="306">
        <f>ROUND(SUM(I345:I347),2)</f>
        <v>4761.3100000000004</v>
      </c>
      <c r="J344" s="307">
        <f>ROUND(SUM(J345:J347),2)</f>
        <v>6343.59</v>
      </c>
      <c r="K344" s="309"/>
      <c r="L344" s="310">
        <f t="shared" si="119"/>
        <v>0</v>
      </c>
      <c r="N344" s="560">
        <f>SUM(J345:J347)</f>
        <v>6343.59</v>
      </c>
      <c r="O344" s="564">
        <f t="shared" si="110"/>
        <v>0</v>
      </c>
      <c r="Q344" s="311">
        <f t="shared" si="109"/>
        <v>0</v>
      </c>
    </row>
    <row r="345" spans="1:17" s="36" customFormat="1" outlineLevel="3" x14ac:dyDescent="0.25">
      <c r="A345" s="270" t="s">
        <v>570</v>
      </c>
      <c r="B345" s="271" t="s">
        <v>4322</v>
      </c>
      <c r="C345" s="271">
        <v>30103</v>
      </c>
      <c r="D345" s="272" t="s">
        <v>143</v>
      </c>
      <c r="E345" s="271" t="s">
        <v>89</v>
      </c>
      <c r="F345" s="273">
        <v>198</v>
      </c>
      <c r="G345" s="274">
        <v>17.48</v>
      </c>
      <c r="H345" s="275">
        <f>ROUND(G345*ROUND(1+(33.25/100),4),2)</f>
        <v>23.29</v>
      </c>
      <c r="I345" s="275">
        <f>ROUND(ROUND(F345,2)*ROUND(G345,2),2)</f>
        <v>3461.04</v>
      </c>
      <c r="J345" s="276">
        <f>ROUND(ROUND(F345,2)*ROUND(H345,2),2)</f>
        <v>4611.42</v>
      </c>
      <c r="K345" s="155"/>
      <c r="L345" s="40">
        <f t="shared" si="119"/>
        <v>4611.42</v>
      </c>
      <c r="O345" s="561">
        <f t="shared" si="110"/>
        <v>4611.42</v>
      </c>
      <c r="Q345" s="36">
        <f t="shared" si="109"/>
        <v>4611.42</v>
      </c>
    </row>
    <row r="346" spans="1:17" s="36" customFormat="1" ht="33.75" outlineLevel="3" x14ac:dyDescent="0.25">
      <c r="A346" s="270" t="s">
        <v>580</v>
      </c>
      <c r="B346" s="271" t="s">
        <v>82</v>
      </c>
      <c r="C346" s="271" t="s">
        <v>145</v>
      </c>
      <c r="D346" s="272" t="s">
        <v>146</v>
      </c>
      <c r="E346" s="271" t="s">
        <v>147</v>
      </c>
      <c r="F346" s="273">
        <v>136</v>
      </c>
      <c r="G346" s="274">
        <v>5.08</v>
      </c>
      <c r="H346" s="275">
        <f>ROUND(G346*ROUND(1+(33.25/100),4),2)</f>
        <v>6.77</v>
      </c>
      <c r="I346" s="275">
        <f>ROUND(ROUND(F346,2)*ROUND(G346,2),2)</f>
        <v>690.88</v>
      </c>
      <c r="J346" s="276">
        <f>ROUND(ROUND(F346,2)*ROUND(H346,2),2)</f>
        <v>920.72</v>
      </c>
      <c r="K346" s="155"/>
      <c r="L346" s="40">
        <f t="shared" si="119"/>
        <v>920.71999999999991</v>
      </c>
      <c r="O346" s="561">
        <f t="shared" si="110"/>
        <v>920.72</v>
      </c>
      <c r="Q346" s="36">
        <f t="shared" si="109"/>
        <v>920.71999999999991</v>
      </c>
    </row>
    <row r="347" spans="1:17" s="36" customFormat="1" ht="22.5" outlineLevel="3" x14ac:dyDescent="0.25">
      <c r="A347" s="270" t="s">
        <v>588</v>
      </c>
      <c r="B347" s="271" t="s">
        <v>82</v>
      </c>
      <c r="C347" s="271">
        <v>95878</v>
      </c>
      <c r="D347" s="272" t="s">
        <v>150</v>
      </c>
      <c r="E347" s="271" t="s">
        <v>151</v>
      </c>
      <c r="F347" s="273">
        <v>320.73</v>
      </c>
      <c r="G347" s="274">
        <v>1.9</v>
      </c>
      <c r="H347" s="275">
        <f>ROUND(G347*ROUND(1+(33.25/100),4),2)</f>
        <v>2.5299999999999998</v>
      </c>
      <c r="I347" s="275">
        <f>ROUND(ROUND(F347,2)*ROUND(G347,2),2)</f>
        <v>609.39</v>
      </c>
      <c r="J347" s="276">
        <f>ROUND(ROUND(F347,2)*ROUND(H347,2),2)</f>
        <v>811.45</v>
      </c>
      <c r="K347" s="155"/>
      <c r="L347" s="40">
        <f t="shared" si="119"/>
        <v>811.44690000000003</v>
      </c>
      <c r="O347" s="561">
        <f t="shared" si="110"/>
        <v>811.45</v>
      </c>
      <c r="Q347" s="36">
        <f t="shared" si="109"/>
        <v>811.44690000000003</v>
      </c>
    </row>
    <row r="348" spans="1:17" s="311" customFormat="1" outlineLevel="2" x14ac:dyDescent="0.25">
      <c r="A348" s="301" t="s">
        <v>4644</v>
      </c>
      <c r="B348" s="302"/>
      <c r="C348" s="303"/>
      <c r="D348" s="302" t="s">
        <v>6</v>
      </c>
      <c r="E348" s="302"/>
      <c r="F348" s="304"/>
      <c r="G348" s="305"/>
      <c r="H348" s="302"/>
      <c r="I348" s="306">
        <f>ROUND(I349+I353+I363+I369+I373+I375+I135,2)</f>
        <v>188980.55</v>
      </c>
      <c r="J348" s="307">
        <f>ROUND(J349+J353+J363+J369+J373+J375+J377,2)</f>
        <v>180662.91</v>
      </c>
      <c r="K348" s="309"/>
      <c r="L348" s="310">
        <f t="shared" si="119"/>
        <v>0</v>
      </c>
      <c r="N348" s="560">
        <f>SUM(J349:J352)</f>
        <v>111302.2</v>
      </c>
      <c r="O348" s="564">
        <f t="shared" si="110"/>
        <v>69360.710000000006</v>
      </c>
      <c r="Q348" s="311">
        <f t="shared" si="109"/>
        <v>0</v>
      </c>
    </row>
    <row r="349" spans="1:17" s="36" customFormat="1" outlineLevel="3" x14ac:dyDescent="0.25">
      <c r="A349" s="288" t="s">
        <v>4645</v>
      </c>
      <c r="B349" s="289"/>
      <c r="C349" s="298"/>
      <c r="D349" s="289" t="s">
        <v>571</v>
      </c>
      <c r="E349" s="289"/>
      <c r="F349" s="290"/>
      <c r="G349" s="291"/>
      <c r="H349" s="289"/>
      <c r="I349" s="292">
        <f>ROUND(SUM(I350:I352),2)</f>
        <v>41764.400000000001</v>
      </c>
      <c r="J349" s="293">
        <f>ROUND(SUM(J350:J352),2)</f>
        <v>55651.1</v>
      </c>
      <c r="K349" s="155"/>
      <c r="L349" s="40">
        <f t="shared" si="119"/>
        <v>0</v>
      </c>
      <c r="O349" s="561">
        <f t="shared" si="110"/>
        <v>55651.1</v>
      </c>
      <c r="Q349" s="36">
        <f t="shared" si="109"/>
        <v>0</v>
      </c>
    </row>
    <row r="350" spans="1:17" s="43" customFormat="1" ht="22.5" outlineLevel="3" x14ac:dyDescent="0.25">
      <c r="A350" s="294" t="s">
        <v>4646</v>
      </c>
      <c r="B350" s="249" t="s">
        <v>82</v>
      </c>
      <c r="C350" s="249">
        <v>100621</v>
      </c>
      <c r="D350" s="260" t="s">
        <v>573</v>
      </c>
      <c r="E350" s="249" t="s">
        <v>226</v>
      </c>
      <c r="F350" s="295">
        <v>10</v>
      </c>
      <c r="G350" s="251">
        <v>3098.56</v>
      </c>
      <c r="H350" s="296">
        <f>ROUND(G350*ROUND(1+(33.25/100),4),2)</f>
        <v>4128.83</v>
      </c>
      <c r="I350" s="296">
        <f>ROUND(ROUND(F350,2)*ROUND(G350,2),2)</f>
        <v>30985.599999999999</v>
      </c>
      <c r="J350" s="297">
        <f>ROUND(ROUND(F350,2)*ROUND(H350,2),2)</f>
        <v>41288.300000000003</v>
      </c>
      <c r="K350" s="158"/>
      <c r="L350" s="40">
        <f t="shared" si="119"/>
        <v>41288.300000000003</v>
      </c>
      <c r="O350" s="567">
        <f t="shared" si="110"/>
        <v>41288.300000000003</v>
      </c>
      <c r="Q350" s="43">
        <f t="shared" si="109"/>
        <v>41288.300000000003</v>
      </c>
    </row>
    <row r="351" spans="1:17" s="43" customFormat="1" ht="22.5" outlineLevel="3" x14ac:dyDescent="0.25">
      <c r="A351" s="294" t="s">
        <v>4647</v>
      </c>
      <c r="B351" s="249" t="s">
        <v>82</v>
      </c>
      <c r="C351" s="249">
        <v>101660</v>
      </c>
      <c r="D351" s="260" t="s">
        <v>575</v>
      </c>
      <c r="E351" s="249" t="s">
        <v>226</v>
      </c>
      <c r="F351" s="295">
        <v>10</v>
      </c>
      <c r="G351" s="251">
        <v>890.12</v>
      </c>
      <c r="H351" s="296">
        <f>ROUND(G351*ROUND(1+(33.25/100),4),2)</f>
        <v>1186.08</v>
      </c>
      <c r="I351" s="296">
        <f>ROUND(ROUND(F351,2)*ROUND(G351,2),2)</f>
        <v>8901.2000000000007</v>
      </c>
      <c r="J351" s="297">
        <f>ROUND(ROUND(F351,2)*ROUND(H351,2),2)</f>
        <v>11860.8</v>
      </c>
      <c r="K351" s="158"/>
      <c r="L351" s="40">
        <f t="shared" si="119"/>
        <v>11860.8</v>
      </c>
      <c r="O351" s="567">
        <f t="shared" si="110"/>
        <v>11860.8</v>
      </c>
      <c r="Q351" s="43">
        <f t="shared" si="109"/>
        <v>11860.8</v>
      </c>
    </row>
    <row r="352" spans="1:17" s="36" customFormat="1" outlineLevel="3" x14ac:dyDescent="0.25">
      <c r="A352" s="294" t="s">
        <v>4648</v>
      </c>
      <c r="B352" s="249" t="s">
        <v>77</v>
      </c>
      <c r="C352" s="249" t="s">
        <v>577</v>
      </c>
      <c r="D352" s="260" t="s">
        <v>578</v>
      </c>
      <c r="E352" s="249" t="s">
        <v>579</v>
      </c>
      <c r="F352" s="295">
        <v>20</v>
      </c>
      <c r="G352" s="251">
        <v>93.88</v>
      </c>
      <c r="H352" s="296">
        <f>ROUND(G352*ROUND(1+(33.25/100),4),2)</f>
        <v>125.1</v>
      </c>
      <c r="I352" s="296">
        <f>ROUND(ROUND(F352,2)*ROUND(G352,2),2)</f>
        <v>1877.6</v>
      </c>
      <c r="J352" s="297">
        <f>ROUND(ROUND(F352,2)*ROUND(H352,2),2)</f>
        <v>2502</v>
      </c>
      <c r="K352" s="155"/>
      <c r="L352" s="40">
        <f t="shared" si="119"/>
        <v>2502</v>
      </c>
      <c r="O352" s="561">
        <f t="shared" si="110"/>
        <v>2502</v>
      </c>
      <c r="Q352" s="36">
        <f t="shared" si="109"/>
        <v>2502</v>
      </c>
    </row>
    <row r="353" spans="1:17" s="36" customFormat="1" outlineLevel="3" x14ac:dyDescent="0.25">
      <c r="A353" s="288" t="s">
        <v>4649</v>
      </c>
      <c r="B353" s="289"/>
      <c r="C353" s="298"/>
      <c r="D353" s="289" t="s">
        <v>581</v>
      </c>
      <c r="E353" s="289"/>
      <c r="F353" s="290"/>
      <c r="G353" s="291"/>
      <c r="H353" s="289"/>
      <c r="I353" s="292">
        <f>ROUND(SUM(I354:I362),2)</f>
        <v>17757.61</v>
      </c>
      <c r="J353" s="293">
        <f>ROUND(SUM(J354:J362),2)</f>
        <v>23662.3</v>
      </c>
      <c r="K353" s="155"/>
      <c r="L353" s="40">
        <f t="shared" si="119"/>
        <v>0</v>
      </c>
      <c r="N353" s="559">
        <f>SUM(J354:J362)</f>
        <v>23662.3</v>
      </c>
      <c r="O353" s="561">
        <f t="shared" si="110"/>
        <v>0</v>
      </c>
      <c r="Q353" s="36">
        <f t="shared" si="109"/>
        <v>0</v>
      </c>
    </row>
    <row r="354" spans="1:17" s="36" customFormat="1" ht="33.75" outlineLevel="3" x14ac:dyDescent="0.25">
      <c r="A354" s="270" t="s">
        <v>4650</v>
      </c>
      <c r="B354" s="271" t="s">
        <v>82</v>
      </c>
      <c r="C354" s="271" t="s">
        <v>583</v>
      </c>
      <c r="D354" s="272" t="s">
        <v>584</v>
      </c>
      <c r="E354" s="271" t="s">
        <v>226</v>
      </c>
      <c r="F354" s="273">
        <v>1</v>
      </c>
      <c r="G354" s="274">
        <v>1440.03</v>
      </c>
      <c r="H354" s="275">
        <f>ROUND(G354*ROUND(1+(33.25/100),4),2)</f>
        <v>1918.84</v>
      </c>
      <c r="I354" s="275">
        <f>ROUND(ROUND(F354,2)*ROUND(G354,2),2)</f>
        <v>1440.03</v>
      </c>
      <c r="J354" s="276">
        <f>ROUND(ROUND(F354,2)*ROUND(H354,2),2)</f>
        <v>1918.84</v>
      </c>
      <c r="K354" s="155"/>
      <c r="L354" s="40">
        <f t="shared" si="119"/>
        <v>1918.84</v>
      </c>
      <c r="O354" s="561">
        <f t="shared" si="110"/>
        <v>1918.84</v>
      </c>
      <c r="Q354" s="36">
        <f t="shared" si="109"/>
        <v>1918.84</v>
      </c>
    </row>
    <row r="355" spans="1:17" s="36" customFormat="1" ht="22.5" outlineLevel="3" x14ac:dyDescent="0.25">
      <c r="A355" s="270" t="s">
        <v>4651</v>
      </c>
      <c r="B355" s="271" t="s">
        <v>82</v>
      </c>
      <c r="C355" s="271" t="s">
        <v>586</v>
      </c>
      <c r="D355" s="272" t="s">
        <v>587</v>
      </c>
      <c r="E355" s="271" t="s">
        <v>226</v>
      </c>
      <c r="F355" s="273">
        <v>2</v>
      </c>
      <c r="G355" s="274">
        <v>125.61</v>
      </c>
      <c r="H355" s="275">
        <f>ROUND(G355*ROUND(1+(33.25/100),4),2)</f>
        <v>167.38</v>
      </c>
      <c r="I355" s="275">
        <f t="shared" ref="I355:I362" si="123">ROUND(ROUND(F355,2)*ROUND(G355,2),2)</f>
        <v>251.22</v>
      </c>
      <c r="J355" s="276">
        <f t="shared" ref="J355:J362" si="124">ROUND(ROUND(F355,2)*ROUND(H355,2),2)</f>
        <v>334.76</v>
      </c>
      <c r="K355" s="155"/>
      <c r="L355" s="40"/>
      <c r="O355" s="561">
        <f t="shared" si="110"/>
        <v>334.76</v>
      </c>
      <c r="Q355" s="36">
        <f t="shared" si="109"/>
        <v>334.76</v>
      </c>
    </row>
    <row r="356" spans="1:17" s="36" customFormat="1" ht="23.25" outlineLevel="3" x14ac:dyDescent="0.25">
      <c r="A356" s="270" t="s">
        <v>4652</v>
      </c>
      <c r="B356" s="246" t="s">
        <v>77</v>
      </c>
      <c r="C356" s="246" t="s">
        <v>950</v>
      </c>
      <c r="D356" s="108" t="s">
        <v>951</v>
      </c>
      <c r="E356" s="249" t="s">
        <v>226</v>
      </c>
      <c r="F356" s="250">
        <v>1</v>
      </c>
      <c r="G356" s="254">
        <v>2227.09</v>
      </c>
      <c r="H356" s="252">
        <f t="shared" ref="H356:H362" si="125">G356*1.3325</f>
        <v>2967.5974250000004</v>
      </c>
      <c r="I356" s="275">
        <f t="shared" si="123"/>
        <v>2227.09</v>
      </c>
      <c r="J356" s="276">
        <f t="shared" si="124"/>
        <v>2967.6</v>
      </c>
      <c r="K356" s="155"/>
      <c r="L356" s="40"/>
      <c r="O356" s="561">
        <f t="shared" si="110"/>
        <v>2967.6</v>
      </c>
      <c r="Q356" s="36">
        <f t="shared" si="109"/>
        <v>2967.5974250000004</v>
      </c>
    </row>
    <row r="357" spans="1:17" s="36" customFormat="1" ht="23.25" outlineLevel="3" x14ac:dyDescent="0.25">
      <c r="A357" s="270" t="s">
        <v>4653</v>
      </c>
      <c r="B357" s="246" t="s">
        <v>77</v>
      </c>
      <c r="C357" s="246" t="s">
        <v>953</v>
      </c>
      <c r="D357" s="108" t="s">
        <v>954</v>
      </c>
      <c r="E357" s="249" t="s">
        <v>226</v>
      </c>
      <c r="F357" s="250">
        <v>1</v>
      </c>
      <c r="G357" s="254">
        <v>694.11</v>
      </c>
      <c r="H357" s="252">
        <f t="shared" si="125"/>
        <v>924.90157499999998</v>
      </c>
      <c r="I357" s="275">
        <f t="shared" si="123"/>
        <v>694.11</v>
      </c>
      <c r="J357" s="276">
        <f t="shared" si="124"/>
        <v>924.9</v>
      </c>
      <c r="K357" s="155"/>
      <c r="L357" s="40"/>
      <c r="O357" s="561">
        <f t="shared" si="110"/>
        <v>924.9</v>
      </c>
      <c r="Q357" s="36">
        <f t="shared" si="109"/>
        <v>924.90157499999998</v>
      </c>
    </row>
    <row r="358" spans="1:17" s="36" customFormat="1" ht="23.25" outlineLevel="3" x14ac:dyDescent="0.25">
      <c r="A358" s="270" t="s">
        <v>4654</v>
      </c>
      <c r="B358" s="246" t="s">
        <v>82</v>
      </c>
      <c r="C358" s="246" t="s">
        <v>956</v>
      </c>
      <c r="D358" s="108" t="s">
        <v>957</v>
      </c>
      <c r="E358" s="249" t="s">
        <v>226</v>
      </c>
      <c r="F358" s="250">
        <v>1</v>
      </c>
      <c r="G358" s="254">
        <v>921.18</v>
      </c>
      <c r="H358" s="252">
        <f t="shared" si="125"/>
        <v>1227.47235</v>
      </c>
      <c r="I358" s="275">
        <f t="shared" si="123"/>
        <v>921.18</v>
      </c>
      <c r="J358" s="276">
        <f t="shared" si="124"/>
        <v>1227.47</v>
      </c>
      <c r="K358" s="155"/>
      <c r="L358" s="40"/>
      <c r="O358" s="561">
        <f t="shared" si="110"/>
        <v>1227.47</v>
      </c>
      <c r="Q358" s="36">
        <f t="shared" si="109"/>
        <v>1227.47235</v>
      </c>
    </row>
    <row r="359" spans="1:17" s="36" customFormat="1" ht="34.5" outlineLevel="3" x14ac:dyDescent="0.25">
      <c r="A359" s="270" t="s">
        <v>4655</v>
      </c>
      <c r="B359" s="246" t="s">
        <v>82</v>
      </c>
      <c r="C359" s="246" t="s">
        <v>959</v>
      </c>
      <c r="D359" s="108" t="s">
        <v>960</v>
      </c>
      <c r="E359" s="249" t="s">
        <v>188</v>
      </c>
      <c r="F359" s="250">
        <v>82</v>
      </c>
      <c r="G359" s="254">
        <v>93.85</v>
      </c>
      <c r="H359" s="252">
        <f t="shared" si="125"/>
        <v>125.05512499999999</v>
      </c>
      <c r="I359" s="275">
        <f t="shared" si="123"/>
        <v>7695.7</v>
      </c>
      <c r="J359" s="276">
        <f t="shared" si="124"/>
        <v>10254.92</v>
      </c>
      <c r="K359" s="155"/>
      <c r="L359" s="40"/>
      <c r="O359" s="561">
        <f t="shared" si="110"/>
        <v>10254.92</v>
      </c>
      <c r="Q359" s="36">
        <f t="shared" si="109"/>
        <v>10254.52025</v>
      </c>
    </row>
    <row r="360" spans="1:17" s="36" customFormat="1" outlineLevel="3" x14ac:dyDescent="0.25">
      <c r="A360" s="270" t="s">
        <v>4656</v>
      </c>
      <c r="B360" s="246" t="s">
        <v>77</v>
      </c>
      <c r="C360" s="246" t="s">
        <v>962</v>
      </c>
      <c r="D360" s="108" t="s">
        <v>963</v>
      </c>
      <c r="E360" s="249" t="s">
        <v>72</v>
      </c>
      <c r="F360" s="250">
        <v>39.42</v>
      </c>
      <c r="G360" s="254">
        <v>88.1</v>
      </c>
      <c r="H360" s="252">
        <f t="shared" si="125"/>
        <v>117.39324999999999</v>
      </c>
      <c r="I360" s="275">
        <f t="shared" si="123"/>
        <v>3472.9</v>
      </c>
      <c r="J360" s="276">
        <f t="shared" si="124"/>
        <v>4627.51</v>
      </c>
      <c r="K360" s="155"/>
      <c r="L360" s="40"/>
      <c r="O360" s="561">
        <f t="shared" si="110"/>
        <v>4627.51</v>
      </c>
      <c r="Q360" s="36">
        <f t="shared" si="109"/>
        <v>4627.6419150000002</v>
      </c>
    </row>
    <row r="361" spans="1:17" s="36" customFormat="1" ht="23.25" outlineLevel="3" x14ac:dyDescent="0.25">
      <c r="A361" s="270" t="s">
        <v>4657</v>
      </c>
      <c r="B361" s="246" t="s">
        <v>82</v>
      </c>
      <c r="C361" s="246">
        <v>91935</v>
      </c>
      <c r="D361" s="108" t="s">
        <v>555</v>
      </c>
      <c r="E361" s="249" t="s">
        <v>188</v>
      </c>
      <c r="F361" s="250">
        <v>16.04175</v>
      </c>
      <c r="G361" s="254">
        <v>31.97</v>
      </c>
      <c r="H361" s="252">
        <f t="shared" si="125"/>
        <v>42.600025000000002</v>
      </c>
      <c r="I361" s="275">
        <f t="shared" si="123"/>
        <v>512.79999999999995</v>
      </c>
      <c r="J361" s="276">
        <f t="shared" si="124"/>
        <v>683.3</v>
      </c>
      <c r="K361" s="155"/>
      <c r="L361" s="40"/>
      <c r="O361" s="561">
        <f t="shared" si="110"/>
        <v>683.3</v>
      </c>
      <c r="Q361" s="36">
        <f t="shared" si="109"/>
        <v>683.37895104375002</v>
      </c>
    </row>
    <row r="362" spans="1:17" s="36" customFormat="1" ht="23.25" outlineLevel="3" x14ac:dyDescent="0.25">
      <c r="A362" s="270" t="s">
        <v>4658</v>
      </c>
      <c r="B362" s="246" t="s">
        <v>77</v>
      </c>
      <c r="C362" s="246" t="s">
        <v>967</v>
      </c>
      <c r="D362" s="108" t="s">
        <v>968</v>
      </c>
      <c r="E362" s="249" t="s">
        <v>226</v>
      </c>
      <c r="F362" s="250">
        <v>3</v>
      </c>
      <c r="G362" s="254">
        <v>180.86</v>
      </c>
      <c r="H362" s="252">
        <f t="shared" si="125"/>
        <v>240.99595000000002</v>
      </c>
      <c r="I362" s="275">
        <f t="shared" si="123"/>
        <v>542.58000000000004</v>
      </c>
      <c r="J362" s="276">
        <f t="shared" si="124"/>
        <v>723</v>
      </c>
      <c r="K362" s="155"/>
      <c r="L362" s="40"/>
      <c r="O362" s="561">
        <f t="shared" si="110"/>
        <v>723</v>
      </c>
      <c r="Q362" s="36">
        <f t="shared" si="109"/>
        <v>722.98785000000009</v>
      </c>
    </row>
    <row r="363" spans="1:17" s="36" customFormat="1" outlineLevel="3" x14ac:dyDescent="0.25">
      <c r="A363" s="288" t="s">
        <v>4659</v>
      </c>
      <c r="B363" s="289"/>
      <c r="C363" s="298"/>
      <c r="D363" s="289" t="s">
        <v>589</v>
      </c>
      <c r="E363" s="289"/>
      <c r="F363" s="290"/>
      <c r="G363" s="291"/>
      <c r="H363" s="289"/>
      <c r="I363" s="292">
        <f>ROUND(SUM(I364:I368),2)</f>
        <v>1401.55</v>
      </c>
      <c r="J363" s="293">
        <f>ROUND(SUM(J364:J368),2)</f>
        <v>1867.56</v>
      </c>
      <c r="K363" s="155"/>
      <c r="L363" s="40">
        <f t="shared" ref="L363:L376" si="126">F363*H363</f>
        <v>0</v>
      </c>
      <c r="N363" s="559">
        <f>SUM(J364:J368)</f>
        <v>1867.56</v>
      </c>
      <c r="O363" s="561">
        <f t="shared" si="110"/>
        <v>0</v>
      </c>
      <c r="Q363" s="36">
        <f t="shared" si="109"/>
        <v>0</v>
      </c>
    </row>
    <row r="364" spans="1:17" s="36" customFormat="1" ht="33.75" outlineLevel="3" x14ac:dyDescent="0.25">
      <c r="A364" s="270" t="s">
        <v>4660</v>
      </c>
      <c r="B364" s="271" t="s">
        <v>82</v>
      </c>
      <c r="C364" s="271" t="s">
        <v>539</v>
      </c>
      <c r="D364" s="272" t="s">
        <v>540</v>
      </c>
      <c r="E364" s="271" t="s">
        <v>226</v>
      </c>
      <c r="F364" s="273">
        <v>1</v>
      </c>
      <c r="G364" s="274">
        <v>414.82</v>
      </c>
      <c r="H364" s="275">
        <f>ROUND(G364*ROUND(1+(33.25/100),4),2)</f>
        <v>552.75</v>
      </c>
      <c r="I364" s="275">
        <f>ROUND(ROUND(F364,2)*ROUND(G364,2),2)</f>
        <v>414.82</v>
      </c>
      <c r="J364" s="276">
        <f>ROUND(ROUND(F364,2)*ROUND(H364,2),2)</f>
        <v>552.75</v>
      </c>
      <c r="K364" s="155"/>
      <c r="L364" s="40">
        <f t="shared" si="126"/>
        <v>552.75</v>
      </c>
      <c r="O364" s="561">
        <f t="shared" si="110"/>
        <v>552.75</v>
      </c>
      <c r="Q364" s="36">
        <f t="shared" si="109"/>
        <v>552.75</v>
      </c>
    </row>
    <row r="365" spans="1:17" s="36" customFormat="1" ht="22.5" outlineLevel="3" x14ac:dyDescent="0.25">
      <c r="A365" s="270" t="s">
        <v>4661</v>
      </c>
      <c r="B365" s="271" t="s">
        <v>77</v>
      </c>
      <c r="C365" s="271" t="s">
        <v>592</v>
      </c>
      <c r="D365" s="272" t="s">
        <v>593</v>
      </c>
      <c r="E365" s="271" t="s">
        <v>226</v>
      </c>
      <c r="F365" s="273">
        <v>1</v>
      </c>
      <c r="G365" s="274">
        <v>58.26</v>
      </c>
      <c r="H365" s="275">
        <f>ROUND(G365*ROUND(1+(33.25/100),4),2)</f>
        <v>77.63</v>
      </c>
      <c r="I365" s="275">
        <f>ROUND(ROUND(F365,2)*ROUND(G365,2),2)</f>
        <v>58.26</v>
      </c>
      <c r="J365" s="276">
        <f>ROUND(ROUND(F365,2)*ROUND(H365,2),2)</f>
        <v>77.63</v>
      </c>
      <c r="K365" s="155"/>
      <c r="L365" s="40">
        <f t="shared" si="126"/>
        <v>77.63</v>
      </c>
      <c r="O365" s="561">
        <f t="shared" si="110"/>
        <v>77.63</v>
      </c>
      <c r="Q365" s="36">
        <f t="shared" si="109"/>
        <v>77.63</v>
      </c>
    </row>
    <row r="366" spans="1:17" s="36" customFormat="1" ht="22.5" outlineLevel="3" x14ac:dyDescent="0.25">
      <c r="A366" s="270" t="s">
        <v>4662</v>
      </c>
      <c r="B366" s="271" t="s">
        <v>4322</v>
      </c>
      <c r="C366" s="271">
        <v>151337</v>
      </c>
      <c r="D366" s="272" t="s">
        <v>596</v>
      </c>
      <c r="E366" s="271" t="s">
        <v>68</v>
      </c>
      <c r="F366" s="273">
        <v>1</v>
      </c>
      <c r="G366" s="274">
        <v>114.32</v>
      </c>
      <c r="H366" s="275">
        <f>ROUND(G366*ROUND(1+(33.25/100),4),2)</f>
        <v>152.33000000000001</v>
      </c>
      <c r="I366" s="275">
        <f>ROUND(ROUND(F366,2)*ROUND(G366,2),2)</f>
        <v>114.32</v>
      </c>
      <c r="J366" s="276">
        <f>ROUND(ROUND(F366,2)*ROUND(H366,2),2)</f>
        <v>152.33000000000001</v>
      </c>
      <c r="K366" s="155"/>
      <c r="L366" s="40">
        <f t="shared" si="126"/>
        <v>152.33000000000001</v>
      </c>
      <c r="O366" s="561">
        <f t="shared" si="110"/>
        <v>152.33000000000001</v>
      </c>
      <c r="Q366" s="36">
        <f t="shared" si="109"/>
        <v>152.33000000000001</v>
      </c>
    </row>
    <row r="367" spans="1:17" s="36" customFormat="1" ht="22.5" outlineLevel="3" x14ac:dyDescent="0.25">
      <c r="A367" s="270" t="s">
        <v>4663</v>
      </c>
      <c r="B367" s="271" t="s">
        <v>82</v>
      </c>
      <c r="C367" s="271" t="s">
        <v>545</v>
      </c>
      <c r="D367" s="272" t="s">
        <v>546</v>
      </c>
      <c r="E367" s="271" t="s">
        <v>226</v>
      </c>
      <c r="F367" s="273">
        <v>7</v>
      </c>
      <c r="G367" s="274">
        <v>51.91</v>
      </c>
      <c r="H367" s="275">
        <f>ROUND(G367*ROUND(1+(33.25/100),4),2)</f>
        <v>69.17</v>
      </c>
      <c r="I367" s="275">
        <f>ROUND(ROUND(F367,2)*ROUND(G367,2),2)</f>
        <v>363.37</v>
      </c>
      <c r="J367" s="276">
        <f>ROUND(ROUND(F367,2)*ROUND(H367,2),2)</f>
        <v>484.19</v>
      </c>
      <c r="K367" s="155"/>
      <c r="L367" s="40">
        <f t="shared" si="126"/>
        <v>484.19</v>
      </c>
      <c r="O367" s="561">
        <f t="shared" si="110"/>
        <v>484.19</v>
      </c>
      <c r="Q367" s="36">
        <f t="shared" si="109"/>
        <v>484.19</v>
      </c>
    </row>
    <row r="368" spans="1:17" s="36" customFormat="1" ht="22.5" outlineLevel="3" x14ac:dyDescent="0.25">
      <c r="A368" s="270" t="s">
        <v>4664</v>
      </c>
      <c r="B368" s="271" t="s">
        <v>82</v>
      </c>
      <c r="C368" s="271" t="s">
        <v>599</v>
      </c>
      <c r="D368" s="272" t="s">
        <v>600</v>
      </c>
      <c r="E368" s="271" t="s">
        <v>226</v>
      </c>
      <c r="F368" s="273">
        <v>3</v>
      </c>
      <c r="G368" s="274">
        <v>150.26</v>
      </c>
      <c r="H368" s="275">
        <f>ROUND(G368*ROUND(1+(33.25/100),4),2)</f>
        <v>200.22</v>
      </c>
      <c r="I368" s="275">
        <f>ROUND(ROUND(F368,2)*ROUND(G368,2),2)</f>
        <v>450.78</v>
      </c>
      <c r="J368" s="276">
        <f>ROUND(ROUND(F368,2)*ROUND(H368,2),2)</f>
        <v>600.66</v>
      </c>
      <c r="K368" s="155"/>
      <c r="L368" s="40">
        <f t="shared" si="126"/>
        <v>600.66</v>
      </c>
      <c r="O368" s="561">
        <f t="shared" si="110"/>
        <v>600.66</v>
      </c>
      <c r="Q368" s="36">
        <f t="shared" si="109"/>
        <v>600.66</v>
      </c>
    </row>
    <row r="369" spans="1:17" s="36" customFormat="1" outlineLevel="3" x14ac:dyDescent="0.25">
      <c r="A369" s="288" t="s">
        <v>4665</v>
      </c>
      <c r="B369" s="289"/>
      <c r="C369" s="298"/>
      <c r="D369" s="289" t="s">
        <v>601</v>
      </c>
      <c r="E369" s="289"/>
      <c r="F369" s="290"/>
      <c r="G369" s="291"/>
      <c r="H369" s="289"/>
      <c r="I369" s="292">
        <f>ROUND(SUM(I370:I372),2)</f>
        <v>46255.519999999997</v>
      </c>
      <c r="J369" s="293">
        <f>ROUND(SUM(J370:J372),2)</f>
        <v>61623.18</v>
      </c>
      <c r="K369" s="155"/>
      <c r="L369" s="40">
        <f t="shared" si="126"/>
        <v>0</v>
      </c>
      <c r="N369" s="559">
        <f>SUM(J370:J372)</f>
        <v>61623.18</v>
      </c>
      <c r="O369" s="561">
        <f t="shared" si="110"/>
        <v>0</v>
      </c>
      <c r="Q369" s="36">
        <f t="shared" si="109"/>
        <v>0</v>
      </c>
    </row>
    <row r="370" spans="1:17" s="36" customFormat="1" ht="22.5" outlineLevel="3" x14ac:dyDescent="0.25">
      <c r="A370" s="270" t="s">
        <v>4666</v>
      </c>
      <c r="B370" s="271" t="s">
        <v>82</v>
      </c>
      <c r="C370" s="271" t="s">
        <v>554</v>
      </c>
      <c r="D370" s="272" t="s">
        <v>555</v>
      </c>
      <c r="E370" s="271" t="s">
        <v>188</v>
      </c>
      <c r="F370" s="273">
        <v>880</v>
      </c>
      <c r="G370" s="274">
        <v>31.97</v>
      </c>
      <c r="H370" s="275">
        <f>ROUND(G370*ROUND(1+(33.25/100),4),2)</f>
        <v>42.6</v>
      </c>
      <c r="I370" s="275">
        <f>ROUND(ROUND(F370,2)*ROUND(G370,2),2)</f>
        <v>28133.599999999999</v>
      </c>
      <c r="J370" s="276">
        <f>ROUND(ROUND(F370,2)*ROUND(H370,2),2)</f>
        <v>37488</v>
      </c>
      <c r="K370" s="155"/>
      <c r="L370" s="40">
        <f t="shared" si="126"/>
        <v>37488</v>
      </c>
      <c r="O370" s="561">
        <f t="shared" si="110"/>
        <v>37488</v>
      </c>
      <c r="Q370" s="36">
        <f t="shared" si="109"/>
        <v>37488</v>
      </c>
    </row>
    <row r="371" spans="1:17" s="36" customFormat="1" ht="22.5" outlineLevel="3" x14ac:dyDescent="0.25">
      <c r="A371" s="270" t="s">
        <v>4667</v>
      </c>
      <c r="B371" s="271" t="s">
        <v>82</v>
      </c>
      <c r="C371" s="271" t="s">
        <v>604</v>
      </c>
      <c r="D371" s="272" t="s">
        <v>605</v>
      </c>
      <c r="E371" s="271" t="s">
        <v>188</v>
      </c>
      <c r="F371" s="273">
        <v>2378</v>
      </c>
      <c r="G371" s="274">
        <v>6.24</v>
      </c>
      <c r="H371" s="275">
        <f>ROUND(G371*ROUND(1+(33.25/100),4),2)</f>
        <v>8.31</v>
      </c>
      <c r="I371" s="275">
        <f>ROUND(ROUND(F371,2)*ROUND(G371,2),2)</f>
        <v>14838.72</v>
      </c>
      <c r="J371" s="276">
        <f>ROUND(ROUND(F371,2)*ROUND(H371,2),2)</f>
        <v>19761.18</v>
      </c>
      <c r="K371" s="155"/>
      <c r="L371" s="40">
        <f t="shared" si="126"/>
        <v>19761.18</v>
      </c>
      <c r="O371" s="561">
        <f t="shared" si="110"/>
        <v>19761.18</v>
      </c>
      <c r="Q371" s="36">
        <f t="shared" si="109"/>
        <v>19761.18</v>
      </c>
    </row>
    <row r="372" spans="1:17" s="36" customFormat="1" ht="22.5" outlineLevel="3" x14ac:dyDescent="0.25">
      <c r="A372" s="270" t="s">
        <v>4668</v>
      </c>
      <c r="B372" s="271" t="s">
        <v>82</v>
      </c>
      <c r="C372" s="271" t="s">
        <v>557</v>
      </c>
      <c r="D372" s="272" t="s">
        <v>558</v>
      </c>
      <c r="E372" s="271" t="s">
        <v>188</v>
      </c>
      <c r="F372" s="273">
        <v>360</v>
      </c>
      <c r="G372" s="274">
        <v>9.1199999999999992</v>
      </c>
      <c r="H372" s="275">
        <f>ROUND(G372*ROUND(1+(33.25/100),4),2)</f>
        <v>12.15</v>
      </c>
      <c r="I372" s="275">
        <f>ROUND(ROUND(F372,2)*ROUND(G372,2),2)</f>
        <v>3283.2</v>
      </c>
      <c r="J372" s="276">
        <f>ROUND(ROUND(F372,2)*ROUND(H372,2),2)</f>
        <v>4374</v>
      </c>
      <c r="K372" s="155"/>
      <c r="L372" s="40">
        <f t="shared" si="126"/>
        <v>4374</v>
      </c>
      <c r="O372" s="561">
        <f t="shared" si="110"/>
        <v>4374</v>
      </c>
      <c r="Q372" s="36">
        <f t="shared" si="109"/>
        <v>4374</v>
      </c>
    </row>
    <row r="373" spans="1:17" s="36" customFormat="1" outlineLevel="3" x14ac:dyDescent="0.25">
      <c r="A373" s="288" t="s">
        <v>4670</v>
      </c>
      <c r="B373" s="289"/>
      <c r="C373" s="298"/>
      <c r="D373" s="289" t="s">
        <v>607</v>
      </c>
      <c r="E373" s="289"/>
      <c r="F373" s="290"/>
      <c r="G373" s="291"/>
      <c r="H373" s="289"/>
      <c r="I373" s="292">
        <f>ROUND(SUM(I374:I374),2)</f>
        <v>13289.38</v>
      </c>
      <c r="J373" s="293">
        <f>ROUND(SUM(J374:J374),2)</f>
        <v>17708.39</v>
      </c>
      <c r="K373" s="155"/>
      <c r="L373" s="40">
        <f t="shared" si="126"/>
        <v>0</v>
      </c>
      <c r="N373" s="559">
        <f>SUM(J374)</f>
        <v>17708.39</v>
      </c>
      <c r="O373" s="561">
        <f t="shared" si="110"/>
        <v>0</v>
      </c>
      <c r="Q373" s="36">
        <f t="shared" si="109"/>
        <v>0</v>
      </c>
    </row>
    <row r="374" spans="1:17" s="36" customFormat="1" outlineLevel="3" x14ac:dyDescent="0.25">
      <c r="A374" s="270" t="s">
        <v>4669</v>
      </c>
      <c r="B374" s="271" t="s">
        <v>4322</v>
      </c>
      <c r="C374" s="271">
        <v>151127</v>
      </c>
      <c r="D374" s="272" t="s">
        <v>610</v>
      </c>
      <c r="E374" s="271" t="s">
        <v>72</v>
      </c>
      <c r="F374" s="273">
        <v>647</v>
      </c>
      <c r="G374" s="274">
        <v>20.54</v>
      </c>
      <c r="H374" s="275">
        <f>ROUND(G374*ROUND(1+(33.25/100),4),2)</f>
        <v>27.37</v>
      </c>
      <c r="I374" s="275">
        <f>ROUND(ROUND(F374,2)*ROUND(G374,2),2)</f>
        <v>13289.38</v>
      </c>
      <c r="J374" s="276">
        <f>ROUND(ROUND(F374,2)*ROUND(H374,2),2)</f>
        <v>17708.39</v>
      </c>
      <c r="K374" s="155"/>
      <c r="L374" s="40">
        <f t="shared" si="126"/>
        <v>17708.39</v>
      </c>
      <c r="O374" s="561">
        <f t="shared" si="110"/>
        <v>17708.39</v>
      </c>
      <c r="Q374" s="36">
        <f t="shared" si="109"/>
        <v>17708.39</v>
      </c>
    </row>
    <row r="375" spans="1:17" s="36" customFormat="1" outlineLevel="3" x14ac:dyDescent="0.25">
      <c r="A375" s="288" t="s">
        <v>4670</v>
      </c>
      <c r="B375" s="289"/>
      <c r="C375" s="298"/>
      <c r="D375" s="289" t="s">
        <v>611</v>
      </c>
      <c r="E375" s="289"/>
      <c r="F375" s="290"/>
      <c r="G375" s="291"/>
      <c r="H375" s="289"/>
      <c r="I375" s="292">
        <f>ROUND(SUM(I376:I376),2)</f>
        <v>1504.88</v>
      </c>
      <c r="J375" s="293">
        <f>ROUND(SUM(J376:J376),2)</f>
        <v>2005.28</v>
      </c>
      <c r="K375" s="155"/>
      <c r="L375" s="40">
        <f t="shared" si="126"/>
        <v>0</v>
      </c>
      <c r="N375" s="559">
        <f>J376</f>
        <v>2005.28</v>
      </c>
      <c r="O375" s="561">
        <f t="shared" si="110"/>
        <v>0</v>
      </c>
      <c r="Q375" s="36">
        <f t="shared" si="109"/>
        <v>0</v>
      </c>
    </row>
    <row r="376" spans="1:17" s="36" customFormat="1" outlineLevel="3" x14ac:dyDescent="0.25">
      <c r="A376" s="270" t="s">
        <v>4669</v>
      </c>
      <c r="B376" s="271" t="s">
        <v>77</v>
      </c>
      <c r="C376" s="271" t="s">
        <v>613</v>
      </c>
      <c r="D376" s="272" t="s">
        <v>614</v>
      </c>
      <c r="E376" s="271" t="s">
        <v>68</v>
      </c>
      <c r="F376" s="273">
        <v>8</v>
      </c>
      <c r="G376" s="274">
        <v>188.11</v>
      </c>
      <c r="H376" s="275">
        <f>ROUND(G376*ROUND(1+(33.25/100),4),2)</f>
        <v>250.66</v>
      </c>
      <c r="I376" s="275">
        <f>ROUND(ROUND(F376,2)*ROUND(G376,2),2)</f>
        <v>1504.88</v>
      </c>
      <c r="J376" s="276">
        <f>ROUND(ROUND(F376,2)*ROUND(H376,2),2)</f>
        <v>2005.28</v>
      </c>
      <c r="K376" s="155"/>
      <c r="L376" s="40">
        <f t="shared" si="126"/>
        <v>2005.28</v>
      </c>
      <c r="O376" s="561">
        <f t="shared" si="110"/>
        <v>2005.28</v>
      </c>
      <c r="Q376" s="36">
        <f t="shared" si="109"/>
        <v>2005.28</v>
      </c>
    </row>
    <row r="377" spans="1:17" s="36" customFormat="1" outlineLevel="3" x14ac:dyDescent="0.25">
      <c r="A377" s="288" t="s">
        <v>4671</v>
      </c>
      <c r="B377" s="289"/>
      <c r="C377" s="298"/>
      <c r="D377" s="289" t="s">
        <v>615</v>
      </c>
      <c r="E377" s="289"/>
      <c r="F377" s="290"/>
      <c r="G377" s="291"/>
      <c r="H377" s="289"/>
      <c r="I377" s="292">
        <f>ROUND(SUM(I378:I380),2)</f>
        <v>13617.23</v>
      </c>
      <c r="J377" s="293">
        <f>ROUND(SUM(J378:J380),2)</f>
        <v>18145.099999999999</v>
      </c>
      <c r="K377" s="155"/>
      <c r="L377" s="40">
        <f t="shared" ref="L377:L378" si="127">F377*H377</f>
        <v>0</v>
      </c>
      <c r="N377" s="559">
        <f>SUM(J378:J380)</f>
        <v>18145.099999999999</v>
      </c>
      <c r="O377" s="561">
        <f t="shared" si="110"/>
        <v>0</v>
      </c>
      <c r="Q377" s="36">
        <f t="shared" si="109"/>
        <v>0</v>
      </c>
    </row>
    <row r="378" spans="1:17" s="36" customFormat="1" ht="45" outlineLevel="3" x14ac:dyDescent="0.25">
      <c r="A378" s="270" t="s">
        <v>4672</v>
      </c>
      <c r="B378" s="271" t="s">
        <v>82</v>
      </c>
      <c r="C378" s="271" t="s">
        <v>617</v>
      </c>
      <c r="D378" s="272" t="s">
        <v>618</v>
      </c>
      <c r="E378" s="271" t="s">
        <v>85</v>
      </c>
      <c r="F378" s="273">
        <v>157.85</v>
      </c>
      <c r="G378" s="274">
        <v>7.66</v>
      </c>
      <c r="H378" s="275">
        <f>ROUND(G378*ROUND(1+(33.25/100),4),2)</f>
        <v>10.210000000000001</v>
      </c>
      <c r="I378" s="275">
        <f>ROUND(ROUND(F378,2)*ROUND(G378,2),2)</f>
        <v>1209.1300000000001</v>
      </c>
      <c r="J378" s="276">
        <f>ROUND(ROUND(F378,2)*ROUND(H378,2),2)</f>
        <v>1611.65</v>
      </c>
      <c r="K378" s="155"/>
      <c r="L378" s="40">
        <f t="shared" si="127"/>
        <v>1611.6485</v>
      </c>
      <c r="O378" s="561">
        <f t="shared" si="110"/>
        <v>1611.65</v>
      </c>
      <c r="Q378" s="36">
        <f t="shared" si="109"/>
        <v>1611.6485</v>
      </c>
    </row>
    <row r="379" spans="1:17" s="36" customFormat="1" outlineLevel="3" x14ac:dyDescent="0.25">
      <c r="A379" s="270" t="s">
        <v>4673</v>
      </c>
      <c r="B379" s="271" t="s">
        <v>4322</v>
      </c>
      <c r="C379" s="271">
        <v>30201</v>
      </c>
      <c r="D379" s="272" t="s">
        <v>621</v>
      </c>
      <c r="E379" s="271" t="s">
        <v>89</v>
      </c>
      <c r="F379" s="273">
        <v>134.16999999999999</v>
      </c>
      <c r="G379" s="274">
        <v>68.88</v>
      </c>
      <c r="H379" s="275">
        <f>ROUND(G379*ROUND(1+(33.25/100),4),2)</f>
        <v>91.78</v>
      </c>
      <c r="I379" s="275">
        <f>ROUND(ROUND(F379,2)*ROUND(G379,2),2)</f>
        <v>9241.6299999999992</v>
      </c>
      <c r="J379" s="276">
        <f>ROUND(ROUND(F379,2)*ROUND(H379,2),2)</f>
        <v>12314.12</v>
      </c>
      <c r="K379" s="155"/>
      <c r="L379" s="40"/>
      <c r="O379" s="561">
        <f t="shared" si="110"/>
        <v>12314.12</v>
      </c>
      <c r="Q379" s="36">
        <f t="shared" si="109"/>
        <v>12314.122599999999</v>
      </c>
    </row>
    <row r="380" spans="1:17" s="36" customFormat="1" ht="33.75" outlineLevel="3" x14ac:dyDescent="0.25">
      <c r="A380" s="270" t="s">
        <v>4674</v>
      </c>
      <c r="B380" s="271" t="s">
        <v>77</v>
      </c>
      <c r="C380" s="271" t="s">
        <v>623</v>
      </c>
      <c r="D380" s="272" t="s">
        <v>624</v>
      </c>
      <c r="E380" s="271" t="s">
        <v>85</v>
      </c>
      <c r="F380" s="273">
        <v>22.55</v>
      </c>
      <c r="G380" s="274">
        <v>140.41999999999999</v>
      </c>
      <c r="H380" s="275">
        <f>ROUND(G380*ROUND(1+(33.25/100),4),2)</f>
        <v>187.11</v>
      </c>
      <c r="I380" s="275">
        <f>ROUND(ROUND(F380,2)*ROUND(G380,2),2)</f>
        <v>3166.47</v>
      </c>
      <c r="J380" s="276">
        <f>ROUND(ROUND(F380,2)*ROUND(H380,2),2)</f>
        <v>4219.33</v>
      </c>
      <c r="K380" s="155"/>
      <c r="L380" s="40"/>
      <c r="O380" s="561">
        <f t="shared" si="110"/>
        <v>4219.33</v>
      </c>
      <c r="Q380" s="36">
        <f t="shared" si="109"/>
        <v>4219.3305</v>
      </c>
    </row>
    <row r="381" spans="1:17" s="311" customFormat="1" outlineLevel="2" x14ac:dyDescent="0.25">
      <c r="A381" s="301" t="s">
        <v>4675</v>
      </c>
      <c r="B381" s="302"/>
      <c r="C381" s="303"/>
      <c r="D381" s="302" t="s">
        <v>689</v>
      </c>
      <c r="E381" s="302">
        <v>0</v>
      </c>
      <c r="F381" s="304"/>
      <c r="G381" s="305"/>
      <c r="H381" s="302"/>
      <c r="I381" s="306">
        <f>ROUND(SUM(I382:I394),2)</f>
        <v>731364.16</v>
      </c>
      <c r="J381" s="307">
        <f>ROUND(SUM(J382:J394),2)</f>
        <v>974525.83</v>
      </c>
      <c r="K381" s="309"/>
      <c r="L381" s="310">
        <f t="shared" si="118"/>
        <v>0</v>
      </c>
      <c r="N381" s="560">
        <f>SUM(J382:J394)</f>
        <v>974525.83</v>
      </c>
      <c r="O381" s="564">
        <f t="shared" si="110"/>
        <v>0</v>
      </c>
      <c r="Q381" s="311">
        <f t="shared" si="109"/>
        <v>0</v>
      </c>
    </row>
    <row r="382" spans="1:17" s="36" customFormat="1" outlineLevel="3" x14ac:dyDescent="0.25">
      <c r="A382" s="270" t="s">
        <v>4676</v>
      </c>
      <c r="B382" s="271" t="s">
        <v>82</v>
      </c>
      <c r="C382" s="271">
        <v>105598</v>
      </c>
      <c r="D382" s="272" t="s">
        <v>196</v>
      </c>
      <c r="E382" s="271" t="s">
        <v>197</v>
      </c>
      <c r="F382" s="273">
        <v>2362.77</v>
      </c>
      <c r="G382" s="274">
        <v>2.14</v>
      </c>
      <c r="H382" s="275">
        <f t="shared" ref="H382:H396" si="128">ROUND(G382*ROUND(1+(33.25/100),4),2)</f>
        <v>2.85</v>
      </c>
      <c r="I382" s="275">
        <f t="shared" ref="I382:I394" si="129">ROUND(ROUND(F382,2)*ROUND(G382,2),2)</f>
        <v>5056.33</v>
      </c>
      <c r="J382" s="276">
        <f t="shared" ref="J382:J394" si="130">ROUND(ROUND(F382,2)*ROUND(H382,2),2)</f>
        <v>6733.89</v>
      </c>
      <c r="K382" s="155"/>
      <c r="L382" s="40">
        <f t="shared" si="118"/>
        <v>6733.8945000000003</v>
      </c>
      <c r="O382" s="561">
        <f t="shared" si="110"/>
        <v>6733.89</v>
      </c>
      <c r="Q382" s="36">
        <f t="shared" si="109"/>
        <v>6733.8945000000003</v>
      </c>
    </row>
    <row r="383" spans="1:17" s="36" customFormat="1" ht="22.5" outlineLevel="3" x14ac:dyDescent="0.25">
      <c r="A383" s="270" t="s">
        <v>4677</v>
      </c>
      <c r="B383" s="271" t="s">
        <v>82</v>
      </c>
      <c r="C383" s="271">
        <v>101849</v>
      </c>
      <c r="D383" s="272" t="s">
        <v>693</v>
      </c>
      <c r="E383" s="271" t="s">
        <v>694</v>
      </c>
      <c r="F383" s="273">
        <v>114.67</v>
      </c>
      <c r="G383" s="274">
        <v>266.61</v>
      </c>
      <c r="H383" s="275">
        <f t="shared" si="128"/>
        <v>355.26</v>
      </c>
      <c r="I383" s="275">
        <f t="shared" si="129"/>
        <v>30572.17</v>
      </c>
      <c r="J383" s="276">
        <f t="shared" si="130"/>
        <v>40737.660000000003</v>
      </c>
      <c r="K383" s="155"/>
      <c r="L383" s="40">
        <f t="shared" si="118"/>
        <v>40737.664199999999</v>
      </c>
      <c r="O383" s="561">
        <f t="shared" si="110"/>
        <v>40737.660000000003</v>
      </c>
      <c r="Q383" s="36">
        <f t="shared" si="109"/>
        <v>40737.664199999999</v>
      </c>
    </row>
    <row r="384" spans="1:17" s="36" customFormat="1" ht="22.5" outlineLevel="3" x14ac:dyDescent="0.25">
      <c r="A384" s="270" t="s">
        <v>4678</v>
      </c>
      <c r="B384" s="271" t="s">
        <v>4322</v>
      </c>
      <c r="C384" s="271">
        <v>200202</v>
      </c>
      <c r="D384" s="272" t="s">
        <v>697</v>
      </c>
      <c r="E384" s="271" t="s">
        <v>72</v>
      </c>
      <c r="F384" s="273">
        <v>831.4</v>
      </c>
      <c r="G384" s="274">
        <v>72.19</v>
      </c>
      <c r="H384" s="275">
        <f t="shared" si="128"/>
        <v>96.19</v>
      </c>
      <c r="I384" s="275">
        <f t="shared" si="129"/>
        <v>60018.77</v>
      </c>
      <c r="J384" s="276">
        <f t="shared" si="130"/>
        <v>79972.37</v>
      </c>
      <c r="K384" s="155"/>
      <c r="L384" s="40">
        <f t="shared" si="118"/>
        <v>79972.365999999995</v>
      </c>
      <c r="O384" s="561">
        <f t="shared" si="110"/>
        <v>79972.37</v>
      </c>
      <c r="Q384" s="36">
        <f t="shared" si="109"/>
        <v>79972.365999999995</v>
      </c>
    </row>
    <row r="385" spans="1:17" s="36" customFormat="1" outlineLevel="3" x14ac:dyDescent="0.25">
      <c r="A385" s="270" t="s">
        <v>4679</v>
      </c>
      <c r="B385" s="271" t="s">
        <v>4322</v>
      </c>
      <c r="C385" s="271">
        <v>190205</v>
      </c>
      <c r="D385" s="272" t="s">
        <v>700</v>
      </c>
      <c r="E385" s="271" t="s">
        <v>54</v>
      </c>
      <c r="F385" s="273">
        <v>266.05</v>
      </c>
      <c r="G385" s="274">
        <v>12.46</v>
      </c>
      <c r="H385" s="275">
        <f t="shared" si="128"/>
        <v>16.600000000000001</v>
      </c>
      <c r="I385" s="275">
        <f t="shared" si="129"/>
        <v>3314.98</v>
      </c>
      <c r="J385" s="276">
        <f t="shared" si="130"/>
        <v>4416.43</v>
      </c>
      <c r="K385" s="155"/>
      <c r="L385" s="40">
        <f t="shared" si="118"/>
        <v>4416.43</v>
      </c>
      <c r="O385" s="561">
        <f t="shared" si="110"/>
        <v>4416.43</v>
      </c>
      <c r="Q385" s="36">
        <f t="shared" si="109"/>
        <v>4416.43</v>
      </c>
    </row>
    <row r="386" spans="1:17" s="36" customFormat="1" ht="33.75" outlineLevel="3" x14ac:dyDescent="0.25">
      <c r="A386" s="270" t="s">
        <v>4680</v>
      </c>
      <c r="B386" s="271" t="s">
        <v>82</v>
      </c>
      <c r="C386" s="271">
        <v>94993</v>
      </c>
      <c r="D386" s="272" t="s">
        <v>703</v>
      </c>
      <c r="E386" s="271" t="s">
        <v>122</v>
      </c>
      <c r="F386" s="273">
        <v>2362.77</v>
      </c>
      <c r="G386" s="274">
        <v>82.29</v>
      </c>
      <c r="H386" s="275">
        <f t="shared" si="128"/>
        <v>109.65</v>
      </c>
      <c r="I386" s="275">
        <f t="shared" si="129"/>
        <v>194432.34</v>
      </c>
      <c r="J386" s="276">
        <f t="shared" si="130"/>
        <v>259077.73</v>
      </c>
      <c r="K386" s="155"/>
      <c r="L386" s="40">
        <f t="shared" si="118"/>
        <v>259077.73050000001</v>
      </c>
      <c r="O386" s="561">
        <f t="shared" si="110"/>
        <v>259077.73</v>
      </c>
      <c r="Q386" s="36">
        <f t="shared" si="109"/>
        <v>259077.73050000001</v>
      </c>
    </row>
    <row r="387" spans="1:17" s="36" customFormat="1" ht="45" outlineLevel="3" x14ac:dyDescent="0.25">
      <c r="A387" s="270" t="s">
        <v>4681</v>
      </c>
      <c r="B387" s="271" t="s">
        <v>4322</v>
      </c>
      <c r="C387" s="271" t="s">
        <v>706</v>
      </c>
      <c r="D387" s="272" t="s">
        <v>707</v>
      </c>
      <c r="E387" s="271" t="s">
        <v>54</v>
      </c>
      <c r="F387" s="273">
        <v>624.32000000000005</v>
      </c>
      <c r="G387" s="274">
        <v>160.13999999999999</v>
      </c>
      <c r="H387" s="275">
        <f t="shared" si="128"/>
        <v>213.39</v>
      </c>
      <c r="I387" s="275">
        <f t="shared" si="129"/>
        <v>99978.6</v>
      </c>
      <c r="J387" s="276">
        <f t="shared" si="130"/>
        <v>133223.64000000001</v>
      </c>
      <c r="K387" s="155"/>
      <c r="L387" s="40">
        <f t="shared" si="118"/>
        <v>133223.64480000001</v>
      </c>
      <c r="O387" s="561">
        <f t="shared" si="110"/>
        <v>133223.64000000001</v>
      </c>
      <c r="Q387" s="36">
        <f t="shared" si="109"/>
        <v>133223.64480000001</v>
      </c>
    </row>
    <row r="388" spans="1:17" s="36" customFormat="1" ht="45" outlineLevel="3" x14ac:dyDescent="0.25">
      <c r="A388" s="270" t="s">
        <v>4682</v>
      </c>
      <c r="B388" s="271" t="s">
        <v>4322</v>
      </c>
      <c r="C388" s="271">
        <v>130230</v>
      </c>
      <c r="D388" s="272" t="s">
        <v>709</v>
      </c>
      <c r="E388" s="271" t="s">
        <v>54</v>
      </c>
      <c r="F388" s="273">
        <v>1286.8599999999999</v>
      </c>
      <c r="G388" s="274">
        <v>146.87</v>
      </c>
      <c r="H388" s="275">
        <f t="shared" si="128"/>
        <v>195.7</v>
      </c>
      <c r="I388" s="275">
        <f t="shared" si="129"/>
        <v>189001.13</v>
      </c>
      <c r="J388" s="276">
        <f t="shared" si="130"/>
        <v>251838.5</v>
      </c>
      <c r="K388" s="155"/>
      <c r="L388" s="40">
        <f t="shared" si="118"/>
        <v>251838.50199999998</v>
      </c>
      <c r="O388" s="561">
        <f t="shared" si="110"/>
        <v>251838.5</v>
      </c>
      <c r="Q388" s="36">
        <f t="shared" si="109"/>
        <v>251838.50199999998</v>
      </c>
    </row>
    <row r="389" spans="1:17" s="36" customFormat="1" ht="22.5" outlineLevel="3" x14ac:dyDescent="0.25">
      <c r="A389" s="270" t="s">
        <v>4683</v>
      </c>
      <c r="B389" s="271" t="s">
        <v>82</v>
      </c>
      <c r="C389" s="271">
        <v>104658</v>
      </c>
      <c r="D389" s="272" t="s">
        <v>712</v>
      </c>
      <c r="E389" s="271" t="s">
        <v>122</v>
      </c>
      <c r="F389" s="273">
        <v>639.83000000000004</v>
      </c>
      <c r="G389" s="274">
        <v>181.84</v>
      </c>
      <c r="H389" s="275">
        <f t="shared" si="128"/>
        <v>242.3</v>
      </c>
      <c r="I389" s="275">
        <f t="shared" si="129"/>
        <v>116346.69</v>
      </c>
      <c r="J389" s="276">
        <f t="shared" si="130"/>
        <v>155030.81</v>
      </c>
      <c r="K389" s="155"/>
      <c r="L389" s="40">
        <f t="shared" si="118"/>
        <v>155030.80900000001</v>
      </c>
      <c r="O389" s="561">
        <f t="shared" si="110"/>
        <v>155030.81</v>
      </c>
      <c r="Q389" s="36">
        <f t="shared" si="109"/>
        <v>155030.80900000001</v>
      </c>
    </row>
    <row r="390" spans="1:17" s="36" customFormat="1" ht="33.75" outlineLevel="3" x14ac:dyDescent="0.25">
      <c r="A390" s="270" t="s">
        <v>4684</v>
      </c>
      <c r="B390" s="271" t="s">
        <v>82</v>
      </c>
      <c r="C390" s="271" t="s">
        <v>714</v>
      </c>
      <c r="D390" s="272" t="s">
        <v>715</v>
      </c>
      <c r="E390" s="271" t="s">
        <v>122</v>
      </c>
      <c r="F390" s="273">
        <v>9</v>
      </c>
      <c r="G390" s="274">
        <v>136.74</v>
      </c>
      <c r="H390" s="275">
        <f t="shared" si="128"/>
        <v>182.21</v>
      </c>
      <c r="I390" s="275">
        <f t="shared" si="129"/>
        <v>1230.6600000000001</v>
      </c>
      <c r="J390" s="276">
        <f t="shared" si="130"/>
        <v>1639.89</v>
      </c>
      <c r="K390" s="155"/>
      <c r="L390" s="40">
        <f t="shared" si="118"/>
        <v>1639.89</v>
      </c>
      <c r="O390" s="561">
        <f t="shared" si="110"/>
        <v>1639.89</v>
      </c>
      <c r="Q390" s="36">
        <f t="shared" si="109"/>
        <v>1639.89</v>
      </c>
    </row>
    <row r="391" spans="1:17" s="36" customFormat="1" ht="45" outlineLevel="3" x14ac:dyDescent="0.25">
      <c r="A391" s="270" t="s">
        <v>4685</v>
      </c>
      <c r="B391" s="271" t="s">
        <v>4322</v>
      </c>
      <c r="C391" s="271">
        <v>200237</v>
      </c>
      <c r="D391" s="272" t="s">
        <v>718</v>
      </c>
      <c r="E391" s="271" t="s">
        <v>54</v>
      </c>
      <c r="F391" s="273">
        <v>229</v>
      </c>
      <c r="G391" s="274">
        <v>91.96</v>
      </c>
      <c r="H391" s="275">
        <f t="shared" si="128"/>
        <v>122.54</v>
      </c>
      <c r="I391" s="275">
        <f t="shared" si="129"/>
        <v>21058.84</v>
      </c>
      <c r="J391" s="276">
        <f t="shared" si="130"/>
        <v>28061.66</v>
      </c>
      <c r="K391" s="155"/>
      <c r="L391" s="40">
        <f t="shared" si="118"/>
        <v>28061.66</v>
      </c>
      <c r="O391" s="561">
        <f t="shared" si="110"/>
        <v>28061.66</v>
      </c>
      <c r="Q391" s="36">
        <f t="shared" ref="Q391:Q409" si="131">F391*H391</f>
        <v>28061.66</v>
      </c>
    </row>
    <row r="392" spans="1:17" s="36" customFormat="1" ht="33.75" outlineLevel="3" x14ac:dyDescent="0.25">
      <c r="A392" s="270" t="s">
        <v>4686</v>
      </c>
      <c r="B392" s="271" t="s">
        <v>82</v>
      </c>
      <c r="C392" s="271" t="s">
        <v>145</v>
      </c>
      <c r="D392" s="272" t="s">
        <v>146</v>
      </c>
      <c r="E392" s="271" t="s">
        <v>147</v>
      </c>
      <c r="F392" s="273">
        <v>245.62</v>
      </c>
      <c r="G392" s="274">
        <v>5.08</v>
      </c>
      <c r="H392" s="275">
        <f t="shared" si="128"/>
        <v>6.77</v>
      </c>
      <c r="I392" s="275">
        <f t="shared" si="129"/>
        <v>1247.75</v>
      </c>
      <c r="J392" s="276">
        <f t="shared" si="130"/>
        <v>1662.85</v>
      </c>
      <c r="K392" s="155"/>
      <c r="L392" s="40">
        <f t="shared" si="118"/>
        <v>1662.8473999999999</v>
      </c>
      <c r="O392" s="561">
        <f t="shared" ref="O392:O455" si="132">J392-N392</f>
        <v>1662.85</v>
      </c>
      <c r="Q392" s="36">
        <f t="shared" si="131"/>
        <v>1662.8473999999999</v>
      </c>
    </row>
    <row r="393" spans="1:17" s="36" customFormat="1" ht="22.5" outlineLevel="3" x14ac:dyDescent="0.25">
      <c r="A393" s="270" t="s">
        <v>4687</v>
      </c>
      <c r="B393" s="271" t="s">
        <v>82</v>
      </c>
      <c r="C393" s="271" t="s">
        <v>149</v>
      </c>
      <c r="D393" s="272" t="s">
        <v>150</v>
      </c>
      <c r="E393" s="271" t="s">
        <v>151</v>
      </c>
      <c r="F393" s="273">
        <v>1842.17</v>
      </c>
      <c r="G393" s="274">
        <v>1.9</v>
      </c>
      <c r="H393" s="275">
        <f t="shared" si="128"/>
        <v>2.5299999999999998</v>
      </c>
      <c r="I393" s="275">
        <f t="shared" si="129"/>
        <v>3500.12</v>
      </c>
      <c r="J393" s="276">
        <f t="shared" si="130"/>
        <v>4660.6899999999996</v>
      </c>
      <c r="K393" s="155"/>
      <c r="L393" s="40">
        <f t="shared" si="118"/>
        <v>4660.6900999999998</v>
      </c>
      <c r="O393" s="561">
        <f t="shared" si="132"/>
        <v>4660.6899999999996</v>
      </c>
      <c r="Q393" s="36">
        <f t="shared" si="131"/>
        <v>4660.6900999999998</v>
      </c>
    </row>
    <row r="394" spans="1:17" s="36" customFormat="1" ht="33.75" outlineLevel="3" x14ac:dyDescent="0.25">
      <c r="A394" s="270" t="s">
        <v>4726</v>
      </c>
      <c r="B394" s="271" t="s">
        <v>82</v>
      </c>
      <c r="C394" s="271">
        <v>106211</v>
      </c>
      <c r="D394" s="272" t="s">
        <v>4725</v>
      </c>
      <c r="E394" s="271" t="s">
        <v>188</v>
      </c>
      <c r="F394" s="273">
        <v>14.4</v>
      </c>
      <c r="G394" s="274">
        <v>389.29</v>
      </c>
      <c r="H394" s="275">
        <f t="shared" si="128"/>
        <v>518.73</v>
      </c>
      <c r="I394" s="275">
        <f t="shared" si="129"/>
        <v>5605.78</v>
      </c>
      <c r="J394" s="276">
        <f t="shared" si="130"/>
        <v>7469.71</v>
      </c>
      <c r="K394" s="155"/>
      <c r="L394" s="40">
        <f t="shared" si="118"/>
        <v>7469.7120000000004</v>
      </c>
      <c r="O394" s="561">
        <f t="shared" si="132"/>
        <v>7469.71</v>
      </c>
      <c r="Q394" s="36">
        <f t="shared" si="131"/>
        <v>7469.7120000000004</v>
      </c>
    </row>
    <row r="395" spans="1:17" s="311" customFormat="1" outlineLevel="2" x14ac:dyDescent="0.25">
      <c r="A395" s="301" t="s">
        <v>4688</v>
      </c>
      <c r="B395" s="302"/>
      <c r="C395" s="303"/>
      <c r="D395" s="302" t="s">
        <v>721</v>
      </c>
      <c r="E395" s="302"/>
      <c r="F395" s="304"/>
      <c r="G395" s="305"/>
      <c r="H395" s="302"/>
      <c r="I395" s="306">
        <f>ROUND(SUM(I396),2)</f>
        <v>230000</v>
      </c>
      <c r="J395" s="307">
        <f>ROUND(SUM(J396),2)</f>
        <v>306475</v>
      </c>
      <c r="K395" s="309"/>
      <c r="L395" s="310">
        <f t="shared" si="118"/>
        <v>0</v>
      </c>
      <c r="N395" s="560">
        <f>SUM(J396)</f>
        <v>306475</v>
      </c>
      <c r="O395" s="564">
        <f t="shared" si="132"/>
        <v>0</v>
      </c>
      <c r="Q395" s="311">
        <f t="shared" si="131"/>
        <v>0</v>
      </c>
    </row>
    <row r="396" spans="1:17" s="36" customFormat="1" ht="23.25" outlineLevel="3" x14ac:dyDescent="0.25">
      <c r="A396" s="270" t="s">
        <v>4689</v>
      </c>
      <c r="B396" s="246" t="s">
        <v>77</v>
      </c>
      <c r="C396" s="246">
        <v>115</v>
      </c>
      <c r="D396" s="108" t="s">
        <v>811</v>
      </c>
      <c r="E396" s="249" t="s">
        <v>808</v>
      </c>
      <c r="F396" s="250">
        <v>2</v>
      </c>
      <c r="G396" s="254">
        <v>115000</v>
      </c>
      <c r="H396" s="275">
        <f t="shared" si="128"/>
        <v>153237.5</v>
      </c>
      <c r="I396" s="275">
        <f t="shared" ref="I396" si="133">G396*F396</f>
        <v>230000</v>
      </c>
      <c r="J396" s="276">
        <f t="shared" ref="J396" si="134">H396*F396</f>
        <v>306475</v>
      </c>
      <c r="K396" s="155"/>
      <c r="L396" s="40"/>
      <c r="O396" s="561">
        <f t="shared" si="132"/>
        <v>306475</v>
      </c>
      <c r="Q396" s="36">
        <f t="shared" si="131"/>
        <v>306475</v>
      </c>
    </row>
    <row r="397" spans="1:17" s="311" customFormat="1" outlineLevel="2" x14ac:dyDescent="0.25">
      <c r="A397" s="301" t="s">
        <v>4690</v>
      </c>
      <c r="B397" s="302"/>
      <c r="C397" s="303"/>
      <c r="D397" s="302" t="s">
        <v>1803</v>
      </c>
      <c r="E397" s="302"/>
      <c r="F397" s="304"/>
      <c r="G397" s="305"/>
      <c r="H397" s="302"/>
      <c r="I397" s="306">
        <f>ROUND(SUM(I398:I400),2)</f>
        <v>141014.78</v>
      </c>
      <c r="J397" s="307">
        <f>ROUND(SUM(J398:J400),2)</f>
        <v>187902.32</v>
      </c>
      <c r="K397" s="309"/>
      <c r="L397" s="310"/>
      <c r="N397" s="560">
        <f>SUM(J398:J400)</f>
        <v>187902.31999999998</v>
      </c>
      <c r="O397" s="564">
        <f t="shared" si="132"/>
        <v>0</v>
      </c>
      <c r="Q397" s="311">
        <f t="shared" si="131"/>
        <v>0</v>
      </c>
    </row>
    <row r="398" spans="1:17" s="36" customFormat="1" ht="22.5" outlineLevel="3" x14ac:dyDescent="0.25">
      <c r="A398" s="270" t="s">
        <v>4691</v>
      </c>
      <c r="B398" s="271" t="s">
        <v>82</v>
      </c>
      <c r="C398" s="271">
        <v>90706</v>
      </c>
      <c r="D398" s="272" t="s">
        <v>803</v>
      </c>
      <c r="E398" s="271" t="s">
        <v>72</v>
      </c>
      <c r="F398" s="273">
        <v>120</v>
      </c>
      <c r="G398" s="274">
        <v>693.8</v>
      </c>
      <c r="H398" s="275">
        <f t="shared" ref="H398:H400" si="135">ROUND(G398*ROUND(1+(33.25/100),4),2)</f>
        <v>924.49</v>
      </c>
      <c r="I398" s="275">
        <f t="shared" ref="I398:I400" si="136">ROUND(ROUND(F398,2)*ROUND(G398,2),2)</f>
        <v>83256</v>
      </c>
      <c r="J398" s="276">
        <f t="shared" ref="J398:J400" si="137">ROUND(ROUND(F398,2)*ROUND(H398,2),2)</f>
        <v>110938.8</v>
      </c>
      <c r="K398" s="155"/>
      <c r="L398" s="40"/>
      <c r="O398" s="561">
        <f t="shared" si="132"/>
        <v>110938.8</v>
      </c>
      <c r="Q398" s="36">
        <f t="shared" si="131"/>
        <v>110938.8</v>
      </c>
    </row>
    <row r="399" spans="1:17" s="36" customFormat="1" ht="22.5" outlineLevel="3" x14ac:dyDescent="0.25">
      <c r="A399" s="270" t="s">
        <v>4692</v>
      </c>
      <c r="B399" s="271" t="s">
        <v>82</v>
      </c>
      <c r="C399" s="271">
        <v>97934</v>
      </c>
      <c r="D399" s="272" t="s">
        <v>805</v>
      </c>
      <c r="E399" s="271" t="s">
        <v>579</v>
      </c>
      <c r="F399" s="273">
        <v>15</v>
      </c>
      <c r="G399" s="274">
        <v>2619.7399999999998</v>
      </c>
      <c r="H399" s="275">
        <f t="shared" si="135"/>
        <v>3490.8</v>
      </c>
      <c r="I399" s="275">
        <f t="shared" si="136"/>
        <v>39296.1</v>
      </c>
      <c r="J399" s="276">
        <f t="shared" si="137"/>
        <v>52362</v>
      </c>
      <c r="K399" s="155"/>
      <c r="L399" s="40"/>
      <c r="O399" s="561">
        <f t="shared" si="132"/>
        <v>52362</v>
      </c>
      <c r="Q399" s="36">
        <f t="shared" si="131"/>
        <v>52362</v>
      </c>
    </row>
    <row r="400" spans="1:17" s="36" customFormat="1" ht="33.75" outlineLevel="3" x14ac:dyDescent="0.25">
      <c r="A400" s="270" t="s">
        <v>4693</v>
      </c>
      <c r="B400" s="271" t="s">
        <v>82</v>
      </c>
      <c r="C400" s="271">
        <v>99290</v>
      </c>
      <c r="D400" s="272" t="s">
        <v>807</v>
      </c>
      <c r="E400" s="271" t="s">
        <v>808</v>
      </c>
      <c r="F400" s="273">
        <v>4</v>
      </c>
      <c r="G400" s="274">
        <v>4615.67</v>
      </c>
      <c r="H400" s="275">
        <f t="shared" si="135"/>
        <v>6150.38</v>
      </c>
      <c r="I400" s="275">
        <f t="shared" si="136"/>
        <v>18462.68</v>
      </c>
      <c r="J400" s="276">
        <f t="shared" si="137"/>
        <v>24601.52</v>
      </c>
      <c r="K400" s="155"/>
      <c r="L400" s="40"/>
      <c r="O400" s="561">
        <f t="shared" si="132"/>
        <v>24601.52</v>
      </c>
      <c r="Q400" s="36">
        <f t="shared" si="131"/>
        <v>24601.52</v>
      </c>
    </row>
    <row r="401" spans="1:1020 1025:2047 2049:3070 3075:5120 5125:6140 6145:7167 7169:8190 8195:10240 10245:11260 11265:12287 12289:13310 13315:15360 15365:16380" s="110" customFormat="1" ht="11.25" x14ac:dyDescent="0.25">
      <c r="A401" s="282">
        <v>5</v>
      </c>
      <c r="B401" s="283"/>
      <c r="C401" s="283"/>
      <c r="D401" s="283" t="s">
        <v>18</v>
      </c>
      <c r="E401" s="283"/>
      <c r="F401" s="284"/>
      <c r="G401" s="285"/>
      <c r="H401" s="283"/>
      <c r="I401" s="286">
        <f>ROUND(SUM(I402:I406),2)</f>
        <v>43273.8</v>
      </c>
      <c r="J401" s="287">
        <f>ROUND(SUM(J402:J406),2)</f>
        <v>57663.839999999997</v>
      </c>
      <c r="K401" s="157"/>
      <c r="L401" s="110">
        <f t="shared" si="118"/>
        <v>0</v>
      </c>
      <c r="N401" s="114">
        <f>SUM(J402:J406)</f>
        <v>57663.840000000004</v>
      </c>
      <c r="O401" s="563">
        <f t="shared" si="132"/>
        <v>0</v>
      </c>
      <c r="P401" s="112"/>
      <c r="Q401" s="113">
        <f t="shared" si="131"/>
        <v>0</v>
      </c>
      <c r="S401" s="114"/>
      <c r="T401" s="114"/>
      <c r="Y401" s="111"/>
      <c r="Z401" s="112"/>
      <c r="AA401" s="113"/>
      <c r="AC401" s="114"/>
      <c r="AD401" s="114"/>
      <c r="AI401" s="111"/>
      <c r="AJ401" s="112"/>
      <c r="AK401" s="113"/>
      <c r="AM401" s="114"/>
      <c r="AN401" s="114"/>
      <c r="AS401" s="111"/>
      <c r="AT401" s="112"/>
      <c r="AU401" s="113"/>
      <c r="AW401" s="114"/>
      <c r="AX401" s="114"/>
      <c r="BC401" s="111"/>
      <c r="BD401" s="112"/>
      <c r="BE401" s="113"/>
      <c r="BG401" s="114"/>
      <c r="BH401" s="114"/>
      <c r="BM401" s="111"/>
      <c r="BN401" s="112"/>
      <c r="BO401" s="113"/>
      <c r="BQ401" s="114"/>
      <c r="BR401" s="114"/>
      <c r="BW401" s="111"/>
      <c r="BX401" s="112"/>
      <c r="BY401" s="113"/>
      <c r="CA401" s="114"/>
      <c r="CB401" s="114"/>
      <c r="CG401" s="111"/>
      <c r="CH401" s="112"/>
      <c r="CI401" s="113"/>
      <c r="CK401" s="114"/>
      <c r="CL401" s="114"/>
      <c r="CQ401" s="111"/>
      <c r="CR401" s="112"/>
      <c r="CS401" s="113"/>
      <c r="CU401" s="114"/>
      <c r="CV401" s="114"/>
      <c r="DA401" s="111"/>
      <c r="DB401" s="112"/>
      <c r="DC401" s="113"/>
      <c r="DE401" s="114"/>
      <c r="DF401" s="114"/>
      <c r="DK401" s="111"/>
      <c r="DL401" s="112"/>
      <c r="DM401" s="113"/>
      <c r="DO401" s="114"/>
      <c r="DP401" s="114"/>
      <c r="DU401" s="111"/>
      <c r="DV401" s="112"/>
      <c r="DW401" s="113"/>
      <c r="DY401" s="114"/>
      <c r="DZ401" s="114"/>
      <c r="EE401" s="111"/>
      <c r="EF401" s="112"/>
      <c r="EG401" s="113"/>
      <c r="EI401" s="114"/>
      <c r="EJ401" s="114"/>
      <c r="EO401" s="111"/>
      <c r="EP401" s="112"/>
      <c r="EQ401" s="113"/>
      <c r="ES401" s="114"/>
      <c r="ET401" s="114"/>
      <c r="EY401" s="111"/>
      <c r="EZ401" s="112"/>
      <c r="FA401" s="113"/>
      <c r="FC401" s="114"/>
      <c r="FD401" s="114"/>
      <c r="FI401" s="111"/>
      <c r="FJ401" s="112"/>
      <c r="FK401" s="113"/>
      <c r="FM401" s="114"/>
      <c r="FN401" s="114"/>
      <c r="FS401" s="111"/>
      <c r="FT401" s="112"/>
      <c r="FU401" s="113"/>
      <c r="FW401" s="114"/>
      <c r="FX401" s="114"/>
      <c r="GC401" s="111"/>
      <c r="GD401" s="112"/>
      <c r="GE401" s="113"/>
      <c r="GG401" s="114"/>
      <c r="GH401" s="114"/>
      <c r="GM401" s="111"/>
      <c r="GN401" s="112"/>
      <c r="GO401" s="113"/>
      <c r="GQ401" s="114"/>
      <c r="GR401" s="114"/>
      <c r="GW401" s="111"/>
      <c r="GX401" s="112"/>
      <c r="GY401" s="113"/>
      <c r="HA401" s="114"/>
      <c r="HB401" s="114"/>
      <c r="HG401" s="111"/>
      <c r="HH401" s="112"/>
      <c r="HI401" s="113"/>
      <c r="HK401" s="114"/>
      <c r="HL401" s="114"/>
      <c r="HQ401" s="111"/>
      <c r="HR401" s="112"/>
      <c r="HS401" s="113"/>
      <c r="HU401" s="114"/>
      <c r="HV401" s="114"/>
      <c r="IA401" s="111"/>
      <c r="IB401" s="112"/>
      <c r="IC401" s="113"/>
      <c r="IE401" s="114"/>
      <c r="IF401" s="114"/>
      <c r="IK401" s="111"/>
      <c r="IL401" s="112"/>
      <c r="IM401" s="113"/>
      <c r="IO401" s="114"/>
      <c r="IP401" s="114"/>
      <c r="IU401" s="111"/>
      <c r="IV401" s="112"/>
      <c r="IW401" s="113"/>
      <c r="IY401" s="114"/>
      <c r="IZ401" s="114"/>
      <c r="JE401" s="111"/>
      <c r="JF401" s="112"/>
      <c r="JG401" s="113"/>
      <c r="JI401" s="114"/>
      <c r="JJ401" s="114"/>
      <c r="JO401" s="111"/>
      <c r="JP401" s="112"/>
      <c r="JQ401" s="113"/>
      <c r="JS401" s="114"/>
      <c r="JT401" s="114"/>
      <c r="JY401" s="111"/>
      <c r="JZ401" s="112"/>
      <c r="KA401" s="113"/>
      <c r="KC401" s="114"/>
      <c r="KD401" s="114"/>
      <c r="KI401" s="111"/>
      <c r="KJ401" s="112"/>
      <c r="KK401" s="113"/>
      <c r="KM401" s="114"/>
      <c r="KN401" s="114"/>
      <c r="KS401" s="111"/>
      <c r="KT401" s="112"/>
      <c r="KU401" s="113"/>
      <c r="KW401" s="114"/>
      <c r="KX401" s="114"/>
      <c r="LC401" s="111"/>
      <c r="LD401" s="112"/>
      <c r="LE401" s="113"/>
      <c r="LG401" s="114"/>
      <c r="LH401" s="114"/>
      <c r="LM401" s="111"/>
      <c r="LN401" s="112"/>
      <c r="LO401" s="113"/>
      <c r="LQ401" s="114"/>
      <c r="LR401" s="114"/>
      <c r="LW401" s="111"/>
      <c r="LX401" s="112"/>
      <c r="LY401" s="113"/>
      <c r="MA401" s="114"/>
      <c r="MB401" s="114"/>
      <c r="MG401" s="111"/>
      <c r="MH401" s="112"/>
      <c r="MI401" s="113"/>
      <c r="MK401" s="114"/>
      <c r="ML401" s="114"/>
      <c r="MQ401" s="111"/>
      <c r="MR401" s="112"/>
      <c r="MS401" s="113"/>
      <c r="MU401" s="114"/>
      <c r="MV401" s="114"/>
      <c r="NA401" s="111"/>
      <c r="NB401" s="112"/>
      <c r="NC401" s="113"/>
      <c r="NE401" s="114"/>
      <c r="NF401" s="114"/>
      <c r="NK401" s="111"/>
      <c r="NL401" s="112"/>
      <c r="NM401" s="113"/>
      <c r="NO401" s="114"/>
      <c r="NP401" s="114"/>
      <c r="NU401" s="111"/>
      <c r="NV401" s="112"/>
      <c r="NW401" s="113"/>
      <c r="NY401" s="114"/>
      <c r="NZ401" s="114"/>
      <c r="OE401" s="111"/>
      <c r="OF401" s="112"/>
      <c r="OG401" s="113"/>
      <c r="OI401" s="114"/>
      <c r="OJ401" s="114"/>
      <c r="OO401" s="111"/>
      <c r="OP401" s="112"/>
      <c r="OQ401" s="113"/>
      <c r="OS401" s="114"/>
      <c r="OT401" s="114"/>
      <c r="OY401" s="111"/>
      <c r="OZ401" s="112"/>
      <c r="PA401" s="113"/>
      <c r="PC401" s="114"/>
      <c r="PD401" s="114"/>
      <c r="PI401" s="111"/>
      <c r="PJ401" s="112"/>
      <c r="PK401" s="113"/>
      <c r="PM401" s="114"/>
      <c r="PN401" s="114"/>
      <c r="PS401" s="111"/>
      <c r="PT401" s="112"/>
      <c r="PU401" s="113"/>
      <c r="PW401" s="114"/>
      <c r="PX401" s="114"/>
      <c r="QC401" s="111"/>
      <c r="QD401" s="112"/>
      <c r="QE401" s="113"/>
      <c r="QG401" s="114"/>
      <c r="QH401" s="114"/>
      <c r="QM401" s="111"/>
      <c r="QN401" s="112"/>
      <c r="QO401" s="113"/>
      <c r="QQ401" s="114"/>
      <c r="QR401" s="114"/>
      <c r="QW401" s="111"/>
      <c r="QX401" s="112"/>
      <c r="QY401" s="113"/>
      <c r="RA401" s="114"/>
      <c r="RB401" s="114"/>
      <c r="RG401" s="111"/>
      <c r="RH401" s="112"/>
      <c r="RI401" s="113"/>
      <c r="RK401" s="114"/>
      <c r="RL401" s="114"/>
      <c r="RQ401" s="111"/>
      <c r="RR401" s="112"/>
      <c r="RS401" s="113"/>
      <c r="RU401" s="114"/>
      <c r="RV401" s="114"/>
      <c r="SA401" s="111"/>
      <c r="SB401" s="112"/>
      <c r="SC401" s="113"/>
      <c r="SE401" s="114"/>
      <c r="SF401" s="114"/>
      <c r="SK401" s="111"/>
      <c r="SL401" s="112"/>
      <c r="SM401" s="113"/>
      <c r="SO401" s="114"/>
      <c r="SP401" s="114"/>
      <c r="SU401" s="111"/>
      <c r="SV401" s="112"/>
      <c r="SW401" s="113"/>
      <c r="SY401" s="114"/>
      <c r="SZ401" s="114"/>
      <c r="TE401" s="111"/>
      <c r="TF401" s="112"/>
      <c r="TG401" s="113"/>
      <c r="TI401" s="114"/>
      <c r="TJ401" s="114"/>
      <c r="TO401" s="111"/>
      <c r="TP401" s="112"/>
      <c r="TQ401" s="113"/>
      <c r="TS401" s="114"/>
      <c r="TT401" s="114"/>
      <c r="TY401" s="111"/>
      <c r="TZ401" s="112"/>
      <c r="UA401" s="113"/>
      <c r="UC401" s="114"/>
      <c r="UD401" s="114"/>
      <c r="UI401" s="111"/>
      <c r="UJ401" s="112"/>
      <c r="UK401" s="113"/>
      <c r="UM401" s="114"/>
      <c r="UN401" s="114"/>
      <c r="US401" s="111"/>
      <c r="UT401" s="112"/>
      <c r="UU401" s="113"/>
      <c r="UW401" s="114"/>
      <c r="UX401" s="114"/>
      <c r="VC401" s="111"/>
      <c r="VD401" s="112"/>
      <c r="VE401" s="113"/>
      <c r="VG401" s="114"/>
      <c r="VH401" s="114"/>
      <c r="VM401" s="111"/>
      <c r="VN401" s="112"/>
      <c r="VO401" s="113"/>
      <c r="VQ401" s="114"/>
      <c r="VR401" s="114"/>
      <c r="VW401" s="111"/>
      <c r="VX401" s="112"/>
      <c r="VY401" s="113"/>
      <c r="WA401" s="114"/>
      <c r="WB401" s="114"/>
      <c r="WG401" s="111"/>
      <c r="WH401" s="112"/>
      <c r="WI401" s="113"/>
      <c r="WK401" s="114"/>
      <c r="WL401" s="114"/>
      <c r="WQ401" s="111"/>
      <c r="WR401" s="112"/>
      <c r="WS401" s="113"/>
      <c r="WU401" s="114"/>
      <c r="WV401" s="114"/>
      <c r="XA401" s="111"/>
      <c r="XB401" s="112"/>
      <c r="XC401" s="113"/>
      <c r="XE401" s="114"/>
      <c r="XF401" s="114"/>
      <c r="XK401" s="111"/>
      <c r="XL401" s="112"/>
      <c r="XM401" s="113"/>
      <c r="XO401" s="114"/>
      <c r="XP401" s="114"/>
      <c r="XU401" s="111"/>
      <c r="XV401" s="112"/>
      <c r="XW401" s="113"/>
      <c r="XY401" s="114"/>
      <c r="XZ401" s="114"/>
      <c r="YE401" s="111"/>
      <c r="YF401" s="112"/>
      <c r="YG401" s="113"/>
      <c r="YI401" s="114"/>
      <c r="YJ401" s="114"/>
      <c r="YO401" s="111"/>
      <c r="YP401" s="112"/>
      <c r="YQ401" s="113"/>
      <c r="YS401" s="114"/>
      <c r="YT401" s="114"/>
      <c r="YY401" s="111"/>
      <c r="YZ401" s="112"/>
      <c r="ZA401" s="113"/>
      <c r="ZC401" s="114"/>
      <c r="ZD401" s="114"/>
      <c r="ZI401" s="111"/>
      <c r="ZJ401" s="112"/>
      <c r="ZK401" s="113"/>
      <c r="ZM401" s="114"/>
      <c r="ZN401" s="114"/>
      <c r="ZS401" s="111"/>
      <c r="ZT401" s="112"/>
      <c r="ZU401" s="113"/>
      <c r="ZW401" s="114"/>
      <c r="ZX401" s="114"/>
      <c r="AAC401" s="111"/>
      <c r="AAD401" s="112"/>
      <c r="AAE401" s="113"/>
      <c r="AAG401" s="114"/>
      <c r="AAH401" s="114"/>
      <c r="AAM401" s="111"/>
      <c r="AAN401" s="112"/>
      <c r="AAO401" s="113"/>
      <c r="AAQ401" s="114"/>
      <c r="AAR401" s="114"/>
      <c r="AAW401" s="111"/>
      <c r="AAX401" s="112"/>
      <c r="AAY401" s="113"/>
      <c r="ABA401" s="114"/>
      <c r="ABB401" s="114"/>
      <c r="ABG401" s="111"/>
      <c r="ABH401" s="112"/>
      <c r="ABI401" s="113"/>
      <c r="ABK401" s="114"/>
      <c r="ABL401" s="114"/>
      <c r="ABQ401" s="111"/>
      <c r="ABR401" s="112"/>
      <c r="ABS401" s="113"/>
      <c r="ABU401" s="114"/>
      <c r="ABV401" s="114"/>
      <c r="ACA401" s="111"/>
      <c r="ACB401" s="112"/>
      <c r="ACC401" s="113"/>
      <c r="ACE401" s="114"/>
      <c r="ACF401" s="114"/>
      <c r="ACK401" s="111"/>
      <c r="ACL401" s="112"/>
      <c r="ACM401" s="113"/>
      <c r="ACO401" s="114"/>
      <c r="ACP401" s="114"/>
      <c r="ACU401" s="111"/>
      <c r="ACV401" s="112"/>
      <c r="ACW401" s="113"/>
      <c r="ACY401" s="114"/>
      <c r="ACZ401" s="114"/>
      <c r="ADE401" s="111"/>
      <c r="ADF401" s="112"/>
      <c r="ADG401" s="113"/>
      <c r="ADI401" s="114"/>
      <c r="ADJ401" s="114"/>
      <c r="ADO401" s="111"/>
      <c r="ADP401" s="112"/>
      <c r="ADQ401" s="113"/>
      <c r="ADS401" s="114"/>
      <c r="ADT401" s="114"/>
      <c r="ADY401" s="111"/>
      <c r="ADZ401" s="112"/>
      <c r="AEA401" s="113"/>
      <c r="AEC401" s="114"/>
      <c r="AED401" s="114"/>
      <c r="AEI401" s="111"/>
      <c r="AEJ401" s="112"/>
      <c r="AEK401" s="113"/>
      <c r="AEM401" s="114"/>
      <c r="AEN401" s="114"/>
      <c r="AES401" s="111"/>
      <c r="AET401" s="112"/>
      <c r="AEU401" s="113"/>
      <c r="AEW401" s="114"/>
      <c r="AEX401" s="114"/>
      <c r="AFC401" s="111"/>
      <c r="AFD401" s="112"/>
      <c r="AFE401" s="113"/>
      <c r="AFG401" s="114"/>
      <c r="AFH401" s="114"/>
      <c r="AFM401" s="111"/>
      <c r="AFN401" s="112"/>
      <c r="AFO401" s="113"/>
      <c r="AFQ401" s="114"/>
      <c r="AFR401" s="114"/>
      <c r="AFW401" s="111"/>
      <c r="AFX401" s="112"/>
      <c r="AFY401" s="113"/>
      <c r="AGA401" s="114"/>
      <c r="AGB401" s="114"/>
      <c r="AGG401" s="111"/>
      <c r="AGH401" s="112"/>
      <c r="AGI401" s="113"/>
      <c r="AGK401" s="114"/>
      <c r="AGL401" s="114"/>
      <c r="AGQ401" s="111"/>
      <c r="AGR401" s="112"/>
      <c r="AGS401" s="113"/>
      <c r="AGU401" s="114"/>
      <c r="AGV401" s="114"/>
      <c r="AHA401" s="111"/>
      <c r="AHB401" s="112"/>
      <c r="AHC401" s="113"/>
      <c r="AHE401" s="114"/>
      <c r="AHF401" s="114"/>
      <c r="AHK401" s="111"/>
      <c r="AHL401" s="112"/>
      <c r="AHM401" s="113"/>
      <c r="AHO401" s="114"/>
      <c r="AHP401" s="114"/>
      <c r="AHU401" s="111"/>
      <c r="AHV401" s="112"/>
      <c r="AHW401" s="113"/>
      <c r="AHY401" s="114"/>
      <c r="AHZ401" s="114"/>
      <c r="AIE401" s="111"/>
      <c r="AIF401" s="112"/>
      <c r="AIG401" s="113"/>
      <c r="AII401" s="114"/>
      <c r="AIJ401" s="114"/>
      <c r="AIO401" s="111"/>
      <c r="AIP401" s="112"/>
      <c r="AIQ401" s="113"/>
      <c r="AIS401" s="114"/>
      <c r="AIT401" s="114"/>
      <c r="AIY401" s="111"/>
      <c r="AIZ401" s="112"/>
      <c r="AJA401" s="113"/>
      <c r="AJC401" s="114"/>
      <c r="AJD401" s="114"/>
      <c r="AJI401" s="111"/>
      <c r="AJJ401" s="112"/>
      <c r="AJK401" s="113"/>
      <c r="AJM401" s="114"/>
      <c r="AJN401" s="114"/>
      <c r="AJS401" s="111"/>
      <c r="AJT401" s="112"/>
      <c r="AJU401" s="113"/>
      <c r="AJW401" s="114"/>
      <c r="AJX401" s="114"/>
      <c r="AKC401" s="111"/>
      <c r="AKD401" s="112"/>
      <c r="AKE401" s="113"/>
      <c r="AKG401" s="114"/>
      <c r="AKH401" s="114"/>
      <c r="AKM401" s="111"/>
      <c r="AKN401" s="112"/>
      <c r="AKO401" s="113"/>
      <c r="AKQ401" s="114"/>
      <c r="AKR401" s="114"/>
      <c r="AKW401" s="111"/>
      <c r="AKX401" s="112"/>
      <c r="AKY401" s="113"/>
      <c r="ALA401" s="114"/>
      <c r="ALB401" s="114"/>
      <c r="ALG401" s="111"/>
      <c r="ALH401" s="112"/>
      <c r="ALI401" s="113"/>
      <c r="ALK401" s="114"/>
      <c r="ALL401" s="114"/>
      <c r="ALQ401" s="111"/>
      <c r="ALR401" s="112"/>
      <c r="ALS401" s="113"/>
      <c r="ALU401" s="114"/>
      <c r="ALV401" s="114"/>
      <c r="AMA401" s="111"/>
      <c r="AMB401" s="112"/>
      <c r="AMC401" s="113"/>
      <c r="AME401" s="114"/>
      <c r="AMF401" s="114"/>
      <c r="AMK401" s="111"/>
      <c r="AML401" s="112"/>
      <c r="AMM401" s="113"/>
      <c r="AMO401" s="114"/>
      <c r="AMP401" s="114"/>
      <c r="AMU401" s="111"/>
      <c r="AMV401" s="112"/>
      <c r="AMW401" s="113"/>
      <c r="AMY401" s="114"/>
      <c r="AMZ401" s="114"/>
      <c r="ANE401" s="111"/>
      <c r="ANF401" s="112"/>
      <c r="ANG401" s="113"/>
      <c r="ANI401" s="114"/>
      <c r="ANJ401" s="114"/>
      <c r="ANO401" s="111"/>
      <c r="ANP401" s="112"/>
      <c r="ANQ401" s="113"/>
      <c r="ANS401" s="114"/>
      <c r="ANT401" s="114"/>
      <c r="ANY401" s="111"/>
      <c r="ANZ401" s="112"/>
      <c r="AOA401" s="113"/>
      <c r="AOC401" s="114"/>
      <c r="AOD401" s="114"/>
      <c r="AOI401" s="111"/>
      <c r="AOJ401" s="112"/>
      <c r="AOK401" s="113"/>
      <c r="AOM401" s="114"/>
      <c r="AON401" s="114"/>
      <c r="AOS401" s="111"/>
      <c r="AOT401" s="112"/>
      <c r="AOU401" s="113"/>
      <c r="AOW401" s="114"/>
      <c r="AOX401" s="114"/>
      <c r="APC401" s="111"/>
      <c r="APD401" s="112"/>
      <c r="APE401" s="113"/>
      <c r="APG401" s="114"/>
      <c r="APH401" s="114"/>
      <c r="APM401" s="111"/>
      <c r="APN401" s="112"/>
      <c r="APO401" s="113"/>
      <c r="APQ401" s="114"/>
      <c r="APR401" s="114"/>
      <c r="APW401" s="111"/>
      <c r="APX401" s="112"/>
      <c r="APY401" s="113"/>
      <c r="AQA401" s="114"/>
      <c r="AQB401" s="114"/>
      <c r="AQG401" s="111"/>
      <c r="AQH401" s="112"/>
      <c r="AQI401" s="113"/>
      <c r="AQK401" s="114"/>
      <c r="AQL401" s="114"/>
      <c r="AQQ401" s="111"/>
      <c r="AQR401" s="112"/>
      <c r="AQS401" s="113"/>
      <c r="AQU401" s="114"/>
      <c r="AQV401" s="114"/>
      <c r="ARA401" s="111"/>
      <c r="ARB401" s="112"/>
      <c r="ARC401" s="113"/>
      <c r="ARE401" s="114"/>
      <c r="ARF401" s="114"/>
      <c r="ARK401" s="111"/>
      <c r="ARL401" s="112"/>
      <c r="ARM401" s="113"/>
      <c r="ARO401" s="114"/>
      <c r="ARP401" s="114"/>
      <c r="ARU401" s="111"/>
      <c r="ARV401" s="112"/>
      <c r="ARW401" s="113"/>
      <c r="ARY401" s="114"/>
      <c r="ARZ401" s="114"/>
      <c r="ASE401" s="111"/>
      <c r="ASF401" s="112"/>
      <c r="ASG401" s="113"/>
      <c r="ASI401" s="114"/>
      <c r="ASJ401" s="114"/>
      <c r="ASO401" s="111"/>
      <c r="ASP401" s="112"/>
      <c r="ASQ401" s="113"/>
      <c r="ASS401" s="114"/>
      <c r="AST401" s="114"/>
      <c r="ASY401" s="111"/>
      <c r="ASZ401" s="112"/>
      <c r="ATA401" s="113"/>
      <c r="ATC401" s="114"/>
      <c r="ATD401" s="114"/>
      <c r="ATI401" s="111"/>
      <c r="ATJ401" s="112"/>
      <c r="ATK401" s="113"/>
      <c r="ATM401" s="114"/>
      <c r="ATN401" s="114"/>
      <c r="ATS401" s="111"/>
      <c r="ATT401" s="112"/>
      <c r="ATU401" s="113"/>
      <c r="ATW401" s="114"/>
      <c r="ATX401" s="114"/>
      <c r="AUC401" s="111"/>
      <c r="AUD401" s="112"/>
      <c r="AUE401" s="113"/>
      <c r="AUG401" s="114"/>
      <c r="AUH401" s="114"/>
      <c r="AUM401" s="111"/>
      <c r="AUN401" s="112"/>
      <c r="AUO401" s="113"/>
      <c r="AUQ401" s="114"/>
      <c r="AUR401" s="114"/>
      <c r="AUW401" s="111"/>
      <c r="AUX401" s="112"/>
      <c r="AUY401" s="113"/>
      <c r="AVA401" s="114"/>
      <c r="AVB401" s="114"/>
      <c r="AVG401" s="111"/>
      <c r="AVH401" s="112"/>
      <c r="AVI401" s="113"/>
      <c r="AVK401" s="114"/>
      <c r="AVL401" s="114"/>
      <c r="AVQ401" s="111"/>
      <c r="AVR401" s="112"/>
      <c r="AVS401" s="113"/>
      <c r="AVU401" s="114"/>
      <c r="AVV401" s="114"/>
      <c r="AWA401" s="111"/>
      <c r="AWB401" s="112"/>
      <c r="AWC401" s="113"/>
      <c r="AWE401" s="114"/>
      <c r="AWF401" s="114"/>
      <c r="AWK401" s="111"/>
      <c r="AWL401" s="112"/>
      <c r="AWM401" s="113"/>
      <c r="AWO401" s="114"/>
      <c r="AWP401" s="114"/>
      <c r="AWU401" s="111"/>
      <c r="AWV401" s="112"/>
      <c r="AWW401" s="113"/>
      <c r="AWY401" s="114"/>
      <c r="AWZ401" s="114"/>
      <c r="AXE401" s="111"/>
      <c r="AXF401" s="112"/>
      <c r="AXG401" s="113"/>
      <c r="AXI401" s="114"/>
      <c r="AXJ401" s="114"/>
      <c r="AXO401" s="111"/>
      <c r="AXP401" s="112"/>
      <c r="AXQ401" s="113"/>
      <c r="AXS401" s="114"/>
      <c r="AXT401" s="114"/>
      <c r="AXY401" s="111"/>
      <c r="AXZ401" s="112"/>
      <c r="AYA401" s="113"/>
      <c r="AYC401" s="114"/>
      <c r="AYD401" s="114"/>
      <c r="AYI401" s="111"/>
      <c r="AYJ401" s="112"/>
      <c r="AYK401" s="113"/>
      <c r="AYM401" s="114"/>
      <c r="AYN401" s="114"/>
      <c r="AYS401" s="111"/>
      <c r="AYT401" s="112"/>
      <c r="AYU401" s="113"/>
      <c r="AYW401" s="114"/>
      <c r="AYX401" s="114"/>
      <c r="AZC401" s="111"/>
      <c r="AZD401" s="112"/>
      <c r="AZE401" s="113"/>
      <c r="AZG401" s="114"/>
      <c r="AZH401" s="114"/>
      <c r="AZM401" s="111"/>
      <c r="AZN401" s="112"/>
      <c r="AZO401" s="113"/>
      <c r="AZQ401" s="114"/>
      <c r="AZR401" s="114"/>
      <c r="AZW401" s="111"/>
      <c r="AZX401" s="112"/>
      <c r="AZY401" s="113"/>
      <c r="BAA401" s="114"/>
      <c r="BAB401" s="114"/>
      <c r="BAG401" s="111"/>
      <c r="BAH401" s="112"/>
      <c r="BAI401" s="113"/>
      <c r="BAK401" s="114"/>
      <c r="BAL401" s="114"/>
      <c r="BAQ401" s="111"/>
      <c r="BAR401" s="112"/>
      <c r="BAS401" s="113"/>
      <c r="BAU401" s="114"/>
      <c r="BAV401" s="114"/>
      <c r="BBA401" s="111"/>
      <c r="BBB401" s="112"/>
      <c r="BBC401" s="113"/>
      <c r="BBE401" s="114"/>
      <c r="BBF401" s="114"/>
      <c r="BBK401" s="111"/>
      <c r="BBL401" s="112"/>
      <c r="BBM401" s="113"/>
      <c r="BBO401" s="114"/>
      <c r="BBP401" s="114"/>
      <c r="BBU401" s="111"/>
      <c r="BBV401" s="112"/>
      <c r="BBW401" s="113"/>
      <c r="BBY401" s="114"/>
      <c r="BBZ401" s="114"/>
      <c r="BCE401" s="111"/>
      <c r="BCF401" s="112"/>
      <c r="BCG401" s="113"/>
      <c r="BCI401" s="114"/>
      <c r="BCJ401" s="114"/>
      <c r="BCO401" s="111"/>
      <c r="BCP401" s="112"/>
      <c r="BCQ401" s="113"/>
      <c r="BCS401" s="114"/>
      <c r="BCT401" s="114"/>
      <c r="BCY401" s="111"/>
      <c r="BCZ401" s="112"/>
      <c r="BDA401" s="113"/>
      <c r="BDC401" s="114"/>
      <c r="BDD401" s="114"/>
      <c r="BDI401" s="111"/>
      <c r="BDJ401" s="112"/>
      <c r="BDK401" s="113"/>
      <c r="BDM401" s="114"/>
      <c r="BDN401" s="114"/>
      <c r="BDS401" s="111"/>
      <c r="BDT401" s="112"/>
      <c r="BDU401" s="113"/>
      <c r="BDW401" s="114"/>
      <c r="BDX401" s="114"/>
      <c r="BEC401" s="111"/>
      <c r="BED401" s="112"/>
      <c r="BEE401" s="113"/>
      <c r="BEG401" s="114"/>
      <c r="BEH401" s="114"/>
      <c r="BEM401" s="111"/>
      <c r="BEN401" s="112"/>
      <c r="BEO401" s="113"/>
      <c r="BEQ401" s="114"/>
      <c r="BER401" s="114"/>
      <c r="BEW401" s="111"/>
      <c r="BEX401" s="112"/>
      <c r="BEY401" s="113"/>
      <c r="BFA401" s="114"/>
      <c r="BFB401" s="114"/>
      <c r="BFG401" s="111"/>
      <c r="BFH401" s="112"/>
      <c r="BFI401" s="113"/>
      <c r="BFK401" s="114"/>
      <c r="BFL401" s="114"/>
      <c r="BFQ401" s="111"/>
      <c r="BFR401" s="112"/>
      <c r="BFS401" s="113"/>
      <c r="BFU401" s="114"/>
      <c r="BFV401" s="114"/>
      <c r="BGA401" s="111"/>
      <c r="BGB401" s="112"/>
      <c r="BGC401" s="113"/>
      <c r="BGE401" s="114"/>
      <c r="BGF401" s="114"/>
      <c r="BGK401" s="111"/>
      <c r="BGL401" s="112"/>
      <c r="BGM401" s="113"/>
      <c r="BGO401" s="114"/>
      <c r="BGP401" s="114"/>
      <c r="BGU401" s="111"/>
      <c r="BGV401" s="112"/>
      <c r="BGW401" s="113"/>
      <c r="BGY401" s="114"/>
      <c r="BGZ401" s="114"/>
      <c r="BHE401" s="111"/>
      <c r="BHF401" s="112"/>
      <c r="BHG401" s="113"/>
      <c r="BHI401" s="114"/>
      <c r="BHJ401" s="114"/>
      <c r="BHO401" s="111"/>
      <c r="BHP401" s="112"/>
      <c r="BHQ401" s="113"/>
      <c r="BHS401" s="114"/>
      <c r="BHT401" s="114"/>
      <c r="BHY401" s="111"/>
      <c r="BHZ401" s="112"/>
      <c r="BIA401" s="113"/>
      <c r="BIC401" s="114"/>
      <c r="BID401" s="114"/>
      <c r="BII401" s="111"/>
      <c r="BIJ401" s="112"/>
      <c r="BIK401" s="113"/>
      <c r="BIM401" s="114"/>
      <c r="BIN401" s="114"/>
      <c r="BIS401" s="111"/>
      <c r="BIT401" s="112"/>
      <c r="BIU401" s="113"/>
      <c r="BIW401" s="114"/>
      <c r="BIX401" s="114"/>
      <c r="BJC401" s="111"/>
      <c r="BJD401" s="112"/>
      <c r="BJE401" s="113"/>
      <c r="BJG401" s="114"/>
      <c r="BJH401" s="114"/>
      <c r="BJM401" s="111"/>
      <c r="BJN401" s="112"/>
      <c r="BJO401" s="113"/>
      <c r="BJQ401" s="114"/>
      <c r="BJR401" s="114"/>
      <c r="BJW401" s="111"/>
      <c r="BJX401" s="112"/>
      <c r="BJY401" s="113"/>
      <c r="BKA401" s="114"/>
      <c r="BKB401" s="114"/>
      <c r="BKG401" s="111"/>
      <c r="BKH401" s="112"/>
      <c r="BKI401" s="113"/>
      <c r="BKK401" s="114"/>
      <c r="BKL401" s="114"/>
      <c r="BKQ401" s="111"/>
      <c r="BKR401" s="112"/>
      <c r="BKS401" s="113"/>
      <c r="BKU401" s="114"/>
      <c r="BKV401" s="114"/>
      <c r="BLA401" s="111"/>
      <c r="BLB401" s="112"/>
      <c r="BLC401" s="113"/>
      <c r="BLE401" s="114"/>
      <c r="BLF401" s="114"/>
      <c r="BLK401" s="111"/>
      <c r="BLL401" s="112"/>
      <c r="BLM401" s="113"/>
      <c r="BLO401" s="114"/>
      <c r="BLP401" s="114"/>
      <c r="BLU401" s="111"/>
      <c r="BLV401" s="112"/>
      <c r="BLW401" s="113"/>
      <c r="BLY401" s="114"/>
      <c r="BLZ401" s="114"/>
      <c r="BME401" s="111"/>
      <c r="BMF401" s="112"/>
      <c r="BMG401" s="113"/>
      <c r="BMI401" s="114"/>
      <c r="BMJ401" s="114"/>
      <c r="BMO401" s="111"/>
      <c r="BMP401" s="112"/>
      <c r="BMQ401" s="113"/>
      <c r="BMS401" s="114"/>
      <c r="BMT401" s="114"/>
      <c r="BMY401" s="111"/>
      <c r="BMZ401" s="112"/>
      <c r="BNA401" s="113"/>
      <c r="BNC401" s="114"/>
      <c r="BND401" s="114"/>
      <c r="BNI401" s="111"/>
      <c r="BNJ401" s="112"/>
      <c r="BNK401" s="113"/>
      <c r="BNM401" s="114"/>
      <c r="BNN401" s="114"/>
      <c r="BNS401" s="111"/>
      <c r="BNT401" s="112"/>
      <c r="BNU401" s="113"/>
      <c r="BNW401" s="114"/>
      <c r="BNX401" s="114"/>
      <c r="BOC401" s="111"/>
      <c r="BOD401" s="112"/>
      <c r="BOE401" s="113"/>
      <c r="BOG401" s="114"/>
      <c r="BOH401" s="114"/>
      <c r="BOM401" s="111"/>
      <c r="BON401" s="112"/>
      <c r="BOO401" s="113"/>
      <c r="BOQ401" s="114"/>
      <c r="BOR401" s="114"/>
      <c r="BOW401" s="111"/>
      <c r="BOX401" s="112"/>
      <c r="BOY401" s="113"/>
      <c r="BPA401" s="114"/>
      <c r="BPB401" s="114"/>
      <c r="BPG401" s="111"/>
      <c r="BPH401" s="112"/>
      <c r="BPI401" s="113"/>
      <c r="BPK401" s="114"/>
      <c r="BPL401" s="114"/>
      <c r="BPQ401" s="111"/>
      <c r="BPR401" s="112"/>
      <c r="BPS401" s="113"/>
      <c r="BPU401" s="114"/>
      <c r="BPV401" s="114"/>
      <c r="BQA401" s="111"/>
      <c r="BQB401" s="112"/>
      <c r="BQC401" s="113"/>
      <c r="BQE401" s="114"/>
      <c r="BQF401" s="114"/>
      <c r="BQK401" s="111"/>
      <c r="BQL401" s="112"/>
      <c r="BQM401" s="113"/>
      <c r="BQO401" s="114"/>
      <c r="BQP401" s="114"/>
      <c r="BQU401" s="111"/>
      <c r="BQV401" s="112"/>
      <c r="BQW401" s="113"/>
      <c r="BQY401" s="114"/>
      <c r="BQZ401" s="114"/>
      <c r="BRE401" s="111"/>
      <c r="BRF401" s="112"/>
      <c r="BRG401" s="113"/>
      <c r="BRI401" s="114"/>
      <c r="BRJ401" s="114"/>
      <c r="BRO401" s="111"/>
      <c r="BRP401" s="112"/>
      <c r="BRQ401" s="113"/>
      <c r="BRS401" s="114"/>
      <c r="BRT401" s="114"/>
      <c r="BRY401" s="111"/>
      <c r="BRZ401" s="112"/>
      <c r="BSA401" s="113"/>
      <c r="BSC401" s="114"/>
      <c r="BSD401" s="114"/>
      <c r="BSI401" s="111"/>
      <c r="BSJ401" s="112"/>
      <c r="BSK401" s="113"/>
      <c r="BSM401" s="114"/>
      <c r="BSN401" s="114"/>
      <c r="BSS401" s="111"/>
      <c r="BST401" s="112"/>
      <c r="BSU401" s="113"/>
      <c r="BSW401" s="114"/>
      <c r="BSX401" s="114"/>
      <c r="BTC401" s="111"/>
      <c r="BTD401" s="112"/>
      <c r="BTE401" s="113"/>
      <c r="BTG401" s="114"/>
      <c r="BTH401" s="114"/>
      <c r="BTM401" s="111"/>
      <c r="BTN401" s="112"/>
      <c r="BTO401" s="113"/>
      <c r="BTQ401" s="114"/>
      <c r="BTR401" s="114"/>
      <c r="BTW401" s="111"/>
      <c r="BTX401" s="112"/>
      <c r="BTY401" s="113"/>
      <c r="BUA401" s="114"/>
      <c r="BUB401" s="114"/>
      <c r="BUG401" s="111"/>
      <c r="BUH401" s="112"/>
      <c r="BUI401" s="113"/>
      <c r="BUK401" s="114"/>
      <c r="BUL401" s="114"/>
      <c r="BUQ401" s="111"/>
      <c r="BUR401" s="112"/>
      <c r="BUS401" s="113"/>
      <c r="BUU401" s="114"/>
      <c r="BUV401" s="114"/>
      <c r="BVA401" s="111"/>
      <c r="BVB401" s="112"/>
      <c r="BVC401" s="113"/>
      <c r="BVE401" s="114"/>
      <c r="BVF401" s="114"/>
      <c r="BVK401" s="111"/>
      <c r="BVL401" s="112"/>
      <c r="BVM401" s="113"/>
      <c r="BVO401" s="114"/>
      <c r="BVP401" s="114"/>
      <c r="BVU401" s="111"/>
      <c r="BVV401" s="112"/>
      <c r="BVW401" s="113"/>
      <c r="BVY401" s="114"/>
      <c r="BVZ401" s="114"/>
      <c r="BWE401" s="111"/>
      <c r="BWF401" s="112"/>
      <c r="BWG401" s="113"/>
      <c r="BWI401" s="114"/>
      <c r="BWJ401" s="114"/>
      <c r="BWO401" s="111"/>
      <c r="BWP401" s="112"/>
      <c r="BWQ401" s="113"/>
      <c r="BWS401" s="114"/>
      <c r="BWT401" s="114"/>
      <c r="BWY401" s="111"/>
      <c r="BWZ401" s="112"/>
      <c r="BXA401" s="113"/>
      <c r="BXC401" s="114"/>
      <c r="BXD401" s="114"/>
      <c r="BXI401" s="111"/>
      <c r="BXJ401" s="112"/>
      <c r="BXK401" s="113"/>
      <c r="BXM401" s="114"/>
      <c r="BXN401" s="114"/>
      <c r="BXS401" s="111"/>
      <c r="BXT401" s="112"/>
      <c r="BXU401" s="113"/>
      <c r="BXW401" s="114"/>
      <c r="BXX401" s="114"/>
      <c r="BYC401" s="111"/>
      <c r="BYD401" s="112"/>
      <c r="BYE401" s="113"/>
      <c r="BYG401" s="114"/>
      <c r="BYH401" s="114"/>
      <c r="BYM401" s="111"/>
      <c r="BYN401" s="112"/>
      <c r="BYO401" s="113"/>
      <c r="BYQ401" s="114"/>
      <c r="BYR401" s="114"/>
      <c r="BYW401" s="111"/>
      <c r="BYX401" s="112"/>
      <c r="BYY401" s="113"/>
      <c r="BZA401" s="114"/>
      <c r="BZB401" s="114"/>
      <c r="BZG401" s="111"/>
      <c r="BZH401" s="112"/>
      <c r="BZI401" s="113"/>
      <c r="BZK401" s="114"/>
      <c r="BZL401" s="114"/>
      <c r="BZQ401" s="111"/>
      <c r="BZR401" s="112"/>
      <c r="BZS401" s="113"/>
      <c r="BZU401" s="114"/>
      <c r="BZV401" s="114"/>
      <c r="CAA401" s="111"/>
      <c r="CAB401" s="112"/>
      <c r="CAC401" s="113"/>
      <c r="CAE401" s="114"/>
      <c r="CAF401" s="114"/>
      <c r="CAK401" s="111"/>
      <c r="CAL401" s="112"/>
      <c r="CAM401" s="113"/>
      <c r="CAO401" s="114"/>
      <c r="CAP401" s="114"/>
      <c r="CAU401" s="111"/>
      <c r="CAV401" s="112"/>
      <c r="CAW401" s="113"/>
      <c r="CAY401" s="114"/>
      <c r="CAZ401" s="114"/>
      <c r="CBE401" s="111"/>
      <c r="CBF401" s="112"/>
      <c r="CBG401" s="113"/>
      <c r="CBI401" s="114"/>
      <c r="CBJ401" s="114"/>
      <c r="CBO401" s="111"/>
      <c r="CBP401" s="112"/>
      <c r="CBQ401" s="113"/>
      <c r="CBS401" s="114"/>
      <c r="CBT401" s="114"/>
      <c r="CBY401" s="111"/>
      <c r="CBZ401" s="112"/>
      <c r="CCA401" s="113"/>
      <c r="CCC401" s="114"/>
      <c r="CCD401" s="114"/>
      <c r="CCI401" s="111"/>
      <c r="CCJ401" s="112"/>
      <c r="CCK401" s="113"/>
      <c r="CCM401" s="114"/>
      <c r="CCN401" s="114"/>
      <c r="CCS401" s="111"/>
      <c r="CCT401" s="112"/>
      <c r="CCU401" s="113"/>
      <c r="CCW401" s="114"/>
      <c r="CCX401" s="114"/>
      <c r="CDC401" s="111"/>
      <c r="CDD401" s="112"/>
      <c r="CDE401" s="113"/>
      <c r="CDG401" s="114"/>
      <c r="CDH401" s="114"/>
      <c r="CDM401" s="111"/>
      <c r="CDN401" s="112"/>
      <c r="CDO401" s="113"/>
      <c r="CDQ401" s="114"/>
      <c r="CDR401" s="114"/>
      <c r="CDW401" s="111"/>
      <c r="CDX401" s="112"/>
      <c r="CDY401" s="113"/>
      <c r="CEA401" s="114"/>
      <c r="CEB401" s="114"/>
      <c r="CEG401" s="111"/>
      <c r="CEH401" s="112"/>
      <c r="CEI401" s="113"/>
      <c r="CEK401" s="114"/>
      <c r="CEL401" s="114"/>
      <c r="CEQ401" s="111"/>
      <c r="CER401" s="112"/>
      <c r="CES401" s="113"/>
      <c r="CEU401" s="114"/>
      <c r="CEV401" s="114"/>
      <c r="CFA401" s="111"/>
      <c r="CFB401" s="112"/>
      <c r="CFC401" s="113"/>
      <c r="CFE401" s="114"/>
      <c r="CFF401" s="114"/>
      <c r="CFK401" s="111"/>
      <c r="CFL401" s="112"/>
      <c r="CFM401" s="113"/>
      <c r="CFO401" s="114"/>
      <c r="CFP401" s="114"/>
      <c r="CFU401" s="111"/>
      <c r="CFV401" s="112"/>
      <c r="CFW401" s="113"/>
      <c r="CFY401" s="114"/>
      <c r="CFZ401" s="114"/>
      <c r="CGE401" s="111"/>
      <c r="CGF401" s="112"/>
      <c r="CGG401" s="113"/>
      <c r="CGI401" s="114"/>
      <c r="CGJ401" s="114"/>
      <c r="CGO401" s="111"/>
      <c r="CGP401" s="112"/>
      <c r="CGQ401" s="113"/>
      <c r="CGS401" s="114"/>
      <c r="CGT401" s="114"/>
      <c r="CGY401" s="111"/>
      <c r="CGZ401" s="112"/>
      <c r="CHA401" s="113"/>
      <c r="CHC401" s="114"/>
      <c r="CHD401" s="114"/>
      <c r="CHI401" s="111"/>
      <c r="CHJ401" s="112"/>
      <c r="CHK401" s="113"/>
      <c r="CHM401" s="114"/>
      <c r="CHN401" s="114"/>
      <c r="CHS401" s="111"/>
      <c r="CHT401" s="112"/>
      <c r="CHU401" s="113"/>
      <c r="CHW401" s="114"/>
      <c r="CHX401" s="114"/>
      <c r="CIC401" s="111"/>
      <c r="CID401" s="112"/>
      <c r="CIE401" s="113"/>
      <c r="CIG401" s="114"/>
      <c r="CIH401" s="114"/>
      <c r="CIM401" s="111"/>
      <c r="CIN401" s="112"/>
      <c r="CIO401" s="113"/>
      <c r="CIQ401" s="114"/>
      <c r="CIR401" s="114"/>
      <c r="CIW401" s="111"/>
      <c r="CIX401" s="112"/>
      <c r="CIY401" s="113"/>
      <c r="CJA401" s="114"/>
      <c r="CJB401" s="114"/>
      <c r="CJG401" s="111"/>
      <c r="CJH401" s="112"/>
      <c r="CJI401" s="113"/>
      <c r="CJK401" s="114"/>
      <c r="CJL401" s="114"/>
      <c r="CJQ401" s="111"/>
      <c r="CJR401" s="112"/>
      <c r="CJS401" s="113"/>
      <c r="CJU401" s="114"/>
      <c r="CJV401" s="114"/>
      <c r="CKA401" s="111"/>
      <c r="CKB401" s="112"/>
      <c r="CKC401" s="113"/>
      <c r="CKE401" s="114"/>
      <c r="CKF401" s="114"/>
      <c r="CKK401" s="111"/>
      <c r="CKL401" s="112"/>
      <c r="CKM401" s="113"/>
      <c r="CKO401" s="114"/>
      <c r="CKP401" s="114"/>
      <c r="CKU401" s="111"/>
      <c r="CKV401" s="112"/>
      <c r="CKW401" s="113"/>
      <c r="CKY401" s="114"/>
      <c r="CKZ401" s="114"/>
      <c r="CLE401" s="111"/>
      <c r="CLF401" s="112"/>
      <c r="CLG401" s="113"/>
      <c r="CLI401" s="114"/>
      <c r="CLJ401" s="114"/>
      <c r="CLO401" s="111"/>
      <c r="CLP401" s="112"/>
      <c r="CLQ401" s="113"/>
      <c r="CLS401" s="114"/>
      <c r="CLT401" s="114"/>
      <c r="CLY401" s="111"/>
      <c r="CLZ401" s="112"/>
      <c r="CMA401" s="113"/>
      <c r="CMC401" s="114"/>
      <c r="CMD401" s="114"/>
      <c r="CMI401" s="111"/>
      <c r="CMJ401" s="112"/>
      <c r="CMK401" s="113"/>
      <c r="CMM401" s="114"/>
      <c r="CMN401" s="114"/>
      <c r="CMS401" s="111"/>
      <c r="CMT401" s="112"/>
      <c r="CMU401" s="113"/>
      <c r="CMW401" s="114"/>
      <c r="CMX401" s="114"/>
      <c r="CNC401" s="111"/>
      <c r="CND401" s="112"/>
      <c r="CNE401" s="113"/>
      <c r="CNG401" s="114"/>
      <c r="CNH401" s="114"/>
      <c r="CNM401" s="111"/>
      <c r="CNN401" s="112"/>
      <c r="CNO401" s="113"/>
      <c r="CNQ401" s="114"/>
      <c r="CNR401" s="114"/>
      <c r="CNW401" s="111"/>
      <c r="CNX401" s="112"/>
      <c r="CNY401" s="113"/>
      <c r="COA401" s="114"/>
      <c r="COB401" s="114"/>
      <c r="COG401" s="111"/>
      <c r="COH401" s="112"/>
      <c r="COI401" s="113"/>
      <c r="COK401" s="114"/>
      <c r="COL401" s="114"/>
      <c r="COQ401" s="111"/>
      <c r="COR401" s="112"/>
      <c r="COS401" s="113"/>
      <c r="COU401" s="114"/>
      <c r="COV401" s="114"/>
      <c r="CPA401" s="111"/>
      <c r="CPB401" s="112"/>
      <c r="CPC401" s="113"/>
      <c r="CPE401" s="114"/>
      <c r="CPF401" s="114"/>
      <c r="CPK401" s="111"/>
      <c r="CPL401" s="112"/>
      <c r="CPM401" s="113"/>
      <c r="CPO401" s="114"/>
      <c r="CPP401" s="114"/>
      <c r="CPU401" s="111"/>
      <c r="CPV401" s="112"/>
      <c r="CPW401" s="113"/>
      <c r="CPY401" s="114"/>
      <c r="CPZ401" s="114"/>
      <c r="CQE401" s="111"/>
      <c r="CQF401" s="112"/>
      <c r="CQG401" s="113"/>
      <c r="CQI401" s="114"/>
      <c r="CQJ401" s="114"/>
      <c r="CQO401" s="111"/>
      <c r="CQP401" s="112"/>
      <c r="CQQ401" s="113"/>
      <c r="CQS401" s="114"/>
      <c r="CQT401" s="114"/>
      <c r="CQY401" s="111"/>
      <c r="CQZ401" s="112"/>
      <c r="CRA401" s="113"/>
      <c r="CRC401" s="114"/>
      <c r="CRD401" s="114"/>
      <c r="CRI401" s="111"/>
      <c r="CRJ401" s="112"/>
      <c r="CRK401" s="113"/>
      <c r="CRM401" s="114"/>
      <c r="CRN401" s="114"/>
      <c r="CRS401" s="111"/>
      <c r="CRT401" s="112"/>
      <c r="CRU401" s="113"/>
      <c r="CRW401" s="114"/>
      <c r="CRX401" s="114"/>
      <c r="CSC401" s="111"/>
      <c r="CSD401" s="112"/>
      <c r="CSE401" s="113"/>
      <c r="CSG401" s="114"/>
      <c r="CSH401" s="114"/>
      <c r="CSM401" s="111"/>
      <c r="CSN401" s="112"/>
      <c r="CSO401" s="113"/>
      <c r="CSQ401" s="114"/>
      <c r="CSR401" s="114"/>
      <c r="CSW401" s="111"/>
      <c r="CSX401" s="112"/>
      <c r="CSY401" s="113"/>
      <c r="CTA401" s="114"/>
      <c r="CTB401" s="114"/>
      <c r="CTG401" s="111"/>
      <c r="CTH401" s="112"/>
      <c r="CTI401" s="113"/>
      <c r="CTK401" s="114"/>
      <c r="CTL401" s="114"/>
      <c r="CTQ401" s="111"/>
      <c r="CTR401" s="112"/>
      <c r="CTS401" s="113"/>
      <c r="CTU401" s="114"/>
      <c r="CTV401" s="114"/>
      <c r="CUA401" s="111"/>
      <c r="CUB401" s="112"/>
      <c r="CUC401" s="113"/>
      <c r="CUE401" s="114"/>
      <c r="CUF401" s="114"/>
      <c r="CUK401" s="111"/>
      <c r="CUL401" s="112"/>
      <c r="CUM401" s="113"/>
      <c r="CUO401" s="114"/>
      <c r="CUP401" s="114"/>
      <c r="CUU401" s="111"/>
      <c r="CUV401" s="112"/>
      <c r="CUW401" s="113"/>
      <c r="CUY401" s="114"/>
      <c r="CUZ401" s="114"/>
      <c r="CVE401" s="111"/>
      <c r="CVF401" s="112"/>
      <c r="CVG401" s="113"/>
      <c r="CVI401" s="114"/>
      <c r="CVJ401" s="114"/>
      <c r="CVO401" s="111"/>
      <c r="CVP401" s="112"/>
      <c r="CVQ401" s="113"/>
      <c r="CVS401" s="114"/>
      <c r="CVT401" s="114"/>
      <c r="CVY401" s="111"/>
      <c r="CVZ401" s="112"/>
      <c r="CWA401" s="113"/>
      <c r="CWC401" s="114"/>
      <c r="CWD401" s="114"/>
      <c r="CWI401" s="111"/>
      <c r="CWJ401" s="112"/>
      <c r="CWK401" s="113"/>
      <c r="CWM401" s="114"/>
      <c r="CWN401" s="114"/>
      <c r="CWS401" s="111"/>
      <c r="CWT401" s="112"/>
      <c r="CWU401" s="113"/>
      <c r="CWW401" s="114"/>
      <c r="CWX401" s="114"/>
      <c r="CXC401" s="111"/>
      <c r="CXD401" s="112"/>
      <c r="CXE401" s="113"/>
      <c r="CXG401" s="114"/>
      <c r="CXH401" s="114"/>
      <c r="CXM401" s="111"/>
      <c r="CXN401" s="112"/>
      <c r="CXO401" s="113"/>
      <c r="CXQ401" s="114"/>
      <c r="CXR401" s="114"/>
      <c r="CXW401" s="111"/>
      <c r="CXX401" s="112"/>
      <c r="CXY401" s="113"/>
      <c r="CYA401" s="114"/>
      <c r="CYB401" s="114"/>
      <c r="CYG401" s="111"/>
      <c r="CYH401" s="112"/>
      <c r="CYI401" s="113"/>
      <c r="CYK401" s="114"/>
      <c r="CYL401" s="114"/>
      <c r="CYQ401" s="111"/>
      <c r="CYR401" s="112"/>
      <c r="CYS401" s="113"/>
      <c r="CYU401" s="114"/>
      <c r="CYV401" s="114"/>
      <c r="CZA401" s="111"/>
      <c r="CZB401" s="112"/>
      <c r="CZC401" s="113"/>
      <c r="CZE401" s="114"/>
      <c r="CZF401" s="114"/>
      <c r="CZK401" s="111"/>
      <c r="CZL401" s="112"/>
      <c r="CZM401" s="113"/>
      <c r="CZO401" s="114"/>
      <c r="CZP401" s="114"/>
      <c r="CZU401" s="111"/>
      <c r="CZV401" s="112"/>
      <c r="CZW401" s="113"/>
      <c r="CZY401" s="114"/>
      <c r="CZZ401" s="114"/>
      <c r="DAE401" s="111"/>
      <c r="DAF401" s="112"/>
      <c r="DAG401" s="113"/>
      <c r="DAI401" s="114"/>
      <c r="DAJ401" s="114"/>
      <c r="DAO401" s="111"/>
      <c r="DAP401" s="112"/>
      <c r="DAQ401" s="113"/>
      <c r="DAS401" s="114"/>
      <c r="DAT401" s="114"/>
      <c r="DAY401" s="111"/>
      <c r="DAZ401" s="112"/>
      <c r="DBA401" s="113"/>
      <c r="DBC401" s="114"/>
      <c r="DBD401" s="114"/>
      <c r="DBI401" s="111"/>
      <c r="DBJ401" s="112"/>
      <c r="DBK401" s="113"/>
      <c r="DBM401" s="114"/>
      <c r="DBN401" s="114"/>
      <c r="DBS401" s="111"/>
      <c r="DBT401" s="112"/>
      <c r="DBU401" s="113"/>
      <c r="DBW401" s="114"/>
      <c r="DBX401" s="114"/>
      <c r="DCC401" s="111"/>
      <c r="DCD401" s="112"/>
      <c r="DCE401" s="113"/>
      <c r="DCG401" s="114"/>
      <c r="DCH401" s="114"/>
      <c r="DCM401" s="111"/>
      <c r="DCN401" s="112"/>
      <c r="DCO401" s="113"/>
      <c r="DCQ401" s="114"/>
      <c r="DCR401" s="114"/>
      <c r="DCW401" s="111"/>
      <c r="DCX401" s="112"/>
      <c r="DCY401" s="113"/>
      <c r="DDA401" s="114"/>
      <c r="DDB401" s="114"/>
      <c r="DDG401" s="111"/>
      <c r="DDH401" s="112"/>
      <c r="DDI401" s="113"/>
      <c r="DDK401" s="114"/>
      <c r="DDL401" s="114"/>
      <c r="DDQ401" s="111"/>
      <c r="DDR401" s="112"/>
      <c r="DDS401" s="113"/>
      <c r="DDU401" s="114"/>
      <c r="DDV401" s="114"/>
      <c r="DEA401" s="111"/>
      <c r="DEB401" s="112"/>
      <c r="DEC401" s="113"/>
      <c r="DEE401" s="114"/>
      <c r="DEF401" s="114"/>
      <c r="DEK401" s="111"/>
      <c r="DEL401" s="112"/>
      <c r="DEM401" s="113"/>
      <c r="DEO401" s="114"/>
      <c r="DEP401" s="114"/>
      <c r="DEU401" s="111"/>
      <c r="DEV401" s="112"/>
      <c r="DEW401" s="113"/>
      <c r="DEY401" s="114"/>
      <c r="DEZ401" s="114"/>
      <c r="DFE401" s="111"/>
      <c r="DFF401" s="112"/>
      <c r="DFG401" s="113"/>
      <c r="DFI401" s="114"/>
      <c r="DFJ401" s="114"/>
      <c r="DFO401" s="111"/>
      <c r="DFP401" s="112"/>
      <c r="DFQ401" s="113"/>
      <c r="DFS401" s="114"/>
      <c r="DFT401" s="114"/>
      <c r="DFY401" s="111"/>
      <c r="DFZ401" s="112"/>
      <c r="DGA401" s="113"/>
      <c r="DGC401" s="114"/>
      <c r="DGD401" s="114"/>
      <c r="DGI401" s="111"/>
      <c r="DGJ401" s="112"/>
      <c r="DGK401" s="113"/>
      <c r="DGM401" s="114"/>
      <c r="DGN401" s="114"/>
      <c r="DGS401" s="111"/>
      <c r="DGT401" s="112"/>
      <c r="DGU401" s="113"/>
      <c r="DGW401" s="114"/>
      <c r="DGX401" s="114"/>
      <c r="DHC401" s="111"/>
      <c r="DHD401" s="112"/>
      <c r="DHE401" s="113"/>
      <c r="DHG401" s="114"/>
      <c r="DHH401" s="114"/>
      <c r="DHM401" s="111"/>
      <c r="DHN401" s="112"/>
      <c r="DHO401" s="113"/>
      <c r="DHQ401" s="114"/>
      <c r="DHR401" s="114"/>
      <c r="DHW401" s="111"/>
      <c r="DHX401" s="112"/>
      <c r="DHY401" s="113"/>
      <c r="DIA401" s="114"/>
      <c r="DIB401" s="114"/>
      <c r="DIG401" s="111"/>
      <c r="DIH401" s="112"/>
      <c r="DII401" s="113"/>
      <c r="DIK401" s="114"/>
      <c r="DIL401" s="114"/>
      <c r="DIQ401" s="111"/>
      <c r="DIR401" s="112"/>
      <c r="DIS401" s="113"/>
      <c r="DIU401" s="114"/>
      <c r="DIV401" s="114"/>
      <c r="DJA401" s="111"/>
      <c r="DJB401" s="112"/>
      <c r="DJC401" s="113"/>
      <c r="DJE401" s="114"/>
      <c r="DJF401" s="114"/>
      <c r="DJK401" s="111"/>
      <c r="DJL401" s="112"/>
      <c r="DJM401" s="113"/>
      <c r="DJO401" s="114"/>
      <c r="DJP401" s="114"/>
      <c r="DJU401" s="111"/>
      <c r="DJV401" s="112"/>
      <c r="DJW401" s="113"/>
      <c r="DJY401" s="114"/>
      <c r="DJZ401" s="114"/>
      <c r="DKE401" s="111"/>
      <c r="DKF401" s="112"/>
      <c r="DKG401" s="113"/>
      <c r="DKI401" s="114"/>
      <c r="DKJ401" s="114"/>
      <c r="DKO401" s="111"/>
      <c r="DKP401" s="112"/>
      <c r="DKQ401" s="113"/>
      <c r="DKS401" s="114"/>
      <c r="DKT401" s="114"/>
      <c r="DKY401" s="111"/>
      <c r="DKZ401" s="112"/>
      <c r="DLA401" s="113"/>
      <c r="DLC401" s="114"/>
      <c r="DLD401" s="114"/>
      <c r="DLI401" s="111"/>
      <c r="DLJ401" s="112"/>
      <c r="DLK401" s="113"/>
      <c r="DLM401" s="114"/>
      <c r="DLN401" s="114"/>
      <c r="DLS401" s="111"/>
      <c r="DLT401" s="112"/>
      <c r="DLU401" s="113"/>
      <c r="DLW401" s="114"/>
      <c r="DLX401" s="114"/>
      <c r="DMC401" s="111"/>
      <c r="DMD401" s="112"/>
      <c r="DME401" s="113"/>
      <c r="DMG401" s="114"/>
      <c r="DMH401" s="114"/>
      <c r="DMM401" s="111"/>
      <c r="DMN401" s="112"/>
      <c r="DMO401" s="113"/>
      <c r="DMQ401" s="114"/>
      <c r="DMR401" s="114"/>
      <c r="DMW401" s="111"/>
      <c r="DMX401" s="112"/>
      <c r="DMY401" s="113"/>
      <c r="DNA401" s="114"/>
      <c r="DNB401" s="114"/>
      <c r="DNG401" s="111"/>
      <c r="DNH401" s="112"/>
      <c r="DNI401" s="113"/>
      <c r="DNK401" s="114"/>
      <c r="DNL401" s="114"/>
      <c r="DNQ401" s="111"/>
      <c r="DNR401" s="112"/>
      <c r="DNS401" s="113"/>
      <c r="DNU401" s="114"/>
      <c r="DNV401" s="114"/>
      <c r="DOA401" s="111"/>
      <c r="DOB401" s="112"/>
      <c r="DOC401" s="113"/>
      <c r="DOE401" s="114"/>
      <c r="DOF401" s="114"/>
      <c r="DOK401" s="111"/>
      <c r="DOL401" s="112"/>
      <c r="DOM401" s="113"/>
      <c r="DOO401" s="114"/>
      <c r="DOP401" s="114"/>
      <c r="DOU401" s="111"/>
      <c r="DOV401" s="112"/>
      <c r="DOW401" s="113"/>
      <c r="DOY401" s="114"/>
      <c r="DOZ401" s="114"/>
      <c r="DPE401" s="111"/>
      <c r="DPF401" s="112"/>
      <c r="DPG401" s="113"/>
      <c r="DPI401" s="114"/>
      <c r="DPJ401" s="114"/>
      <c r="DPO401" s="111"/>
      <c r="DPP401" s="112"/>
      <c r="DPQ401" s="113"/>
      <c r="DPS401" s="114"/>
      <c r="DPT401" s="114"/>
      <c r="DPY401" s="111"/>
      <c r="DPZ401" s="112"/>
      <c r="DQA401" s="113"/>
      <c r="DQC401" s="114"/>
      <c r="DQD401" s="114"/>
      <c r="DQI401" s="111"/>
      <c r="DQJ401" s="112"/>
      <c r="DQK401" s="113"/>
      <c r="DQM401" s="114"/>
      <c r="DQN401" s="114"/>
      <c r="DQS401" s="111"/>
      <c r="DQT401" s="112"/>
      <c r="DQU401" s="113"/>
      <c r="DQW401" s="114"/>
      <c r="DQX401" s="114"/>
      <c r="DRC401" s="111"/>
      <c r="DRD401" s="112"/>
      <c r="DRE401" s="113"/>
      <c r="DRG401" s="114"/>
      <c r="DRH401" s="114"/>
      <c r="DRM401" s="111"/>
      <c r="DRN401" s="112"/>
      <c r="DRO401" s="113"/>
      <c r="DRQ401" s="114"/>
      <c r="DRR401" s="114"/>
      <c r="DRW401" s="111"/>
      <c r="DRX401" s="112"/>
      <c r="DRY401" s="113"/>
      <c r="DSA401" s="114"/>
      <c r="DSB401" s="114"/>
      <c r="DSG401" s="111"/>
      <c r="DSH401" s="112"/>
      <c r="DSI401" s="113"/>
      <c r="DSK401" s="114"/>
      <c r="DSL401" s="114"/>
      <c r="DSQ401" s="111"/>
      <c r="DSR401" s="112"/>
      <c r="DSS401" s="113"/>
      <c r="DSU401" s="114"/>
      <c r="DSV401" s="114"/>
      <c r="DTA401" s="111"/>
      <c r="DTB401" s="112"/>
      <c r="DTC401" s="113"/>
      <c r="DTE401" s="114"/>
      <c r="DTF401" s="114"/>
      <c r="DTK401" s="111"/>
      <c r="DTL401" s="112"/>
      <c r="DTM401" s="113"/>
      <c r="DTO401" s="114"/>
      <c r="DTP401" s="114"/>
      <c r="DTU401" s="111"/>
      <c r="DTV401" s="112"/>
      <c r="DTW401" s="113"/>
      <c r="DTY401" s="114"/>
      <c r="DTZ401" s="114"/>
      <c r="DUE401" s="111"/>
      <c r="DUF401" s="112"/>
      <c r="DUG401" s="113"/>
      <c r="DUI401" s="114"/>
      <c r="DUJ401" s="114"/>
      <c r="DUO401" s="111"/>
      <c r="DUP401" s="112"/>
      <c r="DUQ401" s="113"/>
      <c r="DUS401" s="114"/>
      <c r="DUT401" s="114"/>
      <c r="DUY401" s="111"/>
      <c r="DUZ401" s="112"/>
      <c r="DVA401" s="113"/>
      <c r="DVC401" s="114"/>
      <c r="DVD401" s="114"/>
      <c r="DVI401" s="111"/>
      <c r="DVJ401" s="112"/>
      <c r="DVK401" s="113"/>
      <c r="DVM401" s="114"/>
      <c r="DVN401" s="114"/>
      <c r="DVS401" s="111"/>
      <c r="DVT401" s="112"/>
      <c r="DVU401" s="113"/>
      <c r="DVW401" s="114"/>
      <c r="DVX401" s="114"/>
      <c r="DWC401" s="111"/>
      <c r="DWD401" s="112"/>
      <c r="DWE401" s="113"/>
      <c r="DWG401" s="114"/>
      <c r="DWH401" s="114"/>
      <c r="DWM401" s="111"/>
      <c r="DWN401" s="112"/>
      <c r="DWO401" s="113"/>
      <c r="DWQ401" s="114"/>
      <c r="DWR401" s="114"/>
      <c r="DWW401" s="111"/>
      <c r="DWX401" s="112"/>
      <c r="DWY401" s="113"/>
      <c r="DXA401" s="114"/>
      <c r="DXB401" s="114"/>
      <c r="DXG401" s="111"/>
      <c r="DXH401" s="112"/>
      <c r="DXI401" s="113"/>
      <c r="DXK401" s="114"/>
      <c r="DXL401" s="114"/>
      <c r="DXQ401" s="111"/>
      <c r="DXR401" s="112"/>
      <c r="DXS401" s="113"/>
      <c r="DXU401" s="114"/>
      <c r="DXV401" s="114"/>
      <c r="DYA401" s="111"/>
      <c r="DYB401" s="112"/>
      <c r="DYC401" s="113"/>
      <c r="DYE401" s="114"/>
      <c r="DYF401" s="114"/>
      <c r="DYK401" s="111"/>
      <c r="DYL401" s="112"/>
      <c r="DYM401" s="113"/>
      <c r="DYO401" s="114"/>
      <c r="DYP401" s="114"/>
      <c r="DYU401" s="111"/>
      <c r="DYV401" s="112"/>
      <c r="DYW401" s="113"/>
      <c r="DYY401" s="114"/>
      <c r="DYZ401" s="114"/>
      <c r="DZE401" s="111"/>
      <c r="DZF401" s="112"/>
      <c r="DZG401" s="113"/>
      <c r="DZI401" s="114"/>
      <c r="DZJ401" s="114"/>
      <c r="DZO401" s="111"/>
      <c r="DZP401" s="112"/>
      <c r="DZQ401" s="113"/>
      <c r="DZS401" s="114"/>
      <c r="DZT401" s="114"/>
      <c r="DZY401" s="111"/>
      <c r="DZZ401" s="112"/>
      <c r="EAA401" s="113"/>
      <c r="EAC401" s="114"/>
      <c r="EAD401" s="114"/>
      <c r="EAI401" s="111"/>
      <c r="EAJ401" s="112"/>
      <c r="EAK401" s="113"/>
      <c r="EAM401" s="114"/>
      <c r="EAN401" s="114"/>
      <c r="EAS401" s="111"/>
      <c r="EAT401" s="112"/>
      <c r="EAU401" s="113"/>
      <c r="EAW401" s="114"/>
      <c r="EAX401" s="114"/>
      <c r="EBC401" s="111"/>
      <c r="EBD401" s="112"/>
      <c r="EBE401" s="113"/>
      <c r="EBG401" s="114"/>
      <c r="EBH401" s="114"/>
      <c r="EBM401" s="111"/>
      <c r="EBN401" s="112"/>
      <c r="EBO401" s="113"/>
      <c r="EBQ401" s="114"/>
      <c r="EBR401" s="114"/>
      <c r="EBW401" s="111"/>
      <c r="EBX401" s="112"/>
      <c r="EBY401" s="113"/>
      <c r="ECA401" s="114"/>
      <c r="ECB401" s="114"/>
      <c r="ECG401" s="111"/>
      <c r="ECH401" s="112"/>
      <c r="ECI401" s="113"/>
      <c r="ECK401" s="114"/>
      <c r="ECL401" s="114"/>
      <c r="ECQ401" s="111"/>
      <c r="ECR401" s="112"/>
      <c r="ECS401" s="113"/>
      <c r="ECU401" s="114"/>
      <c r="ECV401" s="114"/>
      <c r="EDA401" s="111"/>
      <c r="EDB401" s="112"/>
      <c r="EDC401" s="113"/>
      <c r="EDE401" s="114"/>
      <c r="EDF401" s="114"/>
      <c r="EDK401" s="111"/>
      <c r="EDL401" s="112"/>
      <c r="EDM401" s="113"/>
      <c r="EDO401" s="114"/>
      <c r="EDP401" s="114"/>
      <c r="EDU401" s="111"/>
      <c r="EDV401" s="112"/>
      <c r="EDW401" s="113"/>
      <c r="EDY401" s="114"/>
      <c r="EDZ401" s="114"/>
      <c r="EEE401" s="111"/>
      <c r="EEF401" s="112"/>
      <c r="EEG401" s="113"/>
      <c r="EEI401" s="114"/>
      <c r="EEJ401" s="114"/>
      <c r="EEO401" s="111"/>
      <c r="EEP401" s="112"/>
      <c r="EEQ401" s="113"/>
      <c r="EES401" s="114"/>
      <c r="EET401" s="114"/>
      <c r="EEY401" s="111"/>
      <c r="EEZ401" s="112"/>
      <c r="EFA401" s="113"/>
      <c r="EFC401" s="114"/>
      <c r="EFD401" s="114"/>
      <c r="EFI401" s="111"/>
      <c r="EFJ401" s="112"/>
      <c r="EFK401" s="113"/>
      <c r="EFM401" s="114"/>
      <c r="EFN401" s="114"/>
      <c r="EFS401" s="111"/>
      <c r="EFT401" s="112"/>
      <c r="EFU401" s="113"/>
      <c r="EFW401" s="114"/>
      <c r="EFX401" s="114"/>
      <c r="EGC401" s="111"/>
      <c r="EGD401" s="112"/>
      <c r="EGE401" s="113"/>
      <c r="EGG401" s="114"/>
      <c r="EGH401" s="114"/>
      <c r="EGM401" s="111"/>
      <c r="EGN401" s="112"/>
      <c r="EGO401" s="113"/>
      <c r="EGQ401" s="114"/>
      <c r="EGR401" s="114"/>
      <c r="EGW401" s="111"/>
      <c r="EGX401" s="112"/>
      <c r="EGY401" s="113"/>
      <c r="EHA401" s="114"/>
      <c r="EHB401" s="114"/>
      <c r="EHG401" s="111"/>
      <c r="EHH401" s="112"/>
      <c r="EHI401" s="113"/>
      <c r="EHK401" s="114"/>
      <c r="EHL401" s="114"/>
      <c r="EHQ401" s="111"/>
      <c r="EHR401" s="112"/>
      <c r="EHS401" s="113"/>
      <c r="EHU401" s="114"/>
      <c r="EHV401" s="114"/>
      <c r="EIA401" s="111"/>
      <c r="EIB401" s="112"/>
      <c r="EIC401" s="113"/>
      <c r="EIE401" s="114"/>
      <c r="EIF401" s="114"/>
      <c r="EIK401" s="111"/>
      <c r="EIL401" s="112"/>
      <c r="EIM401" s="113"/>
      <c r="EIO401" s="114"/>
      <c r="EIP401" s="114"/>
      <c r="EIU401" s="111"/>
      <c r="EIV401" s="112"/>
      <c r="EIW401" s="113"/>
      <c r="EIY401" s="114"/>
      <c r="EIZ401" s="114"/>
      <c r="EJE401" s="111"/>
      <c r="EJF401" s="112"/>
      <c r="EJG401" s="113"/>
      <c r="EJI401" s="114"/>
      <c r="EJJ401" s="114"/>
      <c r="EJO401" s="111"/>
      <c r="EJP401" s="112"/>
      <c r="EJQ401" s="113"/>
      <c r="EJS401" s="114"/>
      <c r="EJT401" s="114"/>
      <c r="EJY401" s="111"/>
      <c r="EJZ401" s="112"/>
      <c r="EKA401" s="113"/>
      <c r="EKC401" s="114"/>
      <c r="EKD401" s="114"/>
      <c r="EKI401" s="111"/>
      <c r="EKJ401" s="112"/>
      <c r="EKK401" s="113"/>
      <c r="EKM401" s="114"/>
      <c r="EKN401" s="114"/>
      <c r="EKS401" s="111"/>
      <c r="EKT401" s="112"/>
      <c r="EKU401" s="113"/>
      <c r="EKW401" s="114"/>
      <c r="EKX401" s="114"/>
      <c r="ELC401" s="111"/>
      <c r="ELD401" s="112"/>
      <c r="ELE401" s="113"/>
      <c r="ELG401" s="114"/>
      <c r="ELH401" s="114"/>
      <c r="ELM401" s="111"/>
      <c r="ELN401" s="112"/>
      <c r="ELO401" s="113"/>
      <c r="ELQ401" s="114"/>
      <c r="ELR401" s="114"/>
      <c r="ELW401" s="111"/>
      <c r="ELX401" s="112"/>
      <c r="ELY401" s="113"/>
      <c r="EMA401" s="114"/>
      <c r="EMB401" s="114"/>
      <c r="EMG401" s="111"/>
      <c r="EMH401" s="112"/>
      <c r="EMI401" s="113"/>
      <c r="EMK401" s="114"/>
      <c r="EML401" s="114"/>
      <c r="EMQ401" s="111"/>
      <c r="EMR401" s="112"/>
      <c r="EMS401" s="113"/>
      <c r="EMU401" s="114"/>
      <c r="EMV401" s="114"/>
      <c r="ENA401" s="111"/>
      <c r="ENB401" s="112"/>
      <c r="ENC401" s="113"/>
      <c r="ENE401" s="114"/>
      <c r="ENF401" s="114"/>
      <c r="ENK401" s="111"/>
      <c r="ENL401" s="112"/>
      <c r="ENM401" s="113"/>
      <c r="ENO401" s="114"/>
      <c r="ENP401" s="114"/>
      <c r="ENU401" s="111"/>
      <c r="ENV401" s="112"/>
      <c r="ENW401" s="113"/>
      <c r="ENY401" s="114"/>
      <c r="ENZ401" s="114"/>
      <c r="EOE401" s="111"/>
      <c r="EOF401" s="112"/>
      <c r="EOG401" s="113"/>
      <c r="EOI401" s="114"/>
      <c r="EOJ401" s="114"/>
      <c r="EOO401" s="111"/>
      <c r="EOP401" s="112"/>
      <c r="EOQ401" s="113"/>
      <c r="EOS401" s="114"/>
      <c r="EOT401" s="114"/>
      <c r="EOY401" s="111"/>
      <c r="EOZ401" s="112"/>
      <c r="EPA401" s="113"/>
      <c r="EPC401" s="114"/>
      <c r="EPD401" s="114"/>
      <c r="EPI401" s="111"/>
      <c r="EPJ401" s="112"/>
      <c r="EPK401" s="113"/>
      <c r="EPM401" s="114"/>
      <c r="EPN401" s="114"/>
      <c r="EPS401" s="111"/>
      <c r="EPT401" s="112"/>
      <c r="EPU401" s="113"/>
      <c r="EPW401" s="114"/>
      <c r="EPX401" s="114"/>
      <c r="EQC401" s="111"/>
      <c r="EQD401" s="112"/>
      <c r="EQE401" s="113"/>
      <c r="EQG401" s="114"/>
      <c r="EQH401" s="114"/>
      <c r="EQM401" s="111"/>
      <c r="EQN401" s="112"/>
      <c r="EQO401" s="113"/>
      <c r="EQQ401" s="114"/>
      <c r="EQR401" s="114"/>
      <c r="EQW401" s="111"/>
      <c r="EQX401" s="112"/>
      <c r="EQY401" s="113"/>
      <c r="ERA401" s="114"/>
      <c r="ERB401" s="114"/>
      <c r="ERG401" s="111"/>
      <c r="ERH401" s="112"/>
      <c r="ERI401" s="113"/>
      <c r="ERK401" s="114"/>
      <c r="ERL401" s="114"/>
      <c r="ERQ401" s="111"/>
      <c r="ERR401" s="112"/>
      <c r="ERS401" s="113"/>
      <c r="ERU401" s="114"/>
      <c r="ERV401" s="114"/>
      <c r="ESA401" s="111"/>
      <c r="ESB401" s="112"/>
      <c r="ESC401" s="113"/>
      <c r="ESE401" s="114"/>
      <c r="ESF401" s="114"/>
      <c r="ESK401" s="111"/>
      <c r="ESL401" s="112"/>
      <c r="ESM401" s="113"/>
      <c r="ESO401" s="114"/>
      <c r="ESP401" s="114"/>
      <c r="ESU401" s="111"/>
      <c r="ESV401" s="112"/>
      <c r="ESW401" s="113"/>
      <c r="ESY401" s="114"/>
      <c r="ESZ401" s="114"/>
      <c r="ETE401" s="111"/>
      <c r="ETF401" s="112"/>
      <c r="ETG401" s="113"/>
      <c r="ETI401" s="114"/>
      <c r="ETJ401" s="114"/>
      <c r="ETO401" s="111"/>
      <c r="ETP401" s="112"/>
      <c r="ETQ401" s="113"/>
      <c r="ETS401" s="114"/>
      <c r="ETT401" s="114"/>
      <c r="ETY401" s="111"/>
      <c r="ETZ401" s="112"/>
      <c r="EUA401" s="113"/>
      <c r="EUC401" s="114"/>
      <c r="EUD401" s="114"/>
      <c r="EUI401" s="111"/>
      <c r="EUJ401" s="112"/>
      <c r="EUK401" s="113"/>
      <c r="EUM401" s="114"/>
      <c r="EUN401" s="114"/>
      <c r="EUS401" s="111"/>
      <c r="EUT401" s="112"/>
      <c r="EUU401" s="113"/>
      <c r="EUW401" s="114"/>
      <c r="EUX401" s="114"/>
      <c r="EVC401" s="111"/>
      <c r="EVD401" s="112"/>
      <c r="EVE401" s="113"/>
      <c r="EVG401" s="114"/>
      <c r="EVH401" s="114"/>
      <c r="EVM401" s="111"/>
      <c r="EVN401" s="112"/>
      <c r="EVO401" s="113"/>
      <c r="EVQ401" s="114"/>
      <c r="EVR401" s="114"/>
      <c r="EVW401" s="111"/>
      <c r="EVX401" s="112"/>
      <c r="EVY401" s="113"/>
      <c r="EWA401" s="114"/>
      <c r="EWB401" s="114"/>
      <c r="EWG401" s="111"/>
      <c r="EWH401" s="112"/>
      <c r="EWI401" s="113"/>
      <c r="EWK401" s="114"/>
      <c r="EWL401" s="114"/>
      <c r="EWQ401" s="111"/>
      <c r="EWR401" s="112"/>
      <c r="EWS401" s="113"/>
      <c r="EWU401" s="114"/>
      <c r="EWV401" s="114"/>
      <c r="EXA401" s="111"/>
      <c r="EXB401" s="112"/>
      <c r="EXC401" s="113"/>
      <c r="EXE401" s="114"/>
      <c r="EXF401" s="114"/>
      <c r="EXK401" s="111"/>
      <c r="EXL401" s="112"/>
      <c r="EXM401" s="113"/>
      <c r="EXO401" s="114"/>
      <c r="EXP401" s="114"/>
      <c r="EXU401" s="111"/>
      <c r="EXV401" s="112"/>
      <c r="EXW401" s="113"/>
      <c r="EXY401" s="114"/>
      <c r="EXZ401" s="114"/>
      <c r="EYE401" s="111"/>
      <c r="EYF401" s="112"/>
      <c r="EYG401" s="113"/>
      <c r="EYI401" s="114"/>
      <c r="EYJ401" s="114"/>
      <c r="EYO401" s="111"/>
      <c r="EYP401" s="112"/>
      <c r="EYQ401" s="113"/>
      <c r="EYS401" s="114"/>
      <c r="EYT401" s="114"/>
      <c r="EYY401" s="111"/>
      <c r="EYZ401" s="112"/>
      <c r="EZA401" s="113"/>
      <c r="EZC401" s="114"/>
      <c r="EZD401" s="114"/>
      <c r="EZI401" s="111"/>
      <c r="EZJ401" s="112"/>
      <c r="EZK401" s="113"/>
      <c r="EZM401" s="114"/>
      <c r="EZN401" s="114"/>
      <c r="EZS401" s="111"/>
      <c r="EZT401" s="112"/>
      <c r="EZU401" s="113"/>
      <c r="EZW401" s="114"/>
      <c r="EZX401" s="114"/>
      <c r="FAC401" s="111"/>
      <c r="FAD401" s="112"/>
      <c r="FAE401" s="113"/>
      <c r="FAG401" s="114"/>
      <c r="FAH401" s="114"/>
      <c r="FAM401" s="111"/>
      <c r="FAN401" s="112"/>
      <c r="FAO401" s="113"/>
      <c r="FAQ401" s="114"/>
      <c r="FAR401" s="114"/>
      <c r="FAW401" s="111"/>
      <c r="FAX401" s="112"/>
      <c r="FAY401" s="113"/>
      <c r="FBA401" s="114"/>
      <c r="FBB401" s="114"/>
      <c r="FBG401" s="111"/>
      <c r="FBH401" s="112"/>
      <c r="FBI401" s="113"/>
      <c r="FBK401" s="114"/>
      <c r="FBL401" s="114"/>
      <c r="FBQ401" s="111"/>
      <c r="FBR401" s="112"/>
      <c r="FBS401" s="113"/>
      <c r="FBU401" s="114"/>
      <c r="FBV401" s="114"/>
      <c r="FCA401" s="111"/>
      <c r="FCB401" s="112"/>
      <c r="FCC401" s="113"/>
      <c r="FCE401" s="114"/>
      <c r="FCF401" s="114"/>
      <c r="FCK401" s="111"/>
      <c r="FCL401" s="112"/>
      <c r="FCM401" s="113"/>
      <c r="FCO401" s="114"/>
      <c r="FCP401" s="114"/>
      <c r="FCU401" s="111"/>
      <c r="FCV401" s="112"/>
      <c r="FCW401" s="113"/>
      <c r="FCY401" s="114"/>
      <c r="FCZ401" s="114"/>
      <c r="FDE401" s="111"/>
      <c r="FDF401" s="112"/>
      <c r="FDG401" s="113"/>
      <c r="FDI401" s="114"/>
      <c r="FDJ401" s="114"/>
      <c r="FDO401" s="111"/>
      <c r="FDP401" s="112"/>
      <c r="FDQ401" s="113"/>
      <c r="FDS401" s="114"/>
      <c r="FDT401" s="114"/>
      <c r="FDY401" s="111"/>
      <c r="FDZ401" s="112"/>
      <c r="FEA401" s="113"/>
      <c r="FEC401" s="114"/>
      <c r="FED401" s="114"/>
      <c r="FEI401" s="111"/>
      <c r="FEJ401" s="112"/>
      <c r="FEK401" s="113"/>
      <c r="FEM401" s="114"/>
      <c r="FEN401" s="114"/>
      <c r="FES401" s="111"/>
      <c r="FET401" s="112"/>
      <c r="FEU401" s="113"/>
      <c r="FEW401" s="114"/>
      <c r="FEX401" s="114"/>
      <c r="FFC401" s="111"/>
      <c r="FFD401" s="112"/>
      <c r="FFE401" s="113"/>
      <c r="FFG401" s="114"/>
      <c r="FFH401" s="114"/>
      <c r="FFM401" s="111"/>
      <c r="FFN401" s="112"/>
      <c r="FFO401" s="113"/>
      <c r="FFQ401" s="114"/>
      <c r="FFR401" s="114"/>
      <c r="FFW401" s="111"/>
      <c r="FFX401" s="112"/>
      <c r="FFY401" s="113"/>
      <c r="FGA401" s="114"/>
      <c r="FGB401" s="114"/>
      <c r="FGG401" s="111"/>
      <c r="FGH401" s="112"/>
      <c r="FGI401" s="113"/>
      <c r="FGK401" s="114"/>
      <c r="FGL401" s="114"/>
      <c r="FGQ401" s="111"/>
      <c r="FGR401" s="112"/>
      <c r="FGS401" s="113"/>
      <c r="FGU401" s="114"/>
      <c r="FGV401" s="114"/>
      <c r="FHA401" s="111"/>
      <c r="FHB401" s="112"/>
      <c r="FHC401" s="113"/>
      <c r="FHE401" s="114"/>
      <c r="FHF401" s="114"/>
      <c r="FHK401" s="111"/>
      <c r="FHL401" s="112"/>
      <c r="FHM401" s="113"/>
      <c r="FHO401" s="114"/>
      <c r="FHP401" s="114"/>
      <c r="FHU401" s="111"/>
      <c r="FHV401" s="112"/>
      <c r="FHW401" s="113"/>
      <c r="FHY401" s="114"/>
      <c r="FHZ401" s="114"/>
      <c r="FIE401" s="111"/>
      <c r="FIF401" s="112"/>
      <c r="FIG401" s="113"/>
      <c r="FII401" s="114"/>
      <c r="FIJ401" s="114"/>
      <c r="FIO401" s="111"/>
      <c r="FIP401" s="112"/>
      <c r="FIQ401" s="113"/>
      <c r="FIS401" s="114"/>
      <c r="FIT401" s="114"/>
      <c r="FIY401" s="111"/>
      <c r="FIZ401" s="112"/>
      <c r="FJA401" s="113"/>
      <c r="FJC401" s="114"/>
      <c r="FJD401" s="114"/>
      <c r="FJI401" s="111"/>
      <c r="FJJ401" s="112"/>
      <c r="FJK401" s="113"/>
      <c r="FJM401" s="114"/>
      <c r="FJN401" s="114"/>
      <c r="FJS401" s="111"/>
      <c r="FJT401" s="112"/>
      <c r="FJU401" s="113"/>
      <c r="FJW401" s="114"/>
      <c r="FJX401" s="114"/>
      <c r="FKC401" s="111"/>
      <c r="FKD401" s="112"/>
      <c r="FKE401" s="113"/>
      <c r="FKG401" s="114"/>
      <c r="FKH401" s="114"/>
      <c r="FKM401" s="111"/>
      <c r="FKN401" s="112"/>
      <c r="FKO401" s="113"/>
      <c r="FKQ401" s="114"/>
      <c r="FKR401" s="114"/>
      <c r="FKW401" s="111"/>
      <c r="FKX401" s="112"/>
      <c r="FKY401" s="113"/>
      <c r="FLA401" s="114"/>
      <c r="FLB401" s="114"/>
      <c r="FLG401" s="111"/>
      <c r="FLH401" s="112"/>
      <c r="FLI401" s="113"/>
      <c r="FLK401" s="114"/>
      <c r="FLL401" s="114"/>
      <c r="FLQ401" s="111"/>
      <c r="FLR401" s="112"/>
      <c r="FLS401" s="113"/>
      <c r="FLU401" s="114"/>
      <c r="FLV401" s="114"/>
      <c r="FMA401" s="111"/>
      <c r="FMB401" s="112"/>
      <c r="FMC401" s="113"/>
      <c r="FME401" s="114"/>
      <c r="FMF401" s="114"/>
      <c r="FMK401" s="111"/>
      <c r="FML401" s="112"/>
      <c r="FMM401" s="113"/>
      <c r="FMO401" s="114"/>
      <c r="FMP401" s="114"/>
      <c r="FMU401" s="111"/>
      <c r="FMV401" s="112"/>
      <c r="FMW401" s="113"/>
      <c r="FMY401" s="114"/>
      <c r="FMZ401" s="114"/>
      <c r="FNE401" s="111"/>
      <c r="FNF401" s="112"/>
      <c r="FNG401" s="113"/>
      <c r="FNI401" s="114"/>
      <c r="FNJ401" s="114"/>
      <c r="FNO401" s="111"/>
      <c r="FNP401" s="112"/>
      <c r="FNQ401" s="113"/>
      <c r="FNS401" s="114"/>
      <c r="FNT401" s="114"/>
      <c r="FNY401" s="111"/>
      <c r="FNZ401" s="112"/>
      <c r="FOA401" s="113"/>
      <c r="FOC401" s="114"/>
      <c r="FOD401" s="114"/>
      <c r="FOI401" s="111"/>
      <c r="FOJ401" s="112"/>
      <c r="FOK401" s="113"/>
      <c r="FOM401" s="114"/>
      <c r="FON401" s="114"/>
      <c r="FOS401" s="111"/>
      <c r="FOT401" s="112"/>
      <c r="FOU401" s="113"/>
      <c r="FOW401" s="114"/>
      <c r="FOX401" s="114"/>
      <c r="FPC401" s="111"/>
      <c r="FPD401" s="112"/>
      <c r="FPE401" s="113"/>
      <c r="FPG401" s="114"/>
      <c r="FPH401" s="114"/>
      <c r="FPM401" s="111"/>
      <c r="FPN401" s="112"/>
      <c r="FPO401" s="113"/>
      <c r="FPQ401" s="114"/>
      <c r="FPR401" s="114"/>
      <c r="FPW401" s="111"/>
      <c r="FPX401" s="112"/>
      <c r="FPY401" s="113"/>
      <c r="FQA401" s="114"/>
      <c r="FQB401" s="114"/>
      <c r="FQG401" s="111"/>
      <c r="FQH401" s="112"/>
      <c r="FQI401" s="113"/>
      <c r="FQK401" s="114"/>
      <c r="FQL401" s="114"/>
      <c r="FQQ401" s="111"/>
      <c r="FQR401" s="112"/>
      <c r="FQS401" s="113"/>
      <c r="FQU401" s="114"/>
      <c r="FQV401" s="114"/>
      <c r="FRA401" s="111"/>
      <c r="FRB401" s="112"/>
      <c r="FRC401" s="113"/>
      <c r="FRE401" s="114"/>
      <c r="FRF401" s="114"/>
      <c r="FRK401" s="111"/>
      <c r="FRL401" s="112"/>
      <c r="FRM401" s="113"/>
      <c r="FRO401" s="114"/>
      <c r="FRP401" s="114"/>
      <c r="FRU401" s="111"/>
      <c r="FRV401" s="112"/>
      <c r="FRW401" s="113"/>
      <c r="FRY401" s="114"/>
      <c r="FRZ401" s="114"/>
      <c r="FSE401" s="111"/>
      <c r="FSF401" s="112"/>
      <c r="FSG401" s="113"/>
      <c r="FSI401" s="114"/>
      <c r="FSJ401" s="114"/>
      <c r="FSO401" s="111"/>
      <c r="FSP401" s="112"/>
      <c r="FSQ401" s="113"/>
      <c r="FSS401" s="114"/>
      <c r="FST401" s="114"/>
      <c r="FSY401" s="111"/>
      <c r="FSZ401" s="112"/>
      <c r="FTA401" s="113"/>
      <c r="FTC401" s="114"/>
      <c r="FTD401" s="114"/>
      <c r="FTI401" s="111"/>
      <c r="FTJ401" s="112"/>
      <c r="FTK401" s="113"/>
      <c r="FTM401" s="114"/>
      <c r="FTN401" s="114"/>
      <c r="FTS401" s="111"/>
      <c r="FTT401" s="112"/>
      <c r="FTU401" s="113"/>
      <c r="FTW401" s="114"/>
      <c r="FTX401" s="114"/>
      <c r="FUC401" s="111"/>
      <c r="FUD401" s="112"/>
      <c r="FUE401" s="113"/>
      <c r="FUG401" s="114"/>
      <c r="FUH401" s="114"/>
      <c r="FUM401" s="111"/>
      <c r="FUN401" s="112"/>
      <c r="FUO401" s="113"/>
      <c r="FUQ401" s="114"/>
      <c r="FUR401" s="114"/>
      <c r="FUW401" s="111"/>
      <c r="FUX401" s="112"/>
      <c r="FUY401" s="113"/>
      <c r="FVA401" s="114"/>
      <c r="FVB401" s="114"/>
      <c r="FVG401" s="111"/>
      <c r="FVH401" s="112"/>
      <c r="FVI401" s="113"/>
      <c r="FVK401" s="114"/>
      <c r="FVL401" s="114"/>
      <c r="FVQ401" s="111"/>
      <c r="FVR401" s="112"/>
      <c r="FVS401" s="113"/>
      <c r="FVU401" s="114"/>
      <c r="FVV401" s="114"/>
      <c r="FWA401" s="111"/>
      <c r="FWB401" s="112"/>
      <c r="FWC401" s="113"/>
      <c r="FWE401" s="114"/>
      <c r="FWF401" s="114"/>
      <c r="FWK401" s="111"/>
      <c r="FWL401" s="112"/>
      <c r="FWM401" s="113"/>
      <c r="FWO401" s="114"/>
      <c r="FWP401" s="114"/>
      <c r="FWU401" s="111"/>
      <c r="FWV401" s="112"/>
      <c r="FWW401" s="113"/>
      <c r="FWY401" s="114"/>
      <c r="FWZ401" s="114"/>
      <c r="FXE401" s="111"/>
      <c r="FXF401" s="112"/>
      <c r="FXG401" s="113"/>
      <c r="FXI401" s="114"/>
      <c r="FXJ401" s="114"/>
      <c r="FXO401" s="111"/>
      <c r="FXP401" s="112"/>
      <c r="FXQ401" s="113"/>
      <c r="FXS401" s="114"/>
      <c r="FXT401" s="114"/>
      <c r="FXY401" s="111"/>
      <c r="FXZ401" s="112"/>
      <c r="FYA401" s="113"/>
      <c r="FYC401" s="114"/>
      <c r="FYD401" s="114"/>
      <c r="FYI401" s="111"/>
      <c r="FYJ401" s="112"/>
      <c r="FYK401" s="113"/>
      <c r="FYM401" s="114"/>
      <c r="FYN401" s="114"/>
      <c r="FYS401" s="111"/>
      <c r="FYT401" s="112"/>
      <c r="FYU401" s="113"/>
      <c r="FYW401" s="114"/>
      <c r="FYX401" s="114"/>
      <c r="FZC401" s="111"/>
      <c r="FZD401" s="112"/>
      <c r="FZE401" s="113"/>
      <c r="FZG401" s="114"/>
      <c r="FZH401" s="114"/>
      <c r="FZM401" s="111"/>
      <c r="FZN401" s="112"/>
      <c r="FZO401" s="113"/>
      <c r="FZQ401" s="114"/>
      <c r="FZR401" s="114"/>
      <c r="FZW401" s="111"/>
      <c r="FZX401" s="112"/>
      <c r="FZY401" s="113"/>
      <c r="GAA401" s="114"/>
      <c r="GAB401" s="114"/>
      <c r="GAG401" s="111"/>
      <c r="GAH401" s="112"/>
      <c r="GAI401" s="113"/>
      <c r="GAK401" s="114"/>
      <c r="GAL401" s="114"/>
      <c r="GAQ401" s="111"/>
      <c r="GAR401" s="112"/>
      <c r="GAS401" s="113"/>
      <c r="GAU401" s="114"/>
      <c r="GAV401" s="114"/>
      <c r="GBA401" s="111"/>
      <c r="GBB401" s="112"/>
      <c r="GBC401" s="113"/>
      <c r="GBE401" s="114"/>
      <c r="GBF401" s="114"/>
      <c r="GBK401" s="111"/>
      <c r="GBL401" s="112"/>
      <c r="GBM401" s="113"/>
      <c r="GBO401" s="114"/>
      <c r="GBP401" s="114"/>
      <c r="GBU401" s="111"/>
      <c r="GBV401" s="112"/>
      <c r="GBW401" s="113"/>
      <c r="GBY401" s="114"/>
      <c r="GBZ401" s="114"/>
      <c r="GCE401" s="111"/>
      <c r="GCF401" s="112"/>
      <c r="GCG401" s="113"/>
      <c r="GCI401" s="114"/>
      <c r="GCJ401" s="114"/>
      <c r="GCO401" s="111"/>
      <c r="GCP401" s="112"/>
      <c r="GCQ401" s="113"/>
      <c r="GCS401" s="114"/>
      <c r="GCT401" s="114"/>
      <c r="GCY401" s="111"/>
      <c r="GCZ401" s="112"/>
      <c r="GDA401" s="113"/>
      <c r="GDC401" s="114"/>
      <c r="GDD401" s="114"/>
      <c r="GDI401" s="111"/>
      <c r="GDJ401" s="112"/>
      <c r="GDK401" s="113"/>
      <c r="GDM401" s="114"/>
      <c r="GDN401" s="114"/>
      <c r="GDS401" s="111"/>
      <c r="GDT401" s="112"/>
      <c r="GDU401" s="113"/>
      <c r="GDW401" s="114"/>
      <c r="GDX401" s="114"/>
      <c r="GEC401" s="111"/>
      <c r="GED401" s="112"/>
      <c r="GEE401" s="113"/>
      <c r="GEG401" s="114"/>
      <c r="GEH401" s="114"/>
      <c r="GEM401" s="111"/>
      <c r="GEN401" s="112"/>
      <c r="GEO401" s="113"/>
      <c r="GEQ401" s="114"/>
      <c r="GER401" s="114"/>
      <c r="GEW401" s="111"/>
      <c r="GEX401" s="112"/>
      <c r="GEY401" s="113"/>
      <c r="GFA401" s="114"/>
      <c r="GFB401" s="114"/>
      <c r="GFG401" s="111"/>
      <c r="GFH401" s="112"/>
      <c r="GFI401" s="113"/>
      <c r="GFK401" s="114"/>
      <c r="GFL401" s="114"/>
      <c r="GFQ401" s="111"/>
      <c r="GFR401" s="112"/>
      <c r="GFS401" s="113"/>
      <c r="GFU401" s="114"/>
      <c r="GFV401" s="114"/>
      <c r="GGA401" s="111"/>
      <c r="GGB401" s="112"/>
      <c r="GGC401" s="113"/>
      <c r="GGE401" s="114"/>
      <c r="GGF401" s="114"/>
      <c r="GGK401" s="111"/>
      <c r="GGL401" s="112"/>
      <c r="GGM401" s="113"/>
      <c r="GGO401" s="114"/>
      <c r="GGP401" s="114"/>
      <c r="GGU401" s="111"/>
      <c r="GGV401" s="112"/>
      <c r="GGW401" s="113"/>
      <c r="GGY401" s="114"/>
      <c r="GGZ401" s="114"/>
      <c r="GHE401" s="111"/>
      <c r="GHF401" s="112"/>
      <c r="GHG401" s="113"/>
      <c r="GHI401" s="114"/>
      <c r="GHJ401" s="114"/>
      <c r="GHO401" s="111"/>
      <c r="GHP401" s="112"/>
      <c r="GHQ401" s="113"/>
      <c r="GHS401" s="114"/>
      <c r="GHT401" s="114"/>
      <c r="GHY401" s="111"/>
      <c r="GHZ401" s="112"/>
      <c r="GIA401" s="113"/>
      <c r="GIC401" s="114"/>
      <c r="GID401" s="114"/>
      <c r="GII401" s="111"/>
      <c r="GIJ401" s="112"/>
      <c r="GIK401" s="113"/>
      <c r="GIM401" s="114"/>
      <c r="GIN401" s="114"/>
      <c r="GIS401" s="111"/>
      <c r="GIT401" s="112"/>
      <c r="GIU401" s="113"/>
      <c r="GIW401" s="114"/>
      <c r="GIX401" s="114"/>
      <c r="GJC401" s="111"/>
      <c r="GJD401" s="112"/>
      <c r="GJE401" s="113"/>
      <c r="GJG401" s="114"/>
      <c r="GJH401" s="114"/>
      <c r="GJM401" s="111"/>
      <c r="GJN401" s="112"/>
      <c r="GJO401" s="113"/>
      <c r="GJQ401" s="114"/>
      <c r="GJR401" s="114"/>
      <c r="GJW401" s="111"/>
      <c r="GJX401" s="112"/>
      <c r="GJY401" s="113"/>
      <c r="GKA401" s="114"/>
      <c r="GKB401" s="114"/>
      <c r="GKG401" s="111"/>
      <c r="GKH401" s="112"/>
      <c r="GKI401" s="113"/>
      <c r="GKK401" s="114"/>
      <c r="GKL401" s="114"/>
      <c r="GKQ401" s="111"/>
      <c r="GKR401" s="112"/>
      <c r="GKS401" s="113"/>
      <c r="GKU401" s="114"/>
      <c r="GKV401" s="114"/>
      <c r="GLA401" s="111"/>
      <c r="GLB401" s="112"/>
      <c r="GLC401" s="113"/>
      <c r="GLE401" s="114"/>
      <c r="GLF401" s="114"/>
      <c r="GLK401" s="111"/>
      <c r="GLL401" s="112"/>
      <c r="GLM401" s="113"/>
      <c r="GLO401" s="114"/>
      <c r="GLP401" s="114"/>
      <c r="GLU401" s="111"/>
      <c r="GLV401" s="112"/>
      <c r="GLW401" s="113"/>
      <c r="GLY401" s="114"/>
      <c r="GLZ401" s="114"/>
      <c r="GME401" s="111"/>
      <c r="GMF401" s="112"/>
      <c r="GMG401" s="113"/>
      <c r="GMI401" s="114"/>
      <c r="GMJ401" s="114"/>
      <c r="GMO401" s="111"/>
      <c r="GMP401" s="112"/>
      <c r="GMQ401" s="113"/>
      <c r="GMS401" s="114"/>
      <c r="GMT401" s="114"/>
      <c r="GMY401" s="111"/>
      <c r="GMZ401" s="112"/>
      <c r="GNA401" s="113"/>
      <c r="GNC401" s="114"/>
      <c r="GND401" s="114"/>
      <c r="GNI401" s="111"/>
      <c r="GNJ401" s="112"/>
      <c r="GNK401" s="113"/>
      <c r="GNM401" s="114"/>
      <c r="GNN401" s="114"/>
      <c r="GNS401" s="111"/>
      <c r="GNT401" s="112"/>
      <c r="GNU401" s="113"/>
      <c r="GNW401" s="114"/>
      <c r="GNX401" s="114"/>
      <c r="GOC401" s="111"/>
      <c r="GOD401" s="112"/>
      <c r="GOE401" s="113"/>
      <c r="GOG401" s="114"/>
      <c r="GOH401" s="114"/>
      <c r="GOM401" s="111"/>
      <c r="GON401" s="112"/>
      <c r="GOO401" s="113"/>
      <c r="GOQ401" s="114"/>
      <c r="GOR401" s="114"/>
      <c r="GOW401" s="111"/>
      <c r="GOX401" s="112"/>
      <c r="GOY401" s="113"/>
      <c r="GPA401" s="114"/>
      <c r="GPB401" s="114"/>
      <c r="GPG401" s="111"/>
      <c r="GPH401" s="112"/>
      <c r="GPI401" s="113"/>
      <c r="GPK401" s="114"/>
      <c r="GPL401" s="114"/>
      <c r="GPQ401" s="111"/>
      <c r="GPR401" s="112"/>
      <c r="GPS401" s="113"/>
      <c r="GPU401" s="114"/>
      <c r="GPV401" s="114"/>
      <c r="GQA401" s="111"/>
      <c r="GQB401" s="112"/>
      <c r="GQC401" s="113"/>
      <c r="GQE401" s="114"/>
      <c r="GQF401" s="114"/>
      <c r="GQK401" s="111"/>
      <c r="GQL401" s="112"/>
      <c r="GQM401" s="113"/>
      <c r="GQO401" s="114"/>
      <c r="GQP401" s="114"/>
      <c r="GQU401" s="111"/>
      <c r="GQV401" s="112"/>
      <c r="GQW401" s="113"/>
      <c r="GQY401" s="114"/>
      <c r="GQZ401" s="114"/>
      <c r="GRE401" s="111"/>
      <c r="GRF401" s="112"/>
      <c r="GRG401" s="113"/>
      <c r="GRI401" s="114"/>
      <c r="GRJ401" s="114"/>
      <c r="GRO401" s="111"/>
      <c r="GRP401" s="112"/>
      <c r="GRQ401" s="113"/>
      <c r="GRS401" s="114"/>
      <c r="GRT401" s="114"/>
      <c r="GRY401" s="111"/>
      <c r="GRZ401" s="112"/>
      <c r="GSA401" s="113"/>
      <c r="GSC401" s="114"/>
      <c r="GSD401" s="114"/>
      <c r="GSI401" s="111"/>
      <c r="GSJ401" s="112"/>
      <c r="GSK401" s="113"/>
      <c r="GSM401" s="114"/>
      <c r="GSN401" s="114"/>
      <c r="GSS401" s="111"/>
      <c r="GST401" s="112"/>
      <c r="GSU401" s="113"/>
      <c r="GSW401" s="114"/>
      <c r="GSX401" s="114"/>
      <c r="GTC401" s="111"/>
      <c r="GTD401" s="112"/>
      <c r="GTE401" s="113"/>
      <c r="GTG401" s="114"/>
      <c r="GTH401" s="114"/>
      <c r="GTM401" s="111"/>
      <c r="GTN401" s="112"/>
      <c r="GTO401" s="113"/>
      <c r="GTQ401" s="114"/>
      <c r="GTR401" s="114"/>
      <c r="GTW401" s="111"/>
      <c r="GTX401" s="112"/>
      <c r="GTY401" s="113"/>
      <c r="GUA401" s="114"/>
      <c r="GUB401" s="114"/>
      <c r="GUG401" s="111"/>
      <c r="GUH401" s="112"/>
      <c r="GUI401" s="113"/>
      <c r="GUK401" s="114"/>
      <c r="GUL401" s="114"/>
      <c r="GUQ401" s="111"/>
      <c r="GUR401" s="112"/>
      <c r="GUS401" s="113"/>
      <c r="GUU401" s="114"/>
      <c r="GUV401" s="114"/>
      <c r="GVA401" s="111"/>
      <c r="GVB401" s="112"/>
      <c r="GVC401" s="113"/>
      <c r="GVE401" s="114"/>
      <c r="GVF401" s="114"/>
      <c r="GVK401" s="111"/>
      <c r="GVL401" s="112"/>
      <c r="GVM401" s="113"/>
      <c r="GVO401" s="114"/>
      <c r="GVP401" s="114"/>
      <c r="GVU401" s="111"/>
      <c r="GVV401" s="112"/>
      <c r="GVW401" s="113"/>
      <c r="GVY401" s="114"/>
      <c r="GVZ401" s="114"/>
      <c r="GWE401" s="111"/>
      <c r="GWF401" s="112"/>
      <c r="GWG401" s="113"/>
      <c r="GWI401" s="114"/>
      <c r="GWJ401" s="114"/>
      <c r="GWO401" s="111"/>
      <c r="GWP401" s="112"/>
      <c r="GWQ401" s="113"/>
      <c r="GWS401" s="114"/>
      <c r="GWT401" s="114"/>
      <c r="GWY401" s="111"/>
      <c r="GWZ401" s="112"/>
      <c r="GXA401" s="113"/>
      <c r="GXC401" s="114"/>
      <c r="GXD401" s="114"/>
      <c r="GXI401" s="111"/>
      <c r="GXJ401" s="112"/>
      <c r="GXK401" s="113"/>
      <c r="GXM401" s="114"/>
      <c r="GXN401" s="114"/>
      <c r="GXS401" s="111"/>
      <c r="GXT401" s="112"/>
      <c r="GXU401" s="113"/>
      <c r="GXW401" s="114"/>
      <c r="GXX401" s="114"/>
      <c r="GYC401" s="111"/>
      <c r="GYD401" s="112"/>
      <c r="GYE401" s="113"/>
      <c r="GYG401" s="114"/>
      <c r="GYH401" s="114"/>
      <c r="GYM401" s="111"/>
      <c r="GYN401" s="112"/>
      <c r="GYO401" s="113"/>
      <c r="GYQ401" s="114"/>
      <c r="GYR401" s="114"/>
      <c r="GYW401" s="111"/>
      <c r="GYX401" s="112"/>
      <c r="GYY401" s="113"/>
      <c r="GZA401" s="114"/>
      <c r="GZB401" s="114"/>
      <c r="GZG401" s="111"/>
      <c r="GZH401" s="112"/>
      <c r="GZI401" s="113"/>
      <c r="GZK401" s="114"/>
      <c r="GZL401" s="114"/>
      <c r="GZQ401" s="111"/>
      <c r="GZR401" s="112"/>
      <c r="GZS401" s="113"/>
      <c r="GZU401" s="114"/>
      <c r="GZV401" s="114"/>
      <c r="HAA401" s="111"/>
      <c r="HAB401" s="112"/>
      <c r="HAC401" s="113"/>
      <c r="HAE401" s="114"/>
      <c r="HAF401" s="114"/>
      <c r="HAK401" s="111"/>
      <c r="HAL401" s="112"/>
      <c r="HAM401" s="113"/>
      <c r="HAO401" s="114"/>
      <c r="HAP401" s="114"/>
      <c r="HAU401" s="111"/>
      <c r="HAV401" s="112"/>
      <c r="HAW401" s="113"/>
      <c r="HAY401" s="114"/>
      <c r="HAZ401" s="114"/>
      <c r="HBE401" s="111"/>
      <c r="HBF401" s="112"/>
      <c r="HBG401" s="113"/>
      <c r="HBI401" s="114"/>
      <c r="HBJ401" s="114"/>
      <c r="HBO401" s="111"/>
      <c r="HBP401" s="112"/>
      <c r="HBQ401" s="113"/>
      <c r="HBS401" s="114"/>
      <c r="HBT401" s="114"/>
      <c r="HBY401" s="111"/>
      <c r="HBZ401" s="112"/>
      <c r="HCA401" s="113"/>
      <c r="HCC401" s="114"/>
      <c r="HCD401" s="114"/>
      <c r="HCI401" s="111"/>
      <c r="HCJ401" s="112"/>
      <c r="HCK401" s="113"/>
      <c r="HCM401" s="114"/>
      <c r="HCN401" s="114"/>
      <c r="HCS401" s="111"/>
      <c r="HCT401" s="112"/>
      <c r="HCU401" s="113"/>
      <c r="HCW401" s="114"/>
      <c r="HCX401" s="114"/>
      <c r="HDC401" s="111"/>
      <c r="HDD401" s="112"/>
      <c r="HDE401" s="113"/>
      <c r="HDG401" s="114"/>
      <c r="HDH401" s="114"/>
      <c r="HDM401" s="111"/>
      <c r="HDN401" s="112"/>
      <c r="HDO401" s="113"/>
      <c r="HDQ401" s="114"/>
      <c r="HDR401" s="114"/>
      <c r="HDW401" s="111"/>
      <c r="HDX401" s="112"/>
      <c r="HDY401" s="113"/>
      <c r="HEA401" s="114"/>
      <c r="HEB401" s="114"/>
      <c r="HEG401" s="111"/>
      <c r="HEH401" s="112"/>
      <c r="HEI401" s="113"/>
      <c r="HEK401" s="114"/>
      <c r="HEL401" s="114"/>
      <c r="HEQ401" s="111"/>
      <c r="HER401" s="112"/>
      <c r="HES401" s="113"/>
      <c r="HEU401" s="114"/>
      <c r="HEV401" s="114"/>
      <c r="HFA401" s="111"/>
      <c r="HFB401" s="112"/>
      <c r="HFC401" s="113"/>
      <c r="HFE401" s="114"/>
      <c r="HFF401" s="114"/>
      <c r="HFK401" s="111"/>
      <c r="HFL401" s="112"/>
      <c r="HFM401" s="113"/>
      <c r="HFO401" s="114"/>
      <c r="HFP401" s="114"/>
      <c r="HFU401" s="111"/>
      <c r="HFV401" s="112"/>
      <c r="HFW401" s="113"/>
      <c r="HFY401" s="114"/>
      <c r="HFZ401" s="114"/>
      <c r="HGE401" s="111"/>
      <c r="HGF401" s="112"/>
      <c r="HGG401" s="113"/>
      <c r="HGI401" s="114"/>
      <c r="HGJ401" s="114"/>
      <c r="HGO401" s="111"/>
      <c r="HGP401" s="112"/>
      <c r="HGQ401" s="113"/>
      <c r="HGS401" s="114"/>
      <c r="HGT401" s="114"/>
      <c r="HGY401" s="111"/>
      <c r="HGZ401" s="112"/>
      <c r="HHA401" s="113"/>
      <c r="HHC401" s="114"/>
      <c r="HHD401" s="114"/>
      <c r="HHI401" s="111"/>
      <c r="HHJ401" s="112"/>
      <c r="HHK401" s="113"/>
      <c r="HHM401" s="114"/>
      <c r="HHN401" s="114"/>
      <c r="HHS401" s="111"/>
      <c r="HHT401" s="112"/>
      <c r="HHU401" s="113"/>
      <c r="HHW401" s="114"/>
      <c r="HHX401" s="114"/>
      <c r="HIC401" s="111"/>
      <c r="HID401" s="112"/>
      <c r="HIE401" s="113"/>
      <c r="HIG401" s="114"/>
      <c r="HIH401" s="114"/>
      <c r="HIM401" s="111"/>
      <c r="HIN401" s="112"/>
      <c r="HIO401" s="113"/>
      <c r="HIQ401" s="114"/>
      <c r="HIR401" s="114"/>
      <c r="HIW401" s="111"/>
      <c r="HIX401" s="112"/>
      <c r="HIY401" s="113"/>
      <c r="HJA401" s="114"/>
      <c r="HJB401" s="114"/>
      <c r="HJG401" s="111"/>
      <c r="HJH401" s="112"/>
      <c r="HJI401" s="113"/>
      <c r="HJK401" s="114"/>
      <c r="HJL401" s="114"/>
      <c r="HJQ401" s="111"/>
      <c r="HJR401" s="112"/>
      <c r="HJS401" s="113"/>
      <c r="HJU401" s="114"/>
      <c r="HJV401" s="114"/>
      <c r="HKA401" s="111"/>
      <c r="HKB401" s="112"/>
      <c r="HKC401" s="113"/>
      <c r="HKE401" s="114"/>
      <c r="HKF401" s="114"/>
      <c r="HKK401" s="111"/>
      <c r="HKL401" s="112"/>
      <c r="HKM401" s="113"/>
      <c r="HKO401" s="114"/>
      <c r="HKP401" s="114"/>
      <c r="HKU401" s="111"/>
      <c r="HKV401" s="112"/>
      <c r="HKW401" s="113"/>
      <c r="HKY401" s="114"/>
      <c r="HKZ401" s="114"/>
      <c r="HLE401" s="111"/>
      <c r="HLF401" s="112"/>
      <c r="HLG401" s="113"/>
      <c r="HLI401" s="114"/>
      <c r="HLJ401" s="114"/>
      <c r="HLO401" s="111"/>
      <c r="HLP401" s="112"/>
      <c r="HLQ401" s="113"/>
      <c r="HLS401" s="114"/>
      <c r="HLT401" s="114"/>
      <c r="HLY401" s="111"/>
      <c r="HLZ401" s="112"/>
      <c r="HMA401" s="113"/>
      <c r="HMC401" s="114"/>
      <c r="HMD401" s="114"/>
      <c r="HMI401" s="111"/>
      <c r="HMJ401" s="112"/>
      <c r="HMK401" s="113"/>
      <c r="HMM401" s="114"/>
      <c r="HMN401" s="114"/>
      <c r="HMS401" s="111"/>
      <c r="HMT401" s="112"/>
      <c r="HMU401" s="113"/>
      <c r="HMW401" s="114"/>
      <c r="HMX401" s="114"/>
      <c r="HNC401" s="111"/>
      <c r="HND401" s="112"/>
      <c r="HNE401" s="113"/>
      <c r="HNG401" s="114"/>
      <c r="HNH401" s="114"/>
      <c r="HNM401" s="111"/>
      <c r="HNN401" s="112"/>
      <c r="HNO401" s="113"/>
      <c r="HNQ401" s="114"/>
      <c r="HNR401" s="114"/>
      <c r="HNW401" s="111"/>
      <c r="HNX401" s="112"/>
      <c r="HNY401" s="113"/>
      <c r="HOA401" s="114"/>
      <c r="HOB401" s="114"/>
      <c r="HOG401" s="111"/>
      <c r="HOH401" s="112"/>
      <c r="HOI401" s="113"/>
      <c r="HOK401" s="114"/>
      <c r="HOL401" s="114"/>
      <c r="HOQ401" s="111"/>
      <c r="HOR401" s="112"/>
      <c r="HOS401" s="113"/>
      <c r="HOU401" s="114"/>
      <c r="HOV401" s="114"/>
      <c r="HPA401" s="111"/>
      <c r="HPB401" s="112"/>
      <c r="HPC401" s="113"/>
      <c r="HPE401" s="114"/>
      <c r="HPF401" s="114"/>
      <c r="HPK401" s="111"/>
      <c r="HPL401" s="112"/>
      <c r="HPM401" s="113"/>
      <c r="HPO401" s="114"/>
      <c r="HPP401" s="114"/>
      <c r="HPU401" s="111"/>
      <c r="HPV401" s="112"/>
      <c r="HPW401" s="113"/>
      <c r="HPY401" s="114"/>
      <c r="HPZ401" s="114"/>
      <c r="HQE401" s="111"/>
      <c r="HQF401" s="112"/>
      <c r="HQG401" s="113"/>
      <c r="HQI401" s="114"/>
      <c r="HQJ401" s="114"/>
      <c r="HQO401" s="111"/>
      <c r="HQP401" s="112"/>
      <c r="HQQ401" s="113"/>
      <c r="HQS401" s="114"/>
      <c r="HQT401" s="114"/>
      <c r="HQY401" s="111"/>
      <c r="HQZ401" s="112"/>
      <c r="HRA401" s="113"/>
      <c r="HRC401" s="114"/>
      <c r="HRD401" s="114"/>
      <c r="HRI401" s="111"/>
      <c r="HRJ401" s="112"/>
      <c r="HRK401" s="113"/>
      <c r="HRM401" s="114"/>
      <c r="HRN401" s="114"/>
      <c r="HRS401" s="111"/>
      <c r="HRT401" s="112"/>
      <c r="HRU401" s="113"/>
      <c r="HRW401" s="114"/>
      <c r="HRX401" s="114"/>
      <c r="HSC401" s="111"/>
      <c r="HSD401" s="112"/>
      <c r="HSE401" s="113"/>
      <c r="HSG401" s="114"/>
      <c r="HSH401" s="114"/>
      <c r="HSM401" s="111"/>
      <c r="HSN401" s="112"/>
      <c r="HSO401" s="113"/>
      <c r="HSQ401" s="114"/>
      <c r="HSR401" s="114"/>
      <c r="HSW401" s="111"/>
      <c r="HSX401" s="112"/>
      <c r="HSY401" s="113"/>
      <c r="HTA401" s="114"/>
      <c r="HTB401" s="114"/>
      <c r="HTG401" s="111"/>
      <c r="HTH401" s="112"/>
      <c r="HTI401" s="113"/>
      <c r="HTK401" s="114"/>
      <c r="HTL401" s="114"/>
      <c r="HTQ401" s="111"/>
      <c r="HTR401" s="112"/>
      <c r="HTS401" s="113"/>
      <c r="HTU401" s="114"/>
      <c r="HTV401" s="114"/>
      <c r="HUA401" s="111"/>
      <c r="HUB401" s="112"/>
      <c r="HUC401" s="113"/>
      <c r="HUE401" s="114"/>
      <c r="HUF401" s="114"/>
      <c r="HUK401" s="111"/>
      <c r="HUL401" s="112"/>
      <c r="HUM401" s="113"/>
      <c r="HUO401" s="114"/>
      <c r="HUP401" s="114"/>
      <c r="HUU401" s="111"/>
      <c r="HUV401" s="112"/>
      <c r="HUW401" s="113"/>
      <c r="HUY401" s="114"/>
      <c r="HUZ401" s="114"/>
      <c r="HVE401" s="111"/>
      <c r="HVF401" s="112"/>
      <c r="HVG401" s="113"/>
      <c r="HVI401" s="114"/>
      <c r="HVJ401" s="114"/>
      <c r="HVO401" s="111"/>
      <c r="HVP401" s="112"/>
      <c r="HVQ401" s="113"/>
      <c r="HVS401" s="114"/>
      <c r="HVT401" s="114"/>
      <c r="HVY401" s="111"/>
      <c r="HVZ401" s="112"/>
      <c r="HWA401" s="113"/>
      <c r="HWC401" s="114"/>
      <c r="HWD401" s="114"/>
      <c r="HWI401" s="111"/>
      <c r="HWJ401" s="112"/>
      <c r="HWK401" s="113"/>
      <c r="HWM401" s="114"/>
      <c r="HWN401" s="114"/>
      <c r="HWS401" s="111"/>
      <c r="HWT401" s="112"/>
      <c r="HWU401" s="113"/>
      <c r="HWW401" s="114"/>
      <c r="HWX401" s="114"/>
      <c r="HXC401" s="111"/>
      <c r="HXD401" s="112"/>
      <c r="HXE401" s="113"/>
      <c r="HXG401" s="114"/>
      <c r="HXH401" s="114"/>
      <c r="HXM401" s="111"/>
      <c r="HXN401" s="112"/>
      <c r="HXO401" s="113"/>
      <c r="HXQ401" s="114"/>
      <c r="HXR401" s="114"/>
      <c r="HXW401" s="111"/>
      <c r="HXX401" s="112"/>
      <c r="HXY401" s="113"/>
      <c r="HYA401" s="114"/>
      <c r="HYB401" s="114"/>
      <c r="HYG401" s="111"/>
      <c r="HYH401" s="112"/>
      <c r="HYI401" s="113"/>
      <c r="HYK401" s="114"/>
      <c r="HYL401" s="114"/>
      <c r="HYQ401" s="111"/>
      <c r="HYR401" s="112"/>
      <c r="HYS401" s="113"/>
      <c r="HYU401" s="114"/>
      <c r="HYV401" s="114"/>
      <c r="HZA401" s="111"/>
      <c r="HZB401" s="112"/>
      <c r="HZC401" s="113"/>
      <c r="HZE401" s="114"/>
      <c r="HZF401" s="114"/>
      <c r="HZK401" s="111"/>
      <c r="HZL401" s="112"/>
      <c r="HZM401" s="113"/>
      <c r="HZO401" s="114"/>
      <c r="HZP401" s="114"/>
      <c r="HZU401" s="111"/>
      <c r="HZV401" s="112"/>
      <c r="HZW401" s="113"/>
      <c r="HZY401" s="114"/>
      <c r="HZZ401" s="114"/>
      <c r="IAE401" s="111"/>
      <c r="IAF401" s="112"/>
      <c r="IAG401" s="113"/>
      <c r="IAI401" s="114"/>
      <c r="IAJ401" s="114"/>
      <c r="IAO401" s="111"/>
      <c r="IAP401" s="112"/>
      <c r="IAQ401" s="113"/>
      <c r="IAS401" s="114"/>
      <c r="IAT401" s="114"/>
      <c r="IAY401" s="111"/>
      <c r="IAZ401" s="112"/>
      <c r="IBA401" s="113"/>
      <c r="IBC401" s="114"/>
      <c r="IBD401" s="114"/>
      <c r="IBI401" s="111"/>
      <c r="IBJ401" s="112"/>
      <c r="IBK401" s="113"/>
      <c r="IBM401" s="114"/>
      <c r="IBN401" s="114"/>
      <c r="IBS401" s="111"/>
      <c r="IBT401" s="112"/>
      <c r="IBU401" s="113"/>
      <c r="IBW401" s="114"/>
      <c r="IBX401" s="114"/>
      <c r="ICC401" s="111"/>
      <c r="ICD401" s="112"/>
      <c r="ICE401" s="113"/>
      <c r="ICG401" s="114"/>
      <c r="ICH401" s="114"/>
      <c r="ICM401" s="111"/>
      <c r="ICN401" s="112"/>
      <c r="ICO401" s="113"/>
      <c r="ICQ401" s="114"/>
      <c r="ICR401" s="114"/>
      <c r="ICW401" s="111"/>
      <c r="ICX401" s="112"/>
      <c r="ICY401" s="113"/>
      <c r="IDA401" s="114"/>
      <c r="IDB401" s="114"/>
      <c r="IDG401" s="111"/>
      <c r="IDH401" s="112"/>
      <c r="IDI401" s="113"/>
      <c r="IDK401" s="114"/>
      <c r="IDL401" s="114"/>
      <c r="IDQ401" s="111"/>
      <c r="IDR401" s="112"/>
      <c r="IDS401" s="113"/>
      <c r="IDU401" s="114"/>
      <c r="IDV401" s="114"/>
      <c r="IEA401" s="111"/>
      <c r="IEB401" s="112"/>
      <c r="IEC401" s="113"/>
      <c r="IEE401" s="114"/>
      <c r="IEF401" s="114"/>
      <c r="IEK401" s="111"/>
      <c r="IEL401" s="112"/>
      <c r="IEM401" s="113"/>
      <c r="IEO401" s="114"/>
      <c r="IEP401" s="114"/>
      <c r="IEU401" s="111"/>
      <c r="IEV401" s="112"/>
      <c r="IEW401" s="113"/>
      <c r="IEY401" s="114"/>
      <c r="IEZ401" s="114"/>
      <c r="IFE401" s="111"/>
      <c r="IFF401" s="112"/>
      <c r="IFG401" s="113"/>
      <c r="IFI401" s="114"/>
      <c r="IFJ401" s="114"/>
      <c r="IFO401" s="111"/>
      <c r="IFP401" s="112"/>
      <c r="IFQ401" s="113"/>
      <c r="IFS401" s="114"/>
      <c r="IFT401" s="114"/>
      <c r="IFY401" s="111"/>
      <c r="IFZ401" s="112"/>
      <c r="IGA401" s="113"/>
      <c r="IGC401" s="114"/>
      <c r="IGD401" s="114"/>
      <c r="IGI401" s="111"/>
      <c r="IGJ401" s="112"/>
      <c r="IGK401" s="113"/>
      <c r="IGM401" s="114"/>
      <c r="IGN401" s="114"/>
      <c r="IGS401" s="111"/>
      <c r="IGT401" s="112"/>
      <c r="IGU401" s="113"/>
      <c r="IGW401" s="114"/>
      <c r="IGX401" s="114"/>
      <c r="IHC401" s="111"/>
      <c r="IHD401" s="112"/>
      <c r="IHE401" s="113"/>
      <c r="IHG401" s="114"/>
      <c r="IHH401" s="114"/>
      <c r="IHM401" s="111"/>
      <c r="IHN401" s="112"/>
      <c r="IHO401" s="113"/>
      <c r="IHQ401" s="114"/>
      <c r="IHR401" s="114"/>
      <c r="IHW401" s="111"/>
      <c r="IHX401" s="112"/>
      <c r="IHY401" s="113"/>
      <c r="IIA401" s="114"/>
      <c r="IIB401" s="114"/>
      <c r="IIG401" s="111"/>
      <c r="IIH401" s="112"/>
      <c r="III401" s="113"/>
      <c r="IIK401" s="114"/>
      <c r="IIL401" s="114"/>
      <c r="IIQ401" s="111"/>
      <c r="IIR401" s="112"/>
      <c r="IIS401" s="113"/>
      <c r="IIU401" s="114"/>
      <c r="IIV401" s="114"/>
      <c r="IJA401" s="111"/>
      <c r="IJB401" s="112"/>
      <c r="IJC401" s="113"/>
      <c r="IJE401" s="114"/>
      <c r="IJF401" s="114"/>
      <c r="IJK401" s="111"/>
      <c r="IJL401" s="112"/>
      <c r="IJM401" s="113"/>
      <c r="IJO401" s="114"/>
      <c r="IJP401" s="114"/>
      <c r="IJU401" s="111"/>
      <c r="IJV401" s="112"/>
      <c r="IJW401" s="113"/>
      <c r="IJY401" s="114"/>
      <c r="IJZ401" s="114"/>
      <c r="IKE401" s="111"/>
      <c r="IKF401" s="112"/>
      <c r="IKG401" s="113"/>
      <c r="IKI401" s="114"/>
      <c r="IKJ401" s="114"/>
      <c r="IKO401" s="111"/>
      <c r="IKP401" s="112"/>
      <c r="IKQ401" s="113"/>
      <c r="IKS401" s="114"/>
      <c r="IKT401" s="114"/>
      <c r="IKY401" s="111"/>
      <c r="IKZ401" s="112"/>
      <c r="ILA401" s="113"/>
      <c r="ILC401" s="114"/>
      <c r="ILD401" s="114"/>
      <c r="ILI401" s="111"/>
      <c r="ILJ401" s="112"/>
      <c r="ILK401" s="113"/>
      <c r="ILM401" s="114"/>
      <c r="ILN401" s="114"/>
      <c r="ILS401" s="111"/>
      <c r="ILT401" s="112"/>
      <c r="ILU401" s="113"/>
      <c r="ILW401" s="114"/>
      <c r="ILX401" s="114"/>
      <c r="IMC401" s="111"/>
      <c r="IMD401" s="112"/>
      <c r="IME401" s="113"/>
      <c r="IMG401" s="114"/>
      <c r="IMH401" s="114"/>
      <c r="IMM401" s="111"/>
      <c r="IMN401" s="112"/>
      <c r="IMO401" s="113"/>
      <c r="IMQ401" s="114"/>
      <c r="IMR401" s="114"/>
      <c r="IMW401" s="111"/>
      <c r="IMX401" s="112"/>
      <c r="IMY401" s="113"/>
      <c r="INA401" s="114"/>
      <c r="INB401" s="114"/>
      <c r="ING401" s="111"/>
      <c r="INH401" s="112"/>
      <c r="INI401" s="113"/>
      <c r="INK401" s="114"/>
      <c r="INL401" s="114"/>
      <c r="INQ401" s="111"/>
      <c r="INR401" s="112"/>
      <c r="INS401" s="113"/>
      <c r="INU401" s="114"/>
      <c r="INV401" s="114"/>
      <c r="IOA401" s="111"/>
      <c r="IOB401" s="112"/>
      <c r="IOC401" s="113"/>
      <c r="IOE401" s="114"/>
      <c r="IOF401" s="114"/>
      <c r="IOK401" s="111"/>
      <c r="IOL401" s="112"/>
      <c r="IOM401" s="113"/>
      <c r="IOO401" s="114"/>
      <c r="IOP401" s="114"/>
      <c r="IOU401" s="111"/>
      <c r="IOV401" s="112"/>
      <c r="IOW401" s="113"/>
      <c r="IOY401" s="114"/>
      <c r="IOZ401" s="114"/>
      <c r="IPE401" s="111"/>
      <c r="IPF401" s="112"/>
      <c r="IPG401" s="113"/>
      <c r="IPI401" s="114"/>
      <c r="IPJ401" s="114"/>
      <c r="IPO401" s="111"/>
      <c r="IPP401" s="112"/>
      <c r="IPQ401" s="113"/>
      <c r="IPS401" s="114"/>
      <c r="IPT401" s="114"/>
      <c r="IPY401" s="111"/>
      <c r="IPZ401" s="112"/>
      <c r="IQA401" s="113"/>
      <c r="IQC401" s="114"/>
      <c r="IQD401" s="114"/>
      <c r="IQI401" s="111"/>
      <c r="IQJ401" s="112"/>
      <c r="IQK401" s="113"/>
      <c r="IQM401" s="114"/>
      <c r="IQN401" s="114"/>
      <c r="IQS401" s="111"/>
      <c r="IQT401" s="112"/>
      <c r="IQU401" s="113"/>
      <c r="IQW401" s="114"/>
      <c r="IQX401" s="114"/>
      <c r="IRC401" s="111"/>
      <c r="IRD401" s="112"/>
      <c r="IRE401" s="113"/>
      <c r="IRG401" s="114"/>
      <c r="IRH401" s="114"/>
      <c r="IRM401" s="111"/>
      <c r="IRN401" s="112"/>
      <c r="IRO401" s="113"/>
      <c r="IRQ401" s="114"/>
      <c r="IRR401" s="114"/>
      <c r="IRW401" s="111"/>
      <c r="IRX401" s="112"/>
      <c r="IRY401" s="113"/>
      <c r="ISA401" s="114"/>
      <c r="ISB401" s="114"/>
      <c r="ISG401" s="111"/>
      <c r="ISH401" s="112"/>
      <c r="ISI401" s="113"/>
      <c r="ISK401" s="114"/>
      <c r="ISL401" s="114"/>
      <c r="ISQ401" s="111"/>
      <c r="ISR401" s="112"/>
      <c r="ISS401" s="113"/>
      <c r="ISU401" s="114"/>
      <c r="ISV401" s="114"/>
      <c r="ITA401" s="111"/>
      <c r="ITB401" s="112"/>
      <c r="ITC401" s="113"/>
      <c r="ITE401" s="114"/>
      <c r="ITF401" s="114"/>
      <c r="ITK401" s="111"/>
      <c r="ITL401" s="112"/>
      <c r="ITM401" s="113"/>
      <c r="ITO401" s="114"/>
      <c r="ITP401" s="114"/>
      <c r="ITU401" s="111"/>
      <c r="ITV401" s="112"/>
      <c r="ITW401" s="113"/>
      <c r="ITY401" s="114"/>
      <c r="ITZ401" s="114"/>
      <c r="IUE401" s="111"/>
      <c r="IUF401" s="112"/>
      <c r="IUG401" s="113"/>
      <c r="IUI401" s="114"/>
      <c r="IUJ401" s="114"/>
      <c r="IUO401" s="111"/>
      <c r="IUP401" s="112"/>
      <c r="IUQ401" s="113"/>
      <c r="IUS401" s="114"/>
      <c r="IUT401" s="114"/>
      <c r="IUY401" s="111"/>
      <c r="IUZ401" s="112"/>
      <c r="IVA401" s="113"/>
      <c r="IVC401" s="114"/>
      <c r="IVD401" s="114"/>
      <c r="IVI401" s="111"/>
      <c r="IVJ401" s="112"/>
      <c r="IVK401" s="113"/>
      <c r="IVM401" s="114"/>
      <c r="IVN401" s="114"/>
      <c r="IVS401" s="111"/>
      <c r="IVT401" s="112"/>
      <c r="IVU401" s="113"/>
      <c r="IVW401" s="114"/>
      <c r="IVX401" s="114"/>
      <c r="IWC401" s="111"/>
      <c r="IWD401" s="112"/>
      <c r="IWE401" s="113"/>
      <c r="IWG401" s="114"/>
      <c r="IWH401" s="114"/>
      <c r="IWM401" s="111"/>
      <c r="IWN401" s="112"/>
      <c r="IWO401" s="113"/>
      <c r="IWQ401" s="114"/>
      <c r="IWR401" s="114"/>
      <c r="IWW401" s="111"/>
      <c r="IWX401" s="112"/>
      <c r="IWY401" s="113"/>
      <c r="IXA401" s="114"/>
      <c r="IXB401" s="114"/>
      <c r="IXG401" s="111"/>
      <c r="IXH401" s="112"/>
      <c r="IXI401" s="113"/>
      <c r="IXK401" s="114"/>
      <c r="IXL401" s="114"/>
      <c r="IXQ401" s="111"/>
      <c r="IXR401" s="112"/>
      <c r="IXS401" s="113"/>
      <c r="IXU401" s="114"/>
      <c r="IXV401" s="114"/>
      <c r="IYA401" s="111"/>
      <c r="IYB401" s="112"/>
      <c r="IYC401" s="113"/>
      <c r="IYE401" s="114"/>
      <c r="IYF401" s="114"/>
      <c r="IYK401" s="111"/>
      <c r="IYL401" s="112"/>
      <c r="IYM401" s="113"/>
      <c r="IYO401" s="114"/>
      <c r="IYP401" s="114"/>
      <c r="IYU401" s="111"/>
      <c r="IYV401" s="112"/>
      <c r="IYW401" s="113"/>
      <c r="IYY401" s="114"/>
      <c r="IYZ401" s="114"/>
      <c r="IZE401" s="111"/>
      <c r="IZF401" s="112"/>
      <c r="IZG401" s="113"/>
      <c r="IZI401" s="114"/>
      <c r="IZJ401" s="114"/>
      <c r="IZO401" s="111"/>
      <c r="IZP401" s="112"/>
      <c r="IZQ401" s="113"/>
      <c r="IZS401" s="114"/>
      <c r="IZT401" s="114"/>
      <c r="IZY401" s="111"/>
      <c r="IZZ401" s="112"/>
      <c r="JAA401" s="113"/>
      <c r="JAC401" s="114"/>
      <c r="JAD401" s="114"/>
      <c r="JAI401" s="111"/>
      <c r="JAJ401" s="112"/>
      <c r="JAK401" s="113"/>
      <c r="JAM401" s="114"/>
      <c r="JAN401" s="114"/>
      <c r="JAS401" s="111"/>
      <c r="JAT401" s="112"/>
      <c r="JAU401" s="113"/>
      <c r="JAW401" s="114"/>
      <c r="JAX401" s="114"/>
      <c r="JBC401" s="111"/>
      <c r="JBD401" s="112"/>
      <c r="JBE401" s="113"/>
      <c r="JBG401" s="114"/>
      <c r="JBH401" s="114"/>
      <c r="JBM401" s="111"/>
      <c r="JBN401" s="112"/>
      <c r="JBO401" s="113"/>
      <c r="JBQ401" s="114"/>
      <c r="JBR401" s="114"/>
      <c r="JBW401" s="111"/>
      <c r="JBX401" s="112"/>
      <c r="JBY401" s="113"/>
      <c r="JCA401" s="114"/>
      <c r="JCB401" s="114"/>
      <c r="JCG401" s="111"/>
      <c r="JCH401" s="112"/>
      <c r="JCI401" s="113"/>
      <c r="JCK401" s="114"/>
      <c r="JCL401" s="114"/>
      <c r="JCQ401" s="111"/>
      <c r="JCR401" s="112"/>
      <c r="JCS401" s="113"/>
      <c r="JCU401" s="114"/>
      <c r="JCV401" s="114"/>
      <c r="JDA401" s="111"/>
      <c r="JDB401" s="112"/>
      <c r="JDC401" s="113"/>
      <c r="JDE401" s="114"/>
      <c r="JDF401" s="114"/>
      <c r="JDK401" s="111"/>
      <c r="JDL401" s="112"/>
      <c r="JDM401" s="113"/>
      <c r="JDO401" s="114"/>
      <c r="JDP401" s="114"/>
      <c r="JDU401" s="111"/>
      <c r="JDV401" s="112"/>
      <c r="JDW401" s="113"/>
      <c r="JDY401" s="114"/>
      <c r="JDZ401" s="114"/>
      <c r="JEE401" s="111"/>
      <c r="JEF401" s="112"/>
      <c r="JEG401" s="113"/>
      <c r="JEI401" s="114"/>
      <c r="JEJ401" s="114"/>
      <c r="JEO401" s="111"/>
      <c r="JEP401" s="112"/>
      <c r="JEQ401" s="113"/>
      <c r="JES401" s="114"/>
      <c r="JET401" s="114"/>
      <c r="JEY401" s="111"/>
      <c r="JEZ401" s="112"/>
      <c r="JFA401" s="113"/>
      <c r="JFC401" s="114"/>
      <c r="JFD401" s="114"/>
      <c r="JFI401" s="111"/>
      <c r="JFJ401" s="112"/>
      <c r="JFK401" s="113"/>
      <c r="JFM401" s="114"/>
      <c r="JFN401" s="114"/>
      <c r="JFS401" s="111"/>
      <c r="JFT401" s="112"/>
      <c r="JFU401" s="113"/>
      <c r="JFW401" s="114"/>
      <c r="JFX401" s="114"/>
      <c r="JGC401" s="111"/>
      <c r="JGD401" s="112"/>
      <c r="JGE401" s="113"/>
      <c r="JGG401" s="114"/>
      <c r="JGH401" s="114"/>
      <c r="JGM401" s="111"/>
      <c r="JGN401" s="112"/>
      <c r="JGO401" s="113"/>
      <c r="JGQ401" s="114"/>
      <c r="JGR401" s="114"/>
      <c r="JGW401" s="111"/>
      <c r="JGX401" s="112"/>
      <c r="JGY401" s="113"/>
      <c r="JHA401" s="114"/>
      <c r="JHB401" s="114"/>
      <c r="JHG401" s="111"/>
      <c r="JHH401" s="112"/>
      <c r="JHI401" s="113"/>
      <c r="JHK401" s="114"/>
      <c r="JHL401" s="114"/>
      <c r="JHQ401" s="111"/>
      <c r="JHR401" s="112"/>
      <c r="JHS401" s="113"/>
      <c r="JHU401" s="114"/>
      <c r="JHV401" s="114"/>
      <c r="JIA401" s="111"/>
      <c r="JIB401" s="112"/>
      <c r="JIC401" s="113"/>
      <c r="JIE401" s="114"/>
      <c r="JIF401" s="114"/>
      <c r="JIK401" s="111"/>
      <c r="JIL401" s="112"/>
      <c r="JIM401" s="113"/>
      <c r="JIO401" s="114"/>
      <c r="JIP401" s="114"/>
      <c r="JIU401" s="111"/>
      <c r="JIV401" s="112"/>
      <c r="JIW401" s="113"/>
      <c r="JIY401" s="114"/>
      <c r="JIZ401" s="114"/>
      <c r="JJE401" s="111"/>
      <c r="JJF401" s="112"/>
      <c r="JJG401" s="113"/>
      <c r="JJI401" s="114"/>
      <c r="JJJ401" s="114"/>
      <c r="JJO401" s="111"/>
      <c r="JJP401" s="112"/>
      <c r="JJQ401" s="113"/>
      <c r="JJS401" s="114"/>
      <c r="JJT401" s="114"/>
      <c r="JJY401" s="111"/>
      <c r="JJZ401" s="112"/>
      <c r="JKA401" s="113"/>
      <c r="JKC401" s="114"/>
      <c r="JKD401" s="114"/>
      <c r="JKI401" s="111"/>
      <c r="JKJ401" s="112"/>
      <c r="JKK401" s="113"/>
      <c r="JKM401" s="114"/>
      <c r="JKN401" s="114"/>
      <c r="JKS401" s="111"/>
      <c r="JKT401" s="112"/>
      <c r="JKU401" s="113"/>
      <c r="JKW401" s="114"/>
      <c r="JKX401" s="114"/>
      <c r="JLC401" s="111"/>
      <c r="JLD401" s="112"/>
      <c r="JLE401" s="113"/>
      <c r="JLG401" s="114"/>
      <c r="JLH401" s="114"/>
      <c r="JLM401" s="111"/>
      <c r="JLN401" s="112"/>
      <c r="JLO401" s="113"/>
      <c r="JLQ401" s="114"/>
      <c r="JLR401" s="114"/>
      <c r="JLW401" s="111"/>
      <c r="JLX401" s="112"/>
      <c r="JLY401" s="113"/>
      <c r="JMA401" s="114"/>
      <c r="JMB401" s="114"/>
      <c r="JMG401" s="111"/>
      <c r="JMH401" s="112"/>
      <c r="JMI401" s="113"/>
      <c r="JMK401" s="114"/>
      <c r="JML401" s="114"/>
      <c r="JMQ401" s="111"/>
      <c r="JMR401" s="112"/>
      <c r="JMS401" s="113"/>
      <c r="JMU401" s="114"/>
      <c r="JMV401" s="114"/>
      <c r="JNA401" s="111"/>
      <c r="JNB401" s="112"/>
      <c r="JNC401" s="113"/>
      <c r="JNE401" s="114"/>
      <c r="JNF401" s="114"/>
      <c r="JNK401" s="111"/>
      <c r="JNL401" s="112"/>
      <c r="JNM401" s="113"/>
      <c r="JNO401" s="114"/>
      <c r="JNP401" s="114"/>
      <c r="JNU401" s="111"/>
      <c r="JNV401" s="112"/>
      <c r="JNW401" s="113"/>
      <c r="JNY401" s="114"/>
      <c r="JNZ401" s="114"/>
      <c r="JOE401" s="111"/>
      <c r="JOF401" s="112"/>
      <c r="JOG401" s="113"/>
      <c r="JOI401" s="114"/>
      <c r="JOJ401" s="114"/>
      <c r="JOO401" s="111"/>
      <c r="JOP401" s="112"/>
      <c r="JOQ401" s="113"/>
      <c r="JOS401" s="114"/>
      <c r="JOT401" s="114"/>
      <c r="JOY401" s="111"/>
      <c r="JOZ401" s="112"/>
      <c r="JPA401" s="113"/>
      <c r="JPC401" s="114"/>
      <c r="JPD401" s="114"/>
      <c r="JPI401" s="111"/>
      <c r="JPJ401" s="112"/>
      <c r="JPK401" s="113"/>
      <c r="JPM401" s="114"/>
      <c r="JPN401" s="114"/>
      <c r="JPS401" s="111"/>
      <c r="JPT401" s="112"/>
      <c r="JPU401" s="113"/>
      <c r="JPW401" s="114"/>
      <c r="JPX401" s="114"/>
      <c r="JQC401" s="111"/>
      <c r="JQD401" s="112"/>
      <c r="JQE401" s="113"/>
      <c r="JQG401" s="114"/>
      <c r="JQH401" s="114"/>
      <c r="JQM401" s="111"/>
      <c r="JQN401" s="112"/>
      <c r="JQO401" s="113"/>
      <c r="JQQ401" s="114"/>
      <c r="JQR401" s="114"/>
      <c r="JQW401" s="111"/>
      <c r="JQX401" s="112"/>
      <c r="JQY401" s="113"/>
      <c r="JRA401" s="114"/>
      <c r="JRB401" s="114"/>
      <c r="JRG401" s="111"/>
      <c r="JRH401" s="112"/>
      <c r="JRI401" s="113"/>
      <c r="JRK401" s="114"/>
      <c r="JRL401" s="114"/>
      <c r="JRQ401" s="111"/>
      <c r="JRR401" s="112"/>
      <c r="JRS401" s="113"/>
      <c r="JRU401" s="114"/>
      <c r="JRV401" s="114"/>
      <c r="JSA401" s="111"/>
      <c r="JSB401" s="112"/>
      <c r="JSC401" s="113"/>
      <c r="JSE401" s="114"/>
      <c r="JSF401" s="114"/>
      <c r="JSK401" s="111"/>
      <c r="JSL401" s="112"/>
      <c r="JSM401" s="113"/>
      <c r="JSO401" s="114"/>
      <c r="JSP401" s="114"/>
      <c r="JSU401" s="111"/>
      <c r="JSV401" s="112"/>
      <c r="JSW401" s="113"/>
      <c r="JSY401" s="114"/>
      <c r="JSZ401" s="114"/>
      <c r="JTE401" s="111"/>
      <c r="JTF401" s="112"/>
      <c r="JTG401" s="113"/>
      <c r="JTI401" s="114"/>
      <c r="JTJ401" s="114"/>
      <c r="JTO401" s="111"/>
      <c r="JTP401" s="112"/>
      <c r="JTQ401" s="113"/>
      <c r="JTS401" s="114"/>
      <c r="JTT401" s="114"/>
      <c r="JTY401" s="111"/>
      <c r="JTZ401" s="112"/>
      <c r="JUA401" s="113"/>
      <c r="JUC401" s="114"/>
      <c r="JUD401" s="114"/>
      <c r="JUI401" s="111"/>
      <c r="JUJ401" s="112"/>
      <c r="JUK401" s="113"/>
      <c r="JUM401" s="114"/>
      <c r="JUN401" s="114"/>
      <c r="JUS401" s="111"/>
      <c r="JUT401" s="112"/>
      <c r="JUU401" s="113"/>
      <c r="JUW401" s="114"/>
      <c r="JUX401" s="114"/>
      <c r="JVC401" s="111"/>
      <c r="JVD401" s="112"/>
      <c r="JVE401" s="113"/>
      <c r="JVG401" s="114"/>
      <c r="JVH401" s="114"/>
      <c r="JVM401" s="111"/>
      <c r="JVN401" s="112"/>
      <c r="JVO401" s="113"/>
      <c r="JVQ401" s="114"/>
      <c r="JVR401" s="114"/>
      <c r="JVW401" s="111"/>
      <c r="JVX401" s="112"/>
      <c r="JVY401" s="113"/>
      <c r="JWA401" s="114"/>
      <c r="JWB401" s="114"/>
      <c r="JWG401" s="111"/>
      <c r="JWH401" s="112"/>
      <c r="JWI401" s="113"/>
      <c r="JWK401" s="114"/>
      <c r="JWL401" s="114"/>
      <c r="JWQ401" s="111"/>
      <c r="JWR401" s="112"/>
      <c r="JWS401" s="113"/>
      <c r="JWU401" s="114"/>
      <c r="JWV401" s="114"/>
      <c r="JXA401" s="111"/>
      <c r="JXB401" s="112"/>
      <c r="JXC401" s="113"/>
      <c r="JXE401" s="114"/>
      <c r="JXF401" s="114"/>
      <c r="JXK401" s="111"/>
      <c r="JXL401" s="112"/>
      <c r="JXM401" s="113"/>
      <c r="JXO401" s="114"/>
      <c r="JXP401" s="114"/>
      <c r="JXU401" s="111"/>
      <c r="JXV401" s="112"/>
      <c r="JXW401" s="113"/>
      <c r="JXY401" s="114"/>
      <c r="JXZ401" s="114"/>
      <c r="JYE401" s="111"/>
      <c r="JYF401" s="112"/>
      <c r="JYG401" s="113"/>
      <c r="JYI401" s="114"/>
      <c r="JYJ401" s="114"/>
      <c r="JYO401" s="111"/>
      <c r="JYP401" s="112"/>
      <c r="JYQ401" s="113"/>
      <c r="JYS401" s="114"/>
      <c r="JYT401" s="114"/>
      <c r="JYY401" s="111"/>
      <c r="JYZ401" s="112"/>
      <c r="JZA401" s="113"/>
      <c r="JZC401" s="114"/>
      <c r="JZD401" s="114"/>
      <c r="JZI401" s="111"/>
      <c r="JZJ401" s="112"/>
      <c r="JZK401" s="113"/>
      <c r="JZM401" s="114"/>
      <c r="JZN401" s="114"/>
      <c r="JZS401" s="111"/>
      <c r="JZT401" s="112"/>
      <c r="JZU401" s="113"/>
      <c r="JZW401" s="114"/>
      <c r="JZX401" s="114"/>
      <c r="KAC401" s="111"/>
      <c r="KAD401" s="112"/>
      <c r="KAE401" s="113"/>
      <c r="KAG401" s="114"/>
      <c r="KAH401" s="114"/>
      <c r="KAM401" s="111"/>
      <c r="KAN401" s="112"/>
      <c r="KAO401" s="113"/>
      <c r="KAQ401" s="114"/>
      <c r="KAR401" s="114"/>
      <c r="KAW401" s="111"/>
      <c r="KAX401" s="112"/>
      <c r="KAY401" s="113"/>
      <c r="KBA401" s="114"/>
      <c r="KBB401" s="114"/>
      <c r="KBG401" s="111"/>
      <c r="KBH401" s="112"/>
      <c r="KBI401" s="113"/>
      <c r="KBK401" s="114"/>
      <c r="KBL401" s="114"/>
      <c r="KBQ401" s="111"/>
      <c r="KBR401" s="112"/>
      <c r="KBS401" s="113"/>
      <c r="KBU401" s="114"/>
      <c r="KBV401" s="114"/>
      <c r="KCA401" s="111"/>
      <c r="KCB401" s="112"/>
      <c r="KCC401" s="113"/>
      <c r="KCE401" s="114"/>
      <c r="KCF401" s="114"/>
      <c r="KCK401" s="111"/>
      <c r="KCL401" s="112"/>
      <c r="KCM401" s="113"/>
      <c r="KCO401" s="114"/>
      <c r="KCP401" s="114"/>
      <c r="KCU401" s="111"/>
      <c r="KCV401" s="112"/>
      <c r="KCW401" s="113"/>
      <c r="KCY401" s="114"/>
      <c r="KCZ401" s="114"/>
      <c r="KDE401" s="111"/>
      <c r="KDF401" s="112"/>
      <c r="KDG401" s="113"/>
      <c r="KDI401" s="114"/>
      <c r="KDJ401" s="114"/>
      <c r="KDO401" s="111"/>
      <c r="KDP401" s="112"/>
      <c r="KDQ401" s="113"/>
      <c r="KDS401" s="114"/>
      <c r="KDT401" s="114"/>
      <c r="KDY401" s="111"/>
      <c r="KDZ401" s="112"/>
      <c r="KEA401" s="113"/>
      <c r="KEC401" s="114"/>
      <c r="KED401" s="114"/>
      <c r="KEI401" s="111"/>
      <c r="KEJ401" s="112"/>
      <c r="KEK401" s="113"/>
      <c r="KEM401" s="114"/>
      <c r="KEN401" s="114"/>
      <c r="KES401" s="111"/>
      <c r="KET401" s="112"/>
      <c r="KEU401" s="113"/>
      <c r="KEW401" s="114"/>
      <c r="KEX401" s="114"/>
      <c r="KFC401" s="111"/>
      <c r="KFD401" s="112"/>
      <c r="KFE401" s="113"/>
      <c r="KFG401" s="114"/>
      <c r="KFH401" s="114"/>
      <c r="KFM401" s="111"/>
      <c r="KFN401" s="112"/>
      <c r="KFO401" s="113"/>
      <c r="KFQ401" s="114"/>
      <c r="KFR401" s="114"/>
      <c r="KFW401" s="111"/>
      <c r="KFX401" s="112"/>
      <c r="KFY401" s="113"/>
      <c r="KGA401" s="114"/>
      <c r="KGB401" s="114"/>
      <c r="KGG401" s="111"/>
      <c r="KGH401" s="112"/>
      <c r="KGI401" s="113"/>
      <c r="KGK401" s="114"/>
      <c r="KGL401" s="114"/>
      <c r="KGQ401" s="111"/>
      <c r="KGR401" s="112"/>
      <c r="KGS401" s="113"/>
      <c r="KGU401" s="114"/>
      <c r="KGV401" s="114"/>
      <c r="KHA401" s="111"/>
      <c r="KHB401" s="112"/>
      <c r="KHC401" s="113"/>
      <c r="KHE401" s="114"/>
      <c r="KHF401" s="114"/>
      <c r="KHK401" s="111"/>
      <c r="KHL401" s="112"/>
      <c r="KHM401" s="113"/>
      <c r="KHO401" s="114"/>
      <c r="KHP401" s="114"/>
      <c r="KHU401" s="111"/>
      <c r="KHV401" s="112"/>
      <c r="KHW401" s="113"/>
      <c r="KHY401" s="114"/>
      <c r="KHZ401" s="114"/>
      <c r="KIE401" s="111"/>
      <c r="KIF401" s="112"/>
      <c r="KIG401" s="113"/>
      <c r="KII401" s="114"/>
      <c r="KIJ401" s="114"/>
      <c r="KIO401" s="111"/>
      <c r="KIP401" s="112"/>
      <c r="KIQ401" s="113"/>
      <c r="KIS401" s="114"/>
      <c r="KIT401" s="114"/>
      <c r="KIY401" s="111"/>
      <c r="KIZ401" s="112"/>
      <c r="KJA401" s="113"/>
      <c r="KJC401" s="114"/>
      <c r="KJD401" s="114"/>
      <c r="KJI401" s="111"/>
      <c r="KJJ401" s="112"/>
      <c r="KJK401" s="113"/>
      <c r="KJM401" s="114"/>
      <c r="KJN401" s="114"/>
      <c r="KJS401" s="111"/>
      <c r="KJT401" s="112"/>
      <c r="KJU401" s="113"/>
      <c r="KJW401" s="114"/>
      <c r="KJX401" s="114"/>
      <c r="KKC401" s="111"/>
      <c r="KKD401" s="112"/>
      <c r="KKE401" s="113"/>
      <c r="KKG401" s="114"/>
      <c r="KKH401" s="114"/>
      <c r="KKM401" s="111"/>
      <c r="KKN401" s="112"/>
      <c r="KKO401" s="113"/>
      <c r="KKQ401" s="114"/>
      <c r="KKR401" s="114"/>
      <c r="KKW401" s="111"/>
      <c r="KKX401" s="112"/>
      <c r="KKY401" s="113"/>
      <c r="KLA401" s="114"/>
      <c r="KLB401" s="114"/>
      <c r="KLG401" s="111"/>
      <c r="KLH401" s="112"/>
      <c r="KLI401" s="113"/>
      <c r="KLK401" s="114"/>
      <c r="KLL401" s="114"/>
      <c r="KLQ401" s="111"/>
      <c r="KLR401" s="112"/>
      <c r="KLS401" s="113"/>
      <c r="KLU401" s="114"/>
      <c r="KLV401" s="114"/>
      <c r="KMA401" s="111"/>
      <c r="KMB401" s="112"/>
      <c r="KMC401" s="113"/>
      <c r="KME401" s="114"/>
      <c r="KMF401" s="114"/>
      <c r="KMK401" s="111"/>
      <c r="KML401" s="112"/>
      <c r="KMM401" s="113"/>
      <c r="KMO401" s="114"/>
      <c r="KMP401" s="114"/>
      <c r="KMU401" s="111"/>
      <c r="KMV401" s="112"/>
      <c r="KMW401" s="113"/>
      <c r="KMY401" s="114"/>
      <c r="KMZ401" s="114"/>
      <c r="KNE401" s="111"/>
      <c r="KNF401" s="112"/>
      <c r="KNG401" s="113"/>
      <c r="KNI401" s="114"/>
      <c r="KNJ401" s="114"/>
      <c r="KNO401" s="111"/>
      <c r="KNP401" s="112"/>
      <c r="KNQ401" s="113"/>
      <c r="KNS401" s="114"/>
      <c r="KNT401" s="114"/>
      <c r="KNY401" s="111"/>
      <c r="KNZ401" s="112"/>
      <c r="KOA401" s="113"/>
      <c r="KOC401" s="114"/>
      <c r="KOD401" s="114"/>
      <c r="KOI401" s="111"/>
      <c r="KOJ401" s="112"/>
      <c r="KOK401" s="113"/>
      <c r="KOM401" s="114"/>
      <c r="KON401" s="114"/>
      <c r="KOS401" s="111"/>
      <c r="KOT401" s="112"/>
      <c r="KOU401" s="113"/>
      <c r="KOW401" s="114"/>
      <c r="KOX401" s="114"/>
      <c r="KPC401" s="111"/>
      <c r="KPD401" s="112"/>
      <c r="KPE401" s="113"/>
      <c r="KPG401" s="114"/>
      <c r="KPH401" s="114"/>
      <c r="KPM401" s="111"/>
      <c r="KPN401" s="112"/>
      <c r="KPO401" s="113"/>
      <c r="KPQ401" s="114"/>
      <c r="KPR401" s="114"/>
      <c r="KPW401" s="111"/>
      <c r="KPX401" s="112"/>
      <c r="KPY401" s="113"/>
      <c r="KQA401" s="114"/>
      <c r="KQB401" s="114"/>
      <c r="KQG401" s="111"/>
      <c r="KQH401" s="112"/>
      <c r="KQI401" s="113"/>
      <c r="KQK401" s="114"/>
      <c r="KQL401" s="114"/>
      <c r="KQQ401" s="111"/>
      <c r="KQR401" s="112"/>
      <c r="KQS401" s="113"/>
      <c r="KQU401" s="114"/>
      <c r="KQV401" s="114"/>
      <c r="KRA401" s="111"/>
      <c r="KRB401" s="112"/>
      <c r="KRC401" s="113"/>
      <c r="KRE401" s="114"/>
      <c r="KRF401" s="114"/>
      <c r="KRK401" s="111"/>
      <c r="KRL401" s="112"/>
      <c r="KRM401" s="113"/>
      <c r="KRO401" s="114"/>
      <c r="KRP401" s="114"/>
      <c r="KRU401" s="111"/>
      <c r="KRV401" s="112"/>
      <c r="KRW401" s="113"/>
      <c r="KRY401" s="114"/>
      <c r="KRZ401" s="114"/>
      <c r="KSE401" s="111"/>
      <c r="KSF401" s="112"/>
      <c r="KSG401" s="113"/>
      <c r="KSI401" s="114"/>
      <c r="KSJ401" s="114"/>
      <c r="KSO401" s="111"/>
      <c r="KSP401" s="112"/>
      <c r="KSQ401" s="113"/>
      <c r="KSS401" s="114"/>
      <c r="KST401" s="114"/>
      <c r="KSY401" s="111"/>
      <c r="KSZ401" s="112"/>
      <c r="KTA401" s="113"/>
      <c r="KTC401" s="114"/>
      <c r="KTD401" s="114"/>
      <c r="KTI401" s="111"/>
      <c r="KTJ401" s="112"/>
      <c r="KTK401" s="113"/>
      <c r="KTM401" s="114"/>
      <c r="KTN401" s="114"/>
      <c r="KTS401" s="111"/>
      <c r="KTT401" s="112"/>
      <c r="KTU401" s="113"/>
      <c r="KTW401" s="114"/>
      <c r="KTX401" s="114"/>
      <c r="KUC401" s="111"/>
      <c r="KUD401" s="112"/>
      <c r="KUE401" s="113"/>
      <c r="KUG401" s="114"/>
      <c r="KUH401" s="114"/>
      <c r="KUM401" s="111"/>
      <c r="KUN401" s="112"/>
      <c r="KUO401" s="113"/>
      <c r="KUQ401" s="114"/>
      <c r="KUR401" s="114"/>
      <c r="KUW401" s="111"/>
      <c r="KUX401" s="112"/>
      <c r="KUY401" s="113"/>
      <c r="KVA401" s="114"/>
      <c r="KVB401" s="114"/>
      <c r="KVG401" s="111"/>
      <c r="KVH401" s="112"/>
      <c r="KVI401" s="113"/>
      <c r="KVK401" s="114"/>
      <c r="KVL401" s="114"/>
      <c r="KVQ401" s="111"/>
      <c r="KVR401" s="112"/>
      <c r="KVS401" s="113"/>
      <c r="KVU401" s="114"/>
      <c r="KVV401" s="114"/>
      <c r="KWA401" s="111"/>
      <c r="KWB401" s="112"/>
      <c r="KWC401" s="113"/>
      <c r="KWE401" s="114"/>
      <c r="KWF401" s="114"/>
      <c r="KWK401" s="111"/>
      <c r="KWL401" s="112"/>
      <c r="KWM401" s="113"/>
      <c r="KWO401" s="114"/>
      <c r="KWP401" s="114"/>
      <c r="KWU401" s="111"/>
      <c r="KWV401" s="112"/>
      <c r="KWW401" s="113"/>
      <c r="KWY401" s="114"/>
      <c r="KWZ401" s="114"/>
      <c r="KXE401" s="111"/>
      <c r="KXF401" s="112"/>
      <c r="KXG401" s="113"/>
      <c r="KXI401" s="114"/>
      <c r="KXJ401" s="114"/>
      <c r="KXO401" s="111"/>
      <c r="KXP401" s="112"/>
      <c r="KXQ401" s="113"/>
      <c r="KXS401" s="114"/>
      <c r="KXT401" s="114"/>
      <c r="KXY401" s="111"/>
      <c r="KXZ401" s="112"/>
      <c r="KYA401" s="113"/>
      <c r="KYC401" s="114"/>
      <c r="KYD401" s="114"/>
      <c r="KYI401" s="111"/>
      <c r="KYJ401" s="112"/>
      <c r="KYK401" s="113"/>
      <c r="KYM401" s="114"/>
      <c r="KYN401" s="114"/>
      <c r="KYS401" s="111"/>
      <c r="KYT401" s="112"/>
      <c r="KYU401" s="113"/>
      <c r="KYW401" s="114"/>
      <c r="KYX401" s="114"/>
      <c r="KZC401" s="111"/>
      <c r="KZD401" s="112"/>
      <c r="KZE401" s="113"/>
      <c r="KZG401" s="114"/>
      <c r="KZH401" s="114"/>
      <c r="KZM401" s="111"/>
      <c r="KZN401" s="112"/>
      <c r="KZO401" s="113"/>
      <c r="KZQ401" s="114"/>
      <c r="KZR401" s="114"/>
      <c r="KZW401" s="111"/>
      <c r="KZX401" s="112"/>
      <c r="KZY401" s="113"/>
      <c r="LAA401" s="114"/>
      <c r="LAB401" s="114"/>
      <c r="LAG401" s="111"/>
      <c r="LAH401" s="112"/>
      <c r="LAI401" s="113"/>
      <c r="LAK401" s="114"/>
      <c r="LAL401" s="114"/>
      <c r="LAQ401" s="111"/>
      <c r="LAR401" s="112"/>
      <c r="LAS401" s="113"/>
      <c r="LAU401" s="114"/>
      <c r="LAV401" s="114"/>
      <c r="LBA401" s="111"/>
      <c r="LBB401" s="112"/>
      <c r="LBC401" s="113"/>
      <c r="LBE401" s="114"/>
      <c r="LBF401" s="114"/>
      <c r="LBK401" s="111"/>
      <c r="LBL401" s="112"/>
      <c r="LBM401" s="113"/>
      <c r="LBO401" s="114"/>
      <c r="LBP401" s="114"/>
      <c r="LBU401" s="111"/>
      <c r="LBV401" s="112"/>
      <c r="LBW401" s="113"/>
      <c r="LBY401" s="114"/>
      <c r="LBZ401" s="114"/>
      <c r="LCE401" s="111"/>
      <c r="LCF401" s="112"/>
      <c r="LCG401" s="113"/>
      <c r="LCI401" s="114"/>
      <c r="LCJ401" s="114"/>
      <c r="LCO401" s="111"/>
      <c r="LCP401" s="112"/>
      <c r="LCQ401" s="113"/>
      <c r="LCS401" s="114"/>
      <c r="LCT401" s="114"/>
      <c r="LCY401" s="111"/>
      <c r="LCZ401" s="112"/>
      <c r="LDA401" s="113"/>
      <c r="LDC401" s="114"/>
      <c r="LDD401" s="114"/>
      <c r="LDI401" s="111"/>
      <c r="LDJ401" s="112"/>
      <c r="LDK401" s="113"/>
      <c r="LDM401" s="114"/>
      <c r="LDN401" s="114"/>
      <c r="LDS401" s="111"/>
      <c r="LDT401" s="112"/>
      <c r="LDU401" s="113"/>
      <c r="LDW401" s="114"/>
      <c r="LDX401" s="114"/>
      <c r="LEC401" s="111"/>
      <c r="LED401" s="112"/>
      <c r="LEE401" s="113"/>
      <c r="LEG401" s="114"/>
      <c r="LEH401" s="114"/>
      <c r="LEM401" s="111"/>
      <c r="LEN401" s="112"/>
      <c r="LEO401" s="113"/>
      <c r="LEQ401" s="114"/>
      <c r="LER401" s="114"/>
      <c r="LEW401" s="111"/>
      <c r="LEX401" s="112"/>
      <c r="LEY401" s="113"/>
      <c r="LFA401" s="114"/>
      <c r="LFB401" s="114"/>
      <c r="LFG401" s="111"/>
      <c r="LFH401" s="112"/>
      <c r="LFI401" s="113"/>
      <c r="LFK401" s="114"/>
      <c r="LFL401" s="114"/>
      <c r="LFQ401" s="111"/>
      <c r="LFR401" s="112"/>
      <c r="LFS401" s="113"/>
      <c r="LFU401" s="114"/>
      <c r="LFV401" s="114"/>
      <c r="LGA401" s="111"/>
      <c r="LGB401" s="112"/>
      <c r="LGC401" s="113"/>
      <c r="LGE401" s="114"/>
      <c r="LGF401" s="114"/>
      <c r="LGK401" s="111"/>
      <c r="LGL401" s="112"/>
      <c r="LGM401" s="113"/>
      <c r="LGO401" s="114"/>
      <c r="LGP401" s="114"/>
      <c r="LGU401" s="111"/>
      <c r="LGV401" s="112"/>
      <c r="LGW401" s="113"/>
      <c r="LGY401" s="114"/>
      <c r="LGZ401" s="114"/>
      <c r="LHE401" s="111"/>
      <c r="LHF401" s="112"/>
      <c r="LHG401" s="113"/>
      <c r="LHI401" s="114"/>
      <c r="LHJ401" s="114"/>
      <c r="LHO401" s="111"/>
      <c r="LHP401" s="112"/>
      <c r="LHQ401" s="113"/>
      <c r="LHS401" s="114"/>
      <c r="LHT401" s="114"/>
      <c r="LHY401" s="111"/>
      <c r="LHZ401" s="112"/>
      <c r="LIA401" s="113"/>
      <c r="LIC401" s="114"/>
      <c r="LID401" s="114"/>
      <c r="LII401" s="111"/>
      <c r="LIJ401" s="112"/>
      <c r="LIK401" s="113"/>
      <c r="LIM401" s="114"/>
      <c r="LIN401" s="114"/>
      <c r="LIS401" s="111"/>
      <c r="LIT401" s="112"/>
      <c r="LIU401" s="113"/>
      <c r="LIW401" s="114"/>
      <c r="LIX401" s="114"/>
      <c r="LJC401" s="111"/>
      <c r="LJD401" s="112"/>
      <c r="LJE401" s="113"/>
      <c r="LJG401" s="114"/>
      <c r="LJH401" s="114"/>
      <c r="LJM401" s="111"/>
      <c r="LJN401" s="112"/>
      <c r="LJO401" s="113"/>
      <c r="LJQ401" s="114"/>
      <c r="LJR401" s="114"/>
      <c r="LJW401" s="111"/>
      <c r="LJX401" s="112"/>
      <c r="LJY401" s="113"/>
      <c r="LKA401" s="114"/>
      <c r="LKB401" s="114"/>
      <c r="LKG401" s="111"/>
      <c r="LKH401" s="112"/>
      <c r="LKI401" s="113"/>
      <c r="LKK401" s="114"/>
      <c r="LKL401" s="114"/>
      <c r="LKQ401" s="111"/>
      <c r="LKR401" s="112"/>
      <c r="LKS401" s="113"/>
      <c r="LKU401" s="114"/>
      <c r="LKV401" s="114"/>
      <c r="LLA401" s="111"/>
      <c r="LLB401" s="112"/>
      <c r="LLC401" s="113"/>
      <c r="LLE401" s="114"/>
      <c r="LLF401" s="114"/>
      <c r="LLK401" s="111"/>
      <c r="LLL401" s="112"/>
      <c r="LLM401" s="113"/>
      <c r="LLO401" s="114"/>
      <c r="LLP401" s="114"/>
      <c r="LLU401" s="111"/>
      <c r="LLV401" s="112"/>
      <c r="LLW401" s="113"/>
      <c r="LLY401" s="114"/>
      <c r="LLZ401" s="114"/>
      <c r="LME401" s="111"/>
      <c r="LMF401" s="112"/>
      <c r="LMG401" s="113"/>
      <c r="LMI401" s="114"/>
      <c r="LMJ401" s="114"/>
      <c r="LMO401" s="111"/>
      <c r="LMP401" s="112"/>
      <c r="LMQ401" s="113"/>
      <c r="LMS401" s="114"/>
      <c r="LMT401" s="114"/>
      <c r="LMY401" s="111"/>
      <c r="LMZ401" s="112"/>
      <c r="LNA401" s="113"/>
      <c r="LNC401" s="114"/>
      <c r="LND401" s="114"/>
      <c r="LNI401" s="111"/>
      <c r="LNJ401" s="112"/>
      <c r="LNK401" s="113"/>
      <c r="LNM401" s="114"/>
      <c r="LNN401" s="114"/>
      <c r="LNS401" s="111"/>
      <c r="LNT401" s="112"/>
      <c r="LNU401" s="113"/>
      <c r="LNW401" s="114"/>
      <c r="LNX401" s="114"/>
      <c r="LOC401" s="111"/>
      <c r="LOD401" s="112"/>
      <c r="LOE401" s="113"/>
      <c r="LOG401" s="114"/>
      <c r="LOH401" s="114"/>
      <c r="LOM401" s="111"/>
      <c r="LON401" s="112"/>
      <c r="LOO401" s="113"/>
      <c r="LOQ401" s="114"/>
      <c r="LOR401" s="114"/>
      <c r="LOW401" s="111"/>
      <c r="LOX401" s="112"/>
      <c r="LOY401" s="113"/>
      <c r="LPA401" s="114"/>
      <c r="LPB401" s="114"/>
      <c r="LPG401" s="111"/>
      <c r="LPH401" s="112"/>
      <c r="LPI401" s="113"/>
      <c r="LPK401" s="114"/>
      <c r="LPL401" s="114"/>
      <c r="LPQ401" s="111"/>
      <c r="LPR401" s="112"/>
      <c r="LPS401" s="113"/>
      <c r="LPU401" s="114"/>
      <c r="LPV401" s="114"/>
      <c r="LQA401" s="111"/>
      <c r="LQB401" s="112"/>
      <c r="LQC401" s="113"/>
      <c r="LQE401" s="114"/>
      <c r="LQF401" s="114"/>
      <c r="LQK401" s="111"/>
      <c r="LQL401" s="112"/>
      <c r="LQM401" s="113"/>
      <c r="LQO401" s="114"/>
      <c r="LQP401" s="114"/>
      <c r="LQU401" s="111"/>
      <c r="LQV401" s="112"/>
      <c r="LQW401" s="113"/>
      <c r="LQY401" s="114"/>
      <c r="LQZ401" s="114"/>
      <c r="LRE401" s="111"/>
      <c r="LRF401" s="112"/>
      <c r="LRG401" s="113"/>
      <c r="LRI401" s="114"/>
      <c r="LRJ401" s="114"/>
      <c r="LRO401" s="111"/>
      <c r="LRP401" s="112"/>
      <c r="LRQ401" s="113"/>
      <c r="LRS401" s="114"/>
      <c r="LRT401" s="114"/>
      <c r="LRY401" s="111"/>
      <c r="LRZ401" s="112"/>
      <c r="LSA401" s="113"/>
      <c r="LSC401" s="114"/>
      <c r="LSD401" s="114"/>
      <c r="LSI401" s="111"/>
      <c r="LSJ401" s="112"/>
      <c r="LSK401" s="113"/>
      <c r="LSM401" s="114"/>
      <c r="LSN401" s="114"/>
      <c r="LSS401" s="111"/>
      <c r="LST401" s="112"/>
      <c r="LSU401" s="113"/>
      <c r="LSW401" s="114"/>
      <c r="LSX401" s="114"/>
      <c r="LTC401" s="111"/>
      <c r="LTD401" s="112"/>
      <c r="LTE401" s="113"/>
      <c r="LTG401" s="114"/>
      <c r="LTH401" s="114"/>
      <c r="LTM401" s="111"/>
      <c r="LTN401" s="112"/>
      <c r="LTO401" s="113"/>
      <c r="LTQ401" s="114"/>
      <c r="LTR401" s="114"/>
      <c r="LTW401" s="111"/>
      <c r="LTX401" s="112"/>
      <c r="LTY401" s="113"/>
      <c r="LUA401" s="114"/>
      <c r="LUB401" s="114"/>
      <c r="LUG401" s="111"/>
      <c r="LUH401" s="112"/>
      <c r="LUI401" s="113"/>
      <c r="LUK401" s="114"/>
      <c r="LUL401" s="114"/>
      <c r="LUQ401" s="111"/>
      <c r="LUR401" s="112"/>
      <c r="LUS401" s="113"/>
      <c r="LUU401" s="114"/>
      <c r="LUV401" s="114"/>
      <c r="LVA401" s="111"/>
      <c r="LVB401" s="112"/>
      <c r="LVC401" s="113"/>
      <c r="LVE401" s="114"/>
      <c r="LVF401" s="114"/>
      <c r="LVK401" s="111"/>
      <c r="LVL401" s="112"/>
      <c r="LVM401" s="113"/>
      <c r="LVO401" s="114"/>
      <c r="LVP401" s="114"/>
      <c r="LVU401" s="111"/>
      <c r="LVV401" s="112"/>
      <c r="LVW401" s="113"/>
      <c r="LVY401" s="114"/>
      <c r="LVZ401" s="114"/>
      <c r="LWE401" s="111"/>
      <c r="LWF401" s="112"/>
      <c r="LWG401" s="113"/>
      <c r="LWI401" s="114"/>
      <c r="LWJ401" s="114"/>
      <c r="LWO401" s="111"/>
      <c r="LWP401" s="112"/>
      <c r="LWQ401" s="113"/>
      <c r="LWS401" s="114"/>
      <c r="LWT401" s="114"/>
      <c r="LWY401" s="111"/>
      <c r="LWZ401" s="112"/>
      <c r="LXA401" s="113"/>
      <c r="LXC401" s="114"/>
      <c r="LXD401" s="114"/>
      <c r="LXI401" s="111"/>
      <c r="LXJ401" s="112"/>
      <c r="LXK401" s="113"/>
      <c r="LXM401" s="114"/>
      <c r="LXN401" s="114"/>
      <c r="LXS401" s="111"/>
      <c r="LXT401" s="112"/>
      <c r="LXU401" s="113"/>
      <c r="LXW401" s="114"/>
      <c r="LXX401" s="114"/>
      <c r="LYC401" s="111"/>
      <c r="LYD401" s="112"/>
      <c r="LYE401" s="113"/>
      <c r="LYG401" s="114"/>
      <c r="LYH401" s="114"/>
      <c r="LYM401" s="111"/>
      <c r="LYN401" s="112"/>
      <c r="LYO401" s="113"/>
      <c r="LYQ401" s="114"/>
      <c r="LYR401" s="114"/>
      <c r="LYW401" s="111"/>
      <c r="LYX401" s="112"/>
      <c r="LYY401" s="113"/>
      <c r="LZA401" s="114"/>
      <c r="LZB401" s="114"/>
      <c r="LZG401" s="111"/>
      <c r="LZH401" s="112"/>
      <c r="LZI401" s="113"/>
      <c r="LZK401" s="114"/>
      <c r="LZL401" s="114"/>
      <c r="LZQ401" s="111"/>
      <c r="LZR401" s="112"/>
      <c r="LZS401" s="113"/>
      <c r="LZU401" s="114"/>
      <c r="LZV401" s="114"/>
      <c r="MAA401" s="111"/>
      <c r="MAB401" s="112"/>
      <c r="MAC401" s="113"/>
      <c r="MAE401" s="114"/>
      <c r="MAF401" s="114"/>
      <c r="MAK401" s="111"/>
      <c r="MAL401" s="112"/>
      <c r="MAM401" s="113"/>
      <c r="MAO401" s="114"/>
      <c r="MAP401" s="114"/>
      <c r="MAU401" s="111"/>
      <c r="MAV401" s="112"/>
      <c r="MAW401" s="113"/>
      <c r="MAY401" s="114"/>
      <c r="MAZ401" s="114"/>
      <c r="MBE401" s="111"/>
      <c r="MBF401" s="112"/>
      <c r="MBG401" s="113"/>
      <c r="MBI401" s="114"/>
      <c r="MBJ401" s="114"/>
      <c r="MBO401" s="111"/>
      <c r="MBP401" s="112"/>
      <c r="MBQ401" s="113"/>
      <c r="MBS401" s="114"/>
      <c r="MBT401" s="114"/>
      <c r="MBY401" s="111"/>
      <c r="MBZ401" s="112"/>
      <c r="MCA401" s="113"/>
      <c r="MCC401" s="114"/>
      <c r="MCD401" s="114"/>
      <c r="MCI401" s="111"/>
      <c r="MCJ401" s="112"/>
      <c r="MCK401" s="113"/>
      <c r="MCM401" s="114"/>
      <c r="MCN401" s="114"/>
      <c r="MCS401" s="111"/>
      <c r="MCT401" s="112"/>
      <c r="MCU401" s="113"/>
      <c r="MCW401" s="114"/>
      <c r="MCX401" s="114"/>
      <c r="MDC401" s="111"/>
      <c r="MDD401" s="112"/>
      <c r="MDE401" s="113"/>
      <c r="MDG401" s="114"/>
      <c r="MDH401" s="114"/>
      <c r="MDM401" s="111"/>
      <c r="MDN401" s="112"/>
      <c r="MDO401" s="113"/>
      <c r="MDQ401" s="114"/>
      <c r="MDR401" s="114"/>
      <c r="MDW401" s="111"/>
      <c r="MDX401" s="112"/>
      <c r="MDY401" s="113"/>
      <c r="MEA401" s="114"/>
      <c r="MEB401" s="114"/>
      <c r="MEG401" s="111"/>
      <c r="MEH401" s="112"/>
      <c r="MEI401" s="113"/>
      <c r="MEK401" s="114"/>
      <c r="MEL401" s="114"/>
      <c r="MEQ401" s="111"/>
      <c r="MER401" s="112"/>
      <c r="MES401" s="113"/>
      <c r="MEU401" s="114"/>
      <c r="MEV401" s="114"/>
      <c r="MFA401" s="111"/>
      <c r="MFB401" s="112"/>
      <c r="MFC401" s="113"/>
      <c r="MFE401" s="114"/>
      <c r="MFF401" s="114"/>
      <c r="MFK401" s="111"/>
      <c r="MFL401" s="112"/>
      <c r="MFM401" s="113"/>
      <c r="MFO401" s="114"/>
      <c r="MFP401" s="114"/>
      <c r="MFU401" s="111"/>
      <c r="MFV401" s="112"/>
      <c r="MFW401" s="113"/>
      <c r="MFY401" s="114"/>
      <c r="MFZ401" s="114"/>
      <c r="MGE401" s="111"/>
      <c r="MGF401" s="112"/>
      <c r="MGG401" s="113"/>
      <c r="MGI401" s="114"/>
      <c r="MGJ401" s="114"/>
      <c r="MGO401" s="111"/>
      <c r="MGP401" s="112"/>
      <c r="MGQ401" s="113"/>
      <c r="MGS401" s="114"/>
      <c r="MGT401" s="114"/>
      <c r="MGY401" s="111"/>
      <c r="MGZ401" s="112"/>
      <c r="MHA401" s="113"/>
      <c r="MHC401" s="114"/>
      <c r="MHD401" s="114"/>
      <c r="MHI401" s="111"/>
      <c r="MHJ401" s="112"/>
      <c r="MHK401" s="113"/>
      <c r="MHM401" s="114"/>
      <c r="MHN401" s="114"/>
      <c r="MHS401" s="111"/>
      <c r="MHT401" s="112"/>
      <c r="MHU401" s="113"/>
      <c r="MHW401" s="114"/>
      <c r="MHX401" s="114"/>
      <c r="MIC401" s="111"/>
      <c r="MID401" s="112"/>
      <c r="MIE401" s="113"/>
      <c r="MIG401" s="114"/>
      <c r="MIH401" s="114"/>
      <c r="MIM401" s="111"/>
      <c r="MIN401" s="112"/>
      <c r="MIO401" s="113"/>
      <c r="MIQ401" s="114"/>
      <c r="MIR401" s="114"/>
      <c r="MIW401" s="111"/>
      <c r="MIX401" s="112"/>
      <c r="MIY401" s="113"/>
      <c r="MJA401" s="114"/>
      <c r="MJB401" s="114"/>
      <c r="MJG401" s="111"/>
      <c r="MJH401" s="112"/>
      <c r="MJI401" s="113"/>
      <c r="MJK401" s="114"/>
      <c r="MJL401" s="114"/>
      <c r="MJQ401" s="111"/>
      <c r="MJR401" s="112"/>
      <c r="MJS401" s="113"/>
      <c r="MJU401" s="114"/>
      <c r="MJV401" s="114"/>
      <c r="MKA401" s="111"/>
      <c r="MKB401" s="112"/>
      <c r="MKC401" s="113"/>
      <c r="MKE401" s="114"/>
      <c r="MKF401" s="114"/>
      <c r="MKK401" s="111"/>
      <c r="MKL401" s="112"/>
      <c r="MKM401" s="113"/>
      <c r="MKO401" s="114"/>
      <c r="MKP401" s="114"/>
      <c r="MKU401" s="111"/>
      <c r="MKV401" s="112"/>
      <c r="MKW401" s="113"/>
      <c r="MKY401" s="114"/>
      <c r="MKZ401" s="114"/>
      <c r="MLE401" s="111"/>
      <c r="MLF401" s="112"/>
      <c r="MLG401" s="113"/>
      <c r="MLI401" s="114"/>
      <c r="MLJ401" s="114"/>
      <c r="MLO401" s="111"/>
      <c r="MLP401" s="112"/>
      <c r="MLQ401" s="113"/>
      <c r="MLS401" s="114"/>
      <c r="MLT401" s="114"/>
      <c r="MLY401" s="111"/>
      <c r="MLZ401" s="112"/>
      <c r="MMA401" s="113"/>
      <c r="MMC401" s="114"/>
      <c r="MMD401" s="114"/>
      <c r="MMI401" s="111"/>
      <c r="MMJ401" s="112"/>
      <c r="MMK401" s="113"/>
      <c r="MMM401" s="114"/>
      <c r="MMN401" s="114"/>
      <c r="MMS401" s="111"/>
      <c r="MMT401" s="112"/>
      <c r="MMU401" s="113"/>
      <c r="MMW401" s="114"/>
      <c r="MMX401" s="114"/>
      <c r="MNC401" s="111"/>
      <c r="MND401" s="112"/>
      <c r="MNE401" s="113"/>
      <c r="MNG401" s="114"/>
      <c r="MNH401" s="114"/>
      <c r="MNM401" s="111"/>
      <c r="MNN401" s="112"/>
      <c r="MNO401" s="113"/>
      <c r="MNQ401" s="114"/>
      <c r="MNR401" s="114"/>
      <c r="MNW401" s="111"/>
      <c r="MNX401" s="112"/>
      <c r="MNY401" s="113"/>
      <c r="MOA401" s="114"/>
      <c r="MOB401" s="114"/>
      <c r="MOG401" s="111"/>
      <c r="MOH401" s="112"/>
      <c r="MOI401" s="113"/>
      <c r="MOK401" s="114"/>
      <c r="MOL401" s="114"/>
      <c r="MOQ401" s="111"/>
      <c r="MOR401" s="112"/>
      <c r="MOS401" s="113"/>
      <c r="MOU401" s="114"/>
      <c r="MOV401" s="114"/>
      <c r="MPA401" s="111"/>
      <c r="MPB401" s="112"/>
      <c r="MPC401" s="113"/>
      <c r="MPE401" s="114"/>
      <c r="MPF401" s="114"/>
      <c r="MPK401" s="111"/>
      <c r="MPL401" s="112"/>
      <c r="MPM401" s="113"/>
      <c r="MPO401" s="114"/>
      <c r="MPP401" s="114"/>
      <c r="MPU401" s="111"/>
      <c r="MPV401" s="112"/>
      <c r="MPW401" s="113"/>
      <c r="MPY401" s="114"/>
      <c r="MPZ401" s="114"/>
      <c r="MQE401" s="111"/>
      <c r="MQF401" s="112"/>
      <c r="MQG401" s="113"/>
      <c r="MQI401" s="114"/>
      <c r="MQJ401" s="114"/>
      <c r="MQO401" s="111"/>
      <c r="MQP401" s="112"/>
      <c r="MQQ401" s="113"/>
      <c r="MQS401" s="114"/>
      <c r="MQT401" s="114"/>
      <c r="MQY401" s="111"/>
      <c r="MQZ401" s="112"/>
      <c r="MRA401" s="113"/>
      <c r="MRC401" s="114"/>
      <c r="MRD401" s="114"/>
      <c r="MRI401" s="111"/>
      <c r="MRJ401" s="112"/>
      <c r="MRK401" s="113"/>
      <c r="MRM401" s="114"/>
      <c r="MRN401" s="114"/>
      <c r="MRS401" s="111"/>
      <c r="MRT401" s="112"/>
      <c r="MRU401" s="113"/>
      <c r="MRW401" s="114"/>
      <c r="MRX401" s="114"/>
      <c r="MSC401" s="111"/>
      <c r="MSD401" s="112"/>
      <c r="MSE401" s="113"/>
      <c r="MSG401" s="114"/>
      <c r="MSH401" s="114"/>
      <c r="MSM401" s="111"/>
      <c r="MSN401" s="112"/>
      <c r="MSO401" s="113"/>
      <c r="MSQ401" s="114"/>
      <c r="MSR401" s="114"/>
      <c r="MSW401" s="111"/>
      <c r="MSX401" s="112"/>
      <c r="MSY401" s="113"/>
      <c r="MTA401" s="114"/>
      <c r="MTB401" s="114"/>
      <c r="MTG401" s="111"/>
      <c r="MTH401" s="112"/>
      <c r="MTI401" s="113"/>
      <c r="MTK401" s="114"/>
      <c r="MTL401" s="114"/>
      <c r="MTQ401" s="111"/>
      <c r="MTR401" s="112"/>
      <c r="MTS401" s="113"/>
      <c r="MTU401" s="114"/>
      <c r="MTV401" s="114"/>
      <c r="MUA401" s="111"/>
      <c r="MUB401" s="112"/>
      <c r="MUC401" s="113"/>
      <c r="MUE401" s="114"/>
      <c r="MUF401" s="114"/>
      <c r="MUK401" s="111"/>
      <c r="MUL401" s="112"/>
      <c r="MUM401" s="113"/>
      <c r="MUO401" s="114"/>
      <c r="MUP401" s="114"/>
      <c r="MUU401" s="111"/>
      <c r="MUV401" s="112"/>
      <c r="MUW401" s="113"/>
      <c r="MUY401" s="114"/>
      <c r="MUZ401" s="114"/>
      <c r="MVE401" s="111"/>
      <c r="MVF401" s="112"/>
      <c r="MVG401" s="113"/>
      <c r="MVI401" s="114"/>
      <c r="MVJ401" s="114"/>
      <c r="MVO401" s="111"/>
      <c r="MVP401" s="112"/>
      <c r="MVQ401" s="113"/>
      <c r="MVS401" s="114"/>
      <c r="MVT401" s="114"/>
      <c r="MVY401" s="111"/>
      <c r="MVZ401" s="112"/>
      <c r="MWA401" s="113"/>
      <c r="MWC401" s="114"/>
      <c r="MWD401" s="114"/>
      <c r="MWI401" s="111"/>
      <c r="MWJ401" s="112"/>
      <c r="MWK401" s="113"/>
      <c r="MWM401" s="114"/>
      <c r="MWN401" s="114"/>
      <c r="MWS401" s="111"/>
      <c r="MWT401" s="112"/>
      <c r="MWU401" s="113"/>
      <c r="MWW401" s="114"/>
      <c r="MWX401" s="114"/>
      <c r="MXC401" s="111"/>
      <c r="MXD401" s="112"/>
      <c r="MXE401" s="113"/>
      <c r="MXG401" s="114"/>
      <c r="MXH401" s="114"/>
      <c r="MXM401" s="111"/>
      <c r="MXN401" s="112"/>
      <c r="MXO401" s="113"/>
      <c r="MXQ401" s="114"/>
      <c r="MXR401" s="114"/>
      <c r="MXW401" s="111"/>
      <c r="MXX401" s="112"/>
      <c r="MXY401" s="113"/>
      <c r="MYA401" s="114"/>
      <c r="MYB401" s="114"/>
      <c r="MYG401" s="111"/>
      <c r="MYH401" s="112"/>
      <c r="MYI401" s="113"/>
      <c r="MYK401" s="114"/>
      <c r="MYL401" s="114"/>
      <c r="MYQ401" s="111"/>
      <c r="MYR401" s="112"/>
      <c r="MYS401" s="113"/>
      <c r="MYU401" s="114"/>
      <c r="MYV401" s="114"/>
      <c r="MZA401" s="111"/>
      <c r="MZB401" s="112"/>
      <c r="MZC401" s="113"/>
      <c r="MZE401" s="114"/>
      <c r="MZF401" s="114"/>
      <c r="MZK401" s="111"/>
      <c r="MZL401" s="112"/>
      <c r="MZM401" s="113"/>
      <c r="MZO401" s="114"/>
      <c r="MZP401" s="114"/>
      <c r="MZU401" s="111"/>
      <c r="MZV401" s="112"/>
      <c r="MZW401" s="113"/>
      <c r="MZY401" s="114"/>
      <c r="MZZ401" s="114"/>
      <c r="NAE401" s="111"/>
      <c r="NAF401" s="112"/>
      <c r="NAG401" s="113"/>
      <c r="NAI401" s="114"/>
      <c r="NAJ401" s="114"/>
      <c r="NAO401" s="111"/>
      <c r="NAP401" s="112"/>
      <c r="NAQ401" s="113"/>
      <c r="NAS401" s="114"/>
      <c r="NAT401" s="114"/>
      <c r="NAY401" s="111"/>
      <c r="NAZ401" s="112"/>
      <c r="NBA401" s="113"/>
      <c r="NBC401" s="114"/>
      <c r="NBD401" s="114"/>
      <c r="NBI401" s="111"/>
      <c r="NBJ401" s="112"/>
      <c r="NBK401" s="113"/>
      <c r="NBM401" s="114"/>
      <c r="NBN401" s="114"/>
      <c r="NBS401" s="111"/>
      <c r="NBT401" s="112"/>
      <c r="NBU401" s="113"/>
      <c r="NBW401" s="114"/>
      <c r="NBX401" s="114"/>
      <c r="NCC401" s="111"/>
      <c r="NCD401" s="112"/>
      <c r="NCE401" s="113"/>
      <c r="NCG401" s="114"/>
      <c r="NCH401" s="114"/>
      <c r="NCM401" s="111"/>
      <c r="NCN401" s="112"/>
      <c r="NCO401" s="113"/>
      <c r="NCQ401" s="114"/>
      <c r="NCR401" s="114"/>
      <c r="NCW401" s="111"/>
      <c r="NCX401" s="112"/>
      <c r="NCY401" s="113"/>
      <c r="NDA401" s="114"/>
      <c r="NDB401" s="114"/>
      <c r="NDG401" s="111"/>
      <c r="NDH401" s="112"/>
      <c r="NDI401" s="113"/>
      <c r="NDK401" s="114"/>
      <c r="NDL401" s="114"/>
      <c r="NDQ401" s="111"/>
      <c r="NDR401" s="112"/>
      <c r="NDS401" s="113"/>
      <c r="NDU401" s="114"/>
      <c r="NDV401" s="114"/>
      <c r="NEA401" s="111"/>
      <c r="NEB401" s="112"/>
      <c r="NEC401" s="113"/>
      <c r="NEE401" s="114"/>
      <c r="NEF401" s="114"/>
      <c r="NEK401" s="111"/>
      <c r="NEL401" s="112"/>
      <c r="NEM401" s="113"/>
      <c r="NEO401" s="114"/>
      <c r="NEP401" s="114"/>
      <c r="NEU401" s="111"/>
      <c r="NEV401" s="112"/>
      <c r="NEW401" s="113"/>
      <c r="NEY401" s="114"/>
      <c r="NEZ401" s="114"/>
      <c r="NFE401" s="111"/>
      <c r="NFF401" s="112"/>
      <c r="NFG401" s="113"/>
      <c r="NFI401" s="114"/>
      <c r="NFJ401" s="114"/>
      <c r="NFO401" s="111"/>
      <c r="NFP401" s="112"/>
      <c r="NFQ401" s="113"/>
      <c r="NFS401" s="114"/>
      <c r="NFT401" s="114"/>
      <c r="NFY401" s="111"/>
      <c r="NFZ401" s="112"/>
      <c r="NGA401" s="113"/>
      <c r="NGC401" s="114"/>
      <c r="NGD401" s="114"/>
      <c r="NGI401" s="111"/>
      <c r="NGJ401" s="112"/>
      <c r="NGK401" s="113"/>
      <c r="NGM401" s="114"/>
      <c r="NGN401" s="114"/>
      <c r="NGS401" s="111"/>
      <c r="NGT401" s="112"/>
      <c r="NGU401" s="113"/>
      <c r="NGW401" s="114"/>
      <c r="NGX401" s="114"/>
      <c r="NHC401" s="111"/>
      <c r="NHD401" s="112"/>
      <c r="NHE401" s="113"/>
      <c r="NHG401" s="114"/>
      <c r="NHH401" s="114"/>
      <c r="NHM401" s="111"/>
      <c r="NHN401" s="112"/>
      <c r="NHO401" s="113"/>
      <c r="NHQ401" s="114"/>
      <c r="NHR401" s="114"/>
      <c r="NHW401" s="111"/>
      <c r="NHX401" s="112"/>
      <c r="NHY401" s="113"/>
      <c r="NIA401" s="114"/>
      <c r="NIB401" s="114"/>
      <c r="NIG401" s="111"/>
      <c r="NIH401" s="112"/>
      <c r="NII401" s="113"/>
      <c r="NIK401" s="114"/>
      <c r="NIL401" s="114"/>
      <c r="NIQ401" s="111"/>
      <c r="NIR401" s="112"/>
      <c r="NIS401" s="113"/>
      <c r="NIU401" s="114"/>
      <c r="NIV401" s="114"/>
      <c r="NJA401" s="111"/>
      <c r="NJB401" s="112"/>
      <c r="NJC401" s="113"/>
      <c r="NJE401" s="114"/>
      <c r="NJF401" s="114"/>
      <c r="NJK401" s="111"/>
      <c r="NJL401" s="112"/>
      <c r="NJM401" s="113"/>
      <c r="NJO401" s="114"/>
      <c r="NJP401" s="114"/>
      <c r="NJU401" s="111"/>
      <c r="NJV401" s="112"/>
      <c r="NJW401" s="113"/>
      <c r="NJY401" s="114"/>
      <c r="NJZ401" s="114"/>
      <c r="NKE401" s="111"/>
      <c r="NKF401" s="112"/>
      <c r="NKG401" s="113"/>
      <c r="NKI401" s="114"/>
      <c r="NKJ401" s="114"/>
      <c r="NKO401" s="111"/>
      <c r="NKP401" s="112"/>
      <c r="NKQ401" s="113"/>
      <c r="NKS401" s="114"/>
      <c r="NKT401" s="114"/>
      <c r="NKY401" s="111"/>
      <c r="NKZ401" s="112"/>
      <c r="NLA401" s="113"/>
      <c r="NLC401" s="114"/>
      <c r="NLD401" s="114"/>
      <c r="NLI401" s="111"/>
      <c r="NLJ401" s="112"/>
      <c r="NLK401" s="113"/>
      <c r="NLM401" s="114"/>
      <c r="NLN401" s="114"/>
      <c r="NLS401" s="111"/>
      <c r="NLT401" s="112"/>
      <c r="NLU401" s="113"/>
      <c r="NLW401" s="114"/>
      <c r="NLX401" s="114"/>
      <c r="NMC401" s="111"/>
      <c r="NMD401" s="112"/>
      <c r="NME401" s="113"/>
      <c r="NMG401" s="114"/>
      <c r="NMH401" s="114"/>
      <c r="NMM401" s="111"/>
      <c r="NMN401" s="112"/>
      <c r="NMO401" s="113"/>
      <c r="NMQ401" s="114"/>
      <c r="NMR401" s="114"/>
      <c r="NMW401" s="111"/>
      <c r="NMX401" s="112"/>
      <c r="NMY401" s="113"/>
      <c r="NNA401" s="114"/>
      <c r="NNB401" s="114"/>
      <c r="NNG401" s="111"/>
      <c r="NNH401" s="112"/>
      <c r="NNI401" s="113"/>
      <c r="NNK401" s="114"/>
      <c r="NNL401" s="114"/>
      <c r="NNQ401" s="111"/>
      <c r="NNR401" s="112"/>
      <c r="NNS401" s="113"/>
      <c r="NNU401" s="114"/>
      <c r="NNV401" s="114"/>
      <c r="NOA401" s="111"/>
      <c r="NOB401" s="112"/>
      <c r="NOC401" s="113"/>
      <c r="NOE401" s="114"/>
      <c r="NOF401" s="114"/>
      <c r="NOK401" s="111"/>
      <c r="NOL401" s="112"/>
      <c r="NOM401" s="113"/>
      <c r="NOO401" s="114"/>
      <c r="NOP401" s="114"/>
      <c r="NOU401" s="111"/>
      <c r="NOV401" s="112"/>
      <c r="NOW401" s="113"/>
      <c r="NOY401" s="114"/>
      <c r="NOZ401" s="114"/>
      <c r="NPE401" s="111"/>
      <c r="NPF401" s="112"/>
      <c r="NPG401" s="113"/>
      <c r="NPI401" s="114"/>
      <c r="NPJ401" s="114"/>
      <c r="NPO401" s="111"/>
      <c r="NPP401" s="112"/>
      <c r="NPQ401" s="113"/>
      <c r="NPS401" s="114"/>
      <c r="NPT401" s="114"/>
      <c r="NPY401" s="111"/>
      <c r="NPZ401" s="112"/>
      <c r="NQA401" s="113"/>
      <c r="NQC401" s="114"/>
      <c r="NQD401" s="114"/>
      <c r="NQI401" s="111"/>
      <c r="NQJ401" s="112"/>
      <c r="NQK401" s="113"/>
      <c r="NQM401" s="114"/>
      <c r="NQN401" s="114"/>
      <c r="NQS401" s="111"/>
      <c r="NQT401" s="112"/>
      <c r="NQU401" s="113"/>
      <c r="NQW401" s="114"/>
      <c r="NQX401" s="114"/>
      <c r="NRC401" s="111"/>
      <c r="NRD401" s="112"/>
      <c r="NRE401" s="113"/>
      <c r="NRG401" s="114"/>
      <c r="NRH401" s="114"/>
      <c r="NRM401" s="111"/>
      <c r="NRN401" s="112"/>
      <c r="NRO401" s="113"/>
      <c r="NRQ401" s="114"/>
      <c r="NRR401" s="114"/>
      <c r="NRW401" s="111"/>
      <c r="NRX401" s="112"/>
      <c r="NRY401" s="113"/>
      <c r="NSA401" s="114"/>
      <c r="NSB401" s="114"/>
      <c r="NSG401" s="111"/>
      <c r="NSH401" s="112"/>
      <c r="NSI401" s="113"/>
      <c r="NSK401" s="114"/>
      <c r="NSL401" s="114"/>
      <c r="NSQ401" s="111"/>
      <c r="NSR401" s="112"/>
      <c r="NSS401" s="113"/>
      <c r="NSU401" s="114"/>
      <c r="NSV401" s="114"/>
      <c r="NTA401" s="111"/>
      <c r="NTB401" s="112"/>
      <c r="NTC401" s="113"/>
      <c r="NTE401" s="114"/>
      <c r="NTF401" s="114"/>
      <c r="NTK401" s="111"/>
      <c r="NTL401" s="112"/>
      <c r="NTM401" s="113"/>
      <c r="NTO401" s="114"/>
      <c r="NTP401" s="114"/>
      <c r="NTU401" s="111"/>
      <c r="NTV401" s="112"/>
      <c r="NTW401" s="113"/>
      <c r="NTY401" s="114"/>
      <c r="NTZ401" s="114"/>
      <c r="NUE401" s="111"/>
      <c r="NUF401" s="112"/>
      <c r="NUG401" s="113"/>
      <c r="NUI401" s="114"/>
      <c r="NUJ401" s="114"/>
      <c r="NUO401" s="111"/>
      <c r="NUP401" s="112"/>
      <c r="NUQ401" s="113"/>
      <c r="NUS401" s="114"/>
      <c r="NUT401" s="114"/>
      <c r="NUY401" s="111"/>
      <c r="NUZ401" s="112"/>
      <c r="NVA401" s="113"/>
      <c r="NVC401" s="114"/>
      <c r="NVD401" s="114"/>
      <c r="NVI401" s="111"/>
      <c r="NVJ401" s="112"/>
      <c r="NVK401" s="113"/>
      <c r="NVM401" s="114"/>
      <c r="NVN401" s="114"/>
      <c r="NVS401" s="111"/>
      <c r="NVT401" s="112"/>
      <c r="NVU401" s="113"/>
      <c r="NVW401" s="114"/>
      <c r="NVX401" s="114"/>
      <c r="NWC401" s="111"/>
      <c r="NWD401" s="112"/>
      <c r="NWE401" s="113"/>
      <c r="NWG401" s="114"/>
      <c r="NWH401" s="114"/>
      <c r="NWM401" s="111"/>
      <c r="NWN401" s="112"/>
      <c r="NWO401" s="113"/>
      <c r="NWQ401" s="114"/>
      <c r="NWR401" s="114"/>
      <c r="NWW401" s="111"/>
      <c r="NWX401" s="112"/>
      <c r="NWY401" s="113"/>
      <c r="NXA401" s="114"/>
      <c r="NXB401" s="114"/>
      <c r="NXG401" s="111"/>
      <c r="NXH401" s="112"/>
      <c r="NXI401" s="113"/>
      <c r="NXK401" s="114"/>
      <c r="NXL401" s="114"/>
      <c r="NXQ401" s="111"/>
      <c r="NXR401" s="112"/>
      <c r="NXS401" s="113"/>
      <c r="NXU401" s="114"/>
      <c r="NXV401" s="114"/>
      <c r="NYA401" s="111"/>
      <c r="NYB401" s="112"/>
      <c r="NYC401" s="113"/>
      <c r="NYE401" s="114"/>
      <c r="NYF401" s="114"/>
      <c r="NYK401" s="111"/>
      <c r="NYL401" s="112"/>
      <c r="NYM401" s="113"/>
      <c r="NYO401" s="114"/>
      <c r="NYP401" s="114"/>
      <c r="NYU401" s="111"/>
      <c r="NYV401" s="112"/>
      <c r="NYW401" s="113"/>
      <c r="NYY401" s="114"/>
      <c r="NYZ401" s="114"/>
      <c r="NZE401" s="111"/>
      <c r="NZF401" s="112"/>
      <c r="NZG401" s="113"/>
      <c r="NZI401" s="114"/>
      <c r="NZJ401" s="114"/>
      <c r="NZO401" s="111"/>
      <c r="NZP401" s="112"/>
      <c r="NZQ401" s="113"/>
      <c r="NZS401" s="114"/>
      <c r="NZT401" s="114"/>
      <c r="NZY401" s="111"/>
      <c r="NZZ401" s="112"/>
      <c r="OAA401" s="113"/>
      <c r="OAC401" s="114"/>
      <c r="OAD401" s="114"/>
      <c r="OAI401" s="111"/>
      <c r="OAJ401" s="112"/>
      <c r="OAK401" s="113"/>
      <c r="OAM401" s="114"/>
      <c r="OAN401" s="114"/>
      <c r="OAS401" s="111"/>
      <c r="OAT401" s="112"/>
      <c r="OAU401" s="113"/>
      <c r="OAW401" s="114"/>
      <c r="OAX401" s="114"/>
      <c r="OBC401" s="111"/>
      <c r="OBD401" s="112"/>
      <c r="OBE401" s="113"/>
      <c r="OBG401" s="114"/>
      <c r="OBH401" s="114"/>
      <c r="OBM401" s="111"/>
      <c r="OBN401" s="112"/>
      <c r="OBO401" s="113"/>
      <c r="OBQ401" s="114"/>
      <c r="OBR401" s="114"/>
      <c r="OBW401" s="111"/>
      <c r="OBX401" s="112"/>
      <c r="OBY401" s="113"/>
      <c r="OCA401" s="114"/>
      <c r="OCB401" s="114"/>
      <c r="OCG401" s="111"/>
      <c r="OCH401" s="112"/>
      <c r="OCI401" s="113"/>
      <c r="OCK401" s="114"/>
      <c r="OCL401" s="114"/>
      <c r="OCQ401" s="111"/>
      <c r="OCR401" s="112"/>
      <c r="OCS401" s="113"/>
      <c r="OCU401" s="114"/>
      <c r="OCV401" s="114"/>
      <c r="ODA401" s="111"/>
      <c r="ODB401" s="112"/>
      <c r="ODC401" s="113"/>
      <c r="ODE401" s="114"/>
      <c r="ODF401" s="114"/>
      <c r="ODK401" s="111"/>
      <c r="ODL401" s="112"/>
      <c r="ODM401" s="113"/>
      <c r="ODO401" s="114"/>
      <c r="ODP401" s="114"/>
      <c r="ODU401" s="111"/>
      <c r="ODV401" s="112"/>
      <c r="ODW401" s="113"/>
      <c r="ODY401" s="114"/>
      <c r="ODZ401" s="114"/>
      <c r="OEE401" s="111"/>
      <c r="OEF401" s="112"/>
      <c r="OEG401" s="113"/>
      <c r="OEI401" s="114"/>
      <c r="OEJ401" s="114"/>
      <c r="OEO401" s="111"/>
      <c r="OEP401" s="112"/>
      <c r="OEQ401" s="113"/>
      <c r="OES401" s="114"/>
      <c r="OET401" s="114"/>
      <c r="OEY401" s="111"/>
      <c r="OEZ401" s="112"/>
      <c r="OFA401" s="113"/>
      <c r="OFC401" s="114"/>
      <c r="OFD401" s="114"/>
      <c r="OFI401" s="111"/>
      <c r="OFJ401" s="112"/>
      <c r="OFK401" s="113"/>
      <c r="OFM401" s="114"/>
      <c r="OFN401" s="114"/>
      <c r="OFS401" s="111"/>
      <c r="OFT401" s="112"/>
      <c r="OFU401" s="113"/>
      <c r="OFW401" s="114"/>
      <c r="OFX401" s="114"/>
      <c r="OGC401" s="111"/>
      <c r="OGD401" s="112"/>
      <c r="OGE401" s="113"/>
      <c r="OGG401" s="114"/>
      <c r="OGH401" s="114"/>
      <c r="OGM401" s="111"/>
      <c r="OGN401" s="112"/>
      <c r="OGO401" s="113"/>
      <c r="OGQ401" s="114"/>
      <c r="OGR401" s="114"/>
      <c r="OGW401" s="111"/>
      <c r="OGX401" s="112"/>
      <c r="OGY401" s="113"/>
      <c r="OHA401" s="114"/>
      <c r="OHB401" s="114"/>
      <c r="OHG401" s="111"/>
      <c r="OHH401" s="112"/>
      <c r="OHI401" s="113"/>
      <c r="OHK401" s="114"/>
      <c r="OHL401" s="114"/>
      <c r="OHQ401" s="111"/>
      <c r="OHR401" s="112"/>
      <c r="OHS401" s="113"/>
      <c r="OHU401" s="114"/>
      <c r="OHV401" s="114"/>
      <c r="OIA401" s="111"/>
      <c r="OIB401" s="112"/>
      <c r="OIC401" s="113"/>
      <c r="OIE401" s="114"/>
      <c r="OIF401" s="114"/>
      <c r="OIK401" s="111"/>
      <c r="OIL401" s="112"/>
      <c r="OIM401" s="113"/>
      <c r="OIO401" s="114"/>
      <c r="OIP401" s="114"/>
      <c r="OIU401" s="111"/>
      <c r="OIV401" s="112"/>
      <c r="OIW401" s="113"/>
      <c r="OIY401" s="114"/>
      <c r="OIZ401" s="114"/>
      <c r="OJE401" s="111"/>
      <c r="OJF401" s="112"/>
      <c r="OJG401" s="113"/>
      <c r="OJI401" s="114"/>
      <c r="OJJ401" s="114"/>
      <c r="OJO401" s="111"/>
      <c r="OJP401" s="112"/>
      <c r="OJQ401" s="113"/>
      <c r="OJS401" s="114"/>
      <c r="OJT401" s="114"/>
      <c r="OJY401" s="111"/>
      <c r="OJZ401" s="112"/>
      <c r="OKA401" s="113"/>
      <c r="OKC401" s="114"/>
      <c r="OKD401" s="114"/>
      <c r="OKI401" s="111"/>
      <c r="OKJ401" s="112"/>
      <c r="OKK401" s="113"/>
      <c r="OKM401" s="114"/>
      <c r="OKN401" s="114"/>
      <c r="OKS401" s="111"/>
      <c r="OKT401" s="112"/>
      <c r="OKU401" s="113"/>
      <c r="OKW401" s="114"/>
      <c r="OKX401" s="114"/>
      <c r="OLC401" s="111"/>
      <c r="OLD401" s="112"/>
      <c r="OLE401" s="113"/>
      <c r="OLG401" s="114"/>
      <c r="OLH401" s="114"/>
      <c r="OLM401" s="111"/>
      <c r="OLN401" s="112"/>
      <c r="OLO401" s="113"/>
      <c r="OLQ401" s="114"/>
      <c r="OLR401" s="114"/>
      <c r="OLW401" s="111"/>
      <c r="OLX401" s="112"/>
      <c r="OLY401" s="113"/>
      <c r="OMA401" s="114"/>
      <c r="OMB401" s="114"/>
      <c r="OMG401" s="111"/>
      <c r="OMH401" s="112"/>
      <c r="OMI401" s="113"/>
      <c r="OMK401" s="114"/>
      <c r="OML401" s="114"/>
      <c r="OMQ401" s="111"/>
      <c r="OMR401" s="112"/>
      <c r="OMS401" s="113"/>
      <c r="OMU401" s="114"/>
      <c r="OMV401" s="114"/>
      <c r="ONA401" s="111"/>
      <c r="ONB401" s="112"/>
      <c r="ONC401" s="113"/>
      <c r="ONE401" s="114"/>
      <c r="ONF401" s="114"/>
      <c r="ONK401" s="111"/>
      <c r="ONL401" s="112"/>
      <c r="ONM401" s="113"/>
      <c r="ONO401" s="114"/>
      <c r="ONP401" s="114"/>
      <c r="ONU401" s="111"/>
      <c r="ONV401" s="112"/>
      <c r="ONW401" s="113"/>
      <c r="ONY401" s="114"/>
      <c r="ONZ401" s="114"/>
      <c r="OOE401" s="111"/>
      <c r="OOF401" s="112"/>
      <c r="OOG401" s="113"/>
      <c r="OOI401" s="114"/>
      <c r="OOJ401" s="114"/>
      <c r="OOO401" s="111"/>
      <c r="OOP401" s="112"/>
      <c r="OOQ401" s="113"/>
      <c r="OOS401" s="114"/>
      <c r="OOT401" s="114"/>
      <c r="OOY401" s="111"/>
      <c r="OOZ401" s="112"/>
      <c r="OPA401" s="113"/>
      <c r="OPC401" s="114"/>
      <c r="OPD401" s="114"/>
      <c r="OPI401" s="111"/>
      <c r="OPJ401" s="112"/>
      <c r="OPK401" s="113"/>
      <c r="OPM401" s="114"/>
      <c r="OPN401" s="114"/>
      <c r="OPS401" s="111"/>
      <c r="OPT401" s="112"/>
      <c r="OPU401" s="113"/>
      <c r="OPW401" s="114"/>
      <c r="OPX401" s="114"/>
      <c r="OQC401" s="111"/>
      <c r="OQD401" s="112"/>
      <c r="OQE401" s="113"/>
      <c r="OQG401" s="114"/>
      <c r="OQH401" s="114"/>
      <c r="OQM401" s="111"/>
      <c r="OQN401" s="112"/>
      <c r="OQO401" s="113"/>
      <c r="OQQ401" s="114"/>
      <c r="OQR401" s="114"/>
      <c r="OQW401" s="111"/>
      <c r="OQX401" s="112"/>
      <c r="OQY401" s="113"/>
      <c r="ORA401" s="114"/>
      <c r="ORB401" s="114"/>
      <c r="ORG401" s="111"/>
      <c r="ORH401" s="112"/>
      <c r="ORI401" s="113"/>
      <c r="ORK401" s="114"/>
      <c r="ORL401" s="114"/>
      <c r="ORQ401" s="111"/>
      <c r="ORR401" s="112"/>
      <c r="ORS401" s="113"/>
      <c r="ORU401" s="114"/>
      <c r="ORV401" s="114"/>
      <c r="OSA401" s="111"/>
      <c r="OSB401" s="112"/>
      <c r="OSC401" s="113"/>
      <c r="OSE401" s="114"/>
      <c r="OSF401" s="114"/>
      <c r="OSK401" s="111"/>
      <c r="OSL401" s="112"/>
      <c r="OSM401" s="113"/>
      <c r="OSO401" s="114"/>
      <c r="OSP401" s="114"/>
      <c r="OSU401" s="111"/>
      <c r="OSV401" s="112"/>
      <c r="OSW401" s="113"/>
      <c r="OSY401" s="114"/>
      <c r="OSZ401" s="114"/>
      <c r="OTE401" s="111"/>
      <c r="OTF401" s="112"/>
      <c r="OTG401" s="113"/>
      <c r="OTI401" s="114"/>
      <c r="OTJ401" s="114"/>
      <c r="OTO401" s="111"/>
      <c r="OTP401" s="112"/>
      <c r="OTQ401" s="113"/>
      <c r="OTS401" s="114"/>
      <c r="OTT401" s="114"/>
      <c r="OTY401" s="111"/>
      <c r="OTZ401" s="112"/>
      <c r="OUA401" s="113"/>
      <c r="OUC401" s="114"/>
      <c r="OUD401" s="114"/>
      <c r="OUI401" s="111"/>
      <c r="OUJ401" s="112"/>
      <c r="OUK401" s="113"/>
      <c r="OUM401" s="114"/>
      <c r="OUN401" s="114"/>
      <c r="OUS401" s="111"/>
      <c r="OUT401" s="112"/>
      <c r="OUU401" s="113"/>
      <c r="OUW401" s="114"/>
      <c r="OUX401" s="114"/>
      <c r="OVC401" s="111"/>
      <c r="OVD401" s="112"/>
      <c r="OVE401" s="113"/>
      <c r="OVG401" s="114"/>
      <c r="OVH401" s="114"/>
      <c r="OVM401" s="111"/>
      <c r="OVN401" s="112"/>
      <c r="OVO401" s="113"/>
      <c r="OVQ401" s="114"/>
      <c r="OVR401" s="114"/>
      <c r="OVW401" s="111"/>
      <c r="OVX401" s="112"/>
      <c r="OVY401" s="113"/>
      <c r="OWA401" s="114"/>
      <c r="OWB401" s="114"/>
      <c r="OWG401" s="111"/>
      <c r="OWH401" s="112"/>
      <c r="OWI401" s="113"/>
      <c r="OWK401" s="114"/>
      <c r="OWL401" s="114"/>
      <c r="OWQ401" s="111"/>
      <c r="OWR401" s="112"/>
      <c r="OWS401" s="113"/>
      <c r="OWU401" s="114"/>
      <c r="OWV401" s="114"/>
      <c r="OXA401" s="111"/>
      <c r="OXB401" s="112"/>
      <c r="OXC401" s="113"/>
      <c r="OXE401" s="114"/>
      <c r="OXF401" s="114"/>
      <c r="OXK401" s="111"/>
      <c r="OXL401" s="112"/>
      <c r="OXM401" s="113"/>
      <c r="OXO401" s="114"/>
      <c r="OXP401" s="114"/>
      <c r="OXU401" s="111"/>
      <c r="OXV401" s="112"/>
      <c r="OXW401" s="113"/>
      <c r="OXY401" s="114"/>
      <c r="OXZ401" s="114"/>
      <c r="OYE401" s="111"/>
      <c r="OYF401" s="112"/>
      <c r="OYG401" s="113"/>
      <c r="OYI401" s="114"/>
      <c r="OYJ401" s="114"/>
      <c r="OYO401" s="111"/>
      <c r="OYP401" s="112"/>
      <c r="OYQ401" s="113"/>
      <c r="OYS401" s="114"/>
      <c r="OYT401" s="114"/>
      <c r="OYY401" s="111"/>
      <c r="OYZ401" s="112"/>
      <c r="OZA401" s="113"/>
      <c r="OZC401" s="114"/>
      <c r="OZD401" s="114"/>
      <c r="OZI401" s="111"/>
      <c r="OZJ401" s="112"/>
      <c r="OZK401" s="113"/>
      <c r="OZM401" s="114"/>
      <c r="OZN401" s="114"/>
      <c r="OZS401" s="111"/>
      <c r="OZT401" s="112"/>
      <c r="OZU401" s="113"/>
      <c r="OZW401" s="114"/>
      <c r="OZX401" s="114"/>
      <c r="PAC401" s="111"/>
      <c r="PAD401" s="112"/>
      <c r="PAE401" s="113"/>
      <c r="PAG401" s="114"/>
      <c r="PAH401" s="114"/>
      <c r="PAM401" s="111"/>
      <c r="PAN401" s="112"/>
      <c r="PAO401" s="113"/>
      <c r="PAQ401" s="114"/>
      <c r="PAR401" s="114"/>
      <c r="PAW401" s="111"/>
      <c r="PAX401" s="112"/>
      <c r="PAY401" s="113"/>
      <c r="PBA401" s="114"/>
      <c r="PBB401" s="114"/>
      <c r="PBG401" s="111"/>
      <c r="PBH401" s="112"/>
      <c r="PBI401" s="113"/>
      <c r="PBK401" s="114"/>
      <c r="PBL401" s="114"/>
      <c r="PBQ401" s="111"/>
      <c r="PBR401" s="112"/>
      <c r="PBS401" s="113"/>
      <c r="PBU401" s="114"/>
      <c r="PBV401" s="114"/>
      <c r="PCA401" s="111"/>
      <c r="PCB401" s="112"/>
      <c r="PCC401" s="113"/>
      <c r="PCE401" s="114"/>
      <c r="PCF401" s="114"/>
      <c r="PCK401" s="111"/>
      <c r="PCL401" s="112"/>
      <c r="PCM401" s="113"/>
      <c r="PCO401" s="114"/>
      <c r="PCP401" s="114"/>
      <c r="PCU401" s="111"/>
      <c r="PCV401" s="112"/>
      <c r="PCW401" s="113"/>
      <c r="PCY401" s="114"/>
      <c r="PCZ401" s="114"/>
      <c r="PDE401" s="111"/>
      <c r="PDF401" s="112"/>
      <c r="PDG401" s="113"/>
      <c r="PDI401" s="114"/>
      <c r="PDJ401" s="114"/>
      <c r="PDO401" s="111"/>
      <c r="PDP401" s="112"/>
      <c r="PDQ401" s="113"/>
      <c r="PDS401" s="114"/>
      <c r="PDT401" s="114"/>
      <c r="PDY401" s="111"/>
      <c r="PDZ401" s="112"/>
      <c r="PEA401" s="113"/>
      <c r="PEC401" s="114"/>
      <c r="PED401" s="114"/>
      <c r="PEI401" s="111"/>
      <c r="PEJ401" s="112"/>
      <c r="PEK401" s="113"/>
      <c r="PEM401" s="114"/>
      <c r="PEN401" s="114"/>
      <c r="PES401" s="111"/>
      <c r="PET401" s="112"/>
      <c r="PEU401" s="113"/>
      <c r="PEW401" s="114"/>
      <c r="PEX401" s="114"/>
      <c r="PFC401" s="111"/>
      <c r="PFD401" s="112"/>
      <c r="PFE401" s="113"/>
      <c r="PFG401" s="114"/>
      <c r="PFH401" s="114"/>
      <c r="PFM401" s="111"/>
      <c r="PFN401" s="112"/>
      <c r="PFO401" s="113"/>
      <c r="PFQ401" s="114"/>
      <c r="PFR401" s="114"/>
      <c r="PFW401" s="111"/>
      <c r="PFX401" s="112"/>
      <c r="PFY401" s="113"/>
      <c r="PGA401" s="114"/>
      <c r="PGB401" s="114"/>
      <c r="PGG401" s="111"/>
      <c r="PGH401" s="112"/>
      <c r="PGI401" s="113"/>
      <c r="PGK401" s="114"/>
      <c r="PGL401" s="114"/>
      <c r="PGQ401" s="111"/>
      <c r="PGR401" s="112"/>
      <c r="PGS401" s="113"/>
      <c r="PGU401" s="114"/>
      <c r="PGV401" s="114"/>
      <c r="PHA401" s="111"/>
      <c r="PHB401" s="112"/>
      <c r="PHC401" s="113"/>
      <c r="PHE401" s="114"/>
      <c r="PHF401" s="114"/>
      <c r="PHK401" s="111"/>
      <c r="PHL401" s="112"/>
      <c r="PHM401" s="113"/>
      <c r="PHO401" s="114"/>
      <c r="PHP401" s="114"/>
      <c r="PHU401" s="111"/>
      <c r="PHV401" s="112"/>
      <c r="PHW401" s="113"/>
      <c r="PHY401" s="114"/>
      <c r="PHZ401" s="114"/>
      <c r="PIE401" s="111"/>
      <c r="PIF401" s="112"/>
      <c r="PIG401" s="113"/>
      <c r="PII401" s="114"/>
      <c r="PIJ401" s="114"/>
      <c r="PIO401" s="111"/>
      <c r="PIP401" s="112"/>
      <c r="PIQ401" s="113"/>
      <c r="PIS401" s="114"/>
      <c r="PIT401" s="114"/>
      <c r="PIY401" s="111"/>
      <c r="PIZ401" s="112"/>
      <c r="PJA401" s="113"/>
      <c r="PJC401" s="114"/>
      <c r="PJD401" s="114"/>
      <c r="PJI401" s="111"/>
      <c r="PJJ401" s="112"/>
      <c r="PJK401" s="113"/>
      <c r="PJM401" s="114"/>
      <c r="PJN401" s="114"/>
      <c r="PJS401" s="111"/>
      <c r="PJT401" s="112"/>
      <c r="PJU401" s="113"/>
      <c r="PJW401" s="114"/>
      <c r="PJX401" s="114"/>
      <c r="PKC401" s="111"/>
      <c r="PKD401" s="112"/>
      <c r="PKE401" s="113"/>
      <c r="PKG401" s="114"/>
      <c r="PKH401" s="114"/>
      <c r="PKM401" s="111"/>
      <c r="PKN401" s="112"/>
      <c r="PKO401" s="113"/>
      <c r="PKQ401" s="114"/>
      <c r="PKR401" s="114"/>
      <c r="PKW401" s="111"/>
      <c r="PKX401" s="112"/>
      <c r="PKY401" s="113"/>
      <c r="PLA401" s="114"/>
      <c r="PLB401" s="114"/>
      <c r="PLG401" s="111"/>
      <c r="PLH401" s="112"/>
      <c r="PLI401" s="113"/>
      <c r="PLK401" s="114"/>
      <c r="PLL401" s="114"/>
      <c r="PLQ401" s="111"/>
      <c r="PLR401" s="112"/>
      <c r="PLS401" s="113"/>
      <c r="PLU401" s="114"/>
      <c r="PLV401" s="114"/>
      <c r="PMA401" s="111"/>
      <c r="PMB401" s="112"/>
      <c r="PMC401" s="113"/>
      <c r="PME401" s="114"/>
      <c r="PMF401" s="114"/>
      <c r="PMK401" s="111"/>
      <c r="PML401" s="112"/>
      <c r="PMM401" s="113"/>
      <c r="PMO401" s="114"/>
      <c r="PMP401" s="114"/>
      <c r="PMU401" s="111"/>
      <c r="PMV401" s="112"/>
      <c r="PMW401" s="113"/>
      <c r="PMY401" s="114"/>
      <c r="PMZ401" s="114"/>
      <c r="PNE401" s="111"/>
      <c r="PNF401" s="112"/>
      <c r="PNG401" s="113"/>
      <c r="PNI401" s="114"/>
      <c r="PNJ401" s="114"/>
      <c r="PNO401" s="111"/>
      <c r="PNP401" s="112"/>
      <c r="PNQ401" s="113"/>
      <c r="PNS401" s="114"/>
      <c r="PNT401" s="114"/>
      <c r="PNY401" s="111"/>
      <c r="PNZ401" s="112"/>
      <c r="POA401" s="113"/>
      <c r="POC401" s="114"/>
      <c r="POD401" s="114"/>
      <c r="POI401" s="111"/>
      <c r="POJ401" s="112"/>
      <c r="POK401" s="113"/>
      <c r="POM401" s="114"/>
      <c r="PON401" s="114"/>
      <c r="POS401" s="111"/>
      <c r="POT401" s="112"/>
      <c r="POU401" s="113"/>
      <c r="POW401" s="114"/>
      <c r="POX401" s="114"/>
      <c r="PPC401" s="111"/>
      <c r="PPD401" s="112"/>
      <c r="PPE401" s="113"/>
      <c r="PPG401" s="114"/>
      <c r="PPH401" s="114"/>
      <c r="PPM401" s="111"/>
      <c r="PPN401" s="112"/>
      <c r="PPO401" s="113"/>
      <c r="PPQ401" s="114"/>
      <c r="PPR401" s="114"/>
      <c r="PPW401" s="111"/>
      <c r="PPX401" s="112"/>
      <c r="PPY401" s="113"/>
      <c r="PQA401" s="114"/>
      <c r="PQB401" s="114"/>
      <c r="PQG401" s="111"/>
      <c r="PQH401" s="112"/>
      <c r="PQI401" s="113"/>
      <c r="PQK401" s="114"/>
      <c r="PQL401" s="114"/>
      <c r="PQQ401" s="111"/>
      <c r="PQR401" s="112"/>
      <c r="PQS401" s="113"/>
      <c r="PQU401" s="114"/>
      <c r="PQV401" s="114"/>
      <c r="PRA401" s="111"/>
      <c r="PRB401" s="112"/>
      <c r="PRC401" s="113"/>
      <c r="PRE401" s="114"/>
      <c r="PRF401" s="114"/>
      <c r="PRK401" s="111"/>
      <c r="PRL401" s="112"/>
      <c r="PRM401" s="113"/>
      <c r="PRO401" s="114"/>
      <c r="PRP401" s="114"/>
      <c r="PRU401" s="111"/>
      <c r="PRV401" s="112"/>
      <c r="PRW401" s="113"/>
      <c r="PRY401" s="114"/>
      <c r="PRZ401" s="114"/>
      <c r="PSE401" s="111"/>
      <c r="PSF401" s="112"/>
      <c r="PSG401" s="113"/>
      <c r="PSI401" s="114"/>
      <c r="PSJ401" s="114"/>
      <c r="PSO401" s="111"/>
      <c r="PSP401" s="112"/>
      <c r="PSQ401" s="113"/>
      <c r="PSS401" s="114"/>
      <c r="PST401" s="114"/>
      <c r="PSY401" s="111"/>
      <c r="PSZ401" s="112"/>
      <c r="PTA401" s="113"/>
      <c r="PTC401" s="114"/>
      <c r="PTD401" s="114"/>
      <c r="PTI401" s="111"/>
      <c r="PTJ401" s="112"/>
      <c r="PTK401" s="113"/>
      <c r="PTM401" s="114"/>
      <c r="PTN401" s="114"/>
      <c r="PTS401" s="111"/>
      <c r="PTT401" s="112"/>
      <c r="PTU401" s="113"/>
      <c r="PTW401" s="114"/>
      <c r="PTX401" s="114"/>
      <c r="PUC401" s="111"/>
      <c r="PUD401" s="112"/>
      <c r="PUE401" s="113"/>
      <c r="PUG401" s="114"/>
      <c r="PUH401" s="114"/>
      <c r="PUM401" s="111"/>
      <c r="PUN401" s="112"/>
      <c r="PUO401" s="113"/>
      <c r="PUQ401" s="114"/>
      <c r="PUR401" s="114"/>
      <c r="PUW401" s="111"/>
      <c r="PUX401" s="112"/>
      <c r="PUY401" s="113"/>
      <c r="PVA401" s="114"/>
      <c r="PVB401" s="114"/>
      <c r="PVG401" s="111"/>
      <c r="PVH401" s="112"/>
      <c r="PVI401" s="113"/>
      <c r="PVK401" s="114"/>
      <c r="PVL401" s="114"/>
      <c r="PVQ401" s="111"/>
      <c r="PVR401" s="112"/>
      <c r="PVS401" s="113"/>
      <c r="PVU401" s="114"/>
      <c r="PVV401" s="114"/>
      <c r="PWA401" s="111"/>
      <c r="PWB401" s="112"/>
      <c r="PWC401" s="113"/>
      <c r="PWE401" s="114"/>
      <c r="PWF401" s="114"/>
      <c r="PWK401" s="111"/>
      <c r="PWL401" s="112"/>
      <c r="PWM401" s="113"/>
      <c r="PWO401" s="114"/>
      <c r="PWP401" s="114"/>
      <c r="PWU401" s="111"/>
      <c r="PWV401" s="112"/>
      <c r="PWW401" s="113"/>
      <c r="PWY401" s="114"/>
      <c r="PWZ401" s="114"/>
      <c r="PXE401" s="111"/>
      <c r="PXF401" s="112"/>
      <c r="PXG401" s="113"/>
      <c r="PXI401" s="114"/>
      <c r="PXJ401" s="114"/>
      <c r="PXO401" s="111"/>
      <c r="PXP401" s="112"/>
      <c r="PXQ401" s="113"/>
      <c r="PXS401" s="114"/>
      <c r="PXT401" s="114"/>
      <c r="PXY401" s="111"/>
      <c r="PXZ401" s="112"/>
      <c r="PYA401" s="113"/>
      <c r="PYC401" s="114"/>
      <c r="PYD401" s="114"/>
      <c r="PYI401" s="111"/>
      <c r="PYJ401" s="112"/>
      <c r="PYK401" s="113"/>
      <c r="PYM401" s="114"/>
      <c r="PYN401" s="114"/>
      <c r="PYS401" s="111"/>
      <c r="PYT401" s="112"/>
      <c r="PYU401" s="113"/>
      <c r="PYW401" s="114"/>
      <c r="PYX401" s="114"/>
      <c r="PZC401" s="111"/>
      <c r="PZD401" s="112"/>
      <c r="PZE401" s="113"/>
      <c r="PZG401" s="114"/>
      <c r="PZH401" s="114"/>
      <c r="PZM401" s="111"/>
      <c r="PZN401" s="112"/>
      <c r="PZO401" s="113"/>
      <c r="PZQ401" s="114"/>
      <c r="PZR401" s="114"/>
      <c r="PZW401" s="111"/>
      <c r="PZX401" s="112"/>
      <c r="PZY401" s="113"/>
      <c r="QAA401" s="114"/>
      <c r="QAB401" s="114"/>
      <c r="QAG401" s="111"/>
      <c r="QAH401" s="112"/>
      <c r="QAI401" s="113"/>
      <c r="QAK401" s="114"/>
      <c r="QAL401" s="114"/>
      <c r="QAQ401" s="111"/>
      <c r="QAR401" s="112"/>
      <c r="QAS401" s="113"/>
      <c r="QAU401" s="114"/>
      <c r="QAV401" s="114"/>
      <c r="QBA401" s="111"/>
      <c r="QBB401" s="112"/>
      <c r="QBC401" s="113"/>
      <c r="QBE401" s="114"/>
      <c r="QBF401" s="114"/>
      <c r="QBK401" s="111"/>
      <c r="QBL401" s="112"/>
      <c r="QBM401" s="113"/>
      <c r="QBO401" s="114"/>
      <c r="QBP401" s="114"/>
      <c r="QBU401" s="111"/>
      <c r="QBV401" s="112"/>
      <c r="QBW401" s="113"/>
      <c r="QBY401" s="114"/>
      <c r="QBZ401" s="114"/>
      <c r="QCE401" s="111"/>
      <c r="QCF401" s="112"/>
      <c r="QCG401" s="113"/>
      <c r="QCI401" s="114"/>
      <c r="QCJ401" s="114"/>
      <c r="QCO401" s="111"/>
      <c r="QCP401" s="112"/>
      <c r="QCQ401" s="113"/>
      <c r="QCS401" s="114"/>
      <c r="QCT401" s="114"/>
      <c r="QCY401" s="111"/>
      <c r="QCZ401" s="112"/>
      <c r="QDA401" s="113"/>
      <c r="QDC401" s="114"/>
      <c r="QDD401" s="114"/>
      <c r="QDI401" s="111"/>
      <c r="QDJ401" s="112"/>
      <c r="QDK401" s="113"/>
      <c r="QDM401" s="114"/>
      <c r="QDN401" s="114"/>
      <c r="QDS401" s="111"/>
      <c r="QDT401" s="112"/>
      <c r="QDU401" s="113"/>
      <c r="QDW401" s="114"/>
      <c r="QDX401" s="114"/>
      <c r="QEC401" s="111"/>
      <c r="QED401" s="112"/>
      <c r="QEE401" s="113"/>
      <c r="QEG401" s="114"/>
      <c r="QEH401" s="114"/>
      <c r="QEM401" s="111"/>
      <c r="QEN401" s="112"/>
      <c r="QEO401" s="113"/>
      <c r="QEQ401" s="114"/>
      <c r="QER401" s="114"/>
      <c r="QEW401" s="111"/>
      <c r="QEX401" s="112"/>
      <c r="QEY401" s="113"/>
      <c r="QFA401" s="114"/>
      <c r="QFB401" s="114"/>
      <c r="QFG401" s="111"/>
      <c r="QFH401" s="112"/>
      <c r="QFI401" s="113"/>
      <c r="QFK401" s="114"/>
      <c r="QFL401" s="114"/>
      <c r="QFQ401" s="111"/>
      <c r="QFR401" s="112"/>
      <c r="QFS401" s="113"/>
      <c r="QFU401" s="114"/>
      <c r="QFV401" s="114"/>
      <c r="QGA401" s="111"/>
      <c r="QGB401" s="112"/>
      <c r="QGC401" s="113"/>
      <c r="QGE401" s="114"/>
      <c r="QGF401" s="114"/>
      <c r="QGK401" s="111"/>
      <c r="QGL401" s="112"/>
      <c r="QGM401" s="113"/>
      <c r="QGO401" s="114"/>
      <c r="QGP401" s="114"/>
      <c r="QGU401" s="111"/>
      <c r="QGV401" s="112"/>
      <c r="QGW401" s="113"/>
      <c r="QGY401" s="114"/>
      <c r="QGZ401" s="114"/>
      <c r="QHE401" s="111"/>
      <c r="QHF401" s="112"/>
      <c r="QHG401" s="113"/>
      <c r="QHI401" s="114"/>
      <c r="QHJ401" s="114"/>
      <c r="QHO401" s="111"/>
      <c r="QHP401" s="112"/>
      <c r="QHQ401" s="113"/>
      <c r="QHS401" s="114"/>
      <c r="QHT401" s="114"/>
      <c r="QHY401" s="111"/>
      <c r="QHZ401" s="112"/>
      <c r="QIA401" s="113"/>
      <c r="QIC401" s="114"/>
      <c r="QID401" s="114"/>
      <c r="QII401" s="111"/>
      <c r="QIJ401" s="112"/>
      <c r="QIK401" s="113"/>
      <c r="QIM401" s="114"/>
      <c r="QIN401" s="114"/>
      <c r="QIS401" s="111"/>
      <c r="QIT401" s="112"/>
      <c r="QIU401" s="113"/>
      <c r="QIW401" s="114"/>
      <c r="QIX401" s="114"/>
      <c r="QJC401" s="111"/>
      <c r="QJD401" s="112"/>
      <c r="QJE401" s="113"/>
      <c r="QJG401" s="114"/>
      <c r="QJH401" s="114"/>
      <c r="QJM401" s="111"/>
      <c r="QJN401" s="112"/>
      <c r="QJO401" s="113"/>
      <c r="QJQ401" s="114"/>
      <c r="QJR401" s="114"/>
      <c r="QJW401" s="111"/>
      <c r="QJX401" s="112"/>
      <c r="QJY401" s="113"/>
      <c r="QKA401" s="114"/>
      <c r="QKB401" s="114"/>
      <c r="QKG401" s="111"/>
      <c r="QKH401" s="112"/>
      <c r="QKI401" s="113"/>
      <c r="QKK401" s="114"/>
      <c r="QKL401" s="114"/>
      <c r="QKQ401" s="111"/>
      <c r="QKR401" s="112"/>
      <c r="QKS401" s="113"/>
      <c r="QKU401" s="114"/>
      <c r="QKV401" s="114"/>
      <c r="QLA401" s="111"/>
      <c r="QLB401" s="112"/>
      <c r="QLC401" s="113"/>
      <c r="QLE401" s="114"/>
      <c r="QLF401" s="114"/>
      <c r="QLK401" s="111"/>
      <c r="QLL401" s="112"/>
      <c r="QLM401" s="113"/>
      <c r="QLO401" s="114"/>
      <c r="QLP401" s="114"/>
      <c r="QLU401" s="111"/>
      <c r="QLV401" s="112"/>
      <c r="QLW401" s="113"/>
      <c r="QLY401" s="114"/>
      <c r="QLZ401" s="114"/>
      <c r="QME401" s="111"/>
      <c r="QMF401" s="112"/>
      <c r="QMG401" s="113"/>
      <c r="QMI401" s="114"/>
      <c r="QMJ401" s="114"/>
      <c r="QMO401" s="111"/>
      <c r="QMP401" s="112"/>
      <c r="QMQ401" s="113"/>
      <c r="QMS401" s="114"/>
      <c r="QMT401" s="114"/>
      <c r="QMY401" s="111"/>
      <c r="QMZ401" s="112"/>
      <c r="QNA401" s="113"/>
      <c r="QNC401" s="114"/>
      <c r="QND401" s="114"/>
      <c r="QNI401" s="111"/>
      <c r="QNJ401" s="112"/>
      <c r="QNK401" s="113"/>
      <c r="QNM401" s="114"/>
      <c r="QNN401" s="114"/>
      <c r="QNS401" s="111"/>
      <c r="QNT401" s="112"/>
      <c r="QNU401" s="113"/>
      <c r="QNW401" s="114"/>
      <c r="QNX401" s="114"/>
      <c r="QOC401" s="111"/>
      <c r="QOD401" s="112"/>
      <c r="QOE401" s="113"/>
      <c r="QOG401" s="114"/>
      <c r="QOH401" s="114"/>
      <c r="QOM401" s="111"/>
      <c r="QON401" s="112"/>
      <c r="QOO401" s="113"/>
      <c r="QOQ401" s="114"/>
      <c r="QOR401" s="114"/>
      <c r="QOW401" s="111"/>
      <c r="QOX401" s="112"/>
      <c r="QOY401" s="113"/>
      <c r="QPA401" s="114"/>
      <c r="QPB401" s="114"/>
      <c r="QPG401" s="111"/>
      <c r="QPH401" s="112"/>
      <c r="QPI401" s="113"/>
      <c r="QPK401" s="114"/>
      <c r="QPL401" s="114"/>
      <c r="QPQ401" s="111"/>
      <c r="QPR401" s="112"/>
      <c r="QPS401" s="113"/>
      <c r="QPU401" s="114"/>
      <c r="QPV401" s="114"/>
      <c r="QQA401" s="111"/>
      <c r="QQB401" s="112"/>
      <c r="QQC401" s="113"/>
      <c r="QQE401" s="114"/>
      <c r="QQF401" s="114"/>
      <c r="QQK401" s="111"/>
      <c r="QQL401" s="112"/>
      <c r="QQM401" s="113"/>
      <c r="QQO401" s="114"/>
      <c r="QQP401" s="114"/>
      <c r="QQU401" s="111"/>
      <c r="QQV401" s="112"/>
      <c r="QQW401" s="113"/>
      <c r="QQY401" s="114"/>
      <c r="QQZ401" s="114"/>
      <c r="QRE401" s="111"/>
      <c r="QRF401" s="112"/>
      <c r="QRG401" s="113"/>
      <c r="QRI401" s="114"/>
      <c r="QRJ401" s="114"/>
      <c r="QRO401" s="111"/>
      <c r="QRP401" s="112"/>
      <c r="QRQ401" s="113"/>
      <c r="QRS401" s="114"/>
      <c r="QRT401" s="114"/>
      <c r="QRY401" s="111"/>
      <c r="QRZ401" s="112"/>
      <c r="QSA401" s="113"/>
      <c r="QSC401" s="114"/>
      <c r="QSD401" s="114"/>
      <c r="QSI401" s="111"/>
      <c r="QSJ401" s="112"/>
      <c r="QSK401" s="113"/>
      <c r="QSM401" s="114"/>
      <c r="QSN401" s="114"/>
      <c r="QSS401" s="111"/>
      <c r="QST401" s="112"/>
      <c r="QSU401" s="113"/>
      <c r="QSW401" s="114"/>
      <c r="QSX401" s="114"/>
      <c r="QTC401" s="111"/>
      <c r="QTD401" s="112"/>
      <c r="QTE401" s="113"/>
      <c r="QTG401" s="114"/>
      <c r="QTH401" s="114"/>
      <c r="QTM401" s="111"/>
      <c r="QTN401" s="112"/>
      <c r="QTO401" s="113"/>
      <c r="QTQ401" s="114"/>
      <c r="QTR401" s="114"/>
      <c r="QTW401" s="111"/>
      <c r="QTX401" s="112"/>
      <c r="QTY401" s="113"/>
      <c r="QUA401" s="114"/>
      <c r="QUB401" s="114"/>
      <c r="QUG401" s="111"/>
      <c r="QUH401" s="112"/>
      <c r="QUI401" s="113"/>
      <c r="QUK401" s="114"/>
      <c r="QUL401" s="114"/>
      <c r="QUQ401" s="111"/>
      <c r="QUR401" s="112"/>
      <c r="QUS401" s="113"/>
      <c r="QUU401" s="114"/>
      <c r="QUV401" s="114"/>
      <c r="QVA401" s="111"/>
      <c r="QVB401" s="112"/>
      <c r="QVC401" s="113"/>
      <c r="QVE401" s="114"/>
      <c r="QVF401" s="114"/>
      <c r="QVK401" s="111"/>
      <c r="QVL401" s="112"/>
      <c r="QVM401" s="113"/>
      <c r="QVO401" s="114"/>
      <c r="QVP401" s="114"/>
      <c r="QVU401" s="111"/>
      <c r="QVV401" s="112"/>
      <c r="QVW401" s="113"/>
      <c r="QVY401" s="114"/>
      <c r="QVZ401" s="114"/>
      <c r="QWE401" s="111"/>
      <c r="QWF401" s="112"/>
      <c r="QWG401" s="113"/>
      <c r="QWI401" s="114"/>
      <c r="QWJ401" s="114"/>
      <c r="QWO401" s="111"/>
      <c r="QWP401" s="112"/>
      <c r="QWQ401" s="113"/>
      <c r="QWS401" s="114"/>
      <c r="QWT401" s="114"/>
      <c r="QWY401" s="111"/>
      <c r="QWZ401" s="112"/>
      <c r="QXA401" s="113"/>
      <c r="QXC401" s="114"/>
      <c r="QXD401" s="114"/>
      <c r="QXI401" s="111"/>
      <c r="QXJ401" s="112"/>
      <c r="QXK401" s="113"/>
      <c r="QXM401" s="114"/>
      <c r="QXN401" s="114"/>
      <c r="QXS401" s="111"/>
      <c r="QXT401" s="112"/>
      <c r="QXU401" s="113"/>
      <c r="QXW401" s="114"/>
      <c r="QXX401" s="114"/>
      <c r="QYC401" s="111"/>
      <c r="QYD401" s="112"/>
      <c r="QYE401" s="113"/>
      <c r="QYG401" s="114"/>
      <c r="QYH401" s="114"/>
      <c r="QYM401" s="111"/>
      <c r="QYN401" s="112"/>
      <c r="QYO401" s="113"/>
      <c r="QYQ401" s="114"/>
      <c r="QYR401" s="114"/>
      <c r="QYW401" s="111"/>
      <c r="QYX401" s="112"/>
      <c r="QYY401" s="113"/>
      <c r="QZA401" s="114"/>
      <c r="QZB401" s="114"/>
      <c r="QZG401" s="111"/>
      <c r="QZH401" s="112"/>
      <c r="QZI401" s="113"/>
      <c r="QZK401" s="114"/>
      <c r="QZL401" s="114"/>
      <c r="QZQ401" s="111"/>
      <c r="QZR401" s="112"/>
      <c r="QZS401" s="113"/>
      <c r="QZU401" s="114"/>
      <c r="QZV401" s="114"/>
      <c r="RAA401" s="111"/>
      <c r="RAB401" s="112"/>
      <c r="RAC401" s="113"/>
      <c r="RAE401" s="114"/>
      <c r="RAF401" s="114"/>
      <c r="RAK401" s="111"/>
      <c r="RAL401" s="112"/>
      <c r="RAM401" s="113"/>
      <c r="RAO401" s="114"/>
      <c r="RAP401" s="114"/>
      <c r="RAU401" s="111"/>
      <c r="RAV401" s="112"/>
      <c r="RAW401" s="113"/>
      <c r="RAY401" s="114"/>
      <c r="RAZ401" s="114"/>
      <c r="RBE401" s="111"/>
      <c r="RBF401" s="112"/>
      <c r="RBG401" s="113"/>
      <c r="RBI401" s="114"/>
      <c r="RBJ401" s="114"/>
      <c r="RBO401" s="111"/>
      <c r="RBP401" s="112"/>
      <c r="RBQ401" s="113"/>
      <c r="RBS401" s="114"/>
      <c r="RBT401" s="114"/>
      <c r="RBY401" s="111"/>
      <c r="RBZ401" s="112"/>
      <c r="RCA401" s="113"/>
      <c r="RCC401" s="114"/>
      <c r="RCD401" s="114"/>
      <c r="RCI401" s="111"/>
      <c r="RCJ401" s="112"/>
      <c r="RCK401" s="113"/>
      <c r="RCM401" s="114"/>
      <c r="RCN401" s="114"/>
      <c r="RCS401" s="111"/>
      <c r="RCT401" s="112"/>
      <c r="RCU401" s="113"/>
      <c r="RCW401" s="114"/>
      <c r="RCX401" s="114"/>
      <c r="RDC401" s="111"/>
      <c r="RDD401" s="112"/>
      <c r="RDE401" s="113"/>
      <c r="RDG401" s="114"/>
      <c r="RDH401" s="114"/>
      <c r="RDM401" s="111"/>
      <c r="RDN401" s="112"/>
      <c r="RDO401" s="113"/>
      <c r="RDQ401" s="114"/>
      <c r="RDR401" s="114"/>
      <c r="RDW401" s="111"/>
      <c r="RDX401" s="112"/>
      <c r="RDY401" s="113"/>
      <c r="REA401" s="114"/>
      <c r="REB401" s="114"/>
      <c r="REG401" s="111"/>
      <c r="REH401" s="112"/>
      <c r="REI401" s="113"/>
      <c r="REK401" s="114"/>
      <c r="REL401" s="114"/>
      <c r="REQ401" s="111"/>
      <c r="RER401" s="112"/>
      <c r="RES401" s="113"/>
      <c r="REU401" s="114"/>
      <c r="REV401" s="114"/>
      <c r="RFA401" s="111"/>
      <c r="RFB401" s="112"/>
      <c r="RFC401" s="113"/>
      <c r="RFE401" s="114"/>
      <c r="RFF401" s="114"/>
      <c r="RFK401" s="111"/>
      <c r="RFL401" s="112"/>
      <c r="RFM401" s="113"/>
      <c r="RFO401" s="114"/>
      <c r="RFP401" s="114"/>
      <c r="RFU401" s="111"/>
      <c r="RFV401" s="112"/>
      <c r="RFW401" s="113"/>
      <c r="RFY401" s="114"/>
      <c r="RFZ401" s="114"/>
      <c r="RGE401" s="111"/>
      <c r="RGF401" s="112"/>
      <c r="RGG401" s="113"/>
      <c r="RGI401" s="114"/>
      <c r="RGJ401" s="114"/>
      <c r="RGO401" s="111"/>
      <c r="RGP401" s="112"/>
      <c r="RGQ401" s="113"/>
      <c r="RGS401" s="114"/>
      <c r="RGT401" s="114"/>
      <c r="RGY401" s="111"/>
      <c r="RGZ401" s="112"/>
      <c r="RHA401" s="113"/>
      <c r="RHC401" s="114"/>
      <c r="RHD401" s="114"/>
      <c r="RHI401" s="111"/>
      <c r="RHJ401" s="112"/>
      <c r="RHK401" s="113"/>
      <c r="RHM401" s="114"/>
      <c r="RHN401" s="114"/>
      <c r="RHS401" s="111"/>
      <c r="RHT401" s="112"/>
      <c r="RHU401" s="113"/>
      <c r="RHW401" s="114"/>
      <c r="RHX401" s="114"/>
      <c r="RIC401" s="111"/>
      <c r="RID401" s="112"/>
      <c r="RIE401" s="113"/>
      <c r="RIG401" s="114"/>
      <c r="RIH401" s="114"/>
      <c r="RIM401" s="111"/>
      <c r="RIN401" s="112"/>
      <c r="RIO401" s="113"/>
      <c r="RIQ401" s="114"/>
      <c r="RIR401" s="114"/>
      <c r="RIW401" s="111"/>
      <c r="RIX401" s="112"/>
      <c r="RIY401" s="113"/>
      <c r="RJA401" s="114"/>
      <c r="RJB401" s="114"/>
      <c r="RJG401" s="111"/>
      <c r="RJH401" s="112"/>
      <c r="RJI401" s="113"/>
      <c r="RJK401" s="114"/>
      <c r="RJL401" s="114"/>
      <c r="RJQ401" s="111"/>
      <c r="RJR401" s="112"/>
      <c r="RJS401" s="113"/>
      <c r="RJU401" s="114"/>
      <c r="RJV401" s="114"/>
      <c r="RKA401" s="111"/>
      <c r="RKB401" s="112"/>
      <c r="RKC401" s="113"/>
      <c r="RKE401" s="114"/>
      <c r="RKF401" s="114"/>
      <c r="RKK401" s="111"/>
      <c r="RKL401" s="112"/>
      <c r="RKM401" s="113"/>
      <c r="RKO401" s="114"/>
      <c r="RKP401" s="114"/>
      <c r="RKU401" s="111"/>
      <c r="RKV401" s="112"/>
      <c r="RKW401" s="113"/>
      <c r="RKY401" s="114"/>
      <c r="RKZ401" s="114"/>
      <c r="RLE401" s="111"/>
      <c r="RLF401" s="112"/>
      <c r="RLG401" s="113"/>
      <c r="RLI401" s="114"/>
      <c r="RLJ401" s="114"/>
      <c r="RLO401" s="111"/>
      <c r="RLP401" s="112"/>
      <c r="RLQ401" s="113"/>
      <c r="RLS401" s="114"/>
      <c r="RLT401" s="114"/>
      <c r="RLY401" s="111"/>
      <c r="RLZ401" s="112"/>
      <c r="RMA401" s="113"/>
      <c r="RMC401" s="114"/>
      <c r="RMD401" s="114"/>
      <c r="RMI401" s="111"/>
      <c r="RMJ401" s="112"/>
      <c r="RMK401" s="113"/>
      <c r="RMM401" s="114"/>
      <c r="RMN401" s="114"/>
      <c r="RMS401" s="111"/>
      <c r="RMT401" s="112"/>
      <c r="RMU401" s="113"/>
      <c r="RMW401" s="114"/>
      <c r="RMX401" s="114"/>
      <c r="RNC401" s="111"/>
      <c r="RND401" s="112"/>
      <c r="RNE401" s="113"/>
      <c r="RNG401" s="114"/>
      <c r="RNH401" s="114"/>
      <c r="RNM401" s="111"/>
      <c r="RNN401" s="112"/>
      <c r="RNO401" s="113"/>
      <c r="RNQ401" s="114"/>
      <c r="RNR401" s="114"/>
      <c r="RNW401" s="111"/>
      <c r="RNX401" s="112"/>
      <c r="RNY401" s="113"/>
      <c r="ROA401" s="114"/>
      <c r="ROB401" s="114"/>
      <c r="ROG401" s="111"/>
      <c r="ROH401" s="112"/>
      <c r="ROI401" s="113"/>
      <c r="ROK401" s="114"/>
      <c r="ROL401" s="114"/>
      <c r="ROQ401" s="111"/>
      <c r="ROR401" s="112"/>
      <c r="ROS401" s="113"/>
      <c r="ROU401" s="114"/>
      <c r="ROV401" s="114"/>
      <c r="RPA401" s="111"/>
      <c r="RPB401" s="112"/>
      <c r="RPC401" s="113"/>
      <c r="RPE401" s="114"/>
      <c r="RPF401" s="114"/>
      <c r="RPK401" s="111"/>
      <c r="RPL401" s="112"/>
      <c r="RPM401" s="113"/>
      <c r="RPO401" s="114"/>
      <c r="RPP401" s="114"/>
      <c r="RPU401" s="111"/>
      <c r="RPV401" s="112"/>
      <c r="RPW401" s="113"/>
      <c r="RPY401" s="114"/>
      <c r="RPZ401" s="114"/>
      <c r="RQE401" s="111"/>
      <c r="RQF401" s="112"/>
      <c r="RQG401" s="113"/>
      <c r="RQI401" s="114"/>
      <c r="RQJ401" s="114"/>
      <c r="RQO401" s="111"/>
      <c r="RQP401" s="112"/>
      <c r="RQQ401" s="113"/>
      <c r="RQS401" s="114"/>
      <c r="RQT401" s="114"/>
      <c r="RQY401" s="111"/>
      <c r="RQZ401" s="112"/>
      <c r="RRA401" s="113"/>
      <c r="RRC401" s="114"/>
      <c r="RRD401" s="114"/>
      <c r="RRI401" s="111"/>
      <c r="RRJ401" s="112"/>
      <c r="RRK401" s="113"/>
      <c r="RRM401" s="114"/>
      <c r="RRN401" s="114"/>
      <c r="RRS401" s="111"/>
      <c r="RRT401" s="112"/>
      <c r="RRU401" s="113"/>
      <c r="RRW401" s="114"/>
      <c r="RRX401" s="114"/>
      <c r="RSC401" s="111"/>
      <c r="RSD401" s="112"/>
      <c r="RSE401" s="113"/>
      <c r="RSG401" s="114"/>
      <c r="RSH401" s="114"/>
      <c r="RSM401" s="111"/>
      <c r="RSN401" s="112"/>
      <c r="RSO401" s="113"/>
      <c r="RSQ401" s="114"/>
      <c r="RSR401" s="114"/>
      <c r="RSW401" s="111"/>
      <c r="RSX401" s="112"/>
      <c r="RSY401" s="113"/>
      <c r="RTA401" s="114"/>
      <c r="RTB401" s="114"/>
      <c r="RTG401" s="111"/>
      <c r="RTH401" s="112"/>
      <c r="RTI401" s="113"/>
      <c r="RTK401" s="114"/>
      <c r="RTL401" s="114"/>
      <c r="RTQ401" s="111"/>
      <c r="RTR401" s="112"/>
      <c r="RTS401" s="113"/>
      <c r="RTU401" s="114"/>
      <c r="RTV401" s="114"/>
      <c r="RUA401" s="111"/>
      <c r="RUB401" s="112"/>
      <c r="RUC401" s="113"/>
      <c r="RUE401" s="114"/>
      <c r="RUF401" s="114"/>
      <c r="RUK401" s="111"/>
      <c r="RUL401" s="112"/>
      <c r="RUM401" s="113"/>
      <c r="RUO401" s="114"/>
      <c r="RUP401" s="114"/>
      <c r="RUU401" s="111"/>
      <c r="RUV401" s="112"/>
      <c r="RUW401" s="113"/>
      <c r="RUY401" s="114"/>
      <c r="RUZ401" s="114"/>
      <c r="RVE401" s="111"/>
      <c r="RVF401" s="112"/>
      <c r="RVG401" s="113"/>
      <c r="RVI401" s="114"/>
      <c r="RVJ401" s="114"/>
      <c r="RVO401" s="111"/>
      <c r="RVP401" s="112"/>
      <c r="RVQ401" s="113"/>
      <c r="RVS401" s="114"/>
      <c r="RVT401" s="114"/>
      <c r="RVY401" s="111"/>
      <c r="RVZ401" s="112"/>
      <c r="RWA401" s="113"/>
      <c r="RWC401" s="114"/>
      <c r="RWD401" s="114"/>
      <c r="RWI401" s="111"/>
      <c r="RWJ401" s="112"/>
      <c r="RWK401" s="113"/>
      <c r="RWM401" s="114"/>
      <c r="RWN401" s="114"/>
      <c r="RWS401" s="111"/>
      <c r="RWT401" s="112"/>
      <c r="RWU401" s="113"/>
      <c r="RWW401" s="114"/>
      <c r="RWX401" s="114"/>
      <c r="RXC401" s="111"/>
      <c r="RXD401" s="112"/>
      <c r="RXE401" s="113"/>
      <c r="RXG401" s="114"/>
      <c r="RXH401" s="114"/>
      <c r="RXM401" s="111"/>
      <c r="RXN401" s="112"/>
      <c r="RXO401" s="113"/>
      <c r="RXQ401" s="114"/>
      <c r="RXR401" s="114"/>
      <c r="RXW401" s="111"/>
      <c r="RXX401" s="112"/>
      <c r="RXY401" s="113"/>
      <c r="RYA401" s="114"/>
      <c r="RYB401" s="114"/>
      <c r="RYG401" s="111"/>
      <c r="RYH401" s="112"/>
      <c r="RYI401" s="113"/>
      <c r="RYK401" s="114"/>
      <c r="RYL401" s="114"/>
      <c r="RYQ401" s="111"/>
      <c r="RYR401" s="112"/>
      <c r="RYS401" s="113"/>
      <c r="RYU401" s="114"/>
      <c r="RYV401" s="114"/>
      <c r="RZA401" s="111"/>
      <c r="RZB401" s="112"/>
      <c r="RZC401" s="113"/>
      <c r="RZE401" s="114"/>
      <c r="RZF401" s="114"/>
      <c r="RZK401" s="111"/>
      <c r="RZL401" s="112"/>
      <c r="RZM401" s="113"/>
      <c r="RZO401" s="114"/>
      <c r="RZP401" s="114"/>
      <c r="RZU401" s="111"/>
      <c r="RZV401" s="112"/>
      <c r="RZW401" s="113"/>
      <c r="RZY401" s="114"/>
      <c r="RZZ401" s="114"/>
      <c r="SAE401" s="111"/>
      <c r="SAF401" s="112"/>
      <c r="SAG401" s="113"/>
      <c r="SAI401" s="114"/>
      <c r="SAJ401" s="114"/>
      <c r="SAO401" s="111"/>
      <c r="SAP401" s="112"/>
      <c r="SAQ401" s="113"/>
      <c r="SAS401" s="114"/>
      <c r="SAT401" s="114"/>
      <c r="SAY401" s="111"/>
      <c r="SAZ401" s="112"/>
      <c r="SBA401" s="113"/>
      <c r="SBC401" s="114"/>
      <c r="SBD401" s="114"/>
      <c r="SBI401" s="111"/>
      <c r="SBJ401" s="112"/>
      <c r="SBK401" s="113"/>
      <c r="SBM401" s="114"/>
      <c r="SBN401" s="114"/>
      <c r="SBS401" s="111"/>
      <c r="SBT401" s="112"/>
      <c r="SBU401" s="113"/>
      <c r="SBW401" s="114"/>
      <c r="SBX401" s="114"/>
      <c r="SCC401" s="111"/>
      <c r="SCD401" s="112"/>
      <c r="SCE401" s="113"/>
      <c r="SCG401" s="114"/>
      <c r="SCH401" s="114"/>
      <c r="SCM401" s="111"/>
      <c r="SCN401" s="112"/>
      <c r="SCO401" s="113"/>
      <c r="SCQ401" s="114"/>
      <c r="SCR401" s="114"/>
      <c r="SCW401" s="111"/>
      <c r="SCX401" s="112"/>
      <c r="SCY401" s="113"/>
      <c r="SDA401" s="114"/>
      <c r="SDB401" s="114"/>
      <c r="SDG401" s="111"/>
      <c r="SDH401" s="112"/>
      <c r="SDI401" s="113"/>
      <c r="SDK401" s="114"/>
      <c r="SDL401" s="114"/>
      <c r="SDQ401" s="111"/>
      <c r="SDR401" s="112"/>
      <c r="SDS401" s="113"/>
      <c r="SDU401" s="114"/>
      <c r="SDV401" s="114"/>
      <c r="SEA401" s="111"/>
      <c r="SEB401" s="112"/>
      <c r="SEC401" s="113"/>
      <c r="SEE401" s="114"/>
      <c r="SEF401" s="114"/>
      <c r="SEK401" s="111"/>
      <c r="SEL401" s="112"/>
      <c r="SEM401" s="113"/>
      <c r="SEO401" s="114"/>
      <c r="SEP401" s="114"/>
      <c r="SEU401" s="111"/>
      <c r="SEV401" s="112"/>
      <c r="SEW401" s="113"/>
      <c r="SEY401" s="114"/>
      <c r="SEZ401" s="114"/>
      <c r="SFE401" s="111"/>
      <c r="SFF401" s="112"/>
      <c r="SFG401" s="113"/>
      <c r="SFI401" s="114"/>
      <c r="SFJ401" s="114"/>
      <c r="SFO401" s="111"/>
      <c r="SFP401" s="112"/>
      <c r="SFQ401" s="113"/>
      <c r="SFS401" s="114"/>
      <c r="SFT401" s="114"/>
      <c r="SFY401" s="111"/>
      <c r="SFZ401" s="112"/>
      <c r="SGA401" s="113"/>
      <c r="SGC401" s="114"/>
      <c r="SGD401" s="114"/>
      <c r="SGI401" s="111"/>
      <c r="SGJ401" s="112"/>
      <c r="SGK401" s="113"/>
      <c r="SGM401" s="114"/>
      <c r="SGN401" s="114"/>
      <c r="SGS401" s="111"/>
      <c r="SGT401" s="112"/>
      <c r="SGU401" s="113"/>
      <c r="SGW401" s="114"/>
      <c r="SGX401" s="114"/>
      <c r="SHC401" s="111"/>
      <c r="SHD401" s="112"/>
      <c r="SHE401" s="113"/>
      <c r="SHG401" s="114"/>
      <c r="SHH401" s="114"/>
      <c r="SHM401" s="111"/>
      <c r="SHN401" s="112"/>
      <c r="SHO401" s="113"/>
      <c r="SHQ401" s="114"/>
      <c r="SHR401" s="114"/>
      <c r="SHW401" s="111"/>
      <c r="SHX401" s="112"/>
      <c r="SHY401" s="113"/>
      <c r="SIA401" s="114"/>
      <c r="SIB401" s="114"/>
      <c r="SIG401" s="111"/>
      <c r="SIH401" s="112"/>
      <c r="SII401" s="113"/>
      <c r="SIK401" s="114"/>
      <c r="SIL401" s="114"/>
      <c r="SIQ401" s="111"/>
      <c r="SIR401" s="112"/>
      <c r="SIS401" s="113"/>
      <c r="SIU401" s="114"/>
      <c r="SIV401" s="114"/>
      <c r="SJA401" s="111"/>
      <c r="SJB401" s="112"/>
      <c r="SJC401" s="113"/>
      <c r="SJE401" s="114"/>
      <c r="SJF401" s="114"/>
      <c r="SJK401" s="111"/>
      <c r="SJL401" s="112"/>
      <c r="SJM401" s="113"/>
      <c r="SJO401" s="114"/>
      <c r="SJP401" s="114"/>
      <c r="SJU401" s="111"/>
      <c r="SJV401" s="112"/>
      <c r="SJW401" s="113"/>
      <c r="SJY401" s="114"/>
      <c r="SJZ401" s="114"/>
      <c r="SKE401" s="111"/>
      <c r="SKF401" s="112"/>
      <c r="SKG401" s="113"/>
      <c r="SKI401" s="114"/>
      <c r="SKJ401" s="114"/>
      <c r="SKO401" s="111"/>
      <c r="SKP401" s="112"/>
      <c r="SKQ401" s="113"/>
      <c r="SKS401" s="114"/>
      <c r="SKT401" s="114"/>
      <c r="SKY401" s="111"/>
      <c r="SKZ401" s="112"/>
      <c r="SLA401" s="113"/>
      <c r="SLC401" s="114"/>
      <c r="SLD401" s="114"/>
      <c r="SLI401" s="111"/>
      <c r="SLJ401" s="112"/>
      <c r="SLK401" s="113"/>
      <c r="SLM401" s="114"/>
      <c r="SLN401" s="114"/>
      <c r="SLS401" s="111"/>
      <c r="SLT401" s="112"/>
      <c r="SLU401" s="113"/>
      <c r="SLW401" s="114"/>
      <c r="SLX401" s="114"/>
      <c r="SMC401" s="111"/>
      <c r="SMD401" s="112"/>
      <c r="SME401" s="113"/>
      <c r="SMG401" s="114"/>
      <c r="SMH401" s="114"/>
      <c r="SMM401" s="111"/>
      <c r="SMN401" s="112"/>
      <c r="SMO401" s="113"/>
      <c r="SMQ401" s="114"/>
      <c r="SMR401" s="114"/>
      <c r="SMW401" s="111"/>
      <c r="SMX401" s="112"/>
      <c r="SMY401" s="113"/>
      <c r="SNA401" s="114"/>
      <c r="SNB401" s="114"/>
      <c r="SNG401" s="111"/>
      <c r="SNH401" s="112"/>
      <c r="SNI401" s="113"/>
      <c r="SNK401" s="114"/>
      <c r="SNL401" s="114"/>
      <c r="SNQ401" s="111"/>
      <c r="SNR401" s="112"/>
      <c r="SNS401" s="113"/>
      <c r="SNU401" s="114"/>
      <c r="SNV401" s="114"/>
      <c r="SOA401" s="111"/>
      <c r="SOB401" s="112"/>
      <c r="SOC401" s="113"/>
      <c r="SOE401" s="114"/>
      <c r="SOF401" s="114"/>
      <c r="SOK401" s="111"/>
      <c r="SOL401" s="112"/>
      <c r="SOM401" s="113"/>
      <c r="SOO401" s="114"/>
      <c r="SOP401" s="114"/>
      <c r="SOU401" s="111"/>
      <c r="SOV401" s="112"/>
      <c r="SOW401" s="113"/>
      <c r="SOY401" s="114"/>
      <c r="SOZ401" s="114"/>
      <c r="SPE401" s="111"/>
      <c r="SPF401" s="112"/>
      <c r="SPG401" s="113"/>
      <c r="SPI401" s="114"/>
      <c r="SPJ401" s="114"/>
      <c r="SPO401" s="111"/>
      <c r="SPP401" s="112"/>
      <c r="SPQ401" s="113"/>
      <c r="SPS401" s="114"/>
      <c r="SPT401" s="114"/>
      <c r="SPY401" s="111"/>
      <c r="SPZ401" s="112"/>
      <c r="SQA401" s="113"/>
      <c r="SQC401" s="114"/>
      <c r="SQD401" s="114"/>
      <c r="SQI401" s="111"/>
      <c r="SQJ401" s="112"/>
      <c r="SQK401" s="113"/>
      <c r="SQM401" s="114"/>
      <c r="SQN401" s="114"/>
      <c r="SQS401" s="111"/>
      <c r="SQT401" s="112"/>
      <c r="SQU401" s="113"/>
      <c r="SQW401" s="114"/>
      <c r="SQX401" s="114"/>
      <c r="SRC401" s="111"/>
      <c r="SRD401" s="112"/>
      <c r="SRE401" s="113"/>
      <c r="SRG401" s="114"/>
      <c r="SRH401" s="114"/>
      <c r="SRM401" s="111"/>
      <c r="SRN401" s="112"/>
      <c r="SRO401" s="113"/>
      <c r="SRQ401" s="114"/>
      <c r="SRR401" s="114"/>
      <c r="SRW401" s="111"/>
      <c r="SRX401" s="112"/>
      <c r="SRY401" s="113"/>
      <c r="SSA401" s="114"/>
      <c r="SSB401" s="114"/>
      <c r="SSG401" s="111"/>
      <c r="SSH401" s="112"/>
      <c r="SSI401" s="113"/>
      <c r="SSK401" s="114"/>
      <c r="SSL401" s="114"/>
      <c r="SSQ401" s="111"/>
      <c r="SSR401" s="112"/>
      <c r="SSS401" s="113"/>
      <c r="SSU401" s="114"/>
      <c r="SSV401" s="114"/>
      <c r="STA401" s="111"/>
      <c r="STB401" s="112"/>
      <c r="STC401" s="113"/>
      <c r="STE401" s="114"/>
      <c r="STF401" s="114"/>
      <c r="STK401" s="111"/>
      <c r="STL401" s="112"/>
      <c r="STM401" s="113"/>
      <c r="STO401" s="114"/>
      <c r="STP401" s="114"/>
      <c r="STU401" s="111"/>
      <c r="STV401" s="112"/>
      <c r="STW401" s="113"/>
      <c r="STY401" s="114"/>
      <c r="STZ401" s="114"/>
      <c r="SUE401" s="111"/>
      <c r="SUF401" s="112"/>
      <c r="SUG401" s="113"/>
      <c r="SUI401" s="114"/>
      <c r="SUJ401" s="114"/>
      <c r="SUO401" s="111"/>
      <c r="SUP401" s="112"/>
      <c r="SUQ401" s="113"/>
      <c r="SUS401" s="114"/>
      <c r="SUT401" s="114"/>
      <c r="SUY401" s="111"/>
      <c r="SUZ401" s="112"/>
      <c r="SVA401" s="113"/>
      <c r="SVC401" s="114"/>
      <c r="SVD401" s="114"/>
      <c r="SVI401" s="111"/>
      <c r="SVJ401" s="112"/>
      <c r="SVK401" s="113"/>
      <c r="SVM401" s="114"/>
      <c r="SVN401" s="114"/>
      <c r="SVS401" s="111"/>
      <c r="SVT401" s="112"/>
      <c r="SVU401" s="113"/>
      <c r="SVW401" s="114"/>
      <c r="SVX401" s="114"/>
      <c r="SWC401" s="111"/>
      <c r="SWD401" s="112"/>
      <c r="SWE401" s="113"/>
      <c r="SWG401" s="114"/>
      <c r="SWH401" s="114"/>
      <c r="SWM401" s="111"/>
      <c r="SWN401" s="112"/>
      <c r="SWO401" s="113"/>
      <c r="SWQ401" s="114"/>
      <c r="SWR401" s="114"/>
      <c r="SWW401" s="111"/>
      <c r="SWX401" s="112"/>
      <c r="SWY401" s="113"/>
      <c r="SXA401" s="114"/>
      <c r="SXB401" s="114"/>
      <c r="SXG401" s="111"/>
      <c r="SXH401" s="112"/>
      <c r="SXI401" s="113"/>
      <c r="SXK401" s="114"/>
      <c r="SXL401" s="114"/>
      <c r="SXQ401" s="111"/>
      <c r="SXR401" s="112"/>
      <c r="SXS401" s="113"/>
      <c r="SXU401" s="114"/>
      <c r="SXV401" s="114"/>
      <c r="SYA401" s="111"/>
      <c r="SYB401" s="112"/>
      <c r="SYC401" s="113"/>
      <c r="SYE401" s="114"/>
      <c r="SYF401" s="114"/>
      <c r="SYK401" s="111"/>
      <c r="SYL401" s="112"/>
      <c r="SYM401" s="113"/>
      <c r="SYO401" s="114"/>
      <c r="SYP401" s="114"/>
      <c r="SYU401" s="111"/>
      <c r="SYV401" s="112"/>
      <c r="SYW401" s="113"/>
      <c r="SYY401" s="114"/>
      <c r="SYZ401" s="114"/>
      <c r="SZE401" s="111"/>
      <c r="SZF401" s="112"/>
      <c r="SZG401" s="113"/>
      <c r="SZI401" s="114"/>
      <c r="SZJ401" s="114"/>
      <c r="SZO401" s="111"/>
      <c r="SZP401" s="112"/>
      <c r="SZQ401" s="113"/>
      <c r="SZS401" s="114"/>
      <c r="SZT401" s="114"/>
      <c r="SZY401" s="111"/>
      <c r="SZZ401" s="112"/>
      <c r="TAA401" s="113"/>
      <c r="TAC401" s="114"/>
      <c r="TAD401" s="114"/>
      <c r="TAI401" s="111"/>
      <c r="TAJ401" s="112"/>
      <c r="TAK401" s="113"/>
      <c r="TAM401" s="114"/>
      <c r="TAN401" s="114"/>
      <c r="TAS401" s="111"/>
      <c r="TAT401" s="112"/>
      <c r="TAU401" s="113"/>
      <c r="TAW401" s="114"/>
      <c r="TAX401" s="114"/>
      <c r="TBC401" s="111"/>
      <c r="TBD401" s="112"/>
      <c r="TBE401" s="113"/>
      <c r="TBG401" s="114"/>
      <c r="TBH401" s="114"/>
      <c r="TBM401" s="111"/>
      <c r="TBN401" s="112"/>
      <c r="TBO401" s="113"/>
      <c r="TBQ401" s="114"/>
      <c r="TBR401" s="114"/>
      <c r="TBW401" s="111"/>
      <c r="TBX401" s="112"/>
      <c r="TBY401" s="113"/>
      <c r="TCA401" s="114"/>
      <c r="TCB401" s="114"/>
      <c r="TCG401" s="111"/>
      <c r="TCH401" s="112"/>
      <c r="TCI401" s="113"/>
      <c r="TCK401" s="114"/>
      <c r="TCL401" s="114"/>
      <c r="TCQ401" s="111"/>
      <c r="TCR401" s="112"/>
      <c r="TCS401" s="113"/>
      <c r="TCU401" s="114"/>
      <c r="TCV401" s="114"/>
      <c r="TDA401" s="111"/>
      <c r="TDB401" s="112"/>
      <c r="TDC401" s="113"/>
      <c r="TDE401" s="114"/>
      <c r="TDF401" s="114"/>
      <c r="TDK401" s="111"/>
      <c r="TDL401" s="112"/>
      <c r="TDM401" s="113"/>
      <c r="TDO401" s="114"/>
      <c r="TDP401" s="114"/>
      <c r="TDU401" s="111"/>
      <c r="TDV401" s="112"/>
      <c r="TDW401" s="113"/>
      <c r="TDY401" s="114"/>
      <c r="TDZ401" s="114"/>
      <c r="TEE401" s="111"/>
      <c r="TEF401" s="112"/>
      <c r="TEG401" s="113"/>
      <c r="TEI401" s="114"/>
      <c r="TEJ401" s="114"/>
      <c r="TEO401" s="111"/>
      <c r="TEP401" s="112"/>
      <c r="TEQ401" s="113"/>
      <c r="TES401" s="114"/>
      <c r="TET401" s="114"/>
      <c r="TEY401" s="111"/>
      <c r="TEZ401" s="112"/>
      <c r="TFA401" s="113"/>
      <c r="TFC401" s="114"/>
      <c r="TFD401" s="114"/>
      <c r="TFI401" s="111"/>
      <c r="TFJ401" s="112"/>
      <c r="TFK401" s="113"/>
      <c r="TFM401" s="114"/>
      <c r="TFN401" s="114"/>
      <c r="TFS401" s="111"/>
      <c r="TFT401" s="112"/>
      <c r="TFU401" s="113"/>
      <c r="TFW401" s="114"/>
      <c r="TFX401" s="114"/>
      <c r="TGC401" s="111"/>
      <c r="TGD401" s="112"/>
      <c r="TGE401" s="113"/>
      <c r="TGG401" s="114"/>
      <c r="TGH401" s="114"/>
      <c r="TGM401" s="111"/>
      <c r="TGN401" s="112"/>
      <c r="TGO401" s="113"/>
      <c r="TGQ401" s="114"/>
      <c r="TGR401" s="114"/>
      <c r="TGW401" s="111"/>
      <c r="TGX401" s="112"/>
      <c r="TGY401" s="113"/>
      <c r="THA401" s="114"/>
      <c r="THB401" s="114"/>
      <c r="THG401" s="111"/>
      <c r="THH401" s="112"/>
      <c r="THI401" s="113"/>
      <c r="THK401" s="114"/>
      <c r="THL401" s="114"/>
      <c r="THQ401" s="111"/>
      <c r="THR401" s="112"/>
      <c r="THS401" s="113"/>
      <c r="THU401" s="114"/>
      <c r="THV401" s="114"/>
      <c r="TIA401" s="111"/>
      <c r="TIB401" s="112"/>
      <c r="TIC401" s="113"/>
      <c r="TIE401" s="114"/>
      <c r="TIF401" s="114"/>
      <c r="TIK401" s="111"/>
      <c r="TIL401" s="112"/>
      <c r="TIM401" s="113"/>
      <c r="TIO401" s="114"/>
      <c r="TIP401" s="114"/>
      <c r="TIU401" s="111"/>
      <c r="TIV401" s="112"/>
      <c r="TIW401" s="113"/>
      <c r="TIY401" s="114"/>
      <c r="TIZ401" s="114"/>
      <c r="TJE401" s="111"/>
      <c r="TJF401" s="112"/>
      <c r="TJG401" s="113"/>
      <c r="TJI401" s="114"/>
      <c r="TJJ401" s="114"/>
      <c r="TJO401" s="111"/>
      <c r="TJP401" s="112"/>
      <c r="TJQ401" s="113"/>
      <c r="TJS401" s="114"/>
      <c r="TJT401" s="114"/>
      <c r="TJY401" s="111"/>
      <c r="TJZ401" s="112"/>
      <c r="TKA401" s="113"/>
      <c r="TKC401" s="114"/>
      <c r="TKD401" s="114"/>
      <c r="TKI401" s="111"/>
      <c r="TKJ401" s="112"/>
      <c r="TKK401" s="113"/>
      <c r="TKM401" s="114"/>
      <c r="TKN401" s="114"/>
      <c r="TKS401" s="111"/>
      <c r="TKT401" s="112"/>
      <c r="TKU401" s="113"/>
      <c r="TKW401" s="114"/>
      <c r="TKX401" s="114"/>
      <c r="TLC401" s="111"/>
      <c r="TLD401" s="112"/>
      <c r="TLE401" s="113"/>
      <c r="TLG401" s="114"/>
      <c r="TLH401" s="114"/>
      <c r="TLM401" s="111"/>
      <c r="TLN401" s="112"/>
      <c r="TLO401" s="113"/>
      <c r="TLQ401" s="114"/>
      <c r="TLR401" s="114"/>
      <c r="TLW401" s="111"/>
      <c r="TLX401" s="112"/>
      <c r="TLY401" s="113"/>
      <c r="TMA401" s="114"/>
      <c r="TMB401" s="114"/>
      <c r="TMG401" s="111"/>
      <c r="TMH401" s="112"/>
      <c r="TMI401" s="113"/>
      <c r="TMK401" s="114"/>
      <c r="TML401" s="114"/>
      <c r="TMQ401" s="111"/>
      <c r="TMR401" s="112"/>
      <c r="TMS401" s="113"/>
      <c r="TMU401" s="114"/>
      <c r="TMV401" s="114"/>
      <c r="TNA401" s="111"/>
      <c r="TNB401" s="112"/>
      <c r="TNC401" s="113"/>
      <c r="TNE401" s="114"/>
      <c r="TNF401" s="114"/>
      <c r="TNK401" s="111"/>
      <c r="TNL401" s="112"/>
      <c r="TNM401" s="113"/>
      <c r="TNO401" s="114"/>
      <c r="TNP401" s="114"/>
      <c r="TNU401" s="111"/>
      <c r="TNV401" s="112"/>
      <c r="TNW401" s="113"/>
      <c r="TNY401" s="114"/>
      <c r="TNZ401" s="114"/>
      <c r="TOE401" s="111"/>
      <c r="TOF401" s="112"/>
      <c r="TOG401" s="113"/>
      <c r="TOI401" s="114"/>
      <c r="TOJ401" s="114"/>
      <c r="TOO401" s="111"/>
      <c r="TOP401" s="112"/>
      <c r="TOQ401" s="113"/>
      <c r="TOS401" s="114"/>
      <c r="TOT401" s="114"/>
      <c r="TOY401" s="111"/>
      <c r="TOZ401" s="112"/>
      <c r="TPA401" s="113"/>
      <c r="TPC401" s="114"/>
      <c r="TPD401" s="114"/>
      <c r="TPI401" s="111"/>
      <c r="TPJ401" s="112"/>
      <c r="TPK401" s="113"/>
      <c r="TPM401" s="114"/>
      <c r="TPN401" s="114"/>
      <c r="TPS401" s="111"/>
      <c r="TPT401" s="112"/>
      <c r="TPU401" s="113"/>
      <c r="TPW401" s="114"/>
      <c r="TPX401" s="114"/>
      <c r="TQC401" s="111"/>
      <c r="TQD401" s="112"/>
      <c r="TQE401" s="113"/>
      <c r="TQG401" s="114"/>
      <c r="TQH401" s="114"/>
      <c r="TQM401" s="111"/>
      <c r="TQN401" s="112"/>
      <c r="TQO401" s="113"/>
      <c r="TQQ401" s="114"/>
      <c r="TQR401" s="114"/>
      <c r="TQW401" s="111"/>
      <c r="TQX401" s="112"/>
      <c r="TQY401" s="113"/>
      <c r="TRA401" s="114"/>
      <c r="TRB401" s="114"/>
      <c r="TRG401" s="111"/>
      <c r="TRH401" s="112"/>
      <c r="TRI401" s="113"/>
      <c r="TRK401" s="114"/>
      <c r="TRL401" s="114"/>
      <c r="TRQ401" s="111"/>
      <c r="TRR401" s="112"/>
      <c r="TRS401" s="113"/>
      <c r="TRU401" s="114"/>
      <c r="TRV401" s="114"/>
      <c r="TSA401" s="111"/>
      <c r="TSB401" s="112"/>
      <c r="TSC401" s="113"/>
      <c r="TSE401" s="114"/>
      <c r="TSF401" s="114"/>
      <c r="TSK401" s="111"/>
      <c r="TSL401" s="112"/>
      <c r="TSM401" s="113"/>
      <c r="TSO401" s="114"/>
      <c r="TSP401" s="114"/>
      <c r="TSU401" s="111"/>
      <c r="TSV401" s="112"/>
      <c r="TSW401" s="113"/>
      <c r="TSY401" s="114"/>
      <c r="TSZ401" s="114"/>
      <c r="TTE401" s="111"/>
      <c r="TTF401" s="112"/>
      <c r="TTG401" s="113"/>
      <c r="TTI401" s="114"/>
      <c r="TTJ401" s="114"/>
      <c r="TTO401" s="111"/>
      <c r="TTP401" s="112"/>
      <c r="TTQ401" s="113"/>
      <c r="TTS401" s="114"/>
      <c r="TTT401" s="114"/>
      <c r="TTY401" s="111"/>
      <c r="TTZ401" s="112"/>
      <c r="TUA401" s="113"/>
      <c r="TUC401" s="114"/>
      <c r="TUD401" s="114"/>
      <c r="TUI401" s="111"/>
      <c r="TUJ401" s="112"/>
      <c r="TUK401" s="113"/>
      <c r="TUM401" s="114"/>
      <c r="TUN401" s="114"/>
      <c r="TUS401" s="111"/>
      <c r="TUT401" s="112"/>
      <c r="TUU401" s="113"/>
      <c r="TUW401" s="114"/>
      <c r="TUX401" s="114"/>
      <c r="TVC401" s="111"/>
      <c r="TVD401" s="112"/>
      <c r="TVE401" s="113"/>
      <c r="TVG401" s="114"/>
      <c r="TVH401" s="114"/>
      <c r="TVM401" s="111"/>
      <c r="TVN401" s="112"/>
      <c r="TVO401" s="113"/>
      <c r="TVQ401" s="114"/>
      <c r="TVR401" s="114"/>
      <c r="TVW401" s="111"/>
      <c r="TVX401" s="112"/>
      <c r="TVY401" s="113"/>
      <c r="TWA401" s="114"/>
      <c r="TWB401" s="114"/>
      <c r="TWG401" s="111"/>
      <c r="TWH401" s="112"/>
      <c r="TWI401" s="113"/>
      <c r="TWK401" s="114"/>
      <c r="TWL401" s="114"/>
      <c r="TWQ401" s="111"/>
      <c r="TWR401" s="112"/>
      <c r="TWS401" s="113"/>
      <c r="TWU401" s="114"/>
      <c r="TWV401" s="114"/>
      <c r="TXA401" s="111"/>
      <c r="TXB401" s="112"/>
      <c r="TXC401" s="113"/>
      <c r="TXE401" s="114"/>
      <c r="TXF401" s="114"/>
      <c r="TXK401" s="111"/>
      <c r="TXL401" s="112"/>
      <c r="TXM401" s="113"/>
      <c r="TXO401" s="114"/>
      <c r="TXP401" s="114"/>
      <c r="TXU401" s="111"/>
      <c r="TXV401" s="112"/>
      <c r="TXW401" s="113"/>
      <c r="TXY401" s="114"/>
      <c r="TXZ401" s="114"/>
      <c r="TYE401" s="111"/>
      <c r="TYF401" s="112"/>
      <c r="TYG401" s="113"/>
      <c r="TYI401" s="114"/>
      <c r="TYJ401" s="114"/>
      <c r="TYO401" s="111"/>
      <c r="TYP401" s="112"/>
      <c r="TYQ401" s="113"/>
      <c r="TYS401" s="114"/>
      <c r="TYT401" s="114"/>
      <c r="TYY401" s="111"/>
      <c r="TYZ401" s="112"/>
      <c r="TZA401" s="113"/>
      <c r="TZC401" s="114"/>
      <c r="TZD401" s="114"/>
      <c r="TZI401" s="111"/>
      <c r="TZJ401" s="112"/>
      <c r="TZK401" s="113"/>
      <c r="TZM401" s="114"/>
      <c r="TZN401" s="114"/>
      <c r="TZS401" s="111"/>
      <c r="TZT401" s="112"/>
      <c r="TZU401" s="113"/>
      <c r="TZW401" s="114"/>
      <c r="TZX401" s="114"/>
      <c r="UAC401" s="111"/>
      <c r="UAD401" s="112"/>
      <c r="UAE401" s="113"/>
      <c r="UAG401" s="114"/>
      <c r="UAH401" s="114"/>
      <c r="UAM401" s="111"/>
      <c r="UAN401" s="112"/>
      <c r="UAO401" s="113"/>
      <c r="UAQ401" s="114"/>
      <c r="UAR401" s="114"/>
      <c r="UAW401" s="111"/>
      <c r="UAX401" s="112"/>
      <c r="UAY401" s="113"/>
      <c r="UBA401" s="114"/>
      <c r="UBB401" s="114"/>
      <c r="UBG401" s="111"/>
      <c r="UBH401" s="112"/>
      <c r="UBI401" s="113"/>
      <c r="UBK401" s="114"/>
      <c r="UBL401" s="114"/>
      <c r="UBQ401" s="111"/>
      <c r="UBR401" s="112"/>
      <c r="UBS401" s="113"/>
      <c r="UBU401" s="114"/>
      <c r="UBV401" s="114"/>
      <c r="UCA401" s="111"/>
      <c r="UCB401" s="112"/>
      <c r="UCC401" s="113"/>
      <c r="UCE401" s="114"/>
      <c r="UCF401" s="114"/>
      <c r="UCK401" s="111"/>
      <c r="UCL401" s="112"/>
      <c r="UCM401" s="113"/>
      <c r="UCO401" s="114"/>
      <c r="UCP401" s="114"/>
      <c r="UCU401" s="111"/>
      <c r="UCV401" s="112"/>
      <c r="UCW401" s="113"/>
      <c r="UCY401" s="114"/>
      <c r="UCZ401" s="114"/>
      <c r="UDE401" s="111"/>
      <c r="UDF401" s="112"/>
      <c r="UDG401" s="113"/>
      <c r="UDI401" s="114"/>
      <c r="UDJ401" s="114"/>
      <c r="UDO401" s="111"/>
      <c r="UDP401" s="112"/>
      <c r="UDQ401" s="113"/>
      <c r="UDS401" s="114"/>
      <c r="UDT401" s="114"/>
      <c r="UDY401" s="111"/>
      <c r="UDZ401" s="112"/>
      <c r="UEA401" s="113"/>
      <c r="UEC401" s="114"/>
      <c r="UED401" s="114"/>
      <c r="UEI401" s="111"/>
      <c r="UEJ401" s="112"/>
      <c r="UEK401" s="113"/>
      <c r="UEM401" s="114"/>
      <c r="UEN401" s="114"/>
      <c r="UES401" s="111"/>
      <c r="UET401" s="112"/>
      <c r="UEU401" s="113"/>
      <c r="UEW401" s="114"/>
      <c r="UEX401" s="114"/>
      <c r="UFC401" s="111"/>
      <c r="UFD401" s="112"/>
      <c r="UFE401" s="113"/>
      <c r="UFG401" s="114"/>
      <c r="UFH401" s="114"/>
      <c r="UFM401" s="111"/>
      <c r="UFN401" s="112"/>
      <c r="UFO401" s="113"/>
      <c r="UFQ401" s="114"/>
      <c r="UFR401" s="114"/>
      <c r="UFW401" s="111"/>
      <c r="UFX401" s="112"/>
      <c r="UFY401" s="113"/>
      <c r="UGA401" s="114"/>
      <c r="UGB401" s="114"/>
      <c r="UGG401" s="111"/>
      <c r="UGH401" s="112"/>
      <c r="UGI401" s="113"/>
      <c r="UGK401" s="114"/>
      <c r="UGL401" s="114"/>
      <c r="UGQ401" s="111"/>
      <c r="UGR401" s="112"/>
      <c r="UGS401" s="113"/>
      <c r="UGU401" s="114"/>
      <c r="UGV401" s="114"/>
      <c r="UHA401" s="111"/>
      <c r="UHB401" s="112"/>
      <c r="UHC401" s="113"/>
      <c r="UHE401" s="114"/>
      <c r="UHF401" s="114"/>
      <c r="UHK401" s="111"/>
      <c r="UHL401" s="112"/>
      <c r="UHM401" s="113"/>
      <c r="UHO401" s="114"/>
      <c r="UHP401" s="114"/>
      <c r="UHU401" s="111"/>
      <c r="UHV401" s="112"/>
      <c r="UHW401" s="113"/>
      <c r="UHY401" s="114"/>
      <c r="UHZ401" s="114"/>
      <c r="UIE401" s="111"/>
      <c r="UIF401" s="112"/>
      <c r="UIG401" s="113"/>
      <c r="UII401" s="114"/>
      <c r="UIJ401" s="114"/>
      <c r="UIO401" s="111"/>
      <c r="UIP401" s="112"/>
      <c r="UIQ401" s="113"/>
      <c r="UIS401" s="114"/>
      <c r="UIT401" s="114"/>
      <c r="UIY401" s="111"/>
      <c r="UIZ401" s="112"/>
      <c r="UJA401" s="113"/>
      <c r="UJC401" s="114"/>
      <c r="UJD401" s="114"/>
      <c r="UJI401" s="111"/>
      <c r="UJJ401" s="112"/>
      <c r="UJK401" s="113"/>
      <c r="UJM401" s="114"/>
      <c r="UJN401" s="114"/>
      <c r="UJS401" s="111"/>
      <c r="UJT401" s="112"/>
      <c r="UJU401" s="113"/>
      <c r="UJW401" s="114"/>
      <c r="UJX401" s="114"/>
      <c r="UKC401" s="111"/>
      <c r="UKD401" s="112"/>
      <c r="UKE401" s="113"/>
      <c r="UKG401" s="114"/>
      <c r="UKH401" s="114"/>
      <c r="UKM401" s="111"/>
      <c r="UKN401" s="112"/>
      <c r="UKO401" s="113"/>
      <c r="UKQ401" s="114"/>
      <c r="UKR401" s="114"/>
      <c r="UKW401" s="111"/>
      <c r="UKX401" s="112"/>
      <c r="UKY401" s="113"/>
      <c r="ULA401" s="114"/>
      <c r="ULB401" s="114"/>
      <c r="ULG401" s="111"/>
      <c r="ULH401" s="112"/>
      <c r="ULI401" s="113"/>
      <c r="ULK401" s="114"/>
      <c r="ULL401" s="114"/>
      <c r="ULQ401" s="111"/>
      <c r="ULR401" s="112"/>
      <c r="ULS401" s="113"/>
      <c r="ULU401" s="114"/>
      <c r="ULV401" s="114"/>
      <c r="UMA401" s="111"/>
      <c r="UMB401" s="112"/>
      <c r="UMC401" s="113"/>
      <c r="UME401" s="114"/>
      <c r="UMF401" s="114"/>
      <c r="UMK401" s="111"/>
      <c r="UML401" s="112"/>
      <c r="UMM401" s="113"/>
      <c r="UMO401" s="114"/>
      <c r="UMP401" s="114"/>
      <c r="UMU401" s="111"/>
      <c r="UMV401" s="112"/>
      <c r="UMW401" s="113"/>
      <c r="UMY401" s="114"/>
      <c r="UMZ401" s="114"/>
      <c r="UNE401" s="111"/>
      <c r="UNF401" s="112"/>
      <c r="UNG401" s="113"/>
      <c r="UNI401" s="114"/>
      <c r="UNJ401" s="114"/>
      <c r="UNO401" s="111"/>
      <c r="UNP401" s="112"/>
      <c r="UNQ401" s="113"/>
      <c r="UNS401" s="114"/>
      <c r="UNT401" s="114"/>
      <c r="UNY401" s="111"/>
      <c r="UNZ401" s="112"/>
      <c r="UOA401" s="113"/>
      <c r="UOC401" s="114"/>
      <c r="UOD401" s="114"/>
      <c r="UOI401" s="111"/>
      <c r="UOJ401" s="112"/>
      <c r="UOK401" s="113"/>
      <c r="UOM401" s="114"/>
      <c r="UON401" s="114"/>
      <c r="UOS401" s="111"/>
      <c r="UOT401" s="112"/>
      <c r="UOU401" s="113"/>
      <c r="UOW401" s="114"/>
      <c r="UOX401" s="114"/>
      <c r="UPC401" s="111"/>
      <c r="UPD401" s="112"/>
      <c r="UPE401" s="113"/>
      <c r="UPG401" s="114"/>
      <c r="UPH401" s="114"/>
      <c r="UPM401" s="111"/>
      <c r="UPN401" s="112"/>
      <c r="UPO401" s="113"/>
      <c r="UPQ401" s="114"/>
      <c r="UPR401" s="114"/>
      <c r="UPW401" s="111"/>
      <c r="UPX401" s="112"/>
      <c r="UPY401" s="113"/>
      <c r="UQA401" s="114"/>
      <c r="UQB401" s="114"/>
      <c r="UQG401" s="111"/>
      <c r="UQH401" s="112"/>
      <c r="UQI401" s="113"/>
      <c r="UQK401" s="114"/>
      <c r="UQL401" s="114"/>
      <c r="UQQ401" s="111"/>
      <c r="UQR401" s="112"/>
      <c r="UQS401" s="113"/>
      <c r="UQU401" s="114"/>
      <c r="UQV401" s="114"/>
      <c r="URA401" s="111"/>
      <c r="URB401" s="112"/>
      <c r="URC401" s="113"/>
      <c r="URE401" s="114"/>
      <c r="URF401" s="114"/>
      <c r="URK401" s="111"/>
      <c r="URL401" s="112"/>
      <c r="URM401" s="113"/>
      <c r="URO401" s="114"/>
      <c r="URP401" s="114"/>
      <c r="URU401" s="111"/>
      <c r="URV401" s="112"/>
      <c r="URW401" s="113"/>
      <c r="URY401" s="114"/>
      <c r="URZ401" s="114"/>
      <c r="USE401" s="111"/>
      <c r="USF401" s="112"/>
      <c r="USG401" s="113"/>
      <c r="USI401" s="114"/>
      <c r="USJ401" s="114"/>
      <c r="USO401" s="111"/>
      <c r="USP401" s="112"/>
      <c r="USQ401" s="113"/>
      <c r="USS401" s="114"/>
      <c r="UST401" s="114"/>
      <c r="USY401" s="111"/>
      <c r="USZ401" s="112"/>
      <c r="UTA401" s="113"/>
      <c r="UTC401" s="114"/>
      <c r="UTD401" s="114"/>
      <c r="UTI401" s="111"/>
      <c r="UTJ401" s="112"/>
      <c r="UTK401" s="113"/>
      <c r="UTM401" s="114"/>
      <c r="UTN401" s="114"/>
      <c r="UTS401" s="111"/>
      <c r="UTT401" s="112"/>
      <c r="UTU401" s="113"/>
      <c r="UTW401" s="114"/>
      <c r="UTX401" s="114"/>
      <c r="UUC401" s="111"/>
      <c r="UUD401" s="112"/>
      <c r="UUE401" s="113"/>
      <c r="UUG401" s="114"/>
      <c r="UUH401" s="114"/>
      <c r="UUM401" s="111"/>
      <c r="UUN401" s="112"/>
      <c r="UUO401" s="113"/>
      <c r="UUQ401" s="114"/>
      <c r="UUR401" s="114"/>
      <c r="UUW401" s="111"/>
      <c r="UUX401" s="112"/>
      <c r="UUY401" s="113"/>
      <c r="UVA401" s="114"/>
      <c r="UVB401" s="114"/>
      <c r="UVG401" s="111"/>
      <c r="UVH401" s="112"/>
      <c r="UVI401" s="113"/>
      <c r="UVK401" s="114"/>
      <c r="UVL401" s="114"/>
      <c r="UVQ401" s="111"/>
      <c r="UVR401" s="112"/>
      <c r="UVS401" s="113"/>
      <c r="UVU401" s="114"/>
      <c r="UVV401" s="114"/>
      <c r="UWA401" s="111"/>
      <c r="UWB401" s="112"/>
      <c r="UWC401" s="113"/>
      <c r="UWE401" s="114"/>
      <c r="UWF401" s="114"/>
      <c r="UWK401" s="111"/>
      <c r="UWL401" s="112"/>
      <c r="UWM401" s="113"/>
      <c r="UWO401" s="114"/>
      <c r="UWP401" s="114"/>
      <c r="UWU401" s="111"/>
      <c r="UWV401" s="112"/>
      <c r="UWW401" s="113"/>
      <c r="UWY401" s="114"/>
      <c r="UWZ401" s="114"/>
      <c r="UXE401" s="111"/>
      <c r="UXF401" s="112"/>
      <c r="UXG401" s="113"/>
      <c r="UXI401" s="114"/>
      <c r="UXJ401" s="114"/>
      <c r="UXO401" s="111"/>
      <c r="UXP401" s="112"/>
      <c r="UXQ401" s="113"/>
      <c r="UXS401" s="114"/>
      <c r="UXT401" s="114"/>
      <c r="UXY401" s="111"/>
      <c r="UXZ401" s="112"/>
      <c r="UYA401" s="113"/>
      <c r="UYC401" s="114"/>
      <c r="UYD401" s="114"/>
      <c r="UYI401" s="111"/>
      <c r="UYJ401" s="112"/>
      <c r="UYK401" s="113"/>
      <c r="UYM401" s="114"/>
      <c r="UYN401" s="114"/>
      <c r="UYS401" s="111"/>
      <c r="UYT401" s="112"/>
      <c r="UYU401" s="113"/>
      <c r="UYW401" s="114"/>
      <c r="UYX401" s="114"/>
      <c r="UZC401" s="111"/>
      <c r="UZD401" s="112"/>
      <c r="UZE401" s="113"/>
      <c r="UZG401" s="114"/>
      <c r="UZH401" s="114"/>
      <c r="UZM401" s="111"/>
      <c r="UZN401" s="112"/>
      <c r="UZO401" s="113"/>
      <c r="UZQ401" s="114"/>
      <c r="UZR401" s="114"/>
      <c r="UZW401" s="111"/>
      <c r="UZX401" s="112"/>
      <c r="UZY401" s="113"/>
      <c r="VAA401" s="114"/>
      <c r="VAB401" s="114"/>
      <c r="VAG401" s="111"/>
      <c r="VAH401" s="112"/>
      <c r="VAI401" s="113"/>
      <c r="VAK401" s="114"/>
      <c r="VAL401" s="114"/>
      <c r="VAQ401" s="111"/>
      <c r="VAR401" s="112"/>
      <c r="VAS401" s="113"/>
      <c r="VAU401" s="114"/>
      <c r="VAV401" s="114"/>
      <c r="VBA401" s="111"/>
      <c r="VBB401" s="112"/>
      <c r="VBC401" s="113"/>
      <c r="VBE401" s="114"/>
      <c r="VBF401" s="114"/>
      <c r="VBK401" s="111"/>
      <c r="VBL401" s="112"/>
      <c r="VBM401" s="113"/>
      <c r="VBO401" s="114"/>
      <c r="VBP401" s="114"/>
      <c r="VBU401" s="111"/>
      <c r="VBV401" s="112"/>
      <c r="VBW401" s="113"/>
      <c r="VBY401" s="114"/>
      <c r="VBZ401" s="114"/>
      <c r="VCE401" s="111"/>
      <c r="VCF401" s="112"/>
      <c r="VCG401" s="113"/>
      <c r="VCI401" s="114"/>
      <c r="VCJ401" s="114"/>
      <c r="VCO401" s="111"/>
      <c r="VCP401" s="112"/>
      <c r="VCQ401" s="113"/>
      <c r="VCS401" s="114"/>
      <c r="VCT401" s="114"/>
      <c r="VCY401" s="111"/>
      <c r="VCZ401" s="112"/>
      <c r="VDA401" s="113"/>
      <c r="VDC401" s="114"/>
      <c r="VDD401" s="114"/>
      <c r="VDI401" s="111"/>
      <c r="VDJ401" s="112"/>
      <c r="VDK401" s="113"/>
      <c r="VDM401" s="114"/>
      <c r="VDN401" s="114"/>
      <c r="VDS401" s="111"/>
      <c r="VDT401" s="112"/>
      <c r="VDU401" s="113"/>
      <c r="VDW401" s="114"/>
      <c r="VDX401" s="114"/>
      <c r="VEC401" s="111"/>
      <c r="VED401" s="112"/>
      <c r="VEE401" s="113"/>
      <c r="VEG401" s="114"/>
      <c r="VEH401" s="114"/>
      <c r="VEM401" s="111"/>
      <c r="VEN401" s="112"/>
      <c r="VEO401" s="113"/>
      <c r="VEQ401" s="114"/>
      <c r="VER401" s="114"/>
      <c r="VEW401" s="111"/>
      <c r="VEX401" s="112"/>
      <c r="VEY401" s="113"/>
      <c r="VFA401" s="114"/>
      <c r="VFB401" s="114"/>
      <c r="VFG401" s="111"/>
      <c r="VFH401" s="112"/>
      <c r="VFI401" s="113"/>
      <c r="VFK401" s="114"/>
      <c r="VFL401" s="114"/>
      <c r="VFQ401" s="111"/>
      <c r="VFR401" s="112"/>
      <c r="VFS401" s="113"/>
      <c r="VFU401" s="114"/>
      <c r="VFV401" s="114"/>
      <c r="VGA401" s="111"/>
      <c r="VGB401" s="112"/>
      <c r="VGC401" s="113"/>
      <c r="VGE401" s="114"/>
      <c r="VGF401" s="114"/>
      <c r="VGK401" s="111"/>
      <c r="VGL401" s="112"/>
      <c r="VGM401" s="113"/>
      <c r="VGO401" s="114"/>
      <c r="VGP401" s="114"/>
      <c r="VGU401" s="111"/>
      <c r="VGV401" s="112"/>
      <c r="VGW401" s="113"/>
      <c r="VGY401" s="114"/>
      <c r="VGZ401" s="114"/>
      <c r="VHE401" s="111"/>
      <c r="VHF401" s="112"/>
      <c r="VHG401" s="113"/>
      <c r="VHI401" s="114"/>
      <c r="VHJ401" s="114"/>
      <c r="VHO401" s="111"/>
      <c r="VHP401" s="112"/>
      <c r="VHQ401" s="113"/>
      <c r="VHS401" s="114"/>
      <c r="VHT401" s="114"/>
      <c r="VHY401" s="111"/>
      <c r="VHZ401" s="112"/>
      <c r="VIA401" s="113"/>
      <c r="VIC401" s="114"/>
      <c r="VID401" s="114"/>
      <c r="VII401" s="111"/>
      <c r="VIJ401" s="112"/>
      <c r="VIK401" s="113"/>
      <c r="VIM401" s="114"/>
      <c r="VIN401" s="114"/>
      <c r="VIS401" s="111"/>
      <c r="VIT401" s="112"/>
      <c r="VIU401" s="113"/>
      <c r="VIW401" s="114"/>
      <c r="VIX401" s="114"/>
      <c r="VJC401" s="111"/>
      <c r="VJD401" s="112"/>
      <c r="VJE401" s="113"/>
      <c r="VJG401" s="114"/>
      <c r="VJH401" s="114"/>
      <c r="VJM401" s="111"/>
      <c r="VJN401" s="112"/>
      <c r="VJO401" s="113"/>
      <c r="VJQ401" s="114"/>
      <c r="VJR401" s="114"/>
      <c r="VJW401" s="111"/>
      <c r="VJX401" s="112"/>
      <c r="VJY401" s="113"/>
      <c r="VKA401" s="114"/>
      <c r="VKB401" s="114"/>
      <c r="VKG401" s="111"/>
      <c r="VKH401" s="112"/>
      <c r="VKI401" s="113"/>
      <c r="VKK401" s="114"/>
      <c r="VKL401" s="114"/>
      <c r="VKQ401" s="111"/>
      <c r="VKR401" s="112"/>
      <c r="VKS401" s="113"/>
      <c r="VKU401" s="114"/>
      <c r="VKV401" s="114"/>
      <c r="VLA401" s="111"/>
      <c r="VLB401" s="112"/>
      <c r="VLC401" s="113"/>
      <c r="VLE401" s="114"/>
      <c r="VLF401" s="114"/>
      <c r="VLK401" s="111"/>
      <c r="VLL401" s="112"/>
      <c r="VLM401" s="113"/>
      <c r="VLO401" s="114"/>
      <c r="VLP401" s="114"/>
      <c r="VLU401" s="111"/>
      <c r="VLV401" s="112"/>
      <c r="VLW401" s="113"/>
      <c r="VLY401" s="114"/>
      <c r="VLZ401" s="114"/>
      <c r="VME401" s="111"/>
      <c r="VMF401" s="112"/>
      <c r="VMG401" s="113"/>
      <c r="VMI401" s="114"/>
      <c r="VMJ401" s="114"/>
      <c r="VMO401" s="111"/>
      <c r="VMP401" s="112"/>
      <c r="VMQ401" s="113"/>
      <c r="VMS401" s="114"/>
      <c r="VMT401" s="114"/>
      <c r="VMY401" s="111"/>
      <c r="VMZ401" s="112"/>
      <c r="VNA401" s="113"/>
      <c r="VNC401" s="114"/>
      <c r="VND401" s="114"/>
      <c r="VNI401" s="111"/>
      <c r="VNJ401" s="112"/>
      <c r="VNK401" s="113"/>
      <c r="VNM401" s="114"/>
      <c r="VNN401" s="114"/>
      <c r="VNS401" s="111"/>
      <c r="VNT401" s="112"/>
      <c r="VNU401" s="113"/>
      <c r="VNW401" s="114"/>
      <c r="VNX401" s="114"/>
      <c r="VOC401" s="111"/>
      <c r="VOD401" s="112"/>
      <c r="VOE401" s="113"/>
      <c r="VOG401" s="114"/>
      <c r="VOH401" s="114"/>
      <c r="VOM401" s="111"/>
      <c r="VON401" s="112"/>
      <c r="VOO401" s="113"/>
      <c r="VOQ401" s="114"/>
      <c r="VOR401" s="114"/>
      <c r="VOW401" s="111"/>
      <c r="VOX401" s="112"/>
      <c r="VOY401" s="113"/>
      <c r="VPA401" s="114"/>
      <c r="VPB401" s="114"/>
      <c r="VPG401" s="111"/>
      <c r="VPH401" s="112"/>
      <c r="VPI401" s="113"/>
      <c r="VPK401" s="114"/>
      <c r="VPL401" s="114"/>
      <c r="VPQ401" s="111"/>
      <c r="VPR401" s="112"/>
      <c r="VPS401" s="113"/>
      <c r="VPU401" s="114"/>
      <c r="VPV401" s="114"/>
      <c r="VQA401" s="111"/>
      <c r="VQB401" s="112"/>
      <c r="VQC401" s="113"/>
      <c r="VQE401" s="114"/>
      <c r="VQF401" s="114"/>
      <c r="VQK401" s="111"/>
      <c r="VQL401" s="112"/>
      <c r="VQM401" s="113"/>
      <c r="VQO401" s="114"/>
      <c r="VQP401" s="114"/>
      <c r="VQU401" s="111"/>
      <c r="VQV401" s="112"/>
      <c r="VQW401" s="113"/>
      <c r="VQY401" s="114"/>
      <c r="VQZ401" s="114"/>
      <c r="VRE401" s="111"/>
      <c r="VRF401" s="112"/>
      <c r="VRG401" s="113"/>
      <c r="VRI401" s="114"/>
      <c r="VRJ401" s="114"/>
      <c r="VRO401" s="111"/>
      <c r="VRP401" s="112"/>
      <c r="VRQ401" s="113"/>
      <c r="VRS401" s="114"/>
      <c r="VRT401" s="114"/>
      <c r="VRY401" s="111"/>
      <c r="VRZ401" s="112"/>
      <c r="VSA401" s="113"/>
      <c r="VSC401" s="114"/>
      <c r="VSD401" s="114"/>
      <c r="VSI401" s="111"/>
      <c r="VSJ401" s="112"/>
      <c r="VSK401" s="113"/>
      <c r="VSM401" s="114"/>
      <c r="VSN401" s="114"/>
      <c r="VSS401" s="111"/>
      <c r="VST401" s="112"/>
      <c r="VSU401" s="113"/>
      <c r="VSW401" s="114"/>
      <c r="VSX401" s="114"/>
      <c r="VTC401" s="111"/>
      <c r="VTD401" s="112"/>
      <c r="VTE401" s="113"/>
      <c r="VTG401" s="114"/>
      <c r="VTH401" s="114"/>
      <c r="VTM401" s="111"/>
      <c r="VTN401" s="112"/>
      <c r="VTO401" s="113"/>
      <c r="VTQ401" s="114"/>
      <c r="VTR401" s="114"/>
      <c r="VTW401" s="111"/>
      <c r="VTX401" s="112"/>
      <c r="VTY401" s="113"/>
      <c r="VUA401" s="114"/>
      <c r="VUB401" s="114"/>
      <c r="VUG401" s="111"/>
      <c r="VUH401" s="112"/>
      <c r="VUI401" s="113"/>
      <c r="VUK401" s="114"/>
      <c r="VUL401" s="114"/>
      <c r="VUQ401" s="111"/>
      <c r="VUR401" s="112"/>
      <c r="VUS401" s="113"/>
      <c r="VUU401" s="114"/>
      <c r="VUV401" s="114"/>
      <c r="VVA401" s="111"/>
      <c r="VVB401" s="112"/>
      <c r="VVC401" s="113"/>
      <c r="VVE401" s="114"/>
      <c r="VVF401" s="114"/>
      <c r="VVK401" s="111"/>
      <c r="VVL401" s="112"/>
      <c r="VVM401" s="113"/>
      <c r="VVO401" s="114"/>
      <c r="VVP401" s="114"/>
      <c r="VVU401" s="111"/>
      <c r="VVV401" s="112"/>
      <c r="VVW401" s="113"/>
      <c r="VVY401" s="114"/>
      <c r="VVZ401" s="114"/>
      <c r="VWE401" s="111"/>
      <c r="VWF401" s="112"/>
      <c r="VWG401" s="113"/>
      <c r="VWI401" s="114"/>
      <c r="VWJ401" s="114"/>
      <c r="VWO401" s="111"/>
      <c r="VWP401" s="112"/>
      <c r="VWQ401" s="113"/>
      <c r="VWS401" s="114"/>
      <c r="VWT401" s="114"/>
      <c r="VWY401" s="111"/>
      <c r="VWZ401" s="112"/>
      <c r="VXA401" s="113"/>
      <c r="VXC401" s="114"/>
      <c r="VXD401" s="114"/>
      <c r="VXI401" s="111"/>
      <c r="VXJ401" s="112"/>
      <c r="VXK401" s="113"/>
      <c r="VXM401" s="114"/>
      <c r="VXN401" s="114"/>
      <c r="VXS401" s="111"/>
      <c r="VXT401" s="112"/>
      <c r="VXU401" s="113"/>
      <c r="VXW401" s="114"/>
      <c r="VXX401" s="114"/>
      <c r="VYC401" s="111"/>
      <c r="VYD401" s="112"/>
      <c r="VYE401" s="113"/>
      <c r="VYG401" s="114"/>
      <c r="VYH401" s="114"/>
      <c r="VYM401" s="111"/>
      <c r="VYN401" s="112"/>
      <c r="VYO401" s="113"/>
      <c r="VYQ401" s="114"/>
      <c r="VYR401" s="114"/>
      <c r="VYW401" s="111"/>
      <c r="VYX401" s="112"/>
      <c r="VYY401" s="113"/>
      <c r="VZA401" s="114"/>
      <c r="VZB401" s="114"/>
      <c r="VZG401" s="111"/>
      <c r="VZH401" s="112"/>
      <c r="VZI401" s="113"/>
      <c r="VZK401" s="114"/>
      <c r="VZL401" s="114"/>
      <c r="VZQ401" s="111"/>
      <c r="VZR401" s="112"/>
      <c r="VZS401" s="113"/>
      <c r="VZU401" s="114"/>
      <c r="VZV401" s="114"/>
      <c r="WAA401" s="111"/>
      <c r="WAB401" s="112"/>
      <c r="WAC401" s="113"/>
      <c r="WAE401" s="114"/>
      <c r="WAF401" s="114"/>
      <c r="WAK401" s="111"/>
      <c r="WAL401" s="112"/>
      <c r="WAM401" s="113"/>
      <c r="WAO401" s="114"/>
      <c r="WAP401" s="114"/>
      <c r="WAU401" s="111"/>
      <c r="WAV401" s="112"/>
      <c r="WAW401" s="113"/>
      <c r="WAY401" s="114"/>
      <c r="WAZ401" s="114"/>
      <c r="WBE401" s="111"/>
      <c r="WBF401" s="112"/>
      <c r="WBG401" s="113"/>
      <c r="WBI401" s="114"/>
      <c r="WBJ401" s="114"/>
      <c r="WBO401" s="111"/>
      <c r="WBP401" s="112"/>
      <c r="WBQ401" s="113"/>
      <c r="WBS401" s="114"/>
      <c r="WBT401" s="114"/>
      <c r="WBY401" s="111"/>
      <c r="WBZ401" s="112"/>
      <c r="WCA401" s="113"/>
      <c r="WCC401" s="114"/>
      <c r="WCD401" s="114"/>
      <c r="WCI401" s="111"/>
      <c r="WCJ401" s="112"/>
      <c r="WCK401" s="113"/>
      <c r="WCM401" s="114"/>
      <c r="WCN401" s="114"/>
      <c r="WCS401" s="111"/>
      <c r="WCT401" s="112"/>
      <c r="WCU401" s="113"/>
      <c r="WCW401" s="114"/>
      <c r="WCX401" s="114"/>
      <c r="WDC401" s="111"/>
      <c r="WDD401" s="112"/>
      <c r="WDE401" s="113"/>
      <c r="WDG401" s="114"/>
      <c r="WDH401" s="114"/>
      <c r="WDM401" s="111"/>
      <c r="WDN401" s="112"/>
      <c r="WDO401" s="113"/>
      <c r="WDQ401" s="114"/>
      <c r="WDR401" s="114"/>
      <c r="WDW401" s="111"/>
      <c r="WDX401" s="112"/>
      <c r="WDY401" s="113"/>
      <c r="WEA401" s="114"/>
      <c r="WEB401" s="114"/>
      <c r="WEG401" s="111"/>
      <c r="WEH401" s="112"/>
      <c r="WEI401" s="113"/>
      <c r="WEK401" s="114"/>
      <c r="WEL401" s="114"/>
      <c r="WEQ401" s="111"/>
      <c r="WER401" s="112"/>
      <c r="WES401" s="113"/>
      <c r="WEU401" s="114"/>
      <c r="WEV401" s="114"/>
      <c r="WFA401" s="111"/>
      <c r="WFB401" s="112"/>
      <c r="WFC401" s="113"/>
      <c r="WFE401" s="114"/>
      <c r="WFF401" s="114"/>
      <c r="WFK401" s="111"/>
      <c r="WFL401" s="112"/>
      <c r="WFM401" s="113"/>
      <c r="WFO401" s="114"/>
      <c r="WFP401" s="114"/>
      <c r="WFU401" s="111"/>
      <c r="WFV401" s="112"/>
      <c r="WFW401" s="113"/>
      <c r="WFY401" s="114"/>
      <c r="WFZ401" s="114"/>
      <c r="WGE401" s="111"/>
      <c r="WGF401" s="112"/>
      <c r="WGG401" s="113"/>
      <c r="WGI401" s="114"/>
      <c r="WGJ401" s="114"/>
      <c r="WGO401" s="111"/>
      <c r="WGP401" s="112"/>
      <c r="WGQ401" s="113"/>
      <c r="WGS401" s="114"/>
      <c r="WGT401" s="114"/>
      <c r="WGY401" s="111"/>
      <c r="WGZ401" s="112"/>
      <c r="WHA401" s="113"/>
      <c r="WHC401" s="114"/>
      <c r="WHD401" s="114"/>
      <c r="WHI401" s="111"/>
      <c r="WHJ401" s="112"/>
      <c r="WHK401" s="113"/>
      <c r="WHM401" s="114"/>
      <c r="WHN401" s="114"/>
      <c r="WHS401" s="111"/>
      <c r="WHT401" s="112"/>
      <c r="WHU401" s="113"/>
      <c r="WHW401" s="114"/>
      <c r="WHX401" s="114"/>
      <c r="WIC401" s="111"/>
      <c r="WID401" s="112"/>
      <c r="WIE401" s="113"/>
      <c r="WIG401" s="114"/>
      <c r="WIH401" s="114"/>
      <c r="WIM401" s="111"/>
      <c r="WIN401" s="112"/>
      <c r="WIO401" s="113"/>
      <c r="WIQ401" s="114"/>
      <c r="WIR401" s="114"/>
      <c r="WIW401" s="111"/>
      <c r="WIX401" s="112"/>
      <c r="WIY401" s="113"/>
      <c r="WJA401" s="114"/>
      <c r="WJB401" s="114"/>
      <c r="WJG401" s="111"/>
      <c r="WJH401" s="112"/>
      <c r="WJI401" s="113"/>
      <c r="WJK401" s="114"/>
      <c r="WJL401" s="114"/>
      <c r="WJQ401" s="111"/>
      <c r="WJR401" s="112"/>
      <c r="WJS401" s="113"/>
      <c r="WJU401" s="114"/>
      <c r="WJV401" s="114"/>
      <c r="WKA401" s="111"/>
      <c r="WKB401" s="112"/>
      <c r="WKC401" s="113"/>
      <c r="WKE401" s="114"/>
      <c r="WKF401" s="114"/>
      <c r="WKK401" s="111"/>
      <c r="WKL401" s="112"/>
      <c r="WKM401" s="113"/>
      <c r="WKO401" s="114"/>
      <c r="WKP401" s="114"/>
      <c r="WKU401" s="111"/>
      <c r="WKV401" s="112"/>
      <c r="WKW401" s="113"/>
      <c r="WKY401" s="114"/>
      <c r="WKZ401" s="114"/>
      <c r="WLE401" s="111"/>
      <c r="WLF401" s="112"/>
      <c r="WLG401" s="113"/>
      <c r="WLI401" s="114"/>
      <c r="WLJ401" s="114"/>
      <c r="WLO401" s="111"/>
      <c r="WLP401" s="112"/>
      <c r="WLQ401" s="113"/>
      <c r="WLS401" s="114"/>
      <c r="WLT401" s="114"/>
      <c r="WLY401" s="111"/>
      <c r="WLZ401" s="112"/>
      <c r="WMA401" s="113"/>
      <c r="WMC401" s="114"/>
      <c r="WMD401" s="114"/>
      <c r="WMI401" s="111"/>
      <c r="WMJ401" s="112"/>
      <c r="WMK401" s="113"/>
      <c r="WMM401" s="114"/>
      <c r="WMN401" s="114"/>
      <c r="WMS401" s="111"/>
      <c r="WMT401" s="112"/>
      <c r="WMU401" s="113"/>
      <c r="WMW401" s="114"/>
      <c r="WMX401" s="114"/>
      <c r="WNC401" s="111"/>
      <c r="WND401" s="112"/>
      <c r="WNE401" s="113"/>
      <c r="WNG401" s="114"/>
      <c r="WNH401" s="114"/>
      <c r="WNM401" s="111"/>
      <c r="WNN401" s="112"/>
      <c r="WNO401" s="113"/>
      <c r="WNQ401" s="114"/>
      <c r="WNR401" s="114"/>
      <c r="WNW401" s="111"/>
      <c r="WNX401" s="112"/>
      <c r="WNY401" s="113"/>
      <c r="WOA401" s="114"/>
      <c r="WOB401" s="114"/>
      <c r="WOG401" s="111"/>
      <c r="WOH401" s="112"/>
      <c r="WOI401" s="113"/>
      <c r="WOK401" s="114"/>
      <c r="WOL401" s="114"/>
      <c r="WOQ401" s="111"/>
      <c r="WOR401" s="112"/>
      <c r="WOS401" s="113"/>
      <c r="WOU401" s="114"/>
      <c r="WOV401" s="114"/>
      <c r="WPA401" s="111"/>
      <c r="WPB401" s="112"/>
      <c r="WPC401" s="113"/>
      <c r="WPE401" s="114"/>
      <c r="WPF401" s="114"/>
      <c r="WPK401" s="111"/>
      <c r="WPL401" s="112"/>
      <c r="WPM401" s="113"/>
      <c r="WPO401" s="114"/>
      <c r="WPP401" s="114"/>
      <c r="WPU401" s="111"/>
      <c r="WPV401" s="112"/>
      <c r="WPW401" s="113"/>
      <c r="WPY401" s="114"/>
      <c r="WPZ401" s="114"/>
      <c r="WQE401" s="111"/>
      <c r="WQF401" s="112"/>
      <c r="WQG401" s="113"/>
      <c r="WQI401" s="114"/>
      <c r="WQJ401" s="114"/>
      <c r="WQO401" s="111"/>
      <c r="WQP401" s="112"/>
      <c r="WQQ401" s="113"/>
      <c r="WQS401" s="114"/>
      <c r="WQT401" s="114"/>
      <c r="WQY401" s="111"/>
      <c r="WQZ401" s="112"/>
      <c r="WRA401" s="113"/>
      <c r="WRC401" s="114"/>
      <c r="WRD401" s="114"/>
      <c r="WRI401" s="111"/>
      <c r="WRJ401" s="112"/>
      <c r="WRK401" s="113"/>
      <c r="WRM401" s="114"/>
      <c r="WRN401" s="114"/>
      <c r="WRS401" s="111"/>
      <c r="WRT401" s="112"/>
      <c r="WRU401" s="113"/>
      <c r="WRW401" s="114"/>
      <c r="WRX401" s="114"/>
      <c r="WSC401" s="111"/>
      <c r="WSD401" s="112"/>
      <c r="WSE401" s="113"/>
      <c r="WSG401" s="114"/>
      <c r="WSH401" s="114"/>
      <c r="WSM401" s="111"/>
      <c r="WSN401" s="112"/>
      <c r="WSO401" s="113"/>
      <c r="WSQ401" s="114"/>
      <c r="WSR401" s="114"/>
      <c r="WSW401" s="111"/>
      <c r="WSX401" s="112"/>
      <c r="WSY401" s="113"/>
      <c r="WTA401" s="114"/>
      <c r="WTB401" s="114"/>
      <c r="WTG401" s="111"/>
      <c r="WTH401" s="112"/>
      <c r="WTI401" s="113"/>
      <c r="WTK401" s="114"/>
      <c r="WTL401" s="114"/>
      <c r="WTQ401" s="111"/>
      <c r="WTR401" s="112"/>
      <c r="WTS401" s="113"/>
      <c r="WTU401" s="114"/>
      <c r="WTV401" s="114"/>
      <c r="WUA401" s="111"/>
      <c r="WUB401" s="112"/>
      <c r="WUC401" s="113"/>
      <c r="WUE401" s="114"/>
      <c r="WUF401" s="114"/>
      <c r="WUK401" s="111"/>
      <c r="WUL401" s="112"/>
      <c r="WUM401" s="113"/>
      <c r="WUO401" s="114"/>
      <c r="WUP401" s="114"/>
      <c r="WUU401" s="111"/>
      <c r="WUV401" s="112"/>
      <c r="WUW401" s="113"/>
      <c r="WUY401" s="114"/>
      <c r="WUZ401" s="114"/>
      <c r="WVE401" s="111"/>
      <c r="WVF401" s="112"/>
      <c r="WVG401" s="113"/>
      <c r="WVI401" s="114"/>
      <c r="WVJ401" s="114"/>
      <c r="WVO401" s="111"/>
      <c r="WVP401" s="112"/>
      <c r="WVQ401" s="113"/>
      <c r="WVS401" s="114"/>
      <c r="WVT401" s="114"/>
      <c r="WVY401" s="111"/>
      <c r="WVZ401" s="112"/>
      <c r="WWA401" s="113"/>
      <c r="WWC401" s="114"/>
      <c r="WWD401" s="114"/>
      <c r="WWI401" s="111"/>
      <c r="WWJ401" s="112"/>
      <c r="WWK401" s="113"/>
      <c r="WWM401" s="114"/>
      <c r="WWN401" s="114"/>
      <c r="WWS401" s="111"/>
      <c r="WWT401" s="112"/>
      <c r="WWU401" s="113"/>
      <c r="WWW401" s="114"/>
      <c r="WWX401" s="114"/>
      <c r="WXC401" s="111"/>
      <c r="WXD401" s="112"/>
      <c r="WXE401" s="113"/>
      <c r="WXG401" s="114"/>
      <c r="WXH401" s="114"/>
      <c r="WXM401" s="111"/>
      <c r="WXN401" s="112"/>
      <c r="WXO401" s="113"/>
      <c r="WXQ401" s="114"/>
      <c r="WXR401" s="114"/>
      <c r="WXW401" s="111"/>
      <c r="WXX401" s="112"/>
      <c r="WXY401" s="113"/>
      <c r="WYA401" s="114"/>
      <c r="WYB401" s="114"/>
      <c r="WYG401" s="111"/>
      <c r="WYH401" s="112"/>
      <c r="WYI401" s="113"/>
      <c r="WYK401" s="114"/>
      <c r="WYL401" s="114"/>
      <c r="WYQ401" s="111"/>
      <c r="WYR401" s="112"/>
      <c r="WYS401" s="113"/>
      <c r="WYU401" s="114"/>
      <c r="WYV401" s="114"/>
      <c r="WZA401" s="111"/>
      <c r="WZB401" s="112"/>
      <c r="WZC401" s="113"/>
      <c r="WZE401" s="114"/>
      <c r="WZF401" s="114"/>
      <c r="WZK401" s="111"/>
      <c r="WZL401" s="112"/>
      <c r="WZM401" s="113"/>
      <c r="WZO401" s="114"/>
      <c r="WZP401" s="114"/>
      <c r="WZU401" s="111"/>
      <c r="WZV401" s="112"/>
      <c r="WZW401" s="113"/>
      <c r="WZY401" s="114"/>
      <c r="WZZ401" s="114"/>
      <c r="XAE401" s="111"/>
      <c r="XAF401" s="112"/>
      <c r="XAG401" s="113"/>
      <c r="XAI401" s="114"/>
      <c r="XAJ401" s="114"/>
      <c r="XAO401" s="111"/>
      <c r="XAP401" s="112"/>
      <c r="XAQ401" s="113"/>
      <c r="XAS401" s="114"/>
      <c r="XAT401" s="114"/>
      <c r="XAY401" s="111"/>
      <c r="XAZ401" s="112"/>
      <c r="XBA401" s="113"/>
      <c r="XBC401" s="114"/>
      <c r="XBD401" s="114"/>
      <c r="XBI401" s="111"/>
      <c r="XBJ401" s="112"/>
      <c r="XBK401" s="113"/>
      <c r="XBM401" s="114"/>
      <c r="XBN401" s="114"/>
      <c r="XBS401" s="111"/>
      <c r="XBT401" s="112"/>
      <c r="XBU401" s="113"/>
      <c r="XBW401" s="114"/>
      <c r="XBX401" s="114"/>
      <c r="XCC401" s="111"/>
      <c r="XCD401" s="112"/>
      <c r="XCE401" s="113"/>
      <c r="XCG401" s="114"/>
      <c r="XCH401" s="114"/>
      <c r="XCM401" s="111"/>
      <c r="XCN401" s="112"/>
      <c r="XCO401" s="113"/>
      <c r="XCQ401" s="114"/>
      <c r="XCR401" s="114"/>
      <c r="XCW401" s="111"/>
      <c r="XCX401" s="112"/>
      <c r="XCY401" s="113"/>
      <c r="XDA401" s="114"/>
      <c r="XDB401" s="114"/>
      <c r="XDG401" s="111"/>
      <c r="XDH401" s="112"/>
      <c r="XDI401" s="113"/>
      <c r="XDK401" s="114"/>
      <c r="XDL401" s="114"/>
      <c r="XDQ401" s="111"/>
      <c r="XDR401" s="112"/>
      <c r="XDS401" s="113"/>
      <c r="XDU401" s="114"/>
      <c r="XDV401" s="114"/>
      <c r="XEA401" s="111"/>
      <c r="XEB401" s="112"/>
      <c r="XEC401" s="113"/>
      <c r="XEE401" s="114"/>
      <c r="XEF401" s="114"/>
      <c r="XEK401" s="111"/>
      <c r="XEL401" s="112"/>
      <c r="XEM401" s="113"/>
      <c r="XEO401" s="114"/>
      <c r="XEP401" s="114"/>
      <c r="XEU401" s="111"/>
      <c r="XEV401" s="112"/>
      <c r="XEW401" s="113"/>
      <c r="XEY401" s="114"/>
      <c r="XEZ401" s="114"/>
    </row>
    <row r="402" spans="1:1020 1025:2047 2049:3070 3075:5120 5125:6140 6145:7167 7169:8190 8195:10240 10245:11260 11265:12287 12289:13310 13315:15360 15365:16380" s="36" customFormat="1" ht="22.5" outlineLevel="1" x14ac:dyDescent="0.25">
      <c r="A402" s="270" t="s">
        <v>625</v>
      </c>
      <c r="B402" s="271" t="s">
        <v>4322</v>
      </c>
      <c r="C402" s="271">
        <v>200326</v>
      </c>
      <c r="D402" s="272" t="s">
        <v>724</v>
      </c>
      <c r="E402" s="271" t="s">
        <v>54</v>
      </c>
      <c r="F402" s="273">
        <v>753.71</v>
      </c>
      <c r="G402" s="274">
        <v>34.340000000000003</v>
      </c>
      <c r="H402" s="275">
        <f>ROUND(G402*ROUND(1+(33.25/100),4),2)</f>
        <v>45.76</v>
      </c>
      <c r="I402" s="275">
        <f>ROUND(ROUND(F402,2)*ROUND(G402,2),2)</f>
        <v>25882.400000000001</v>
      </c>
      <c r="J402" s="276">
        <f>ROUND(ROUND(F402,2)*ROUND(H402,2),2)</f>
        <v>34489.769999999997</v>
      </c>
      <c r="K402" s="155"/>
      <c r="L402" s="40">
        <f t="shared" si="118"/>
        <v>34489.7696</v>
      </c>
      <c r="O402" s="561">
        <f t="shared" si="132"/>
        <v>34489.769999999997</v>
      </c>
      <c r="Q402" s="36">
        <f t="shared" si="131"/>
        <v>34489.7696</v>
      </c>
    </row>
    <row r="403" spans="1:1020 1025:2047 2049:3070 3075:5120 5125:6140 6145:7167 7169:8190 8195:10240 10245:11260 11265:12287 12289:13310 13315:15360 15365:16380" s="36" customFormat="1" ht="22.5" outlineLevel="1" x14ac:dyDescent="0.25">
      <c r="A403" s="270" t="s">
        <v>628</v>
      </c>
      <c r="B403" s="271" t="s">
        <v>82</v>
      </c>
      <c r="C403" s="271" t="s">
        <v>726</v>
      </c>
      <c r="D403" s="272" t="s">
        <v>727</v>
      </c>
      <c r="E403" s="271" t="s">
        <v>226</v>
      </c>
      <c r="F403" s="273">
        <v>29</v>
      </c>
      <c r="G403" s="274">
        <v>371.01</v>
      </c>
      <c r="H403" s="275">
        <f>ROUND(G403*ROUND(1+(33.25/100),4),2)</f>
        <v>494.37</v>
      </c>
      <c r="I403" s="275">
        <f>ROUND(ROUND(F403,2)*ROUND(G403,2),2)</f>
        <v>10759.29</v>
      </c>
      <c r="J403" s="276">
        <f>ROUND(ROUND(F403,2)*ROUND(H403,2),2)</f>
        <v>14336.73</v>
      </c>
      <c r="K403" s="155"/>
      <c r="L403" s="40">
        <f t="shared" si="118"/>
        <v>14336.73</v>
      </c>
      <c r="O403" s="561">
        <f t="shared" si="132"/>
        <v>14336.73</v>
      </c>
      <c r="Q403" s="36">
        <f t="shared" si="131"/>
        <v>14336.73</v>
      </c>
    </row>
    <row r="404" spans="1:1020 1025:2047 2049:3070 3075:5120 5125:6140 6145:7167 7169:8190 8195:10240 10245:11260 11265:12287 12289:13310 13315:15360 15365:16380" s="36" customFormat="1" outlineLevel="1" x14ac:dyDescent="0.25">
      <c r="A404" s="270" t="s">
        <v>631</v>
      </c>
      <c r="B404" s="271" t="s">
        <v>82</v>
      </c>
      <c r="C404" s="271">
        <v>98509</v>
      </c>
      <c r="D404" s="272" t="s">
        <v>730</v>
      </c>
      <c r="E404" s="271" t="s">
        <v>226</v>
      </c>
      <c r="F404" s="273">
        <v>86</v>
      </c>
      <c r="G404" s="274">
        <v>57.84</v>
      </c>
      <c r="H404" s="275">
        <f>ROUND(G404*ROUND(1+(33.25/100),4),2)</f>
        <v>77.069999999999993</v>
      </c>
      <c r="I404" s="275">
        <f>ROUND(ROUND(F404,2)*ROUND(G404,2),2)</f>
        <v>4974.24</v>
      </c>
      <c r="J404" s="276">
        <f>ROUND(ROUND(F404,2)*ROUND(H404,2),2)</f>
        <v>6628.02</v>
      </c>
      <c r="K404" s="155"/>
      <c r="L404" s="40">
        <f t="shared" si="118"/>
        <v>6628.0199999999995</v>
      </c>
      <c r="O404" s="561">
        <f t="shared" si="132"/>
        <v>6628.02</v>
      </c>
      <c r="Q404" s="36">
        <f t="shared" si="131"/>
        <v>6628.0199999999995</v>
      </c>
    </row>
    <row r="405" spans="1:1020 1025:2047 2049:3070 3075:5120 5125:6140 6145:7167 7169:8190 8195:10240 10245:11260 11265:12287 12289:13310 13315:15360 15365:16380" s="36" customFormat="1" ht="22.5" outlineLevel="1" x14ac:dyDescent="0.25">
      <c r="A405" s="270" t="s">
        <v>634</v>
      </c>
      <c r="B405" s="271" t="s">
        <v>82</v>
      </c>
      <c r="C405" s="271" t="s">
        <v>732</v>
      </c>
      <c r="D405" s="272" t="s">
        <v>733</v>
      </c>
      <c r="E405" s="271" t="s">
        <v>226</v>
      </c>
      <c r="F405" s="273">
        <v>8</v>
      </c>
      <c r="G405" s="274">
        <v>179.69</v>
      </c>
      <c r="H405" s="275">
        <f>ROUND(G405*ROUND(1+(33.25/100),4),2)</f>
        <v>239.44</v>
      </c>
      <c r="I405" s="275">
        <f>ROUND(ROUND(F405,2)*ROUND(G405,2),2)</f>
        <v>1437.52</v>
      </c>
      <c r="J405" s="276">
        <f>ROUND(ROUND(F405,2)*ROUND(H405,2),2)</f>
        <v>1915.52</v>
      </c>
      <c r="K405" s="155"/>
      <c r="L405" s="40">
        <f t="shared" si="118"/>
        <v>1915.52</v>
      </c>
      <c r="O405" s="561">
        <f t="shared" si="132"/>
        <v>1915.52</v>
      </c>
      <c r="Q405" s="36">
        <f t="shared" si="131"/>
        <v>1915.52</v>
      </c>
    </row>
    <row r="406" spans="1:1020 1025:2047 2049:3070 3075:5120 5125:6140 6145:7167 7169:8190 8195:10240 10245:11260 11265:12287 12289:13310 13315:15360 15365:16380" s="36" customFormat="1" outlineLevel="1" x14ac:dyDescent="0.25">
      <c r="A406" s="270" t="s">
        <v>637</v>
      </c>
      <c r="B406" s="271" t="s">
        <v>77</v>
      </c>
      <c r="C406" s="271" t="s">
        <v>735</v>
      </c>
      <c r="D406" s="272" t="s">
        <v>736</v>
      </c>
      <c r="E406" s="271" t="s">
        <v>251</v>
      </c>
      <c r="F406" s="273">
        <v>65</v>
      </c>
      <c r="G406" s="274">
        <v>3.39</v>
      </c>
      <c r="H406" s="275">
        <f>ROUND(G406*ROUND(1+(33.25/100),4),2)</f>
        <v>4.5199999999999996</v>
      </c>
      <c r="I406" s="275">
        <f>ROUND(ROUND(F406,2)*ROUND(G406,2),2)</f>
        <v>220.35</v>
      </c>
      <c r="J406" s="276">
        <f>ROUND(ROUND(F406,2)*ROUND(H406,2),2)</f>
        <v>293.8</v>
      </c>
      <c r="K406" s="155"/>
      <c r="L406" s="40">
        <f t="shared" si="118"/>
        <v>293.79999999999995</v>
      </c>
      <c r="O406" s="561">
        <f t="shared" si="132"/>
        <v>293.8</v>
      </c>
      <c r="Q406" s="36">
        <f t="shared" si="131"/>
        <v>293.79999999999995</v>
      </c>
    </row>
    <row r="407" spans="1:1020 1025:2047 2049:3070 3075:5120 5125:6140 6145:7167 7169:8190 8195:10240 10245:11260 11265:12287 12289:13310 13315:15360 15365:16380" s="36" customFormat="1" x14ac:dyDescent="0.25">
      <c r="A407" s="282">
        <v>6</v>
      </c>
      <c r="B407" s="283"/>
      <c r="C407" s="283"/>
      <c r="D407" s="283" t="s">
        <v>20</v>
      </c>
      <c r="E407" s="283"/>
      <c r="F407" s="284"/>
      <c r="G407" s="285"/>
      <c r="H407" s="283"/>
      <c r="I407" s="286">
        <f>ROUND(SUM(I408:I409),2)</f>
        <v>8950.9500000000007</v>
      </c>
      <c r="J407" s="314">
        <f>ROUND(SUM(J408:J409),2)</f>
        <v>11943.24</v>
      </c>
      <c r="K407" s="155"/>
      <c r="L407" s="40">
        <f t="shared" si="118"/>
        <v>0</v>
      </c>
      <c r="N407" s="559">
        <f>SUM(J408:J409)</f>
        <v>11943.24</v>
      </c>
      <c r="O407" s="561">
        <f t="shared" si="132"/>
        <v>0</v>
      </c>
      <c r="Q407" s="36">
        <f t="shared" si="131"/>
        <v>0</v>
      </c>
    </row>
    <row r="408" spans="1:1020 1025:2047 2049:3070 3075:5120 5125:6140 6145:7167 7169:8190 8195:10240 10245:11260 11265:12287 12289:13310 13315:15360 15365:16380" s="36" customFormat="1" outlineLevel="1" x14ac:dyDescent="0.25">
      <c r="A408" s="270" t="s">
        <v>640</v>
      </c>
      <c r="B408" s="271" t="s">
        <v>4322</v>
      </c>
      <c r="C408" s="271">
        <v>200402</v>
      </c>
      <c r="D408" s="272" t="s">
        <v>739</v>
      </c>
      <c r="E408" s="271" t="s">
        <v>54</v>
      </c>
      <c r="F408" s="273">
        <v>3071.79</v>
      </c>
      <c r="G408" s="274">
        <v>1.37</v>
      </c>
      <c r="H408" s="275">
        <f>ROUND(G408*ROUND(1+(33.25/100),4),2)</f>
        <v>1.83</v>
      </c>
      <c r="I408" s="275">
        <f>ROUND(ROUND(F408,2)*ROUND(G408,2),2)</f>
        <v>4208.3500000000004</v>
      </c>
      <c r="J408" s="276">
        <f>ROUND(ROUND(F408,2)*ROUND(H408,2),2)</f>
        <v>5621.38</v>
      </c>
      <c r="K408" s="155"/>
      <c r="L408" s="40">
        <f t="shared" si="118"/>
        <v>5621.3757000000005</v>
      </c>
      <c r="Q408" s="36">
        <f t="shared" si="131"/>
        <v>5621.3757000000005</v>
      </c>
    </row>
    <row r="409" spans="1:1020 1025:2047 2049:3070 3075:5120 5125:6140 6145:7167 7169:8190 8195:10240 10245:11260 11265:12287 12289:13310 13315:15360 15365:16380" s="36" customFormat="1" outlineLevel="1" x14ac:dyDescent="0.25">
      <c r="A409" s="270" t="s">
        <v>643</v>
      </c>
      <c r="B409" s="271" t="s">
        <v>4322</v>
      </c>
      <c r="C409" s="271">
        <v>200401</v>
      </c>
      <c r="D409" s="272" t="s">
        <v>742</v>
      </c>
      <c r="E409" s="271" t="s">
        <v>54</v>
      </c>
      <c r="F409" s="273">
        <v>480.02</v>
      </c>
      <c r="G409" s="274">
        <v>9.8800000000000008</v>
      </c>
      <c r="H409" s="275">
        <f>ROUND(G409*ROUND(1+(33.25/100),4),2)</f>
        <v>13.17</v>
      </c>
      <c r="I409" s="275">
        <f>ROUND(ROUND(F409,2)*ROUND(G409,2),2)</f>
        <v>4742.6000000000004</v>
      </c>
      <c r="J409" s="276">
        <f>ROUND(ROUND(F409,2)*ROUND(H409,2),2)</f>
        <v>6321.86</v>
      </c>
      <c r="K409" s="155"/>
      <c r="L409" s="40">
        <f t="shared" si="118"/>
        <v>6321.8633999999993</v>
      </c>
      <c r="Q409" s="36">
        <f t="shared" si="131"/>
        <v>6321.8633999999993</v>
      </c>
    </row>
    <row r="410" spans="1:1020 1025:2047 2049:3070 3075:5120 5125:6140 6145:7167 7169:8190 8195:10240 10245:11260 11265:12287 12289:13310 13315:15360 15365:16380" ht="15.75" thickBot="1" x14ac:dyDescent="0.3">
      <c r="A410" s="350"/>
      <c r="B410" s="351"/>
      <c r="C410" s="351"/>
      <c r="D410" s="352"/>
      <c r="E410" s="351"/>
      <c r="F410" s="351"/>
      <c r="G410" s="351"/>
      <c r="H410" s="316" t="s">
        <v>24</v>
      </c>
      <c r="I410" s="317"/>
      <c r="J410" s="315">
        <f>J407+J401+J335+J35+J19+J8</f>
        <v>7237488.3499999996</v>
      </c>
      <c r="L410" s="35"/>
      <c r="M410" s="257"/>
      <c r="N410" s="94">
        <f ca="1">SUM(N8:N407)</f>
        <v>7293139.4449999994</v>
      </c>
    </row>
    <row r="411" spans="1:1020 1025:2047 2049:3070 3075:5120 5125:6140 6145:7167 7169:8190 8195:10240 10245:11260 11265:12287 12289:13310 13315:15360 15365:16380" x14ac:dyDescent="0.25">
      <c r="A411" s="350"/>
      <c r="B411" s="351"/>
      <c r="C411" s="351"/>
      <c r="D411" s="352"/>
      <c r="E411" s="351"/>
      <c r="F411" s="351"/>
      <c r="G411" s="351"/>
      <c r="H411" s="258"/>
      <c r="I411" s="258"/>
      <c r="J411" s="353"/>
      <c r="L411" s="35"/>
      <c r="M411" s="35"/>
    </row>
    <row r="412" spans="1:1020 1025:2047 2049:3070 3075:5120 5125:6140 6145:7167 7169:8190 8195:10240 10245:11260 11265:12287 12289:13310 13315:15360 15365:16380" x14ac:dyDescent="0.25">
      <c r="A412" s="256"/>
      <c r="B412" s="245"/>
      <c r="C412" s="245"/>
      <c r="D412" s="155"/>
      <c r="E412" s="245"/>
      <c r="F412" s="245"/>
      <c r="G412" s="245"/>
      <c r="H412" s="245"/>
      <c r="I412" s="245"/>
      <c r="J412" s="259"/>
    </row>
    <row r="413" spans="1:1020 1025:2047 2049:3070 3075:5120 5125:6140 6145:7167 7169:8190 8195:10240 10245:11260 11265:12287 12289:13310 13315:15360 15365:16380" x14ac:dyDescent="0.25">
      <c r="A413" s="256"/>
      <c r="B413" s="245"/>
      <c r="C413" s="245"/>
      <c r="D413" s="155"/>
      <c r="E413" s="245"/>
      <c r="F413" s="245"/>
      <c r="G413" s="245"/>
      <c r="H413" s="245"/>
      <c r="I413" s="245"/>
      <c r="J413" s="259"/>
    </row>
    <row r="414" spans="1:1020 1025:2047 2049:3070 3075:5120 5125:6140 6145:7167 7169:8190 8195:10240 10245:11260 11265:12287 12289:13310 13315:15360 15365:16380" x14ac:dyDescent="0.25">
      <c r="A414" s="256"/>
      <c r="B414" s="245"/>
      <c r="C414" s="245"/>
      <c r="D414" s="155"/>
      <c r="E414" s="245"/>
      <c r="F414" s="245"/>
      <c r="G414" s="245"/>
      <c r="H414" s="245"/>
      <c r="I414" s="245"/>
      <c r="J414" s="259"/>
    </row>
    <row r="415" spans="1:1020 1025:2047 2049:3070 3075:5120 5125:6140 6145:7167 7169:8190 8195:10240 10245:11260 11265:12287 12289:13310 13315:15360 15365:16380" ht="23.25" customHeight="1" x14ac:dyDescent="0.25">
      <c r="A415" s="414" t="s">
        <v>25</v>
      </c>
      <c r="B415" s="415"/>
      <c r="C415" s="415"/>
      <c r="D415" s="415"/>
      <c r="E415" s="415"/>
      <c r="F415" s="415"/>
      <c r="G415" s="415"/>
      <c r="H415" s="415"/>
      <c r="I415" s="415"/>
      <c r="J415" s="416"/>
    </row>
    <row r="416" spans="1:1020 1025:2047 2049:3070 3075:5120 5125:6140 6145:7167 7169:8190 8195:10240 10245:11260 11265:12287 12289:13310 13315:15360 15365:16380" ht="15.75" thickBot="1" x14ac:dyDescent="0.3">
      <c r="A416" s="354"/>
      <c r="B416" s="355"/>
      <c r="C416" s="355"/>
      <c r="D416" s="356"/>
      <c r="E416" s="355"/>
      <c r="F416" s="355"/>
      <c r="G416" s="355"/>
      <c r="H416" s="355"/>
      <c r="I416" s="355"/>
      <c r="J416" s="357"/>
    </row>
  </sheetData>
  <autoFilter ref="A6:XFD410"/>
  <mergeCells count="10">
    <mergeCell ref="B5:J5"/>
    <mergeCell ref="A1:J1"/>
    <mergeCell ref="A2:A5"/>
    <mergeCell ref="A415:J415"/>
    <mergeCell ref="H2:J2"/>
    <mergeCell ref="H3:J3"/>
    <mergeCell ref="H4:J4"/>
    <mergeCell ref="B2:G2"/>
    <mergeCell ref="B3:G3"/>
    <mergeCell ref="B4:G4"/>
  </mergeCells>
  <phoneticPr fontId="43" type="noConversion"/>
  <pageMargins left="0.7" right="0.7" top="0.75" bottom="0.75" header="0.3" footer="0.3"/>
  <pageSetup paperSize="9" scale="4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51"/>
  <sheetViews>
    <sheetView view="pageBreakPreview" topLeftCell="A3045" zoomScale="60" zoomScaleNormal="115" workbookViewId="0">
      <selection activeCell="P3063" sqref="O3063:P3063"/>
    </sheetView>
  </sheetViews>
  <sheetFormatPr defaultRowHeight="15" x14ac:dyDescent="0.25"/>
  <cols>
    <col min="1" max="1" width="31.28515625" customWidth="1"/>
    <col min="2" max="2" width="39.5703125" customWidth="1"/>
    <col min="3" max="3" width="11" customWidth="1"/>
    <col min="4" max="4" width="33" customWidth="1"/>
    <col min="5" max="7" width="11" customWidth="1"/>
    <col min="8" max="8" width="22" customWidth="1"/>
  </cols>
  <sheetData>
    <row r="1" spans="1:9" x14ac:dyDescent="0.25">
      <c r="A1" s="397" t="s">
        <v>4712</v>
      </c>
      <c r="B1" s="398"/>
      <c r="C1" s="398"/>
      <c r="D1" s="398"/>
      <c r="E1" s="398"/>
      <c r="F1" s="398"/>
      <c r="G1" s="398"/>
      <c r="H1" s="398"/>
      <c r="I1" s="399"/>
    </row>
    <row r="2" spans="1:9" ht="45" customHeight="1" x14ac:dyDescent="0.25">
      <c r="A2" s="400"/>
      <c r="B2" s="419" t="s">
        <v>4698</v>
      </c>
      <c r="C2" s="420"/>
      <c r="D2" s="420"/>
      <c r="E2" s="420"/>
      <c r="F2" s="466"/>
      <c r="G2" s="419" t="s">
        <v>4696</v>
      </c>
      <c r="H2" s="420"/>
      <c r="I2" s="421"/>
    </row>
    <row r="3" spans="1:9" ht="45" customHeight="1" x14ac:dyDescent="0.25">
      <c r="A3" s="401"/>
      <c r="B3" s="419" t="s">
        <v>4699</v>
      </c>
      <c r="C3" s="420"/>
      <c r="D3" s="420"/>
      <c r="E3" s="420"/>
      <c r="F3" s="466"/>
      <c r="G3" s="419" t="s">
        <v>4709</v>
      </c>
      <c r="H3" s="420"/>
      <c r="I3" s="421"/>
    </row>
    <row r="4" spans="1:9" ht="15" customHeight="1" x14ac:dyDescent="0.25">
      <c r="A4" s="401"/>
      <c r="B4" s="419" t="s">
        <v>4700</v>
      </c>
      <c r="C4" s="420"/>
      <c r="D4" s="420"/>
      <c r="E4" s="420"/>
      <c r="F4" s="466"/>
      <c r="G4" s="419" t="s">
        <v>4697</v>
      </c>
      <c r="H4" s="420"/>
      <c r="I4" s="421"/>
    </row>
    <row r="5" spans="1:9" ht="92.25" customHeight="1" x14ac:dyDescent="0.25">
      <c r="A5" s="402"/>
      <c r="B5" s="467" t="s">
        <v>4701</v>
      </c>
      <c r="C5" s="467"/>
      <c r="D5" s="467"/>
      <c r="E5" s="467"/>
      <c r="F5" s="467"/>
      <c r="G5" s="417" t="s">
        <v>25</v>
      </c>
      <c r="H5" s="417"/>
      <c r="I5" s="418"/>
    </row>
    <row r="6" spans="1:9" ht="20.100000000000001" customHeight="1" x14ac:dyDescent="0.25">
      <c r="A6" s="456" t="s">
        <v>982</v>
      </c>
      <c r="B6" s="457"/>
      <c r="C6" s="457"/>
      <c r="D6" s="457"/>
      <c r="E6" s="457"/>
      <c r="F6" s="457"/>
      <c r="G6" s="457"/>
      <c r="H6" s="457"/>
      <c r="I6" s="161"/>
    </row>
    <row r="7" spans="1:9" ht="9.9499999999999993" customHeight="1" x14ac:dyDescent="0.25">
      <c r="A7" s="452"/>
      <c r="B7" s="453"/>
      <c r="C7" s="453"/>
      <c r="D7" s="162"/>
      <c r="E7" s="162"/>
      <c r="F7" s="162"/>
      <c r="G7" s="162"/>
      <c r="H7" s="162"/>
      <c r="I7" s="161"/>
    </row>
    <row r="8" spans="1:9" ht="20.100000000000001" customHeight="1" x14ac:dyDescent="0.25">
      <c r="A8" s="456" t="s">
        <v>983</v>
      </c>
      <c r="B8" s="457"/>
      <c r="C8" s="457"/>
      <c r="D8" s="457"/>
      <c r="E8" s="457"/>
      <c r="F8" s="457"/>
      <c r="G8" s="457"/>
      <c r="H8" s="457"/>
      <c r="I8" s="161"/>
    </row>
    <row r="9" spans="1:9" ht="15" customHeight="1" x14ac:dyDescent="0.25">
      <c r="A9" s="450"/>
      <c r="B9" s="451"/>
      <c r="C9" s="119"/>
      <c r="D9" s="119" t="s">
        <v>984</v>
      </c>
      <c r="E9" s="162"/>
      <c r="F9" s="162"/>
      <c r="G9" s="162"/>
      <c r="H9" s="162"/>
      <c r="I9" s="161"/>
    </row>
    <row r="10" spans="1:9" ht="18.95" customHeight="1" x14ac:dyDescent="0.25">
      <c r="A10" s="163" t="s">
        <v>985</v>
      </c>
      <c r="B10" s="120" t="s">
        <v>0</v>
      </c>
      <c r="C10" s="227">
        <v>16</v>
      </c>
      <c r="D10" s="228">
        <v>16</v>
      </c>
      <c r="E10" s="162"/>
      <c r="F10" s="162"/>
      <c r="G10" s="162"/>
      <c r="H10" s="162"/>
      <c r="I10" s="161"/>
    </row>
    <row r="11" spans="1:9" ht="15" customHeight="1" x14ac:dyDescent="0.25">
      <c r="A11" s="164"/>
      <c r="B11" s="121"/>
      <c r="C11" s="122"/>
      <c r="D11" s="123">
        <v>16</v>
      </c>
      <c r="E11" s="162"/>
      <c r="F11" s="162"/>
      <c r="G11" s="162"/>
      <c r="H11" s="162"/>
      <c r="I11" s="161"/>
    </row>
    <row r="12" spans="1:9" ht="9.9499999999999993" customHeight="1" x14ac:dyDescent="0.25">
      <c r="A12" s="452"/>
      <c r="B12" s="453"/>
      <c r="C12" s="453"/>
      <c r="D12" s="162"/>
      <c r="E12" s="162"/>
      <c r="F12" s="162"/>
      <c r="G12" s="162"/>
      <c r="H12" s="162"/>
      <c r="I12" s="161"/>
    </row>
    <row r="13" spans="1:9" ht="12" customHeight="1" x14ac:dyDescent="0.25">
      <c r="A13" s="165"/>
      <c r="B13" s="162"/>
      <c r="C13" s="162"/>
      <c r="D13" s="458" t="str">
        <f>"TOTAL DA MEMÓRIA DE CÁLCULO: "&amp;TEXT(ROUND(SUM(D11),2),"0,00")</f>
        <v>TOTAL DA MEMÓRIA DE CÁLCULO: 16,00</v>
      </c>
      <c r="E13" s="458"/>
      <c r="F13" s="458"/>
      <c r="G13" s="458"/>
      <c r="H13" s="458"/>
      <c r="I13" s="161"/>
    </row>
    <row r="14" spans="1:9" ht="9.9499999999999993" customHeight="1" x14ac:dyDescent="0.25">
      <c r="A14" s="452"/>
      <c r="B14" s="453"/>
      <c r="C14" s="453"/>
      <c r="D14" s="453"/>
      <c r="E14" s="162"/>
      <c r="F14" s="162"/>
      <c r="G14" s="162"/>
      <c r="H14" s="162"/>
      <c r="I14" s="161"/>
    </row>
    <row r="15" spans="1:9" ht="42.95" customHeight="1" x14ac:dyDescent="0.25">
      <c r="A15" s="456" t="s">
        <v>986</v>
      </c>
      <c r="B15" s="457"/>
      <c r="C15" s="457"/>
      <c r="D15" s="457"/>
      <c r="E15" s="457"/>
      <c r="F15" s="457"/>
      <c r="G15" s="457"/>
      <c r="H15" s="457"/>
      <c r="I15" s="161"/>
    </row>
    <row r="16" spans="1:9" ht="15" customHeight="1" x14ac:dyDescent="0.25">
      <c r="A16" s="450"/>
      <c r="B16" s="451"/>
      <c r="C16" s="119"/>
      <c r="D16" s="119" t="s">
        <v>984</v>
      </c>
      <c r="E16" s="162"/>
      <c r="F16" s="162"/>
      <c r="G16" s="162"/>
      <c r="H16" s="162"/>
      <c r="I16" s="161"/>
    </row>
    <row r="17" spans="1:9" ht="12.95" customHeight="1" x14ac:dyDescent="0.25">
      <c r="A17" s="163" t="s">
        <v>987</v>
      </c>
      <c r="B17" s="120" t="s">
        <v>988</v>
      </c>
      <c r="C17" s="227">
        <v>10.9</v>
      </c>
      <c r="D17" s="228">
        <f>ROUND(10.9,2)</f>
        <v>10.9</v>
      </c>
      <c r="E17" s="162"/>
      <c r="F17" s="162"/>
      <c r="G17" s="162"/>
      <c r="H17" s="162"/>
      <c r="I17" s="161"/>
    </row>
    <row r="18" spans="1:9" ht="15" customHeight="1" x14ac:dyDescent="0.25">
      <c r="A18" s="164"/>
      <c r="B18" s="121"/>
      <c r="C18" s="122"/>
      <c r="D18" s="123">
        <f>ROUND(SUM(D17:D17),2)</f>
        <v>10.9</v>
      </c>
      <c r="E18" s="162"/>
      <c r="F18" s="162"/>
      <c r="G18" s="162"/>
      <c r="H18" s="162"/>
      <c r="I18" s="161"/>
    </row>
    <row r="19" spans="1:9" ht="9.9499999999999993" customHeight="1" x14ac:dyDescent="0.25">
      <c r="A19" s="452"/>
      <c r="B19" s="453"/>
      <c r="C19" s="453"/>
      <c r="D19" s="162"/>
      <c r="E19" s="162"/>
      <c r="F19" s="162"/>
      <c r="G19" s="162"/>
      <c r="H19" s="162"/>
      <c r="I19" s="161"/>
    </row>
    <row r="20" spans="1:9" ht="12" customHeight="1" x14ac:dyDescent="0.25">
      <c r="A20" s="165"/>
      <c r="B20" s="162"/>
      <c r="C20" s="162"/>
      <c r="D20" s="458" t="str">
        <f>"TOTAL DA MEMÓRIA DE CÁLCULO: "&amp;TEXT(ROUND(SUM(D18),2),"0,00")</f>
        <v>TOTAL DA MEMÓRIA DE CÁLCULO: 10,90</v>
      </c>
      <c r="E20" s="458"/>
      <c r="F20" s="458"/>
      <c r="G20" s="458"/>
      <c r="H20" s="458"/>
      <c r="I20" s="161"/>
    </row>
    <row r="21" spans="1:9" ht="9.9499999999999993" customHeight="1" x14ac:dyDescent="0.25">
      <c r="A21" s="452"/>
      <c r="B21" s="453"/>
      <c r="C21" s="453"/>
      <c r="D21" s="453"/>
      <c r="E21" s="162"/>
      <c r="F21" s="162"/>
      <c r="G21" s="162"/>
      <c r="H21" s="162"/>
      <c r="I21" s="161"/>
    </row>
    <row r="22" spans="1:9" ht="42.95" customHeight="1" x14ac:dyDescent="0.25">
      <c r="A22" s="456" t="s">
        <v>4382</v>
      </c>
      <c r="B22" s="457"/>
      <c r="C22" s="457"/>
      <c r="D22" s="457"/>
      <c r="E22" s="457"/>
      <c r="F22" s="457"/>
      <c r="G22" s="457"/>
      <c r="H22" s="457"/>
      <c r="I22" s="161"/>
    </row>
    <row r="23" spans="1:9" ht="15" customHeight="1" x14ac:dyDescent="0.25">
      <c r="A23" s="450"/>
      <c r="B23" s="451"/>
      <c r="C23" s="119"/>
      <c r="D23" s="119" t="s">
        <v>984</v>
      </c>
      <c r="E23" s="162"/>
      <c r="F23" s="162"/>
      <c r="G23" s="162"/>
      <c r="H23" s="162"/>
      <c r="I23" s="161"/>
    </row>
    <row r="24" spans="1:9" ht="12.95" customHeight="1" x14ac:dyDescent="0.25">
      <c r="A24" s="163" t="s">
        <v>4383</v>
      </c>
      <c r="B24" s="120">
        <v>24.2</v>
      </c>
      <c r="C24" s="227">
        <v>24.2</v>
      </c>
      <c r="D24" s="228">
        <v>24.2</v>
      </c>
      <c r="E24" s="162"/>
      <c r="F24" s="162"/>
      <c r="G24" s="162"/>
      <c r="H24" s="162"/>
      <c r="I24" s="161"/>
    </row>
    <row r="25" spans="1:9" ht="15" customHeight="1" x14ac:dyDescent="0.25">
      <c r="A25" s="164"/>
      <c r="B25" s="121"/>
      <c r="C25" s="122"/>
      <c r="D25" s="123">
        <f>ROUND(SUM(D24:D24),2)</f>
        <v>24.2</v>
      </c>
      <c r="E25" s="162"/>
      <c r="F25" s="162"/>
      <c r="G25" s="162"/>
      <c r="H25" s="162"/>
      <c r="I25" s="161"/>
    </row>
    <row r="26" spans="1:9" ht="9.9499999999999993" customHeight="1" x14ac:dyDescent="0.25">
      <c r="A26" s="452"/>
      <c r="B26" s="453"/>
      <c r="C26" s="453"/>
      <c r="D26" s="162"/>
      <c r="E26" s="162"/>
      <c r="F26" s="162"/>
      <c r="G26" s="162"/>
      <c r="H26" s="162"/>
      <c r="I26" s="161"/>
    </row>
    <row r="27" spans="1:9" ht="12" customHeight="1" x14ac:dyDescent="0.25">
      <c r="A27" s="165"/>
      <c r="B27" s="162"/>
      <c r="C27" s="162"/>
      <c r="D27" s="458" t="str">
        <f>"TOTAL DA MEMÓRIA DE CÁLCULO: "&amp;TEXT(ROUND(SUM(D25),2),"0,00")</f>
        <v>TOTAL DA MEMÓRIA DE CÁLCULO: 24,20</v>
      </c>
      <c r="E27" s="458"/>
      <c r="F27" s="458"/>
      <c r="G27" s="458"/>
      <c r="H27" s="458"/>
      <c r="I27" s="161"/>
    </row>
    <row r="28" spans="1:9" ht="9.9499999999999993" customHeight="1" x14ac:dyDescent="0.25">
      <c r="A28" s="452"/>
      <c r="B28" s="453"/>
      <c r="C28" s="453"/>
      <c r="D28" s="453"/>
      <c r="E28" s="162"/>
      <c r="F28" s="162"/>
      <c r="G28" s="162"/>
      <c r="H28" s="162"/>
      <c r="I28" s="161"/>
    </row>
    <row r="29" spans="1:9" ht="42.95" customHeight="1" x14ac:dyDescent="0.25">
      <c r="A29" s="456" t="s">
        <v>4381</v>
      </c>
      <c r="B29" s="457"/>
      <c r="C29" s="457"/>
      <c r="D29" s="457"/>
      <c r="E29" s="457"/>
      <c r="F29" s="457"/>
      <c r="G29" s="457"/>
      <c r="H29" s="457"/>
      <c r="I29" s="161"/>
    </row>
    <row r="30" spans="1:9" ht="15" customHeight="1" x14ac:dyDescent="0.25">
      <c r="A30" s="450"/>
      <c r="B30" s="451"/>
      <c r="C30" s="119"/>
      <c r="D30" s="119" t="s">
        <v>984</v>
      </c>
      <c r="E30" s="162"/>
      <c r="F30" s="162"/>
      <c r="G30" s="162"/>
      <c r="H30" s="162"/>
      <c r="I30" s="161"/>
    </row>
    <row r="31" spans="1:9" ht="12.95" customHeight="1" x14ac:dyDescent="0.25">
      <c r="A31" s="163" t="s">
        <v>987</v>
      </c>
      <c r="B31" s="120" t="s">
        <v>989</v>
      </c>
      <c r="C31" s="227">
        <v>14.5</v>
      </c>
      <c r="D31" s="228">
        <f>ROUND(14.5,2)</f>
        <v>14.5</v>
      </c>
      <c r="E31" s="162"/>
      <c r="F31" s="162"/>
      <c r="G31" s="162"/>
      <c r="H31" s="162"/>
      <c r="I31" s="161"/>
    </row>
    <row r="32" spans="1:9" ht="15" customHeight="1" x14ac:dyDescent="0.25">
      <c r="A32" s="164"/>
      <c r="B32" s="121"/>
      <c r="C32" s="122"/>
      <c r="D32" s="123">
        <f>ROUND(SUM(D31:D31),2)</f>
        <v>14.5</v>
      </c>
      <c r="E32" s="162"/>
      <c r="F32" s="162"/>
      <c r="G32" s="162"/>
      <c r="H32" s="162"/>
      <c r="I32" s="161"/>
    </row>
    <row r="33" spans="1:9" ht="9.9499999999999993" customHeight="1" x14ac:dyDescent="0.25">
      <c r="A33" s="452"/>
      <c r="B33" s="453"/>
      <c r="C33" s="453"/>
      <c r="D33" s="162"/>
      <c r="E33" s="162"/>
      <c r="F33" s="162"/>
      <c r="G33" s="162"/>
      <c r="H33" s="162"/>
      <c r="I33" s="161"/>
    </row>
    <row r="34" spans="1:9" ht="12" customHeight="1" x14ac:dyDescent="0.25">
      <c r="A34" s="165"/>
      <c r="B34" s="162"/>
      <c r="C34" s="162"/>
      <c r="D34" s="458" t="str">
        <f>"TOTAL DA MEMÓRIA DE CÁLCULO: "&amp;TEXT(ROUND(SUM(D32),2),"0,00")</f>
        <v>TOTAL DA MEMÓRIA DE CÁLCULO: 14,50</v>
      </c>
      <c r="E34" s="458"/>
      <c r="F34" s="458"/>
      <c r="G34" s="458"/>
      <c r="H34" s="458"/>
      <c r="I34" s="161"/>
    </row>
    <row r="35" spans="1:9" ht="9.9499999999999993" customHeight="1" x14ac:dyDescent="0.25">
      <c r="A35" s="452"/>
      <c r="B35" s="453"/>
      <c r="C35" s="453"/>
      <c r="D35" s="453"/>
      <c r="E35" s="162"/>
      <c r="F35" s="162"/>
      <c r="G35" s="162"/>
      <c r="H35" s="162"/>
      <c r="I35" s="161"/>
    </row>
    <row r="36" spans="1:9" ht="42.95" customHeight="1" x14ac:dyDescent="0.25">
      <c r="A36" s="456" t="s">
        <v>4384</v>
      </c>
      <c r="B36" s="457"/>
      <c r="C36" s="457"/>
      <c r="D36" s="457"/>
      <c r="E36" s="457"/>
      <c r="F36" s="457"/>
      <c r="G36" s="457"/>
      <c r="H36" s="457"/>
      <c r="I36" s="161"/>
    </row>
    <row r="37" spans="1:9" ht="15" customHeight="1" x14ac:dyDescent="0.25">
      <c r="A37" s="450"/>
      <c r="B37" s="451"/>
      <c r="C37" s="119"/>
      <c r="D37" s="119" t="s">
        <v>984</v>
      </c>
      <c r="E37" s="162"/>
      <c r="F37" s="162"/>
      <c r="G37" s="162"/>
      <c r="H37" s="162"/>
      <c r="I37" s="161"/>
    </row>
    <row r="38" spans="1:9" ht="12.95" customHeight="1" x14ac:dyDescent="0.25">
      <c r="A38" s="163" t="s">
        <v>990</v>
      </c>
      <c r="B38" s="120" t="s">
        <v>21</v>
      </c>
      <c r="C38" s="227">
        <v>12</v>
      </c>
      <c r="D38" s="228">
        <f>ROUND(12,2)</f>
        <v>12</v>
      </c>
      <c r="E38" s="162"/>
      <c r="F38" s="162"/>
      <c r="G38" s="162"/>
      <c r="H38" s="162"/>
      <c r="I38" s="161"/>
    </row>
    <row r="39" spans="1:9" ht="15" customHeight="1" x14ac:dyDescent="0.25">
      <c r="A39" s="164"/>
      <c r="B39" s="121"/>
      <c r="C39" s="122"/>
      <c r="D39" s="123">
        <f>ROUND(SUM(D38:D38),2)</f>
        <v>12</v>
      </c>
      <c r="E39" s="162"/>
      <c r="F39" s="162"/>
      <c r="G39" s="162"/>
      <c r="H39" s="162"/>
      <c r="I39" s="161"/>
    </row>
    <row r="40" spans="1:9" ht="9.9499999999999993" customHeight="1" x14ac:dyDescent="0.25">
      <c r="A40" s="452"/>
      <c r="B40" s="453"/>
      <c r="C40" s="453"/>
      <c r="D40" s="162"/>
      <c r="E40" s="162"/>
      <c r="F40" s="162"/>
      <c r="G40" s="162"/>
      <c r="H40" s="162"/>
      <c r="I40" s="161"/>
    </row>
    <row r="41" spans="1:9" ht="12" customHeight="1" x14ac:dyDescent="0.25">
      <c r="A41" s="165"/>
      <c r="B41" s="162"/>
      <c r="C41" s="162"/>
      <c r="D41" s="458" t="str">
        <f>"TOTAL DA MEMÓRIA DE CÁLCULO: "&amp;TEXT(ROUND(SUM(D39),2),"0,00")</f>
        <v>TOTAL DA MEMÓRIA DE CÁLCULO: 12,00</v>
      </c>
      <c r="E41" s="458"/>
      <c r="F41" s="458"/>
      <c r="G41" s="458"/>
      <c r="H41" s="458"/>
      <c r="I41" s="161"/>
    </row>
    <row r="42" spans="1:9" ht="9.9499999999999993" customHeight="1" x14ac:dyDescent="0.25">
      <c r="A42" s="452"/>
      <c r="B42" s="453"/>
      <c r="C42" s="453"/>
      <c r="D42" s="453"/>
      <c r="E42" s="162"/>
      <c r="F42" s="162"/>
      <c r="G42" s="162"/>
      <c r="H42" s="162"/>
      <c r="I42" s="161"/>
    </row>
    <row r="43" spans="1:9" ht="20.100000000000001" customHeight="1" x14ac:dyDescent="0.25">
      <c r="A43" s="456" t="s">
        <v>4385</v>
      </c>
      <c r="B43" s="457"/>
      <c r="C43" s="457"/>
      <c r="D43" s="457"/>
      <c r="E43" s="457"/>
      <c r="F43" s="457"/>
      <c r="G43" s="457"/>
      <c r="H43" s="457"/>
      <c r="I43" s="161"/>
    </row>
    <row r="44" spans="1:9" ht="15" customHeight="1" x14ac:dyDescent="0.25">
      <c r="A44" s="450"/>
      <c r="B44" s="451"/>
      <c r="C44" s="119"/>
      <c r="D44" s="119" t="s">
        <v>984</v>
      </c>
      <c r="E44" s="162"/>
      <c r="F44" s="162"/>
      <c r="G44" s="162"/>
      <c r="H44" s="162"/>
      <c r="I44" s="161"/>
    </row>
    <row r="45" spans="1:9" ht="12.95" customHeight="1" x14ac:dyDescent="0.25">
      <c r="A45" s="163" t="s">
        <v>991</v>
      </c>
      <c r="B45" s="120" t="s">
        <v>0</v>
      </c>
      <c r="C45" s="227">
        <v>1</v>
      </c>
      <c r="D45" s="228">
        <f>ROUND(1,2)</f>
        <v>1</v>
      </c>
      <c r="E45" s="162"/>
      <c r="F45" s="162"/>
      <c r="G45" s="162"/>
      <c r="H45" s="162"/>
      <c r="I45" s="161"/>
    </row>
    <row r="46" spans="1:9" ht="15" customHeight="1" x14ac:dyDescent="0.25">
      <c r="A46" s="164"/>
      <c r="B46" s="121"/>
      <c r="C46" s="122"/>
      <c r="D46" s="123">
        <f>ROUND(SUM(D45:D45),2)</f>
        <v>1</v>
      </c>
      <c r="E46" s="162"/>
      <c r="F46" s="162"/>
      <c r="G46" s="162"/>
      <c r="H46" s="162"/>
      <c r="I46" s="161"/>
    </row>
    <row r="47" spans="1:9" ht="9.9499999999999993" customHeight="1" x14ac:dyDescent="0.25">
      <c r="A47" s="452"/>
      <c r="B47" s="453"/>
      <c r="C47" s="453"/>
      <c r="D47" s="162"/>
      <c r="E47" s="162"/>
      <c r="F47" s="162"/>
      <c r="G47" s="162"/>
      <c r="H47" s="162"/>
      <c r="I47" s="161"/>
    </row>
    <row r="48" spans="1:9" ht="12" customHeight="1" x14ac:dyDescent="0.25">
      <c r="A48" s="165"/>
      <c r="B48" s="162"/>
      <c r="C48" s="162"/>
      <c r="D48" s="458" t="str">
        <f>"TOTAL DA MEMÓRIA DE CÁLCULO: "&amp;TEXT(ROUND(SUM(D46),2),"0,00")</f>
        <v>TOTAL DA MEMÓRIA DE CÁLCULO: 1,00</v>
      </c>
      <c r="E48" s="458"/>
      <c r="F48" s="458"/>
      <c r="G48" s="458"/>
      <c r="H48" s="458"/>
      <c r="I48" s="161"/>
    </row>
    <row r="49" spans="1:9" ht="9.9499999999999993" customHeight="1" x14ac:dyDescent="0.25">
      <c r="A49" s="452"/>
      <c r="B49" s="453"/>
      <c r="C49" s="453"/>
      <c r="D49" s="453"/>
      <c r="E49" s="162"/>
      <c r="F49" s="162"/>
      <c r="G49" s="162"/>
      <c r="H49" s="162"/>
      <c r="I49" s="161"/>
    </row>
    <row r="50" spans="1:9" ht="42.95" customHeight="1" x14ac:dyDescent="0.25">
      <c r="A50" s="456" t="s">
        <v>4386</v>
      </c>
      <c r="B50" s="457"/>
      <c r="C50" s="457"/>
      <c r="D50" s="457"/>
      <c r="E50" s="457"/>
      <c r="F50" s="457"/>
      <c r="G50" s="457"/>
      <c r="H50" s="457"/>
      <c r="I50" s="161"/>
    </row>
    <row r="51" spans="1:9" ht="15" customHeight="1" x14ac:dyDescent="0.25">
      <c r="A51" s="450" t="s">
        <v>992</v>
      </c>
      <c r="B51" s="451"/>
      <c r="C51" s="119"/>
      <c r="D51" s="119" t="s">
        <v>984</v>
      </c>
      <c r="E51" s="162"/>
      <c r="F51" s="162"/>
      <c r="G51" s="162"/>
      <c r="H51" s="162"/>
      <c r="I51" s="161"/>
    </row>
    <row r="52" spans="1:9" ht="12.95" customHeight="1" x14ac:dyDescent="0.25">
      <c r="A52" s="163" t="s">
        <v>993</v>
      </c>
      <c r="B52" s="120" t="s">
        <v>994</v>
      </c>
      <c r="C52" s="459">
        <v>201.53</v>
      </c>
      <c r="D52" s="460">
        <f>ROUND(201.53,2)</f>
        <v>201.53</v>
      </c>
      <c r="E52" s="162"/>
      <c r="F52" s="162"/>
      <c r="G52" s="162"/>
      <c r="H52" s="162"/>
      <c r="I52" s="161"/>
    </row>
    <row r="53" spans="1:9" ht="6" customHeight="1" x14ac:dyDescent="0.25">
      <c r="A53" s="166"/>
      <c r="B53" s="124"/>
      <c r="C53" s="459"/>
      <c r="D53" s="460"/>
      <c r="E53" s="162"/>
      <c r="F53" s="162"/>
      <c r="G53" s="162"/>
      <c r="H53" s="162"/>
      <c r="I53" s="161"/>
    </row>
    <row r="54" spans="1:9" ht="15" customHeight="1" x14ac:dyDescent="0.25">
      <c r="A54" s="164" t="s">
        <v>992</v>
      </c>
      <c r="B54" s="121"/>
      <c r="C54" s="122"/>
      <c r="D54" s="123">
        <f>ROUND(SUM(D52:D53),2)</f>
        <v>201.53</v>
      </c>
      <c r="E54" s="162"/>
      <c r="F54" s="162"/>
      <c r="G54" s="162"/>
      <c r="H54" s="162"/>
      <c r="I54" s="161"/>
    </row>
    <row r="55" spans="1:9" ht="9.9499999999999993" customHeight="1" x14ac:dyDescent="0.25">
      <c r="A55" s="452"/>
      <c r="B55" s="453"/>
      <c r="C55" s="453"/>
      <c r="D55" s="162"/>
      <c r="E55" s="162"/>
      <c r="F55" s="162"/>
      <c r="G55" s="162"/>
      <c r="H55" s="162"/>
      <c r="I55" s="161"/>
    </row>
    <row r="56" spans="1:9" ht="15" customHeight="1" x14ac:dyDescent="0.25">
      <c r="A56" s="450" t="s">
        <v>995</v>
      </c>
      <c r="B56" s="451"/>
      <c r="C56" s="119"/>
      <c r="D56" s="119" t="s">
        <v>984</v>
      </c>
      <c r="E56" s="162"/>
      <c r="F56" s="162"/>
      <c r="G56" s="162"/>
      <c r="H56" s="162"/>
      <c r="I56" s="161"/>
    </row>
    <row r="57" spans="1:9" ht="12.95" customHeight="1" x14ac:dyDescent="0.25">
      <c r="A57" s="163" t="s">
        <v>993</v>
      </c>
      <c r="B57" s="120" t="s">
        <v>996</v>
      </c>
      <c r="C57" s="459">
        <v>255.53</v>
      </c>
      <c r="D57" s="460">
        <f>ROUND(255.53,2)</f>
        <v>255.53</v>
      </c>
      <c r="E57" s="162"/>
      <c r="F57" s="162"/>
      <c r="G57" s="162"/>
      <c r="H57" s="162"/>
      <c r="I57" s="161"/>
    </row>
    <row r="58" spans="1:9" ht="6" customHeight="1" x14ac:dyDescent="0.25">
      <c r="A58" s="166"/>
      <c r="B58" s="124"/>
      <c r="C58" s="459"/>
      <c r="D58" s="460"/>
      <c r="E58" s="162"/>
      <c r="F58" s="162"/>
      <c r="G58" s="162"/>
      <c r="H58" s="162"/>
      <c r="I58" s="161"/>
    </row>
    <row r="59" spans="1:9" ht="15" customHeight="1" x14ac:dyDescent="0.25">
      <c r="A59" s="164" t="s">
        <v>995</v>
      </c>
      <c r="B59" s="121"/>
      <c r="C59" s="122"/>
      <c r="D59" s="123">
        <f>ROUND(SUM(D57:D58),2)</f>
        <v>255.53</v>
      </c>
      <c r="E59" s="162"/>
      <c r="F59" s="162"/>
      <c r="G59" s="162"/>
      <c r="H59" s="162"/>
      <c r="I59" s="161"/>
    </row>
    <row r="60" spans="1:9" ht="9.9499999999999993" customHeight="1" x14ac:dyDescent="0.25">
      <c r="A60" s="452"/>
      <c r="B60" s="453"/>
      <c r="C60" s="453"/>
      <c r="D60" s="162"/>
      <c r="E60" s="162"/>
      <c r="F60" s="162"/>
      <c r="G60" s="162"/>
      <c r="H60" s="162"/>
      <c r="I60" s="161"/>
    </row>
    <row r="61" spans="1:9" ht="12" customHeight="1" x14ac:dyDescent="0.25">
      <c r="A61" s="461" t="s">
        <v>4287</v>
      </c>
      <c r="B61" s="462"/>
      <c r="C61" s="462"/>
      <c r="D61" s="458" t="str">
        <f>"TOTAL DA MEMÓRIA DE CÁLCULO: "&amp;TEXT(ROUND(SUM(D54,D59),2),"0,00")</f>
        <v>TOTAL DA MEMÓRIA DE CÁLCULO: 457,06</v>
      </c>
      <c r="E61" s="458"/>
      <c r="F61" s="458"/>
      <c r="G61" s="458"/>
      <c r="H61" s="458"/>
      <c r="I61" s="161"/>
    </row>
    <row r="62" spans="1:9" ht="12" customHeight="1" x14ac:dyDescent="0.25">
      <c r="A62" s="461"/>
      <c r="B62" s="462"/>
      <c r="C62" s="462"/>
      <c r="D62" s="162"/>
      <c r="E62" s="162"/>
      <c r="F62" s="162"/>
      <c r="G62" s="162"/>
      <c r="H62" s="162"/>
      <c r="I62" s="161"/>
    </row>
    <row r="63" spans="1:9" ht="9.9499999999999993" customHeight="1" x14ac:dyDescent="0.25">
      <c r="A63" s="452"/>
      <c r="B63" s="453"/>
      <c r="C63" s="453"/>
      <c r="D63" s="453"/>
      <c r="E63" s="162"/>
      <c r="F63" s="162"/>
      <c r="G63" s="162"/>
      <c r="H63" s="162"/>
      <c r="I63" s="161"/>
    </row>
    <row r="64" spans="1:9" ht="20.100000000000001" customHeight="1" x14ac:dyDescent="0.25">
      <c r="A64" s="456" t="s">
        <v>4387</v>
      </c>
      <c r="B64" s="457"/>
      <c r="C64" s="457"/>
      <c r="D64" s="457"/>
      <c r="E64" s="457"/>
      <c r="F64" s="457"/>
      <c r="G64" s="457"/>
      <c r="H64" s="457"/>
      <c r="I64" s="161"/>
    </row>
    <row r="65" spans="1:9" ht="15" customHeight="1" x14ac:dyDescent="0.25">
      <c r="A65" s="450"/>
      <c r="B65" s="451"/>
      <c r="C65" s="119" t="s">
        <v>997</v>
      </c>
      <c r="D65" s="119" t="s">
        <v>998</v>
      </c>
      <c r="E65" s="119" t="s">
        <v>984</v>
      </c>
      <c r="F65" s="162"/>
      <c r="G65" s="162"/>
      <c r="H65" s="162"/>
      <c r="I65" s="161"/>
    </row>
    <row r="66" spans="1:9" ht="27" customHeight="1" x14ac:dyDescent="0.25">
      <c r="A66" s="163" t="s">
        <v>999</v>
      </c>
      <c r="B66" s="120" t="s">
        <v>1000</v>
      </c>
      <c r="C66" s="227">
        <v>118.3</v>
      </c>
      <c r="D66" s="227">
        <v>12</v>
      </c>
      <c r="E66" s="228">
        <f>ROUND((C66/4)*D66,2)</f>
        <v>354.9</v>
      </c>
      <c r="F66" s="162"/>
      <c r="G66" s="162"/>
      <c r="H66" s="162"/>
      <c r="I66" s="161"/>
    </row>
    <row r="67" spans="1:9" ht="15" customHeight="1" x14ac:dyDescent="0.25">
      <c r="A67" s="164"/>
      <c r="B67" s="121"/>
      <c r="C67" s="122"/>
      <c r="D67" s="122"/>
      <c r="E67" s="123">
        <f>ROUND(SUM(E66:E66),2)</f>
        <v>354.9</v>
      </c>
      <c r="F67" s="162"/>
      <c r="G67" s="162"/>
      <c r="H67" s="162"/>
      <c r="I67" s="161"/>
    </row>
    <row r="68" spans="1:9" ht="9.9499999999999993" customHeight="1" x14ac:dyDescent="0.25">
      <c r="A68" s="452"/>
      <c r="B68" s="453"/>
      <c r="C68" s="453"/>
      <c r="D68" s="162"/>
      <c r="E68" s="162"/>
      <c r="F68" s="162"/>
      <c r="G68" s="162"/>
      <c r="H68" s="162"/>
      <c r="I68" s="161"/>
    </row>
    <row r="69" spans="1:9" ht="12" customHeight="1" x14ac:dyDescent="0.25">
      <c r="A69" s="461" t="s">
        <v>4288</v>
      </c>
      <c r="B69" s="462"/>
      <c r="C69" s="462"/>
      <c r="D69" s="458" t="str">
        <f>"TOTAL DA MEMÓRIA DE CÁLCULO: "&amp;TEXT(ROUND(SUM(E67),2),"0,00")</f>
        <v>TOTAL DA MEMÓRIA DE CÁLCULO: 354,90</v>
      </c>
      <c r="E69" s="458"/>
      <c r="F69" s="458"/>
      <c r="G69" s="458"/>
      <c r="H69" s="458"/>
      <c r="I69" s="161"/>
    </row>
    <row r="70" spans="1:9" ht="12" customHeight="1" x14ac:dyDescent="0.25">
      <c r="A70" s="461"/>
      <c r="B70" s="462"/>
      <c r="C70" s="462"/>
      <c r="D70" s="162"/>
      <c r="E70" s="162"/>
      <c r="F70" s="162"/>
      <c r="G70" s="162"/>
      <c r="H70" s="162"/>
      <c r="I70" s="161"/>
    </row>
    <row r="71" spans="1:9" ht="9.9499999999999993" customHeight="1" x14ac:dyDescent="0.25">
      <c r="A71" s="452"/>
      <c r="B71" s="453"/>
      <c r="C71" s="453"/>
      <c r="D71" s="453"/>
      <c r="E71" s="162"/>
      <c r="F71" s="162"/>
      <c r="G71" s="162"/>
      <c r="H71" s="162"/>
      <c r="I71" s="161"/>
    </row>
    <row r="72" spans="1:9" ht="42.95" customHeight="1" x14ac:dyDescent="0.25">
      <c r="A72" s="456" t="s">
        <v>4388</v>
      </c>
      <c r="B72" s="457"/>
      <c r="C72" s="457"/>
      <c r="D72" s="457"/>
      <c r="E72" s="457"/>
      <c r="F72" s="457"/>
      <c r="G72" s="457"/>
      <c r="H72" s="457"/>
      <c r="I72" s="161"/>
    </row>
    <row r="73" spans="1:9" ht="15" customHeight="1" x14ac:dyDescent="0.25">
      <c r="A73" s="450"/>
      <c r="B73" s="451"/>
      <c r="C73" s="119"/>
      <c r="D73" s="119" t="s">
        <v>984</v>
      </c>
      <c r="E73" s="162"/>
      <c r="F73" s="162"/>
      <c r="G73" s="162"/>
      <c r="H73" s="162"/>
      <c r="I73" s="161"/>
    </row>
    <row r="74" spans="1:9" ht="27" customHeight="1" x14ac:dyDescent="0.25">
      <c r="A74" s="163" t="s">
        <v>1001</v>
      </c>
      <c r="B74" s="120">
        <v>30</v>
      </c>
      <c r="C74" s="227">
        <v>30</v>
      </c>
      <c r="D74" s="228">
        <v>30</v>
      </c>
      <c r="E74" s="162"/>
      <c r="F74" s="162"/>
      <c r="G74" s="162"/>
      <c r="H74" s="162"/>
      <c r="I74" s="161"/>
    </row>
    <row r="75" spans="1:9" ht="15" customHeight="1" x14ac:dyDescent="0.25">
      <c r="A75" s="164"/>
      <c r="B75" s="121"/>
      <c r="C75" s="122"/>
      <c r="D75" s="123">
        <f>ROUND(SUM(D74:D74),2)</f>
        <v>30</v>
      </c>
      <c r="E75" s="162"/>
      <c r="F75" s="162"/>
      <c r="G75" s="162"/>
      <c r="H75" s="162"/>
      <c r="I75" s="161"/>
    </row>
    <row r="76" spans="1:9" ht="9.9499999999999993" customHeight="1" x14ac:dyDescent="0.25">
      <c r="A76" s="452"/>
      <c r="B76" s="453"/>
      <c r="C76" s="453"/>
      <c r="D76" s="162"/>
      <c r="E76" s="162"/>
      <c r="F76" s="162"/>
      <c r="G76" s="162"/>
      <c r="H76" s="162"/>
      <c r="I76" s="161"/>
    </row>
    <row r="77" spans="1:9" ht="12" customHeight="1" x14ac:dyDescent="0.25">
      <c r="A77" s="165"/>
      <c r="B77" s="162"/>
      <c r="C77" s="162"/>
      <c r="D77" s="458" t="str">
        <f>"TOTAL DA MEMÓRIA DE CÁLCULO: "&amp;TEXT(ROUND(SUM(D75),2),"0,00")</f>
        <v>TOTAL DA MEMÓRIA DE CÁLCULO: 30,00</v>
      </c>
      <c r="E77" s="458"/>
      <c r="F77" s="458"/>
      <c r="G77" s="458"/>
      <c r="H77" s="458"/>
      <c r="I77" s="161"/>
    </row>
    <row r="78" spans="1:9" ht="9.9499999999999993" customHeight="1" x14ac:dyDescent="0.25">
      <c r="A78" s="452"/>
      <c r="B78" s="453"/>
      <c r="C78" s="453"/>
      <c r="D78" s="453"/>
      <c r="E78" s="162"/>
      <c r="F78" s="162"/>
      <c r="G78" s="162"/>
      <c r="H78" s="162"/>
      <c r="I78" s="161"/>
    </row>
    <row r="79" spans="1:9" ht="20.100000000000001" customHeight="1" x14ac:dyDescent="0.25">
      <c r="A79" s="456" t="s">
        <v>1002</v>
      </c>
      <c r="B79" s="457"/>
      <c r="C79" s="457"/>
      <c r="D79" s="457"/>
      <c r="E79" s="457"/>
      <c r="F79" s="457"/>
      <c r="G79" s="457"/>
      <c r="H79" s="457"/>
      <c r="I79" s="161"/>
    </row>
    <row r="80" spans="1:9" ht="9.9499999999999993" customHeight="1" x14ac:dyDescent="0.25">
      <c r="A80" s="452"/>
      <c r="B80" s="453"/>
      <c r="C80" s="453"/>
      <c r="D80" s="162"/>
      <c r="E80" s="162"/>
      <c r="F80" s="162"/>
      <c r="G80" s="162"/>
      <c r="H80" s="162"/>
      <c r="I80" s="161"/>
    </row>
    <row r="81" spans="1:9" ht="20.100000000000001" customHeight="1" x14ac:dyDescent="0.25">
      <c r="A81" s="456" t="s">
        <v>1003</v>
      </c>
      <c r="B81" s="457"/>
      <c r="C81" s="457"/>
      <c r="D81" s="457"/>
      <c r="E81" s="457"/>
      <c r="F81" s="457"/>
      <c r="G81" s="457"/>
      <c r="H81" s="457"/>
      <c r="I81" s="161"/>
    </row>
    <row r="82" spans="1:9" ht="9.9499999999999993" customHeight="1" x14ac:dyDescent="0.25">
      <c r="A82" s="452"/>
      <c r="B82" s="453"/>
      <c r="C82" s="453"/>
      <c r="D82" s="162"/>
      <c r="E82" s="162"/>
      <c r="F82" s="162"/>
      <c r="G82" s="162"/>
      <c r="H82" s="162"/>
      <c r="I82" s="161"/>
    </row>
    <row r="83" spans="1:9" ht="30.95" customHeight="1" x14ac:dyDescent="0.25">
      <c r="A83" s="456" t="s">
        <v>1004</v>
      </c>
      <c r="B83" s="457"/>
      <c r="C83" s="457"/>
      <c r="D83" s="457"/>
      <c r="E83" s="457"/>
      <c r="F83" s="457"/>
      <c r="G83" s="457"/>
      <c r="H83" s="457"/>
      <c r="I83" s="161"/>
    </row>
    <row r="84" spans="1:9" ht="15" customHeight="1" x14ac:dyDescent="0.25">
      <c r="A84" s="450" t="s">
        <v>1005</v>
      </c>
      <c r="B84" s="451"/>
      <c r="C84" s="119" t="s">
        <v>1006</v>
      </c>
      <c r="D84" s="119" t="s">
        <v>1007</v>
      </c>
      <c r="E84" s="119" t="s">
        <v>984</v>
      </c>
      <c r="F84" s="162"/>
      <c r="G84" s="162"/>
      <c r="H84" s="162"/>
      <c r="I84" s="161"/>
    </row>
    <row r="85" spans="1:9" ht="12.95" customHeight="1" x14ac:dyDescent="0.25">
      <c r="A85" s="163" t="s">
        <v>1008</v>
      </c>
      <c r="B85" s="120" t="s">
        <v>1009</v>
      </c>
      <c r="C85" s="227">
        <v>0.15</v>
      </c>
      <c r="D85" s="227">
        <v>87.97</v>
      </c>
      <c r="E85" s="228">
        <f>ROUND(D85*C85,2)</f>
        <v>13.2</v>
      </c>
      <c r="F85" s="162"/>
      <c r="G85" s="162"/>
      <c r="H85" s="162"/>
      <c r="I85" s="161"/>
    </row>
    <row r="86" spans="1:9" ht="12.95" customHeight="1" x14ac:dyDescent="0.25">
      <c r="A86" s="163" t="s">
        <v>153</v>
      </c>
      <c r="B86" s="120" t="s">
        <v>1009</v>
      </c>
      <c r="C86" s="227">
        <v>0.15</v>
      </c>
      <c r="D86" s="227">
        <v>47.65</v>
      </c>
      <c r="E86" s="228">
        <f>ROUND(D86*C86,2)</f>
        <v>7.15</v>
      </c>
      <c r="F86" s="162"/>
      <c r="G86" s="162"/>
      <c r="H86" s="162"/>
      <c r="I86" s="161"/>
    </row>
    <row r="87" spans="1:9" ht="12.95" customHeight="1" x14ac:dyDescent="0.25">
      <c r="A87" s="163" t="s">
        <v>153</v>
      </c>
      <c r="B87" s="120" t="s">
        <v>1009</v>
      </c>
      <c r="C87" s="227">
        <v>0.1</v>
      </c>
      <c r="D87" s="227">
        <v>1.75</v>
      </c>
      <c r="E87" s="228">
        <f>ROUND(D87*C87,2)</f>
        <v>0.18</v>
      </c>
      <c r="F87" s="162"/>
      <c r="G87" s="162"/>
      <c r="H87" s="162"/>
      <c r="I87" s="161"/>
    </row>
    <row r="88" spans="1:9" ht="18.95" customHeight="1" x14ac:dyDescent="0.25">
      <c r="A88" s="164" t="s">
        <v>1005</v>
      </c>
      <c r="B88" s="121"/>
      <c r="C88" s="122"/>
      <c r="D88" s="122"/>
      <c r="E88" s="123">
        <f>ROUND(SUM(E85:E87),2)</f>
        <v>20.53</v>
      </c>
      <c r="F88" s="162"/>
      <c r="G88" s="162"/>
      <c r="H88" s="162"/>
      <c r="I88" s="161"/>
    </row>
    <row r="89" spans="1:9" ht="9.9499999999999993" customHeight="1" x14ac:dyDescent="0.25">
      <c r="A89" s="452"/>
      <c r="B89" s="453"/>
      <c r="C89" s="453"/>
      <c r="D89" s="162"/>
      <c r="E89" s="162"/>
      <c r="F89" s="162"/>
      <c r="G89" s="162"/>
      <c r="H89" s="162"/>
      <c r="I89" s="161"/>
    </row>
    <row r="90" spans="1:9" ht="15" customHeight="1" x14ac:dyDescent="0.25">
      <c r="A90" s="450" t="s">
        <v>1010</v>
      </c>
      <c r="B90" s="451"/>
      <c r="C90" s="119" t="s">
        <v>1006</v>
      </c>
      <c r="D90" s="119" t="s">
        <v>1007</v>
      </c>
      <c r="E90" s="119" t="s">
        <v>984</v>
      </c>
      <c r="F90" s="162"/>
      <c r="G90" s="162"/>
      <c r="H90" s="162"/>
      <c r="I90" s="161"/>
    </row>
    <row r="91" spans="1:9" ht="18.95" customHeight="1" x14ac:dyDescent="0.25">
      <c r="A91" s="163" t="s">
        <v>1011</v>
      </c>
      <c r="B91" s="120" t="s">
        <v>1009</v>
      </c>
      <c r="C91" s="227">
        <v>0.15</v>
      </c>
      <c r="D91" s="227">
        <v>1.82</v>
      </c>
      <c r="E91" s="228">
        <f>ROUND(D91*C91,2)</f>
        <v>0.27</v>
      </c>
      <c r="F91" s="162"/>
      <c r="G91" s="162"/>
      <c r="H91" s="162"/>
      <c r="I91" s="161"/>
    </row>
    <row r="92" spans="1:9" ht="15" customHeight="1" x14ac:dyDescent="0.25">
      <c r="A92" s="164" t="s">
        <v>1010</v>
      </c>
      <c r="B92" s="121"/>
      <c r="C92" s="122"/>
      <c r="D92" s="122"/>
      <c r="E92" s="123">
        <f>ROUND(SUM(E91:E91),2)</f>
        <v>0.27</v>
      </c>
      <c r="F92" s="162"/>
      <c r="G92" s="162"/>
      <c r="H92" s="162"/>
      <c r="I92" s="161"/>
    </row>
    <row r="93" spans="1:9" ht="9.9499999999999993" customHeight="1" x14ac:dyDescent="0.25">
      <c r="A93" s="452"/>
      <c r="B93" s="453"/>
      <c r="C93" s="453"/>
      <c r="D93" s="162"/>
      <c r="E93" s="162"/>
      <c r="F93" s="162"/>
      <c r="G93" s="162"/>
      <c r="H93" s="162"/>
      <c r="I93" s="161"/>
    </row>
    <row r="94" spans="1:9" ht="15" customHeight="1" x14ac:dyDescent="0.25">
      <c r="A94" s="450" t="s">
        <v>397</v>
      </c>
      <c r="B94" s="451"/>
      <c r="C94" s="119" t="s">
        <v>1006</v>
      </c>
      <c r="D94" s="119" t="s">
        <v>1007</v>
      </c>
      <c r="E94" s="119" t="s">
        <v>984</v>
      </c>
      <c r="F94" s="162"/>
      <c r="G94" s="162"/>
      <c r="H94" s="162"/>
      <c r="I94" s="161"/>
    </row>
    <row r="95" spans="1:9" ht="12.95" customHeight="1" x14ac:dyDescent="0.25">
      <c r="A95" s="163" t="s">
        <v>1012</v>
      </c>
      <c r="B95" s="120" t="s">
        <v>1009</v>
      </c>
      <c r="C95" s="227">
        <v>0.1</v>
      </c>
      <c r="D95" s="227">
        <v>18.21</v>
      </c>
      <c r="E95" s="228">
        <f>ROUND(D95*C95,2)</f>
        <v>1.82</v>
      </c>
      <c r="F95" s="162"/>
      <c r="G95" s="162"/>
      <c r="H95" s="162"/>
      <c r="I95" s="161"/>
    </row>
    <row r="96" spans="1:9" ht="15" customHeight="1" x14ac:dyDescent="0.25">
      <c r="A96" s="164" t="s">
        <v>397</v>
      </c>
      <c r="B96" s="121"/>
      <c r="C96" s="122"/>
      <c r="D96" s="122"/>
      <c r="E96" s="123">
        <f>ROUND(SUM(E95:E95),2)</f>
        <v>1.82</v>
      </c>
      <c r="F96" s="162"/>
      <c r="G96" s="162"/>
      <c r="H96" s="162"/>
      <c r="I96" s="161"/>
    </row>
    <row r="97" spans="1:9" ht="9.9499999999999993" customHeight="1" x14ac:dyDescent="0.25">
      <c r="A97" s="452"/>
      <c r="B97" s="453"/>
      <c r="C97" s="453"/>
      <c r="D97" s="162"/>
      <c r="E97" s="162"/>
      <c r="F97" s="162"/>
      <c r="G97" s="162"/>
      <c r="H97" s="162"/>
      <c r="I97" s="161"/>
    </row>
    <row r="98" spans="1:9" ht="15" customHeight="1" x14ac:dyDescent="0.25">
      <c r="A98" s="450" t="s">
        <v>1013</v>
      </c>
      <c r="B98" s="451"/>
      <c r="C98" s="125" t="s">
        <v>1006</v>
      </c>
      <c r="D98" s="125" t="s">
        <v>1007</v>
      </c>
      <c r="E98" s="125" t="s">
        <v>984</v>
      </c>
      <c r="F98" s="162"/>
      <c r="G98" s="162"/>
      <c r="H98" s="162"/>
      <c r="I98" s="161"/>
    </row>
    <row r="99" spans="1:9" ht="3.95" customHeight="1" x14ac:dyDescent="0.25">
      <c r="A99" s="450"/>
      <c r="B99" s="451"/>
      <c r="C99" s="126"/>
      <c r="D99" s="126"/>
      <c r="E99" s="126"/>
      <c r="F99" s="162"/>
      <c r="G99" s="162"/>
      <c r="H99" s="162"/>
      <c r="I99" s="161"/>
    </row>
    <row r="100" spans="1:9" ht="12.95" customHeight="1" x14ac:dyDescent="0.25">
      <c r="A100" s="163" t="s">
        <v>1014</v>
      </c>
      <c r="B100" s="120" t="s">
        <v>1009</v>
      </c>
      <c r="C100" s="227">
        <v>0.1</v>
      </c>
      <c r="D100" s="227">
        <v>2.2999999999999998</v>
      </c>
      <c r="E100" s="228">
        <f>ROUND(D100*C100,2)</f>
        <v>0.23</v>
      </c>
      <c r="F100" s="162"/>
      <c r="G100" s="162"/>
      <c r="H100" s="162"/>
      <c r="I100" s="161"/>
    </row>
    <row r="101" spans="1:9" ht="27" customHeight="1" x14ac:dyDescent="0.25">
      <c r="A101" s="164" t="s">
        <v>1013</v>
      </c>
      <c r="B101" s="121"/>
      <c r="C101" s="122"/>
      <c r="D101" s="122"/>
      <c r="E101" s="123">
        <f>ROUND(SUM(E99:E100),2)</f>
        <v>0.23</v>
      </c>
      <c r="F101" s="162"/>
      <c r="G101" s="162"/>
      <c r="H101" s="162"/>
      <c r="I101" s="161"/>
    </row>
    <row r="102" spans="1:9" ht="9.9499999999999993" customHeight="1" x14ac:dyDescent="0.25">
      <c r="A102" s="452"/>
      <c r="B102" s="453"/>
      <c r="C102" s="453"/>
      <c r="D102" s="162"/>
      <c r="E102" s="162"/>
      <c r="F102" s="162"/>
      <c r="G102" s="162"/>
      <c r="H102" s="162"/>
      <c r="I102" s="161"/>
    </row>
    <row r="103" spans="1:9" ht="12" customHeight="1" x14ac:dyDescent="0.25">
      <c r="A103" s="461" t="s">
        <v>4289</v>
      </c>
      <c r="B103" s="462"/>
      <c r="C103" s="462"/>
      <c r="D103" s="458" t="str">
        <f>"TOTAL DA MEMÓRIA DE CÁLCULO: "&amp;TEXT(ROUND(SUM(E88,E92,E96,E101),2),"0,00")</f>
        <v>TOTAL DA MEMÓRIA DE CÁLCULO: 22,85</v>
      </c>
      <c r="E103" s="458"/>
      <c r="F103" s="458"/>
      <c r="G103" s="458"/>
      <c r="H103" s="458"/>
      <c r="I103" s="161"/>
    </row>
    <row r="104" spans="1:9" ht="12" customHeight="1" x14ac:dyDescent="0.25">
      <c r="A104" s="461"/>
      <c r="B104" s="462"/>
      <c r="C104" s="462"/>
      <c r="D104" s="462" t="s">
        <v>1015</v>
      </c>
      <c r="E104" s="462"/>
      <c r="F104" s="462"/>
      <c r="G104" s="462"/>
      <c r="H104" s="462"/>
      <c r="I104" s="161"/>
    </row>
    <row r="105" spans="1:9" ht="9.9499999999999993" customHeight="1" x14ac:dyDescent="0.25">
      <c r="A105" s="452"/>
      <c r="B105" s="453"/>
      <c r="C105" s="453"/>
      <c r="D105" s="453"/>
      <c r="E105" s="162"/>
      <c r="F105" s="162"/>
      <c r="G105" s="162"/>
      <c r="H105" s="162"/>
      <c r="I105" s="161"/>
    </row>
    <row r="106" spans="1:9" ht="30.95" customHeight="1" x14ac:dyDescent="0.25">
      <c r="A106" s="456" t="s">
        <v>1016</v>
      </c>
      <c r="B106" s="457"/>
      <c r="C106" s="457"/>
      <c r="D106" s="457"/>
      <c r="E106" s="457"/>
      <c r="F106" s="457"/>
      <c r="G106" s="457"/>
      <c r="H106" s="457"/>
      <c r="I106" s="161"/>
    </row>
    <row r="107" spans="1:9" ht="15" customHeight="1" x14ac:dyDescent="0.25">
      <c r="A107" s="450" t="s">
        <v>1017</v>
      </c>
      <c r="B107" s="451"/>
      <c r="C107" s="119" t="s">
        <v>1006</v>
      </c>
      <c r="D107" s="119" t="s">
        <v>1007</v>
      </c>
      <c r="E107" s="119" t="s">
        <v>984</v>
      </c>
      <c r="F107" s="162"/>
      <c r="G107" s="162"/>
      <c r="H107" s="162"/>
      <c r="I107" s="161"/>
    </row>
    <row r="108" spans="1:9" ht="12.95" customHeight="1" x14ac:dyDescent="0.25">
      <c r="A108" s="163" t="s">
        <v>1018</v>
      </c>
      <c r="B108" s="120" t="s">
        <v>1009</v>
      </c>
      <c r="C108" s="459">
        <v>0.15</v>
      </c>
      <c r="D108" s="459">
        <v>118</v>
      </c>
      <c r="E108" s="460">
        <f>ROUND(D108*C108,2)</f>
        <v>17.7</v>
      </c>
      <c r="F108" s="162"/>
      <c r="G108" s="162"/>
      <c r="H108" s="162"/>
      <c r="I108" s="161"/>
    </row>
    <row r="109" spans="1:9" ht="6" customHeight="1" x14ac:dyDescent="0.25">
      <c r="A109" s="166"/>
      <c r="B109" s="124"/>
      <c r="C109" s="459"/>
      <c r="D109" s="459"/>
      <c r="E109" s="460"/>
      <c r="F109" s="162"/>
      <c r="G109" s="162"/>
      <c r="H109" s="162"/>
      <c r="I109" s="161"/>
    </row>
    <row r="110" spans="1:9" ht="27" customHeight="1" x14ac:dyDescent="0.25">
      <c r="A110" s="163" t="s">
        <v>1019</v>
      </c>
      <c r="B110" s="120" t="s">
        <v>1009</v>
      </c>
      <c r="C110" s="227">
        <v>0.12</v>
      </c>
      <c r="D110" s="227">
        <v>39.32</v>
      </c>
      <c r="E110" s="228">
        <f>ROUND(D110*C110,2)</f>
        <v>4.72</v>
      </c>
      <c r="F110" s="162"/>
      <c r="G110" s="162"/>
      <c r="H110" s="162"/>
      <c r="I110" s="161"/>
    </row>
    <row r="111" spans="1:9" ht="18.95" customHeight="1" x14ac:dyDescent="0.25">
      <c r="A111" s="163" t="s">
        <v>1020</v>
      </c>
      <c r="B111" s="120" t="s">
        <v>1021</v>
      </c>
      <c r="C111" s="227">
        <v>0</v>
      </c>
      <c r="D111" s="227">
        <v>0</v>
      </c>
      <c r="E111" s="228">
        <f>ROUND(3.31,2)</f>
        <v>3.31</v>
      </c>
      <c r="F111" s="162"/>
      <c r="G111" s="162"/>
      <c r="H111" s="162"/>
      <c r="I111" s="161"/>
    </row>
    <row r="112" spans="1:9" ht="18.95" customHeight="1" x14ac:dyDescent="0.25">
      <c r="A112" s="164" t="s">
        <v>1017</v>
      </c>
      <c r="B112" s="121"/>
      <c r="C112" s="122"/>
      <c r="D112" s="122"/>
      <c r="E112" s="123">
        <f>ROUND(SUM(E108:E111),2)</f>
        <v>25.73</v>
      </c>
      <c r="F112" s="162"/>
      <c r="G112" s="162"/>
      <c r="H112" s="162"/>
      <c r="I112" s="161"/>
    </row>
    <row r="113" spans="1:9" ht="9.9499999999999993" customHeight="1" x14ac:dyDescent="0.25">
      <c r="A113" s="452"/>
      <c r="B113" s="453"/>
      <c r="C113" s="453"/>
      <c r="D113" s="162"/>
      <c r="E113" s="162"/>
      <c r="F113" s="162"/>
      <c r="G113" s="162"/>
      <c r="H113" s="162"/>
      <c r="I113" s="161"/>
    </row>
    <row r="114" spans="1:9" ht="12" customHeight="1" x14ac:dyDescent="0.25">
      <c r="A114" s="165"/>
      <c r="B114" s="162"/>
      <c r="C114" s="162"/>
      <c r="D114" s="458" t="str">
        <f>"TOTAL DA MEMÓRIA DE CÁLCULO: "&amp;TEXT(ROUND(SUM(E112),2),"0,00")</f>
        <v>TOTAL DA MEMÓRIA DE CÁLCULO: 25,73</v>
      </c>
      <c r="E114" s="458"/>
      <c r="F114" s="458"/>
      <c r="G114" s="458"/>
      <c r="H114" s="458"/>
      <c r="I114" s="161"/>
    </row>
    <row r="115" spans="1:9" ht="9.9499999999999993" customHeight="1" x14ac:dyDescent="0.25">
      <c r="A115" s="452"/>
      <c r="B115" s="453"/>
      <c r="C115" s="453"/>
      <c r="D115" s="453"/>
      <c r="E115" s="162"/>
      <c r="F115" s="162"/>
      <c r="G115" s="162"/>
      <c r="H115" s="162"/>
      <c r="I115" s="161"/>
    </row>
    <row r="116" spans="1:9" ht="30.95" customHeight="1" x14ac:dyDescent="0.25">
      <c r="A116" s="456" t="s">
        <v>1022</v>
      </c>
      <c r="B116" s="457"/>
      <c r="C116" s="457"/>
      <c r="D116" s="457"/>
      <c r="E116" s="457"/>
      <c r="F116" s="457"/>
      <c r="G116" s="457"/>
      <c r="H116" s="457"/>
      <c r="I116" s="161"/>
    </row>
    <row r="117" spans="1:9" ht="15" customHeight="1" x14ac:dyDescent="0.25">
      <c r="A117" s="450" t="s">
        <v>1023</v>
      </c>
      <c r="B117" s="451"/>
      <c r="C117" s="119" t="s">
        <v>1024</v>
      </c>
      <c r="D117" s="119" t="s">
        <v>1006</v>
      </c>
      <c r="E117" s="119" t="s">
        <v>1025</v>
      </c>
      <c r="F117" s="119" t="s">
        <v>984</v>
      </c>
      <c r="G117" s="162"/>
      <c r="H117" s="162"/>
      <c r="I117" s="161"/>
    </row>
    <row r="118" spans="1:9" ht="18.95" customHeight="1" x14ac:dyDescent="0.25">
      <c r="A118" s="163" t="s">
        <v>1026</v>
      </c>
      <c r="B118" s="120" t="s">
        <v>1027</v>
      </c>
      <c r="C118" s="227">
        <v>2.15</v>
      </c>
      <c r="D118" s="227">
        <v>0.15</v>
      </c>
      <c r="E118" s="227">
        <v>0.3</v>
      </c>
      <c r="F118" s="228">
        <f>ROUND(D118*C118*E118*2,2)</f>
        <v>0.19</v>
      </c>
      <c r="G118" s="162"/>
      <c r="H118" s="162"/>
      <c r="I118" s="161"/>
    </row>
    <row r="119" spans="1:9" ht="18.95" customHeight="1" x14ac:dyDescent="0.25">
      <c r="A119" s="164" t="s">
        <v>1023</v>
      </c>
      <c r="B119" s="121"/>
      <c r="C119" s="122"/>
      <c r="D119" s="122"/>
      <c r="E119" s="122"/>
      <c r="F119" s="123">
        <f>ROUND(SUM(F118:F118),2)</f>
        <v>0.19</v>
      </c>
      <c r="G119" s="162"/>
      <c r="H119" s="162"/>
      <c r="I119" s="161"/>
    </row>
    <row r="120" spans="1:9" ht="9.9499999999999993" customHeight="1" x14ac:dyDescent="0.25">
      <c r="A120" s="452"/>
      <c r="B120" s="453"/>
      <c r="C120" s="453"/>
      <c r="D120" s="162"/>
      <c r="E120" s="162"/>
      <c r="F120" s="162"/>
      <c r="G120" s="162"/>
      <c r="H120" s="162"/>
      <c r="I120" s="161"/>
    </row>
    <row r="121" spans="1:9" ht="12" customHeight="1" x14ac:dyDescent="0.25">
      <c r="A121" s="165"/>
      <c r="B121" s="162"/>
      <c r="C121" s="162"/>
      <c r="D121" s="458" t="str">
        <f>"TOTAL DA MEMÓRIA DE CÁLCULO: "&amp;TEXT(ROUND(SUM(F119),2),"0,00")</f>
        <v>TOTAL DA MEMÓRIA DE CÁLCULO: 0,19</v>
      </c>
      <c r="E121" s="458"/>
      <c r="F121" s="458"/>
      <c r="G121" s="458"/>
      <c r="H121" s="458"/>
      <c r="I121" s="161"/>
    </row>
    <row r="122" spans="1:9" ht="9.9499999999999993" customHeight="1" x14ac:dyDescent="0.25">
      <c r="A122" s="452"/>
      <c r="B122" s="453"/>
      <c r="C122" s="453"/>
      <c r="D122" s="453"/>
      <c r="E122" s="162"/>
      <c r="F122" s="162"/>
      <c r="G122" s="162"/>
      <c r="H122" s="162"/>
      <c r="I122" s="161"/>
    </row>
    <row r="123" spans="1:9" ht="30.95" customHeight="1" x14ac:dyDescent="0.25">
      <c r="A123" s="456" t="s">
        <v>1028</v>
      </c>
      <c r="B123" s="457"/>
      <c r="C123" s="457"/>
      <c r="D123" s="457"/>
      <c r="E123" s="457"/>
      <c r="F123" s="457"/>
      <c r="G123" s="457"/>
      <c r="H123" s="457"/>
      <c r="I123" s="161"/>
    </row>
    <row r="124" spans="1:9" ht="15" customHeight="1" x14ac:dyDescent="0.25">
      <c r="A124" s="450" t="s">
        <v>1029</v>
      </c>
      <c r="B124" s="451"/>
      <c r="C124" s="119"/>
      <c r="D124" s="119" t="s">
        <v>984</v>
      </c>
      <c r="E124" s="162"/>
      <c r="F124" s="162"/>
      <c r="G124" s="162"/>
      <c r="H124" s="162"/>
      <c r="I124" s="161"/>
    </row>
    <row r="125" spans="1:9" ht="18.95" customHeight="1" x14ac:dyDescent="0.25">
      <c r="A125" s="163" t="s">
        <v>1030</v>
      </c>
      <c r="B125" s="120" t="s">
        <v>23</v>
      </c>
      <c r="C125" s="227">
        <v>15</v>
      </c>
      <c r="D125" s="228">
        <f>ROUND(15,2)</f>
        <v>15</v>
      </c>
      <c r="E125" s="162"/>
      <c r="F125" s="162"/>
      <c r="G125" s="162"/>
      <c r="H125" s="162"/>
      <c r="I125" s="161"/>
    </row>
    <row r="126" spans="1:9" ht="18.95" customHeight="1" x14ac:dyDescent="0.25">
      <c r="A126" s="164" t="s">
        <v>1029</v>
      </c>
      <c r="B126" s="121"/>
      <c r="C126" s="122"/>
      <c r="D126" s="123">
        <f>ROUND(SUM(D125:D125),2)</f>
        <v>15</v>
      </c>
      <c r="E126" s="162"/>
      <c r="F126" s="162"/>
      <c r="G126" s="162"/>
      <c r="H126" s="162"/>
      <c r="I126" s="161"/>
    </row>
    <row r="127" spans="1:9" ht="9.9499999999999993" customHeight="1" x14ac:dyDescent="0.25">
      <c r="A127" s="452"/>
      <c r="B127" s="453"/>
      <c r="C127" s="453"/>
      <c r="D127" s="162"/>
      <c r="E127" s="162"/>
      <c r="F127" s="162"/>
      <c r="G127" s="162"/>
      <c r="H127" s="162"/>
      <c r="I127" s="161"/>
    </row>
    <row r="128" spans="1:9" ht="12" customHeight="1" x14ac:dyDescent="0.25">
      <c r="A128" s="461" t="s">
        <v>4290</v>
      </c>
      <c r="B128" s="462"/>
      <c r="C128" s="462"/>
      <c r="D128" s="458" t="str">
        <f>"TOTAL DA MEMÓRIA DE CÁLCULO: "&amp;TEXT(ROUND(SUM(D126),2),"0,00")</f>
        <v>TOTAL DA MEMÓRIA DE CÁLCULO: 15,00</v>
      </c>
      <c r="E128" s="458"/>
      <c r="F128" s="458"/>
      <c r="G128" s="458"/>
      <c r="H128" s="458"/>
      <c r="I128" s="161"/>
    </row>
    <row r="129" spans="1:9" ht="12" customHeight="1" x14ac:dyDescent="0.25">
      <c r="A129" s="461"/>
      <c r="B129" s="462"/>
      <c r="C129" s="462"/>
      <c r="D129" s="162"/>
      <c r="E129" s="162"/>
      <c r="F129" s="162"/>
      <c r="G129" s="162"/>
      <c r="H129" s="162"/>
      <c r="I129" s="161"/>
    </row>
    <row r="130" spans="1:9" ht="9.9499999999999993" customHeight="1" x14ac:dyDescent="0.25">
      <c r="A130" s="452"/>
      <c r="B130" s="453"/>
      <c r="C130" s="453"/>
      <c r="D130" s="453"/>
      <c r="E130" s="162"/>
      <c r="F130" s="162"/>
      <c r="G130" s="162"/>
      <c r="H130" s="162"/>
      <c r="I130" s="161"/>
    </row>
    <row r="131" spans="1:9" ht="30.95" customHeight="1" x14ac:dyDescent="0.25">
      <c r="A131" s="456" t="s">
        <v>1031</v>
      </c>
      <c r="B131" s="457"/>
      <c r="C131" s="457"/>
      <c r="D131" s="457"/>
      <c r="E131" s="457"/>
      <c r="F131" s="457"/>
      <c r="G131" s="457"/>
      <c r="H131" s="457"/>
      <c r="I131" s="161"/>
    </row>
    <row r="132" spans="1:9" ht="15" customHeight="1" x14ac:dyDescent="0.25">
      <c r="A132" s="450" t="s">
        <v>1005</v>
      </c>
      <c r="B132" s="451"/>
      <c r="C132" s="119"/>
      <c r="D132" s="119" t="s">
        <v>984</v>
      </c>
      <c r="E132" s="162"/>
      <c r="F132" s="162"/>
      <c r="G132" s="162"/>
      <c r="H132" s="162"/>
      <c r="I132" s="161"/>
    </row>
    <row r="133" spans="1:9" ht="18.95" customHeight="1" x14ac:dyDescent="0.25">
      <c r="A133" s="163" t="s">
        <v>1032</v>
      </c>
      <c r="B133" s="120" t="s">
        <v>23</v>
      </c>
      <c r="C133" s="227">
        <v>15</v>
      </c>
      <c r="D133" s="228">
        <f>ROUND(15,2)</f>
        <v>15</v>
      </c>
      <c r="E133" s="162"/>
      <c r="F133" s="162"/>
      <c r="G133" s="162"/>
      <c r="H133" s="162"/>
      <c r="I133" s="161"/>
    </row>
    <row r="134" spans="1:9" ht="18.95" customHeight="1" x14ac:dyDescent="0.25">
      <c r="A134" s="164" t="s">
        <v>1005</v>
      </c>
      <c r="B134" s="121"/>
      <c r="C134" s="122"/>
      <c r="D134" s="123">
        <f>ROUND(SUM(D133:D133),2)</f>
        <v>15</v>
      </c>
      <c r="E134" s="162"/>
      <c r="F134" s="162"/>
      <c r="G134" s="162"/>
      <c r="H134" s="162"/>
      <c r="I134" s="161"/>
    </row>
    <row r="135" spans="1:9" ht="9.9499999999999993" customHeight="1" x14ac:dyDescent="0.25">
      <c r="A135" s="452"/>
      <c r="B135" s="453"/>
      <c r="C135" s="453"/>
      <c r="D135" s="162"/>
      <c r="E135" s="162"/>
      <c r="F135" s="162"/>
      <c r="G135" s="162"/>
      <c r="H135" s="162"/>
      <c r="I135" s="161"/>
    </row>
    <row r="136" spans="1:9" ht="12" customHeight="1" x14ac:dyDescent="0.25">
      <c r="A136" s="461" t="s">
        <v>4290</v>
      </c>
      <c r="B136" s="462"/>
      <c r="C136" s="462"/>
      <c r="D136" s="458" t="str">
        <f>"TOTAL DA MEMÓRIA DE CÁLCULO: "&amp;TEXT(ROUND(SUM(D134),2),"0,00")</f>
        <v>TOTAL DA MEMÓRIA DE CÁLCULO: 15,00</v>
      </c>
      <c r="E136" s="458"/>
      <c r="F136" s="458"/>
      <c r="G136" s="458"/>
      <c r="H136" s="458"/>
      <c r="I136" s="161"/>
    </row>
    <row r="137" spans="1:9" ht="12" customHeight="1" x14ac:dyDescent="0.25">
      <c r="A137" s="461"/>
      <c r="B137" s="462"/>
      <c r="C137" s="462"/>
      <c r="D137" s="162"/>
      <c r="E137" s="162"/>
      <c r="F137" s="162"/>
      <c r="G137" s="162"/>
      <c r="H137" s="162"/>
      <c r="I137" s="161"/>
    </row>
    <row r="138" spans="1:9" ht="9.9499999999999993" customHeight="1" x14ac:dyDescent="0.25">
      <c r="A138" s="452"/>
      <c r="B138" s="453"/>
      <c r="C138" s="453"/>
      <c r="D138" s="453"/>
      <c r="E138" s="162"/>
      <c r="F138" s="162"/>
      <c r="G138" s="162"/>
      <c r="H138" s="162"/>
      <c r="I138" s="161"/>
    </row>
    <row r="139" spans="1:9" x14ac:dyDescent="0.25">
      <c r="A139" s="456" t="s">
        <v>4389</v>
      </c>
      <c r="B139" s="457"/>
      <c r="C139" s="457"/>
      <c r="D139" s="457"/>
      <c r="E139" s="457"/>
      <c r="F139" s="457"/>
      <c r="G139" s="457"/>
      <c r="H139" s="457"/>
      <c r="I139" s="161"/>
    </row>
    <row r="140" spans="1:9" x14ac:dyDescent="0.25">
      <c r="A140" s="450"/>
      <c r="B140" s="451"/>
      <c r="C140" s="119"/>
      <c r="D140" s="119" t="s">
        <v>984</v>
      </c>
      <c r="E140" s="162"/>
      <c r="F140" s="162"/>
      <c r="G140" s="162"/>
      <c r="H140" s="162"/>
      <c r="I140" s="161"/>
    </row>
    <row r="141" spans="1:9" x14ac:dyDescent="0.25">
      <c r="A141" s="163"/>
      <c r="B141" s="120"/>
      <c r="C141" s="227">
        <v>80</v>
      </c>
      <c r="D141" s="228">
        <f>C141</f>
        <v>80</v>
      </c>
      <c r="E141" s="162"/>
      <c r="F141" s="162"/>
      <c r="G141" s="162"/>
      <c r="H141" s="162"/>
      <c r="I141" s="161"/>
    </row>
    <row r="142" spans="1:9" x14ac:dyDescent="0.25">
      <c r="A142" s="164"/>
      <c r="B142" s="121"/>
      <c r="C142" s="122"/>
      <c r="D142" s="123">
        <f>ROUND(SUM(D141:D141),2)</f>
        <v>80</v>
      </c>
      <c r="E142" s="162"/>
      <c r="F142" s="162"/>
      <c r="G142" s="162"/>
      <c r="H142" s="162"/>
      <c r="I142" s="161"/>
    </row>
    <row r="143" spans="1:9" x14ac:dyDescent="0.25">
      <c r="A143" s="452"/>
      <c r="B143" s="453"/>
      <c r="C143" s="453"/>
      <c r="D143" s="162"/>
      <c r="E143" s="162"/>
      <c r="F143" s="162"/>
      <c r="G143" s="162"/>
      <c r="H143" s="162"/>
      <c r="I143" s="161"/>
    </row>
    <row r="144" spans="1:9" ht="12" customHeight="1" x14ac:dyDescent="0.25">
      <c r="A144" s="165"/>
      <c r="B144" s="162"/>
      <c r="C144" s="162"/>
      <c r="D144" s="458" t="str">
        <f>"TOTAL DA MEMÓRIA DE CÁLCULO: "&amp;TEXT(ROUND(SUM(D142),2),"0,00")</f>
        <v>TOTAL DA MEMÓRIA DE CÁLCULO: 80,00</v>
      </c>
      <c r="E144" s="458"/>
      <c r="F144" s="458"/>
      <c r="G144" s="458"/>
      <c r="H144" s="458"/>
      <c r="I144" s="161"/>
    </row>
    <row r="145" spans="1:9" x14ac:dyDescent="0.25">
      <c r="A145" s="456" t="s">
        <v>4390</v>
      </c>
      <c r="B145" s="457"/>
      <c r="C145" s="457"/>
      <c r="D145" s="457"/>
      <c r="E145" s="457"/>
      <c r="F145" s="457"/>
      <c r="G145" s="457"/>
      <c r="H145" s="457"/>
      <c r="I145" s="161"/>
    </row>
    <row r="146" spans="1:9" ht="15" customHeight="1" x14ac:dyDescent="0.25">
      <c r="A146" s="450"/>
      <c r="B146" s="451"/>
      <c r="C146" s="119"/>
      <c r="D146" s="119" t="s">
        <v>984</v>
      </c>
      <c r="E146" s="162"/>
      <c r="F146" s="162"/>
      <c r="G146" s="162"/>
      <c r="H146" s="162"/>
      <c r="I146" s="161"/>
    </row>
    <row r="147" spans="1:9" ht="12.95" customHeight="1" x14ac:dyDescent="0.25">
      <c r="A147" s="163"/>
      <c r="B147" s="120"/>
      <c r="C147" s="227">
        <v>18</v>
      </c>
      <c r="D147" s="228">
        <f>C147</f>
        <v>18</v>
      </c>
      <c r="E147" s="162"/>
      <c r="F147" s="162"/>
      <c r="G147" s="162"/>
      <c r="H147" s="162"/>
      <c r="I147" s="161"/>
    </row>
    <row r="148" spans="1:9" ht="15" customHeight="1" x14ac:dyDescent="0.25">
      <c r="A148" s="164"/>
      <c r="B148" s="121"/>
      <c r="C148" s="122"/>
      <c r="D148" s="123">
        <f>ROUND(SUM(D147:D147),2)</f>
        <v>18</v>
      </c>
      <c r="E148" s="162"/>
      <c r="F148" s="162"/>
      <c r="G148" s="162"/>
      <c r="H148" s="162"/>
      <c r="I148" s="161"/>
    </row>
    <row r="149" spans="1:9" ht="9.9499999999999993" customHeight="1" x14ac:dyDescent="0.25">
      <c r="A149" s="452"/>
      <c r="B149" s="453"/>
      <c r="C149" s="453"/>
      <c r="D149" s="162"/>
      <c r="E149" s="162"/>
      <c r="F149" s="162"/>
      <c r="G149" s="162"/>
      <c r="H149" s="162"/>
      <c r="I149" s="161"/>
    </row>
    <row r="150" spans="1:9" ht="12" customHeight="1" x14ac:dyDescent="0.25">
      <c r="A150" s="165"/>
      <c r="B150" s="162"/>
      <c r="C150" s="162"/>
      <c r="D150" s="458" t="str">
        <f>"TOTAL DA MEMÓRIA DE CÁLCULO: "&amp;TEXT(ROUND(SUM(D148),2),"0,00")</f>
        <v>TOTAL DA MEMÓRIA DE CÁLCULO: 18,00</v>
      </c>
      <c r="E150" s="458"/>
      <c r="F150" s="458"/>
      <c r="G150" s="458"/>
      <c r="H150" s="458"/>
      <c r="I150" s="161"/>
    </row>
    <row r="151" spans="1:9" x14ac:dyDescent="0.25">
      <c r="A151" s="165"/>
      <c r="B151" s="162"/>
      <c r="C151" s="162"/>
      <c r="D151" s="229"/>
      <c r="E151" s="229"/>
      <c r="F151" s="229"/>
      <c r="G151" s="229"/>
      <c r="H151" s="229"/>
      <c r="I151" s="161"/>
    </row>
    <row r="152" spans="1:9" ht="15" customHeight="1" x14ac:dyDescent="0.25">
      <c r="A152" s="456" t="s">
        <v>4402</v>
      </c>
      <c r="B152" s="457"/>
      <c r="C152" s="457"/>
      <c r="D152" s="457"/>
      <c r="E152" s="457"/>
      <c r="F152" s="457"/>
      <c r="G152" s="457"/>
      <c r="H152" s="457"/>
      <c r="I152" s="161"/>
    </row>
    <row r="153" spans="1:9" ht="12.95" customHeight="1" x14ac:dyDescent="0.25">
      <c r="A153" s="450" t="s">
        <v>1005</v>
      </c>
      <c r="B153" s="451"/>
      <c r="C153" s="119" t="s">
        <v>1006</v>
      </c>
      <c r="D153" s="119" t="s">
        <v>1024</v>
      </c>
      <c r="E153" s="119" t="s">
        <v>984</v>
      </c>
      <c r="F153" s="162"/>
      <c r="G153" s="162"/>
      <c r="H153" s="162"/>
      <c r="I153" s="161"/>
    </row>
    <row r="154" spans="1:9" ht="18.95" customHeight="1" x14ac:dyDescent="0.25">
      <c r="A154" s="163" t="s">
        <v>1033</v>
      </c>
      <c r="B154" s="120" t="s">
        <v>1034</v>
      </c>
      <c r="C154" s="227">
        <v>2</v>
      </c>
      <c r="D154" s="227">
        <v>2.1</v>
      </c>
      <c r="E154" s="228">
        <f>ROUND(C154*D154,2)</f>
        <v>4.2</v>
      </c>
      <c r="F154" s="162"/>
      <c r="G154" s="162"/>
      <c r="H154" s="162"/>
      <c r="I154" s="161"/>
    </row>
    <row r="155" spans="1:9" ht="9.9499999999999993" customHeight="1" x14ac:dyDescent="0.25">
      <c r="A155" s="164" t="s">
        <v>1005</v>
      </c>
      <c r="B155" s="121"/>
      <c r="C155" s="122"/>
      <c r="D155" s="122"/>
      <c r="E155" s="123">
        <f>ROUND(SUM(E154:E154),2)</f>
        <v>4.2</v>
      </c>
      <c r="F155" s="162"/>
      <c r="G155" s="162"/>
      <c r="H155" s="162"/>
      <c r="I155" s="161"/>
    </row>
    <row r="156" spans="1:9" ht="15" customHeight="1" x14ac:dyDescent="0.25">
      <c r="A156" s="452"/>
      <c r="B156" s="453"/>
      <c r="C156" s="453"/>
      <c r="D156" s="162"/>
      <c r="E156" s="162"/>
      <c r="F156" s="162"/>
      <c r="G156" s="162"/>
      <c r="H156" s="162"/>
      <c r="I156" s="161"/>
    </row>
    <row r="157" spans="1:9" ht="3.95" customHeight="1" x14ac:dyDescent="0.25">
      <c r="A157" s="450" t="s">
        <v>1035</v>
      </c>
      <c r="B157" s="451"/>
      <c r="C157" s="125" t="s">
        <v>1006</v>
      </c>
      <c r="D157" s="125" t="s">
        <v>1024</v>
      </c>
      <c r="E157" s="125" t="s">
        <v>984</v>
      </c>
      <c r="F157" s="162"/>
      <c r="G157" s="162"/>
      <c r="H157" s="162"/>
      <c r="I157" s="161"/>
    </row>
    <row r="158" spans="1:9" ht="12.95" customHeight="1" x14ac:dyDescent="0.25">
      <c r="A158" s="450"/>
      <c r="B158" s="451"/>
      <c r="C158" s="126"/>
      <c r="D158" s="126"/>
      <c r="E158" s="126"/>
      <c r="F158" s="162"/>
      <c r="G158" s="162"/>
      <c r="H158" s="162"/>
      <c r="I158" s="161"/>
    </row>
    <row r="159" spans="1:9" ht="27" customHeight="1" x14ac:dyDescent="0.25">
      <c r="A159" s="163" t="s">
        <v>1036</v>
      </c>
      <c r="B159" s="120" t="s">
        <v>1034</v>
      </c>
      <c r="C159" s="227">
        <v>8.35</v>
      </c>
      <c r="D159" s="227">
        <v>1.5</v>
      </c>
      <c r="E159" s="228">
        <f>ROUND(C159*D159,2)</f>
        <v>12.53</v>
      </c>
      <c r="F159" s="162"/>
      <c r="G159" s="162"/>
      <c r="H159" s="162"/>
      <c r="I159" s="161"/>
    </row>
    <row r="160" spans="1:9" ht="9.9499999999999993" customHeight="1" x14ac:dyDescent="0.25">
      <c r="A160" s="164" t="s">
        <v>1035</v>
      </c>
      <c r="B160" s="121"/>
      <c r="C160" s="122"/>
      <c r="D160" s="122"/>
      <c r="E160" s="123">
        <f>ROUND(SUM(E158:E159),2)</f>
        <v>12.53</v>
      </c>
      <c r="F160" s="162"/>
      <c r="G160" s="162"/>
      <c r="H160" s="162"/>
      <c r="I160" s="161"/>
    </row>
    <row r="161" spans="1:9" ht="12" customHeight="1" x14ac:dyDescent="0.25">
      <c r="A161" s="452"/>
      <c r="B161" s="453"/>
      <c r="C161" s="453"/>
      <c r="D161" s="162"/>
      <c r="E161" s="162"/>
      <c r="F161" s="162"/>
      <c r="G161" s="162"/>
      <c r="H161" s="162"/>
      <c r="I161" s="161"/>
    </row>
    <row r="162" spans="1:9" ht="12" customHeight="1" x14ac:dyDescent="0.25">
      <c r="A162" s="461" t="s">
        <v>4290</v>
      </c>
      <c r="B162" s="462"/>
      <c r="C162" s="462"/>
      <c r="D162" s="458" t="str">
        <f>"TOTAL DA MEMÓRIA DE CÁLCULO: "&amp;TEXT(ROUND(SUM(E155,E160),2),"0,00")</f>
        <v>TOTAL DA MEMÓRIA DE CÁLCULO: 16,73</v>
      </c>
      <c r="E162" s="458"/>
      <c r="F162" s="458"/>
      <c r="G162" s="458"/>
      <c r="H162" s="458"/>
      <c r="I162" s="161"/>
    </row>
    <row r="163" spans="1:9" ht="9.9499999999999993" customHeight="1" x14ac:dyDescent="0.25">
      <c r="A163" s="461"/>
      <c r="B163" s="462"/>
      <c r="C163" s="462"/>
      <c r="D163" s="162"/>
      <c r="E163" s="162"/>
      <c r="F163" s="162"/>
      <c r="G163" s="162"/>
      <c r="H163" s="162"/>
      <c r="I163" s="161"/>
    </row>
    <row r="164" spans="1:9" ht="30.95" customHeight="1" x14ac:dyDescent="0.25">
      <c r="A164" s="452"/>
      <c r="B164" s="453"/>
      <c r="C164" s="453"/>
      <c r="D164" s="453"/>
      <c r="E164" s="162"/>
      <c r="F164" s="162"/>
      <c r="G164" s="162"/>
      <c r="H164" s="162"/>
      <c r="I164" s="161"/>
    </row>
    <row r="165" spans="1:9" ht="15" customHeight="1" x14ac:dyDescent="0.25">
      <c r="A165" s="456" t="s">
        <v>4403</v>
      </c>
      <c r="B165" s="457"/>
      <c r="C165" s="457"/>
      <c r="D165" s="457"/>
      <c r="E165" s="457"/>
      <c r="F165" s="457"/>
      <c r="G165" s="457"/>
      <c r="H165" s="457"/>
      <c r="I165" s="161"/>
    </row>
    <row r="166" spans="1:9" ht="12.95" customHeight="1" x14ac:dyDescent="0.25">
      <c r="A166" s="450" t="s">
        <v>1005</v>
      </c>
      <c r="B166" s="451"/>
      <c r="C166" s="119" t="s">
        <v>1024</v>
      </c>
      <c r="D166" s="119" t="s">
        <v>1006</v>
      </c>
      <c r="E166" s="119" t="s">
        <v>984</v>
      </c>
      <c r="F166" s="162"/>
      <c r="G166" s="162"/>
      <c r="H166" s="162"/>
      <c r="I166" s="161"/>
    </row>
    <row r="167" spans="1:9" ht="12.95" customHeight="1" x14ac:dyDescent="0.25">
      <c r="A167" s="163" t="s">
        <v>1037</v>
      </c>
      <c r="B167" s="120" t="s">
        <v>1038</v>
      </c>
      <c r="C167" s="227">
        <v>2.1</v>
      </c>
      <c r="D167" s="227">
        <v>0.6</v>
      </c>
      <c r="E167" s="228">
        <f>ROUND(C167*D167,2)</f>
        <v>1.26</v>
      </c>
      <c r="F167" s="162"/>
      <c r="G167" s="162"/>
      <c r="H167" s="162"/>
      <c r="I167" s="161"/>
    </row>
    <row r="168" spans="1:9" ht="18.95" customHeight="1" x14ac:dyDescent="0.25">
      <c r="A168" s="163" t="s">
        <v>1039</v>
      </c>
      <c r="B168" s="120" t="s">
        <v>1038</v>
      </c>
      <c r="C168" s="227">
        <v>2.1</v>
      </c>
      <c r="D168" s="227">
        <v>0.7</v>
      </c>
      <c r="E168" s="228">
        <f>ROUND(C168*D168,2)</f>
        <v>1.47</v>
      </c>
      <c r="F168" s="162"/>
      <c r="G168" s="162"/>
      <c r="H168" s="162"/>
      <c r="I168" s="161"/>
    </row>
    <row r="169" spans="1:9" ht="9.9499999999999993" customHeight="1" x14ac:dyDescent="0.25">
      <c r="A169" s="164" t="s">
        <v>1005</v>
      </c>
      <c r="B169" s="121"/>
      <c r="C169" s="122"/>
      <c r="D169" s="122"/>
      <c r="E169" s="123">
        <f>ROUND(SUM(E167:E168),2)</f>
        <v>2.73</v>
      </c>
      <c r="F169" s="162"/>
      <c r="G169" s="162"/>
      <c r="H169" s="162"/>
      <c r="I169" s="161"/>
    </row>
    <row r="170" spans="1:9" ht="12" customHeight="1" x14ac:dyDescent="0.25">
      <c r="A170" s="452"/>
      <c r="B170" s="453"/>
      <c r="C170" s="453"/>
      <c r="D170" s="162"/>
      <c r="E170" s="162"/>
      <c r="F170" s="162"/>
      <c r="G170" s="162"/>
      <c r="H170" s="162"/>
      <c r="I170" s="161"/>
    </row>
    <row r="171" spans="1:9" ht="12" customHeight="1" x14ac:dyDescent="0.25">
      <c r="A171" s="461" t="s">
        <v>4290</v>
      </c>
      <c r="B171" s="462"/>
      <c r="C171" s="462"/>
      <c r="D171" s="458" t="str">
        <f>"TOTAL DA MEMÓRIA DE CÁLCULO: "&amp;TEXT(ROUND(SUM(E169),2),"0,00")</f>
        <v>TOTAL DA MEMÓRIA DE CÁLCULO: 2,73</v>
      </c>
      <c r="E171" s="458"/>
      <c r="F171" s="458"/>
      <c r="G171" s="458"/>
      <c r="H171" s="458"/>
      <c r="I171" s="161"/>
    </row>
    <row r="172" spans="1:9" ht="9.9499999999999993" customHeight="1" x14ac:dyDescent="0.25">
      <c r="A172" s="461"/>
      <c r="B172" s="462"/>
      <c r="C172" s="462"/>
      <c r="D172" s="162"/>
      <c r="E172" s="162"/>
      <c r="F172" s="162"/>
      <c r="G172" s="162"/>
      <c r="H172" s="162"/>
      <c r="I172" s="161"/>
    </row>
    <row r="173" spans="1:9" ht="30.95" customHeight="1" x14ac:dyDescent="0.25">
      <c r="A173" s="452"/>
      <c r="B173" s="453"/>
      <c r="C173" s="453"/>
      <c r="D173" s="453"/>
      <c r="E173" s="162"/>
      <c r="F173" s="162"/>
      <c r="G173" s="162"/>
      <c r="H173" s="162"/>
      <c r="I173" s="161"/>
    </row>
    <row r="174" spans="1:9" ht="15" customHeight="1" x14ac:dyDescent="0.25">
      <c r="A174" s="456" t="s">
        <v>4404</v>
      </c>
      <c r="B174" s="457"/>
      <c r="C174" s="457"/>
      <c r="D174" s="457"/>
      <c r="E174" s="457"/>
      <c r="F174" s="457"/>
      <c r="G174" s="457"/>
      <c r="H174" s="457"/>
      <c r="I174" s="161"/>
    </row>
    <row r="175" spans="1:9" ht="12.95" customHeight="1" x14ac:dyDescent="0.25">
      <c r="A175" s="450" t="s">
        <v>1005</v>
      </c>
      <c r="B175" s="451"/>
      <c r="C175" s="119"/>
      <c r="D175" s="119" t="s">
        <v>984</v>
      </c>
      <c r="E175" s="162"/>
      <c r="F175" s="162"/>
      <c r="G175" s="162"/>
      <c r="H175" s="162"/>
      <c r="I175" s="161"/>
    </row>
    <row r="176" spans="1:9" ht="18.95" customHeight="1" x14ac:dyDescent="0.25">
      <c r="A176" s="163" t="s">
        <v>1040</v>
      </c>
      <c r="B176" s="120" t="s">
        <v>2</v>
      </c>
      <c r="C176" s="227">
        <v>2</v>
      </c>
      <c r="D176" s="228">
        <f>ROUND(2,2)</f>
        <v>2</v>
      </c>
      <c r="E176" s="162"/>
      <c r="F176" s="162"/>
      <c r="G176" s="162"/>
      <c r="H176" s="162"/>
      <c r="I176" s="161"/>
    </row>
    <row r="177" spans="1:9" ht="9.9499999999999993" customHeight="1" x14ac:dyDescent="0.25">
      <c r="A177" s="164" t="s">
        <v>1005</v>
      </c>
      <c r="B177" s="121"/>
      <c r="C177" s="122"/>
      <c r="D177" s="123">
        <f>ROUND(SUM(D176:D176),2)</f>
        <v>2</v>
      </c>
      <c r="E177" s="162"/>
      <c r="F177" s="162"/>
      <c r="G177" s="162"/>
      <c r="H177" s="162"/>
      <c r="I177" s="161"/>
    </row>
    <row r="178" spans="1:9" ht="12" customHeight="1" x14ac:dyDescent="0.25">
      <c r="A178" s="452"/>
      <c r="B178" s="453"/>
      <c r="C178" s="453"/>
      <c r="D178" s="162"/>
      <c r="E178" s="162"/>
      <c r="F178" s="162"/>
      <c r="G178" s="162"/>
      <c r="H178" s="162"/>
      <c r="I178" s="161"/>
    </row>
    <row r="179" spans="1:9" ht="12" customHeight="1" x14ac:dyDescent="0.25">
      <c r="A179" s="461" t="s">
        <v>4290</v>
      </c>
      <c r="B179" s="462"/>
      <c r="C179" s="462"/>
      <c r="D179" s="458" t="str">
        <f>"TOTAL DA MEMÓRIA DE CÁLCULO: "&amp;TEXT(ROUND(SUM(D177),2),"0,00")</f>
        <v>TOTAL DA MEMÓRIA DE CÁLCULO: 2,00</v>
      </c>
      <c r="E179" s="458"/>
      <c r="F179" s="458"/>
      <c r="G179" s="458"/>
      <c r="H179" s="458"/>
      <c r="I179" s="161"/>
    </row>
    <row r="180" spans="1:9" ht="9.9499999999999993" customHeight="1" x14ac:dyDescent="0.25">
      <c r="A180" s="461"/>
      <c r="B180" s="462"/>
      <c r="C180" s="462"/>
      <c r="D180" s="162"/>
      <c r="E180" s="162"/>
      <c r="F180" s="162"/>
      <c r="G180" s="162"/>
      <c r="H180" s="162"/>
      <c r="I180" s="161"/>
    </row>
    <row r="181" spans="1:9" ht="30.95" customHeight="1" x14ac:dyDescent="0.25">
      <c r="A181" s="452"/>
      <c r="B181" s="453"/>
      <c r="C181" s="453"/>
      <c r="D181" s="453"/>
      <c r="E181" s="162"/>
      <c r="F181" s="162"/>
      <c r="G181" s="162"/>
      <c r="H181" s="162"/>
      <c r="I181" s="161"/>
    </row>
    <row r="182" spans="1:9" ht="15" customHeight="1" x14ac:dyDescent="0.25">
      <c r="A182" s="456" t="s">
        <v>4405</v>
      </c>
      <c r="B182" s="457"/>
      <c r="C182" s="457"/>
      <c r="D182" s="457"/>
      <c r="E182" s="457"/>
      <c r="F182" s="457"/>
      <c r="G182" s="457"/>
      <c r="H182" s="457"/>
      <c r="I182" s="161"/>
    </row>
    <row r="183" spans="1:9" ht="18.95" customHeight="1" x14ac:dyDescent="0.25">
      <c r="A183" s="450" t="s">
        <v>1005</v>
      </c>
      <c r="B183" s="451"/>
      <c r="C183" s="119"/>
      <c r="D183" s="119" t="s">
        <v>984</v>
      </c>
      <c r="E183" s="162"/>
      <c r="F183" s="162"/>
      <c r="G183" s="162"/>
      <c r="H183" s="162"/>
      <c r="I183" s="161"/>
    </row>
    <row r="184" spans="1:9" ht="12.95" customHeight="1" x14ac:dyDescent="0.25">
      <c r="A184" s="163" t="s">
        <v>1041</v>
      </c>
      <c r="B184" s="120" t="s">
        <v>2</v>
      </c>
      <c r="C184" s="227">
        <v>2</v>
      </c>
      <c r="D184" s="228">
        <f>ROUND(2,2)</f>
        <v>2</v>
      </c>
      <c r="E184" s="162"/>
      <c r="F184" s="162"/>
      <c r="G184" s="162"/>
      <c r="H184" s="162"/>
      <c r="I184" s="161"/>
    </row>
    <row r="185" spans="1:9" ht="12.95" customHeight="1" x14ac:dyDescent="0.25">
      <c r="A185" s="163" t="s">
        <v>1042</v>
      </c>
      <c r="B185" s="120" t="s">
        <v>0</v>
      </c>
      <c r="C185" s="227">
        <v>1</v>
      </c>
      <c r="D185" s="228">
        <f>ROUND(1,2)</f>
        <v>1</v>
      </c>
      <c r="E185" s="162"/>
      <c r="F185" s="162"/>
      <c r="G185" s="162"/>
      <c r="H185" s="162"/>
      <c r="I185" s="161"/>
    </row>
    <row r="186" spans="1:9" ht="18.95" customHeight="1" x14ac:dyDescent="0.25">
      <c r="A186" s="163" t="s">
        <v>1043</v>
      </c>
      <c r="B186" s="120" t="s">
        <v>0</v>
      </c>
      <c r="C186" s="227">
        <v>1</v>
      </c>
      <c r="D186" s="228">
        <f>ROUND(1,2)</f>
        <v>1</v>
      </c>
      <c r="E186" s="162"/>
      <c r="F186" s="162"/>
      <c r="G186" s="162"/>
      <c r="H186" s="162"/>
      <c r="I186" s="161"/>
    </row>
    <row r="187" spans="1:9" ht="9.9499999999999993" customHeight="1" x14ac:dyDescent="0.25">
      <c r="A187" s="164" t="s">
        <v>1005</v>
      </c>
      <c r="B187" s="121"/>
      <c r="C187" s="122"/>
      <c r="D187" s="123">
        <f>ROUND(SUM(D184:D186),2)</f>
        <v>4</v>
      </c>
      <c r="E187" s="162"/>
      <c r="F187" s="162"/>
      <c r="G187" s="162"/>
      <c r="H187" s="162"/>
      <c r="I187" s="161"/>
    </row>
    <row r="188" spans="1:9" ht="12" customHeight="1" x14ac:dyDescent="0.25">
      <c r="A188" s="452"/>
      <c r="B188" s="453"/>
      <c r="C188" s="453"/>
      <c r="D188" s="162"/>
      <c r="E188" s="162"/>
      <c r="F188" s="162"/>
      <c r="G188" s="162"/>
      <c r="H188" s="162"/>
      <c r="I188" s="161"/>
    </row>
    <row r="189" spans="1:9" ht="12" customHeight="1" x14ac:dyDescent="0.25">
      <c r="A189" s="461" t="s">
        <v>4290</v>
      </c>
      <c r="B189" s="462"/>
      <c r="C189" s="462"/>
      <c r="D189" s="458" t="str">
        <f>"TOTAL DA MEMÓRIA DE CÁLCULO: "&amp;TEXT(ROUND(SUM(D187),2),"0,00")</f>
        <v>TOTAL DA MEMÓRIA DE CÁLCULO: 4,00</v>
      </c>
      <c r="E189" s="458"/>
      <c r="F189" s="458"/>
      <c r="G189" s="458"/>
      <c r="H189" s="458"/>
      <c r="I189" s="161"/>
    </row>
    <row r="190" spans="1:9" ht="9.9499999999999993" customHeight="1" x14ac:dyDescent="0.25">
      <c r="A190" s="461"/>
      <c r="B190" s="462"/>
      <c r="C190" s="462"/>
      <c r="D190" s="162"/>
      <c r="E190" s="162"/>
      <c r="F190" s="162"/>
      <c r="G190" s="162"/>
      <c r="H190" s="162"/>
      <c r="I190" s="161"/>
    </row>
    <row r="191" spans="1:9" ht="42.95" customHeight="1" x14ac:dyDescent="0.25">
      <c r="A191" s="452"/>
      <c r="B191" s="453"/>
      <c r="C191" s="453"/>
      <c r="D191" s="453"/>
      <c r="E191" s="162"/>
      <c r="F191" s="162"/>
      <c r="G191" s="162"/>
      <c r="H191" s="162"/>
      <c r="I191" s="161"/>
    </row>
    <row r="192" spans="1:9" ht="15" customHeight="1" x14ac:dyDescent="0.25">
      <c r="A192" s="456" t="s">
        <v>4406</v>
      </c>
      <c r="B192" s="457"/>
      <c r="C192" s="457"/>
      <c r="D192" s="457"/>
      <c r="E192" s="457"/>
      <c r="F192" s="457"/>
      <c r="G192" s="457"/>
      <c r="H192" s="457"/>
      <c r="I192" s="161"/>
    </row>
    <row r="193" spans="1:9" ht="12.95" customHeight="1" x14ac:dyDescent="0.25">
      <c r="A193" s="450" t="s">
        <v>1005</v>
      </c>
      <c r="B193" s="451"/>
      <c r="C193" s="119"/>
      <c r="D193" s="119" t="s">
        <v>984</v>
      </c>
      <c r="E193" s="162"/>
      <c r="F193" s="162"/>
      <c r="G193" s="162"/>
      <c r="H193" s="162"/>
      <c r="I193" s="161"/>
    </row>
    <row r="194" spans="1:9" ht="18.95" customHeight="1" x14ac:dyDescent="0.25">
      <c r="A194" s="163" t="s">
        <v>1044</v>
      </c>
      <c r="B194" s="120" t="s">
        <v>0</v>
      </c>
      <c r="C194" s="227">
        <v>1</v>
      </c>
      <c r="D194" s="228">
        <f>ROUND(1,2)</f>
        <v>1</v>
      </c>
      <c r="E194" s="162"/>
      <c r="F194" s="162"/>
      <c r="G194" s="162"/>
      <c r="H194" s="162"/>
      <c r="I194" s="161"/>
    </row>
    <row r="195" spans="1:9" ht="9.9499999999999993" customHeight="1" x14ac:dyDescent="0.25">
      <c r="A195" s="164" t="s">
        <v>1005</v>
      </c>
      <c r="B195" s="121"/>
      <c r="C195" s="122"/>
      <c r="D195" s="123">
        <f>ROUND(SUM(D194:D194),2)</f>
        <v>1</v>
      </c>
      <c r="E195" s="162"/>
      <c r="F195" s="162"/>
      <c r="G195" s="162"/>
      <c r="H195" s="162"/>
      <c r="I195" s="161"/>
    </row>
    <row r="196" spans="1:9" ht="12" customHeight="1" x14ac:dyDescent="0.25">
      <c r="A196" s="452"/>
      <c r="B196" s="453"/>
      <c r="C196" s="453"/>
      <c r="D196" s="162"/>
      <c r="E196" s="162"/>
      <c r="F196" s="162"/>
      <c r="G196" s="162"/>
      <c r="H196" s="162"/>
      <c r="I196" s="161"/>
    </row>
    <row r="197" spans="1:9" ht="9.9499999999999993" customHeight="1" x14ac:dyDescent="0.25">
      <c r="A197" s="165"/>
      <c r="B197" s="162"/>
      <c r="C197" s="162"/>
      <c r="D197" s="458" t="str">
        <f>"TOTAL DA MEMÓRIA DE CÁLCULO: "&amp;TEXT(ROUND(SUM(D195),2),"0,00")</f>
        <v>TOTAL DA MEMÓRIA DE CÁLCULO: 1,00</v>
      </c>
      <c r="E197" s="458"/>
      <c r="F197" s="458"/>
      <c r="G197" s="458"/>
      <c r="H197" s="458"/>
      <c r="I197" s="161"/>
    </row>
    <row r="198" spans="1:9" ht="30.95" customHeight="1" x14ac:dyDescent="0.25">
      <c r="A198" s="452"/>
      <c r="B198" s="453"/>
      <c r="C198" s="453"/>
      <c r="D198" s="453"/>
      <c r="E198" s="162"/>
      <c r="F198" s="162"/>
      <c r="G198" s="162"/>
      <c r="H198" s="162"/>
      <c r="I198" s="161"/>
    </row>
    <row r="199" spans="1:9" ht="15" customHeight="1" x14ac:dyDescent="0.25">
      <c r="A199" s="456" t="s">
        <v>4407</v>
      </c>
      <c r="B199" s="457"/>
      <c r="C199" s="457"/>
      <c r="D199" s="457"/>
      <c r="E199" s="457"/>
      <c r="F199" s="457"/>
      <c r="G199" s="457"/>
      <c r="H199" s="457"/>
      <c r="I199" s="161"/>
    </row>
    <row r="200" spans="1:9" ht="12.95" customHeight="1" x14ac:dyDescent="0.25">
      <c r="A200" s="450"/>
      <c r="B200" s="451"/>
      <c r="C200" s="119" t="s">
        <v>1007</v>
      </c>
      <c r="D200" s="119" t="s">
        <v>1024</v>
      </c>
      <c r="E200" s="119" t="s">
        <v>984</v>
      </c>
      <c r="F200" s="162"/>
      <c r="G200" s="162"/>
      <c r="H200" s="162"/>
      <c r="I200" s="161"/>
    </row>
    <row r="201" spans="1:9" ht="6" customHeight="1" x14ac:dyDescent="0.25">
      <c r="A201" s="163" t="s">
        <v>1045</v>
      </c>
      <c r="B201" s="120" t="s">
        <v>1046</v>
      </c>
      <c r="C201" s="459">
        <v>115.92</v>
      </c>
      <c r="D201" s="459">
        <v>0.08</v>
      </c>
      <c r="E201" s="460">
        <f>ROUND(C201*D201,2)</f>
        <v>9.27</v>
      </c>
      <c r="F201" s="162"/>
      <c r="G201" s="162"/>
      <c r="H201" s="162"/>
      <c r="I201" s="161"/>
    </row>
    <row r="202" spans="1:9" ht="15" customHeight="1" x14ac:dyDescent="0.25">
      <c r="A202" s="166"/>
      <c r="B202" s="124"/>
      <c r="C202" s="459"/>
      <c r="D202" s="459"/>
      <c r="E202" s="460"/>
      <c r="F202" s="162"/>
      <c r="G202" s="162"/>
      <c r="H202" s="162"/>
      <c r="I202" s="161"/>
    </row>
    <row r="203" spans="1:9" ht="9.9499999999999993" customHeight="1" x14ac:dyDescent="0.25">
      <c r="A203" s="164"/>
      <c r="B203" s="121"/>
      <c r="C203" s="122"/>
      <c r="D203" s="122"/>
      <c r="E203" s="123">
        <f>ROUND(SUM(E201:E202),2)</f>
        <v>9.27</v>
      </c>
      <c r="F203" s="162"/>
      <c r="G203" s="162"/>
      <c r="H203" s="162"/>
      <c r="I203" s="161"/>
    </row>
    <row r="204" spans="1:9" ht="17.100000000000001" customHeight="1" x14ac:dyDescent="0.25">
      <c r="A204" s="452"/>
      <c r="B204" s="453"/>
      <c r="C204" s="453"/>
      <c r="D204" s="162"/>
      <c r="E204" s="162"/>
      <c r="F204" s="162"/>
      <c r="G204" s="162"/>
      <c r="H204" s="162"/>
      <c r="I204" s="161"/>
    </row>
    <row r="205" spans="1:9" ht="12" customHeight="1" x14ac:dyDescent="0.25">
      <c r="A205" s="461" t="s">
        <v>4291</v>
      </c>
      <c r="B205" s="462"/>
      <c r="C205" s="462"/>
      <c r="D205" s="458" t="str">
        <f>"TOTAL DA MEMÓRIA DE CÁLCULO: "&amp;TEXT(ROUND(SUM(E203),2),"0,00")</f>
        <v>TOTAL DA MEMÓRIA DE CÁLCULO: 9,27</v>
      </c>
      <c r="E205" s="458"/>
      <c r="F205" s="458"/>
      <c r="G205" s="458"/>
      <c r="H205" s="458"/>
      <c r="I205" s="161"/>
    </row>
    <row r="206" spans="1:9" ht="9.9499999999999993" customHeight="1" x14ac:dyDescent="0.25">
      <c r="A206" s="461"/>
      <c r="B206" s="462"/>
      <c r="C206" s="462"/>
      <c r="D206" s="162"/>
      <c r="E206" s="162"/>
      <c r="F206" s="162"/>
      <c r="G206" s="162"/>
      <c r="H206" s="162"/>
      <c r="I206" s="161"/>
    </row>
    <row r="207" spans="1:9" ht="42.95" customHeight="1" x14ac:dyDescent="0.25">
      <c r="A207" s="452"/>
      <c r="B207" s="453"/>
      <c r="C207" s="453"/>
      <c r="D207" s="453"/>
      <c r="E207" s="162"/>
      <c r="F207" s="162"/>
      <c r="G207" s="162"/>
      <c r="H207" s="162"/>
      <c r="I207" s="161"/>
    </row>
    <row r="208" spans="1:9" ht="29.25" customHeight="1" x14ac:dyDescent="0.25">
      <c r="A208" s="456" t="s">
        <v>4408</v>
      </c>
      <c r="B208" s="457"/>
      <c r="C208" s="457"/>
      <c r="D208" s="457"/>
      <c r="E208" s="457"/>
      <c r="F208" s="457"/>
      <c r="G208" s="457"/>
      <c r="H208" s="457"/>
      <c r="I208" s="161"/>
    </row>
    <row r="209" spans="1:9" ht="12.95" customHeight="1" x14ac:dyDescent="0.25">
      <c r="A209" s="450" t="s">
        <v>1005</v>
      </c>
      <c r="B209" s="451"/>
      <c r="C209" s="119" t="s">
        <v>1024</v>
      </c>
      <c r="D209" s="119" t="s">
        <v>1006</v>
      </c>
      <c r="E209" s="119" t="s">
        <v>1007</v>
      </c>
      <c r="F209" s="119" t="s">
        <v>984</v>
      </c>
      <c r="G209" s="162"/>
      <c r="H209" s="162"/>
      <c r="I209" s="161"/>
    </row>
    <row r="210" spans="1:9" ht="12.95" customHeight="1" x14ac:dyDescent="0.25">
      <c r="A210" s="163" t="s">
        <v>1008</v>
      </c>
      <c r="B210" s="120" t="s">
        <v>1009</v>
      </c>
      <c r="C210" s="227">
        <v>0</v>
      </c>
      <c r="D210" s="227">
        <v>0.15</v>
      </c>
      <c r="E210" s="227">
        <v>87.97</v>
      </c>
      <c r="F210" s="228">
        <f>ROUND(E210*D210,2)</f>
        <v>13.2</v>
      </c>
      <c r="G210" s="162"/>
      <c r="H210" s="162"/>
      <c r="I210" s="161"/>
    </row>
    <row r="211" spans="1:9" ht="12.95" customHeight="1" x14ac:dyDescent="0.25">
      <c r="A211" s="163" t="s">
        <v>153</v>
      </c>
      <c r="B211" s="120" t="s">
        <v>1009</v>
      </c>
      <c r="C211" s="227">
        <v>0</v>
      </c>
      <c r="D211" s="227">
        <v>0.15</v>
      </c>
      <c r="E211" s="227">
        <v>47.65</v>
      </c>
      <c r="F211" s="228">
        <f>ROUND(E211*D211,2)</f>
        <v>7.15</v>
      </c>
      <c r="G211" s="162"/>
      <c r="H211" s="162"/>
      <c r="I211" s="161"/>
    </row>
    <row r="212" spans="1:9" ht="12.95" customHeight="1" x14ac:dyDescent="0.25">
      <c r="A212" s="163" t="s">
        <v>153</v>
      </c>
      <c r="B212" s="120" t="s">
        <v>1009</v>
      </c>
      <c r="C212" s="227">
        <v>0</v>
      </c>
      <c r="D212" s="227">
        <v>0.1</v>
      </c>
      <c r="E212" s="227">
        <v>1.75</v>
      </c>
      <c r="F212" s="228">
        <f>ROUND(E212*D212,2)</f>
        <v>0.18</v>
      </c>
      <c r="G212" s="162"/>
      <c r="H212" s="162"/>
      <c r="I212" s="161"/>
    </row>
    <row r="213" spans="1:9" ht="12.95" customHeight="1" x14ac:dyDescent="0.25">
      <c r="A213" s="163" t="s">
        <v>1033</v>
      </c>
      <c r="B213" s="120" t="s">
        <v>1047</v>
      </c>
      <c r="C213" s="227">
        <v>2.1</v>
      </c>
      <c r="D213" s="227">
        <v>2</v>
      </c>
      <c r="E213" s="227">
        <v>0</v>
      </c>
      <c r="F213" s="228">
        <f>ROUND(C213*D213*0.05,2)</f>
        <v>0.21</v>
      </c>
      <c r="G213" s="162"/>
      <c r="H213" s="162"/>
      <c r="I213" s="161"/>
    </row>
    <row r="214" spans="1:9" ht="12.95" customHeight="1" x14ac:dyDescent="0.25">
      <c r="A214" s="163" t="s">
        <v>1037</v>
      </c>
      <c r="B214" s="120" t="s">
        <v>1047</v>
      </c>
      <c r="C214" s="227">
        <v>2.1</v>
      </c>
      <c r="D214" s="227">
        <v>0.6</v>
      </c>
      <c r="E214" s="227">
        <v>0</v>
      </c>
      <c r="F214" s="228">
        <f>ROUND(C214*D214*0.05,2)</f>
        <v>0.06</v>
      </c>
      <c r="G214" s="162"/>
      <c r="H214" s="162"/>
      <c r="I214" s="161"/>
    </row>
    <row r="215" spans="1:9" ht="18.95" customHeight="1" x14ac:dyDescent="0.25">
      <c r="A215" s="163" t="s">
        <v>1039</v>
      </c>
      <c r="B215" s="120" t="s">
        <v>1047</v>
      </c>
      <c r="C215" s="227">
        <v>2.1</v>
      </c>
      <c r="D215" s="227">
        <v>0.7</v>
      </c>
      <c r="E215" s="227">
        <v>0</v>
      </c>
      <c r="F215" s="228">
        <f>ROUND(C215*D215*0.05,2)</f>
        <v>7.0000000000000007E-2</v>
      </c>
      <c r="G215" s="162"/>
      <c r="H215" s="162"/>
      <c r="I215" s="161"/>
    </row>
    <row r="216" spans="1:9" ht="9.9499999999999993" customHeight="1" x14ac:dyDescent="0.25">
      <c r="A216" s="164" t="s">
        <v>1005</v>
      </c>
      <c r="B216" s="121"/>
      <c r="C216" s="122"/>
      <c r="D216" s="122"/>
      <c r="E216" s="122"/>
      <c r="F216" s="123">
        <f>ROUND(SUM(F210:F215),2)</f>
        <v>20.87</v>
      </c>
      <c r="G216" s="162"/>
      <c r="H216" s="162"/>
      <c r="I216" s="161"/>
    </row>
    <row r="217" spans="1:9" ht="15" customHeight="1" x14ac:dyDescent="0.25">
      <c r="A217" s="452"/>
      <c r="B217" s="453"/>
      <c r="C217" s="453"/>
      <c r="D217" s="162"/>
      <c r="E217" s="162"/>
      <c r="F217" s="162"/>
      <c r="G217" s="162"/>
      <c r="H217" s="162"/>
      <c r="I217" s="161"/>
    </row>
    <row r="218" spans="1:9" ht="18.95" customHeight="1" x14ac:dyDescent="0.25">
      <c r="A218" s="450" t="s">
        <v>1010</v>
      </c>
      <c r="B218" s="451"/>
      <c r="C218" s="119" t="s">
        <v>1006</v>
      </c>
      <c r="D218" s="119" t="s">
        <v>1007</v>
      </c>
      <c r="E218" s="119" t="s">
        <v>984</v>
      </c>
      <c r="F218" s="162"/>
      <c r="G218" s="162"/>
      <c r="H218" s="162"/>
      <c r="I218" s="161"/>
    </row>
    <row r="219" spans="1:9" ht="15" customHeight="1" x14ac:dyDescent="0.25">
      <c r="A219" s="163" t="s">
        <v>1011</v>
      </c>
      <c r="B219" s="120" t="s">
        <v>1009</v>
      </c>
      <c r="C219" s="227">
        <v>0.15</v>
      </c>
      <c r="D219" s="227">
        <v>1.82</v>
      </c>
      <c r="E219" s="228">
        <f>ROUND(D219*C219,2)</f>
        <v>0.27</v>
      </c>
      <c r="F219" s="162"/>
      <c r="G219" s="162"/>
      <c r="H219" s="162"/>
      <c r="I219" s="161"/>
    </row>
    <row r="220" spans="1:9" ht="9.9499999999999993" customHeight="1" x14ac:dyDescent="0.25">
      <c r="A220" s="164" t="s">
        <v>1010</v>
      </c>
      <c r="B220" s="121"/>
      <c r="C220" s="122"/>
      <c r="D220" s="122"/>
      <c r="E220" s="123">
        <f>ROUND(SUM(E219:E219),2)</f>
        <v>0.27</v>
      </c>
      <c r="F220" s="162"/>
      <c r="G220" s="162"/>
      <c r="H220" s="162"/>
      <c r="I220" s="161"/>
    </row>
    <row r="221" spans="1:9" ht="15" customHeight="1" x14ac:dyDescent="0.25">
      <c r="A221" s="452"/>
      <c r="B221" s="453"/>
      <c r="C221" s="453"/>
      <c r="D221" s="162"/>
      <c r="E221" s="162"/>
      <c r="F221" s="162"/>
      <c r="G221" s="162"/>
      <c r="H221" s="162"/>
      <c r="I221" s="161"/>
    </row>
    <row r="222" spans="1:9" ht="12.95" customHeight="1" x14ac:dyDescent="0.25">
      <c r="A222" s="450" t="s">
        <v>397</v>
      </c>
      <c r="B222" s="451"/>
      <c r="C222" s="119" t="s">
        <v>1006</v>
      </c>
      <c r="D222" s="119" t="s">
        <v>1007</v>
      </c>
      <c r="E222" s="119" t="s">
        <v>984</v>
      </c>
      <c r="F222" s="162"/>
      <c r="G222" s="162"/>
      <c r="H222" s="162"/>
      <c r="I222" s="161"/>
    </row>
    <row r="223" spans="1:9" ht="15" customHeight="1" x14ac:dyDescent="0.25">
      <c r="A223" s="163" t="s">
        <v>1012</v>
      </c>
      <c r="B223" s="120" t="s">
        <v>1009</v>
      </c>
      <c r="C223" s="227">
        <v>0.1</v>
      </c>
      <c r="D223" s="227">
        <v>18.21</v>
      </c>
      <c r="E223" s="228">
        <f>ROUND(D223*C223,2)</f>
        <v>1.82</v>
      </c>
      <c r="F223" s="162"/>
      <c r="G223" s="162"/>
      <c r="H223" s="162"/>
      <c r="I223" s="161"/>
    </row>
    <row r="224" spans="1:9" ht="9.9499999999999993" customHeight="1" x14ac:dyDescent="0.25">
      <c r="A224" s="164" t="s">
        <v>397</v>
      </c>
      <c r="B224" s="121"/>
      <c r="C224" s="122"/>
      <c r="D224" s="122"/>
      <c r="E224" s="123">
        <f>ROUND(SUM(E223:E223),2)</f>
        <v>1.82</v>
      </c>
      <c r="F224" s="162"/>
      <c r="G224" s="162"/>
      <c r="H224" s="162"/>
      <c r="I224" s="161"/>
    </row>
    <row r="225" spans="1:9" ht="15" customHeight="1" x14ac:dyDescent="0.25">
      <c r="A225" s="452"/>
      <c r="B225" s="453"/>
      <c r="C225" s="453"/>
      <c r="D225" s="162"/>
      <c r="E225" s="162"/>
      <c r="F225" s="162"/>
      <c r="G225" s="162"/>
      <c r="H225" s="162"/>
      <c r="I225" s="161"/>
    </row>
    <row r="226" spans="1:9" ht="3.95" customHeight="1" x14ac:dyDescent="0.25">
      <c r="A226" s="450" t="s">
        <v>1013</v>
      </c>
      <c r="B226" s="451"/>
      <c r="C226" s="125" t="s">
        <v>1006</v>
      </c>
      <c r="D226" s="125" t="s">
        <v>1007</v>
      </c>
      <c r="E226" s="125" t="s">
        <v>984</v>
      </c>
      <c r="F226" s="162"/>
      <c r="G226" s="162"/>
      <c r="H226" s="162"/>
      <c r="I226" s="161"/>
    </row>
    <row r="227" spans="1:9" ht="12.95" customHeight="1" x14ac:dyDescent="0.25">
      <c r="A227" s="450"/>
      <c r="B227" s="451"/>
      <c r="C227" s="126"/>
      <c r="D227" s="126"/>
      <c r="E227" s="126"/>
      <c r="F227" s="162"/>
      <c r="G227" s="162"/>
      <c r="H227" s="162"/>
      <c r="I227" s="161"/>
    </row>
    <row r="228" spans="1:9" ht="27" customHeight="1" x14ac:dyDescent="0.25">
      <c r="A228" s="163" t="s">
        <v>1014</v>
      </c>
      <c r="B228" s="120" t="s">
        <v>1009</v>
      </c>
      <c r="C228" s="227">
        <v>0.1</v>
      </c>
      <c r="D228" s="227">
        <v>2.2999999999999998</v>
      </c>
      <c r="E228" s="228">
        <f>ROUND(D228*C228,2)</f>
        <v>0.23</v>
      </c>
      <c r="F228" s="162"/>
      <c r="G228" s="162"/>
      <c r="H228" s="162"/>
      <c r="I228" s="161"/>
    </row>
    <row r="229" spans="1:9" ht="9.9499999999999993" customHeight="1" x14ac:dyDescent="0.25">
      <c r="A229" s="164" t="s">
        <v>1013</v>
      </c>
      <c r="B229" s="121"/>
      <c r="C229" s="122"/>
      <c r="D229" s="122"/>
      <c r="E229" s="123">
        <f>ROUND(SUM(E227:E228),2)</f>
        <v>0.23</v>
      </c>
      <c r="F229" s="162"/>
      <c r="G229" s="162"/>
      <c r="H229" s="162"/>
      <c r="I229" s="161"/>
    </row>
    <row r="230" spans="1:9" ht="15" customHeight="1" x14ac:dyDescent="0.25">
      <c r="A230" s="452"/>
      <c r="B230" s="453"/>
      <c r="C230" s="453"/>
      <c r="D230" s="162"/>
      <c r="E230" s="162"/>
      <c r="F230" s="162"/>
      <c r="G230" s="162"/>
      <c r="H230" s="162"/>
      <c r="I230" s="161"/>
    </row>
    <row r="231" spans="1:9" ht="12.95" customHeight="1" x14ac:dyDescent="0.25">
      <c r="A231" s="450" t="s">
        <v>1017</v>
      </c>
      <c r="B231" s="451"/>
      <c r="C231" s="119" t="s">
        <v>1006</v>
      </c>
      <c r="D231" s="119" t="s">
        <v>1007</v>
      </c>
      <c r="E231" s="119" t="s">
        <v>984</v>
      </c>
      <c r="F231" s="162"/>
      <c r="G231" s="162"/>
      <c r="H231" s="162"/>
      <c r="I231" s="161"/>
    </row>
    <row r="232" spans="1:9" ht="6" customHeight="1" x14ac:dyDescent="0.25">
      <c r="A232" s="163" t="s">
        <v>1018</v>
      </c>
      <c r="B232" s="120" t="s">
        <v>1009</v>
      </c>
      <c r="C232" s="459">
        <v>0.15</v>
      </c>
      <c r="D232" s="459">
        <v>118</v>
      </c>
      <c r="E232" s="460">
        <f>ROUND(D232*C232,2)</f>
        <v>17.7</v>
      </c>
      <c r="F232" s="162"/>
      <c r="G232" s="162"/>
      <c r="H232" s="162"/>
      <c r="I232" s="161"/>
    </row>
    <row r="233" spans="1:9" ht="27" customHeight="1" x14ac:dyDescent="0.25">
      <c r="A233" s="166"/>
      <c r="B233" s="124"/>
      <c r="C233" s="459"/>
      <c r="D233" s="459"/>
      <c r="E233" s="460"/>
      <c r="F233" s="162"/>
      <c r="G233" s="162"/>
      <c r="H233" s="162"/>
      <c r="I233" s="161"/>
    </row>
    <row r="234" spans="1:9" ht="18.95" customHeight="1" x14ac:dyDescent="0.25">
      <c r="A234" s="163" t="s">
        <v>1019</v>
      </c>
      <c r="B234" s="120" t="s">
        <v>1009</v>
      </c>
      <c r="C234" s="227">
        <v>0.12</v>
      </c>
      <c r="D234" s="227">
        <v>39.32</v>
      </c>
      <c r="E234" s="228">
        <f>ROUND(D234*C234,2)</f>
        <v>4.72</v>
      </c>
      <c r="F234" s="162"/>
      <c r="G234" s="162"/>
      <c r="H234" s="162"/>
      <c r="I234" s="161"/>
    </row>
    <row r="235" spans="1:9" ht="18.95" customHeight="1" x14ac:dyDescent="0.25">
      <c r="A235" s="163" t="s">
        <v>1020</v>
      </c>
      <c r="B235" s="120" t="s">
        <v>1021</v>
      </c>
      <c r="C235" s="227">
        <v>0</v>
      </c>
      <c r="D235" s="227">
        <v>0</v>
      </c>
      <c r="E235" s="228">
        <f>ROUND(3.31,2)</f>
        <v>3.31</v>
      </c>
      <c r="F235" s="162"/>
      <c r="G235" s="162"/>
      <c r="H235" s="162"/>
      <c r="I235" s="161"/>
    </row>
    <row r="236" spans="1:9" ht="9.9499999999999993" customHeight="1" x14ac:dyDescent="0.25">
      <c r="A236" s="164" t="s">
        <v>1017</v>
      </c>
      <c r="B236" s="121"/>
      <c r="C236" s="122"/>
      <c r="D236" s="122"/>
      <c r="E236" s="123">
        <f>ROUND(SUM(E232:E235),2)</f>
        <v>25.73</v>
      </c>
      <c r="F236" s="162"/>
      <c r="G236" s="162"/>
      <c r="H236" s="162"/>
      <c r="I236" s="161"/>
    </row>
    <row r="237" spans="1:9" ht="15" customHeight="1" x14ac:dyDescent="0.25">
      <c r="A237" s="452"/>
      <c r="B237" s="453"/>
      <c r="C237" s="453"/>
      <c r="D237" s="162"/>
      <c r="E237" s="162"/>
      <c r="F237" s="162"/>
      <c r="G237" s="162"/>
      <c r="H237" s="162"/>
      <c r="I237" s="161"/>
    </row>
    <row r="238" spans="1:9" ht="18.95" customHeight="1" x14ac:dyDescent="0.25">
      <c r="A238" s="450" t="s">
        <v>1023</v>
      </c>
      <c r="B238" s="451"/>
      <c r="C238" s="119" t="s">
        <v>1024</v>
      </c>
      <c r="D238" s="119" t="s">
        <v>1006</v>
      </c>
      <c r="E238" s="119" t="s">
        <v>1025</v>
      </c>
      <c r="F238" s="119" t="s">
        <v>984</v>
      </c>
      <c r="G238" s="162"/>
      <c r="H238" s="162"/>
      <c r="I238" s="161"/>
    </row>
    <row r="239" spans="1:9" ht="18.95" customHeight="1" x14ac:dyDescent="0.25">
      <c r="A239" s="163" t="s">
        <v>1026</v>
      </c>
      <c r="B239" s="120" t="s">
        <v>1027</v>
      </c>
      <c r="C239" s="227">
        <v>2.15</v>
      </c>
      <c r="D239" s="227">
        <v>0.15</v>
      </c>
      <c r="E239" s="227">
        <v>0.3</v>
      </c>
      <c r="F239" s="228">
        <f>ROUND(D239*C239*E239*2,2)</f>
        <v>0.19</v>
      </c>
      <c r="G239" s="162"/>
      <c r="H239" s="162"/>
      <c r="I239" s="161"/>
    </row>
    <row r="240" spans="1:9" ht="9.9499999999999993" customHeight="1" x14ac:dyDescent="0.25">
      <c r="A240" s="164" t="s">
        <v>1023</v>
      </c>
      <c r="B240" s="121"/>
      <c r="C240" s="122"/>
      <c r="D240" s="122"/>
      <c r="E240" s="122"/>
      <c r="F240" s="123">
        <f>ROUND(SUM(F239:F239),2)</f>
        <v>0.19</v>
      </c>
      <c r="G240" s="162"/>
      <c r="H240" s="162"/>
      <c r="I240" s="161"/>
    </row>
    <row r="241" spans="1:9" ht="15" customHeight="1" x14ac:dyDescent="0.25">
      <c r="A241" s="452"/>
      <c r="B241" s="453"/>
      <c r="C241" s="453"/>
      <c r="D241" s="162"/>
      <c r="E241" s="162"/>
      <c r="F241" s="162"/>
      <c r="G241" s="162"/>
      <c r="H241" s="162"/>
      <c r="I241" s="161"/>
    </row>
    <row r="242" spans="1:9" ht="18.95" customHeight="1" x14ac:dyDescent="0.25">
      <c r="A242" s="450" t="s">
        <v>1029</v>
      </c>
      <c r="B242" s="451"/>
      <c r="C242" s="119" t="s">
        <v>1007</v>
      </c>
      <c r="D242" s="119" t="s">
        <v>1025</v>
      </c>
      <c r="E242" s="119" t="s">
        <v>984</v>
      </c>
      <c r="F242" s="162"/>
      <c r="G242" s="162"/>
      <c r="H242" s="162"/>
      <c r="I242" s="161"/>
    </row>
    <row r="243" spans="1:9" ht="18.95" customHeight="1" x14ac:dyDescent="0.25">
      <c r="A243" s="163" t="s">
        <v>1030</v>
      </c>
      <c r="B243" s="120" t="s">
        <v>1048</v>
      </c>
      <c r="C243" s="227">
        <v>15</v>
      </c>
      <c r="D243" s="227">
        <v>0.2</v>
      </c>
      <c r="E243" s="228">
        <f>ROUND(C243*D243,2)</f>
        <v>3</v>
      </c>
      <c r="F243" s="162"/>
      <c r="G243" s="162"/>
      <c r="H243" s="162"/>
      <c r="I243" s="161"/>
    </row>
    <row r="244" spans="1:9" ht="9.9499999999999993" customHeight="1" x14ac:dyDescent="0.25">
      <c r="A244" s="164" t="s">
        <v>1029</v>
      </c>
      <c r="B244" s="121"/>
      <c r="C244" s="122"/>
      <c r="D244" s="122"/>
      <c r="E244" s="123">
        <f>ROUND(SUM(E243:E243),2)</f>
        <v>3</v>
      </c>
      <c r="F244" s="162"/>
      <c r="G244" s="162"/>
      <c r="H244" s="162"/>
      <c r="I244" s="161"/>
    </row>
    <row r="245" spans="1:9" ht="15" customHeight="1" x14ac:dyDescent="0.25">
      <c r="A245" s="452"/>
      <c r="B245" s="453"/>
      <c r="C245" s="453"/>
      <c r="D245" s="162"/>
      <c r="E245" s="162"/>
      <c r="F245" s="162"/>
      <c r="G245" s="162"/>
      <c r="H245" s="162"/>
      <c r="I245" s="161"/>
    </row>
    <row r="246" spans="1:9" ht="3.95" customHeight="1" x14ac:dyDescent="0.25">
      <c r="A246" s="450" t="s">
        <v>1035</v>
      </c>
      <c r="B246" s="451"/>
      <c r="C246" s="125" t="s">
        <v>1007</v>
      </c>
      <c r="D246" s="125" t="s">
        <v>1025</v>
      </c>
      <c r="E246" s="125" t="s">
        <v>984</v>
      </c>
      <c r="F246" s="162"/>
      <c r="G246" s="162"/>
      <c r="H246" s="162"/>
      <c r="I246" s="161"/>
    </row>
    <row r="247" spans="1:9" ht="12.95" customHeight="1" x14ac:dyDescent="0.25">
      <c r="A247" s="450"/>
      <c r="B247" s="451"/>
      <c r="C247" s="126"/>
      <c r="D247" s="126"/>
      <c r="E247" s="126"/>
      <c r="F247" s="162"/>
      <c r="G247" s="162"/>
      <c r="H247" s="162"/>
      <c r="I247" s="161"/>
    </row>
    <row r="248" spans="1:9" ht="27" customHeight="1" x14ac:dyDescent="0.25">
      <c r="A248" s="163" t="s">
        <v>1036</v>
      </c>
      <c r="B248" s="120" t="s">
        <v>1048</v>
      </c>
      <c r="C248" s="227">
        <v>12.53</v>
      </c>
      <c r="D248" s="227">
        <v>0.05</v>
      </c>
      <c r="E248" s="228">
        <f>ROUND(C248*D248,2)</f>
        <v>0.63</v>
      </c>
      <c r="F248" s="162"/>
      <c r="G248" s="162"/>
      <c r="H248" s="162"/>
      <c r="I248" s="161"/>
    </row>
    <row r="249" spans="1:9" ht="9.9499999999999993" customHeight="1" x14ac:dyDescent="0.25">
      <c r="A249" s="164" t="s">
        <v>1035</v>
      </c>
      <c r="B249" s="121"/>
      <c r="C249" s="122"/>
      <c r="D249" s="122"/>
      <c r="E249" s="123">
        <f>ROUND(SUM(E247:E248),2)</f>
        <v>0.63</v>
      </c>
      <c r="F249" s="162"/>
      <c r="G249" s="162"/>
      <c r="H249" s="162"/>
      <c r="I249" s="161"/>
    </row>
    <row r="250" spans="1:9" ht="15" customHeight="1" x14ac:dyDescent="0.25">
      <c r="A250" s="452"/>
      <c r="B250" s="453"/>
      <c r="C250" s="453"/>
      <c r="D250" s="162"/>
      <c r="E250" s="162"/>
      <c r="F250" s="162"/>
      <c r="G250" s="162"/>
      <c r="H250" s="162"/>
      <c r="I250" s="161"/>
    </row>
    <row r="251" spans="1:9" ht="12.95" customHeight="1" x14ac:dyDescent="0.25">
      <c r="A251" s="450" t="s">
        <v>1045</v>
      </c>
      <c r="B251" s="451"/>
      <c r="C251" s="119" t="s">
        <v>1007</v>
      </c>
      <c r="D251" s="119" t="s">
        <v>1024</v>
      </c>
      <c r="E251" s="119" t="s">
        <v>984</v>
      </c>
      <c r="F251" s="162"/>
      <c r="G251" s="162"/>
      <c r="H251" s="162"/>
      <c r="I251" s="161"/>
    </row>
    <row r="252" spans="1:9" ht="6" customHeight="1" x14ac:dyDescent="0.25">
      <c r="A252" s="163" t="s">
        <v>1049</v>
      </c>
      <c r="B252" s="120" t="s">
        <v>1046</v>
      </c>
      <c r="C252" s="459">
        <v>115.92</v>
      </c>
      <c r="D252" s="459">
        <v>0.8</v>
      </c>
      <c r="E252" s="460">
        <f>ROUND(C252*D252,2)</f>
        <v>92.74</v>
      </c>
      <c r="F252" s="162"/>
      <c r="G252" s="162"/>
      <c r="H252" s="162"/>
      <c r="I252" s="161"/>
    </row>
    <row r="253" spans="1:9" ht="15" customHeight="1" x14ac:dyDescent="0.25">
      <c r="A253" s="166"/>
      <c r="B253" s="124"/>
      <c r="C253" s="459"/>
      <c r="D253" s="459"/>
      <c r="E253" s="460"/>
      <c r="F253" s="162"/>
      <c r="G253" s="162"/>
      <c r="H253" s="162"/>
      <c r="I253" s="161"/>
    </row>
    <row r="254" spans="1:9" ht="9.9499999999999993" customHeight="1" x14ac:dyDescent="0.25">
      <c r="A254" s="164" t="s">
        <v>1045</v>
      </c>
      <c r="B254" s="121"/>
      <c r="C254" s="122"/>
      <c r="D254" s="122"/>
      <c r="E254" s="123">
        <f>ROUND(SUM(E252:E253),2)</f>
        <v>92.74</v>
      </c>
      <c r="F254" s="162"/>
      <c r="G254" s="162"/>
      <c r="H254" s="162"/>
      <c r="I254" s="161"/>
    </row>
    <row r="255" spans="1:9" ht="12" customHeight="1" x14ac:dyDescent="0.25">
      <c r="A255" s="452"/>
      <c r="B255" s="453"/>
      <c r="C255" s="453"/>
      <c r="D255" s="162"/>
      <c r="E255" s="162"/>
      <c r="F255" s="162"/>
      <c r="G255" s="162"/>
      <c r="H255" s="162"/>
      <c r="I255" s="161"/>
    </row>
    <row r="256" spans="1:9" ht="12" customHeight="1" x14ac:dyDescent="0.25">
      <c r="A256" s="461" t="s">
        <v>4289</v>
      </c>
      <c r="B256" s="462"/>
      <c r="C256" s="462"/>
      <c r="D256" s="458" t="str">
        <f>"TOTAL DA MEMÓRIA DE CÁLCULO: "&amp;TEXT(ROUND(SUM(F216,E220,E224,E229,E236,F240,E244,E249,E254),2),"0,00")</f>
        <v>TOTAL DA MEMÓRIA DE CÁLCULO: 145,48</v>
      </c>
      <c r="E256" s="458"/>
      <c r="F256" s="458"/>
      <c r="G256" s="458"/>
      <c r="H256" s="458"/>
      <c r="I256" s="161"/>
    </row>
    <row r="257" spans="1:9" ht="9.9499999999999993" customHeight="1" x14ac:dyDescent="0.25">
      <c r="A257" s="461"/>
      <c r="B257" s="462"/>
      <c r="C257" s="462"/>
      <c r="D257" s="462" t="s">
        <v>1015</v>
      </c>
      <c r="E257" s="462"/>
      <c r="F257" s="462"/>
      <c r="G257" s="462"/>
      <c r="H257" s="462"/>
      <c r="I257" s="161"/>
    </row>
    <row r="258" spans="1:9" ht="20.100000000000001" customHeight="1" x14ac:dyDescent="0.25">
      <c r="A258" s="452"/>
      <c r="B258" s="453"/>
      <c r="C258" s="453"/>
      <c r="D258" s="453"/>
      <c r="E258" s="162"/>
      <c r="F258" s="162"/>
      <c r="G258" s="162"/>
      <c r="H258" s="162"/>
      <c r="I258" s="161"/>
    </row>
    <row r="259" spans="1:9" ht="9.9499999999999993" customHeight="1" x14ac:dyDescent="0.25">
      <c r="A259" s="456" t="s">
        <v>1050</v>
      </c>
      <c r="B259" s="457"/>
      <c r="C259" s="457"/>
      <c r="D259" s="457"/>
      <c r="E259" s="457"/>
      <c r="F259" s="457"/>
      <c r="G259" s="457"/>
      <c r="H259" s="457"/>
      <c r="I259" s="161"/>
    </row>
    <row r="260" spans="1:9" ht="20.100000000000001" customHeight="1" x14ac:dyDescent="0.25">
      <c r="A260" s="452"/>
      <c r="B260" s="453"/>
      <c r="C260" s="453"/>
      <c r="D260" s="162"/>
      <c r="E260" s="162"/>
      <c r="F260" s="162"/>
      <c r="G260" s="162"/>
      <c r="H260" s="162"/>
      <c r="I260" s="161"/>
    </row>
    <row r="261" spans="1:9" ht="15" customHeight="1" x14ac:dyDescent="0.25">
      <c r="A261" s="456" t="s">
        <v>1051</v>
      </c>
      <c r="B261" s="457"/>
      <c r="C261" s="457"/>
      <c r="D261" s="457"/>
      <c r="E261" s="457"/>
      <c r="F261" s="457"/>
      <c r="G261" s="457"/>
      <c r="H261" s="457"/>
      <c r="I261" s="161"/>
    </row>
    <row r="262" spans="1:9" ht="12.95" customHeight="1" x14ac:dyDescent="0.25">
      <c r="A262" s="450" t="s">
        <v>1052</v>
      </c>
      <c r="B262" s="451"/>
      <c r="C262" s="119"/>
      <c r="D262" s="119" t="s">
        <v>984</v>
      </c>
      <c r="E262" s="162"/>
      <c r="F262" s="162"/>
      <c r="G262" s="162"/>
      <c r="H262" s="162"/>
      <c r="I262" s="161"/>
    </row>
    <row r="263" spans="1:9" ht="6" customHeight="1" x14ac:dyDescent="0.25">
      <c r="A263" s="163" t="s">
        <v>1053</v>
      </c>
      <c r="B263" s="120" t="s">
        <v>1054</v>
      </c>
      <c r="C263" s="459">
        <v>869.67</v>
      </c>
      <c r="D263" s="460">
        <f>ROUND(869.67,2)</f>
        <v>869.67</v>
      </c>
      <c r="E263" s="162"/>
      <c r="F263" s="162"/>
      <c r="G263" s="162"/>
      <c r="H263" s="162"/>
      <c r="I263" s="161"/>
    </row>
    <row r="264" spans="1:9" ht="15" customHeight="1" x14ac:dyDescent="0.25">
      <c r="A264" s="166"/>
      <c r="B264" s="124"/>
      <c r="C264" s="459"/>
      <c r="D264" s="460"/>
      <c r="E264" s="162"/>
      <c r="F264" s="162"/>
      <c r="G264" s="162"/>
      <c r="H264" s="162"/>
      <c r="I264" s="161"/>
    </row>
    <row r="265" spans="1:9" ht="9.9499999999999993" customHeight="1" x14ac:dyDescent="0.25">
      <c r="A265" s="164" t="s">
        <v>1052</v>
      </c>
      <c r="B265" s="121"/>
      <c r="C265" s="122"/>
      <c r="D265" s="123">
        <f>ROUND(SUM(D263:D264),2)</f>
        <v>869.67</v>
      </c>
      <c r="E265" s="162"/>
      <c r="F265" s="162"/>
      <c r="G265" s="162"/>
      <c r="H265" s="162"/>
      <c r="I265" s="161"/>
    </row>
    <row r="266" spans="1:9" ht="12" customHeight="1" x14ac:dyDescent="0.25">
      <c r="A266" s="452"/>
      <c r="B266" s="453"/>
      <c r="C266" s="453"/>
      <c r="D266" s="162"/>
      <c r="E266" s="162"/>
      <c r="F266" s="162"/>
      <c r="G266" s="162"/>
      <c r="H266" s="162"/>
      <c r="I266" s="161"/>
    </row>
    <row r="267" spans="1:9" ht="12" customHeight="1" x14ac:dyDescent="0.25">
      <c r="A267" s="461" t="s">
        <v>4292</v>
      </c>
      <c r="B267" s="462"/>
      <c r="C267" s="462"/>
      <c r="D267" s="458" t="str">
        <f>"TOTAL DA MEMÓRIA DE CÁLCULO: "&amp;TEXT(ROUND(SUM(D265),2),"0,00")</f>
        <v>TOTAL DA MEMÓRIA DE CÁLCULO: 869,67</v>
      </c>
      <c r="E267" s="458"/>
      <c r="F267" s="458"/>
      <c r="G267" s="458"/>
      <c r="H267" s="458"/>
      <c r="I267" s="161"/>
    </row>
    <row r="268" spans="1:9" ht="9.9499999999999993" customHeight="1" x14ac:dyDescent="0.25">
      <c r="A268" s="461"/>
      <c r="B268" s="462"/>
      <c r="C268" s="462"/>
      <c r="D268" s="162"/>
      <c r="E268" s="162"/>
      <c r="F268" s="162"/>
      <c r="G268" s="162"/>
      <c r="H268" s="162"/>
      <c r="I268" s="161"/>
    </row>
    <row r="269" spans="1:9" ht="20.100000000000001" customHeight="1" x14ac:dyDescent="0.25">
      <c r="A269" s="452"/>
      <c r="B269" s="453"/>
      <c r="C269" s="453"/>
      <c r="D269" s="453"/>
      <c r="E269" s="162"/>
      <c r="F269" s="162"/>
      <c r="G269" s="162"/>
      <c r="H269" s="162"/>
      <c r="I269" s="161"/>
    </row>
    <row r="270" spans="1:9" ht="15" customHeight="1" x14ac:dyDescent="0.25">
      <c r="A270" s="456" t="s">
        <v>1055</v>
      </c>
      <c r="B270" s="457"/>
      <c r="C270" s="457"/>
      <c r="D270" s="457"/>
      <c r="E270" s="457"/>
      <c r="F270" s="457"/>
      <c r="G270" s="457"/>
      <c r="H270" s="457"/>
      <c r="I270" s="161"/>
    </row>
    <row r="271" spans="1:9" ht="12.95" customHeight="1" x14ac:dyDescent="0.25">
      <c r="A271" s="450" t="s">
        <v>1052</v>
      </c>
      <c r="B271" s="451"/>
      <c r="C271" s="119"/>
      <c r="D271" s="119" t="s">
        <v>984</v>
      </c>
      <c r="E271" s="162"/>
      <c r="F271" s="162"/>
      <c r="G271" s="162"/>
      <c r="H271" s="162"/>
      <c r="I271" s="161"/>
    </row>
    <row r="272" spans="1:9" ht="6" customHeight="1" x14ac:dyDescent="0.25">
      <c r="A272" s="163" t="s">
        <v>1056</v>
      </c>
      <c r="B272" s="120" t="s">
        <v>1057</v>
      </c>
      <c r="C272" s="459">
        <v>1181.5</v>
      </c>
      <c r="D272" s="460">
        <f>ROUND(1181.5,2)</f>
        <v>1181.5</v>
      </c>
      <c r="E272" s="162"/>
      <c r="F272" s="162"/>
      <c r="G272" s="162"/>
      <c r="H272" s="162"/>
      <c r="I272" s="161"/>
    </row>
    <row r="273" spans="1:9" ht="15" customHeight="1" x14ac:dyDescent="0.25">
      <c r="A273" s="166"/>
      <c r="B273" s="124"/>
      <c r="C273" s="459"/>
      <c r="D273" s="460"/>
      <c r="E273" s="162"/>
      <c r="F273" s="162"/>
      <c r="G273" s="162"/>
      <c r="H273" s="162"/>
      <c r="I273" s="161"/>
    </row>
    <row r="274" spans="1:9" ht="9.9499999999999993" customHeight="1" x14ac:dyDescent="0.25">
      <c r="A274" s="164" t="s">
        <v>1052</v>
      </c>
      <c r="B274" s="121"/>
      <c r="C274" s="122"/>
      <c r="D274" s="123">
        <f>ROUND(SUM(D272:D273),2)</f>
        <v>1181.5</v>
      </c>
      <c r="E274" s="162"/>
      <c r="F274" s="162"/>
      <c r="G274" s="162"/>
      <c r="H274" s="162"/>
      <c r="I274" s="161"/>
    </row>
    <row r="275" spans="1:9" ht="12" customHeight="1" x14ac:dyDescent="0.25">
      <c r="A275" s="452"/>
      <c r="B275" s="453"/>
      <c r="C275" s="453"/>
      <c r="D275" s="162"/>
      <c r="E275" s="162"/>
      <c r="F275" s="162"/>
      <c r="G275" s="162"/>
      <c r="H275" s="162"/>
      <c r="I275" s="161"/>
    </row>
    <row r="276" spans="1:9" ht="12" customHeight="1" x14ac:dyDescent="0.25">
      <c r="A276" s="461" t="s">
        <v>4293</v>
      </c>
      <c r="B276" s="462"/>
      <c r="C276" s="462"/>
      <c r="D276" s="458" t="str">
        <f>"TOTAL DA MEMÓRIA DE CÁLCULO: "&amp;TEXT(ROUND(SUM(D274),2),"0,00")</f>
        <v>TOTAL DA MEMÓRIA DE CÁLCULO: 1181,50</v>
      </c>
      <c r="E276" s="458"/>
      <c r="F276" s="458"/>
      <c r="G276" s="458"/>
      <c r="H276" s="458"/>
      <c r="I276" s="161"/>
    </row>
    <row r="277" spans="1:9" ht="9.9499999999999993" customHeight="1" x14ac:dyDescent="0.25">
      <c r="A277" s="461"/>
      <c r="B277" s="462"/>
      <c r="C277" s="462"/>
      <c r="D277" s="162"/>
      <c r="E277" s="162"/>
      <c r="F277" s="162"/>
      <c r="G277" s="162"/>
      <c r="H277" s="162"/>
      <c r="I277" s="161"/>
    </row>
    <row r="278" spans="1:9" ht="30.95" customHeight="1" x14ac:dyDescent="0.25">
      <c r="A278" s="452"/>
      <c r="B278" s="453"/>
      <c r="C278" s="453"/>
      <c r="D278" s="453"/>
      <c r="E278" s="162"/>
      <c r="F278" s="162"/>
      <c r="G278" s="162"/>
      <c r="H278" s="162"/>
      <c r="I278" s="161"/>
    </row>
    <row r="279" spans="1:9" ht="15" customHeight="1" x14ac:dyDescent="0.25">
      <c r="A279" s="456" t="s">
        <v>1058</v>
      </c>
      <c r="B279" s="457"/>
      <c r="C279" s="457"/>
      <c r="D279" s="457"/>
      <c r="E279" s="457"/>
      <c r="F279" s="457"/>
      <c r="G279" s="457"/>
      <c r="H279" s="457"/>
      <c r="I279" s="161"/>
    </row>
    <row r="280" spans="1:9" ht="18.95" customHeight="1" x14ac:dyDescent="0.25">
      <c r="A280" s="450" t="s">
        <v>1052</v>
      </c>
      <c r="B280" s="451"/>
      <c r="C280" s="119" t="s">
        <v>1059</v>
      </c>
      <c r="D280" s="119" t="s">
        <v>1006</v>
      </c>
      <c r="E280" s="119" t="s">
        <v>1024</v>
      </c>
      <c r="F280" s="119" t="s">
        <v>984</v>
      </c>
      <c r="G280" s="162"/>
      <c r="H280" s="162"/>
      <c r="I280" s="161"/>
    </row>
    <row r="281" spans="1:9" ht="18.95" customHeight="1" x14ac:dyDescent="0.25">
      <c r="A281" s="163" t="s">
        <v>1060</v>
      </c>
      <c r="B281" s="120" t="s">
        <v>1061</v>
      </c>
      <c r="C281" s="227">
        <v>91.75</v>
      </c>
      <c r="D281" s="227">
        <v>0.1</v>
      </c>
      <c r="E281" s="227">
        <v>0.2</v>
      </c>
      <c r="F281" s="228">
        <f t="shared" ref="F281:F286" si="0">ROUND(C281*D281*E281,2)</f>
        <v>1.84</v>
      </c>
      <c r="G281" s="162"/>
      <c r="H281" s="162"/>
      <c r="I281" s="161"/>
    </row>
    <row r="282" spans="1:9" ht="18.95" customHeight="1" x14ac:dyDescent="0.25">
      <c r="A282" s="163" t="s">
        <v>1062</v>
      </c>
      <c r="B282" s="120" t="s">
        <v>1061</v>
      </c>
      <c r="C282" s="227">
        <v>173.64</v>
      </c>
      <c r="D282" s="227">
        <v>0.1</v>
      </c>
      <c r="E282" s="227">
        <v>0.2</v>
      </c>
      <c r="F282" s="228">
        <f t="shared" si="0"/>
        <v>3.47</v>
      </c>
      <c r="G282" s="162"/>
      <c r="H282" s="162"/>
      <c r="I282" s="161"/>
    </row>
    <row r="283" spans="1:9" ht="18.95" customHeight="1" x14ac:dyDescent="0.25">
      <c r="A283" s="163" t="s">
        <v>1063</v>
      </c>
      <c r="B283" s="120" t="s">
        <v>1061</v>
      </c>
      <c r="C283" s="227">
        <v>46.22</v>
      </c>
      <c r="D283" s="227">
        <v>0.1</v>
      </c>
      <c r="E283" s="227">
        <v>0.2</v>
      </c>
      <c r="F283" s="228">
        <f t="shared" si="0"/>
        <v>0.92</v>
      </c>
      <c r="G283" s="162"/>
      <c r="H283" s="162"/>
      <c r="I283" s="161"/>
    </row>
    <row r="284" spans="1:9" ht="18.95" customHeight="1" x14ac:dyDescent="0.25">
      <c r="A284" s="163" t="s">
        <v>1064</v>
      </c>
      <c r="B284" s="120" t="s">
        <v>1061</v>
      </c>
      <c r="C284" s="227">
        <v>74.790000000000006</v>
      </c>
      <c r="D284" s="227">
        <v>0.1</v>
      </c>
      <c r="E284" s="227">
        <v>0.2</v>
      </c>
      <c r="F284" s="228">
        <f t="shared" si="0"/>
        <v>1.5</v>
      </c>
      <c r="G284" s="162"/>
      <c r="H284" s="162"/>
      <c r="I284" s="161"/>
    </row>
    <row r="285" spans="1:9" ht="18.95" customHeight="1" x14ac:dyDescent="0.25">
      <c r="A285" s="163" t="s">
        <v>1065</v>
      </c>
      <c r="B285" s="120" t="s">
        <v>1061</v>
      </c>
      <c r="C285" s="227">
        <v>47.99</v>
      </c>
      <c r="D285" s="227">
        <v>0.1</v>
      </c>
      <c r="E285" s="227">
        <v>0.2</v>
      </c>
      <c r="F285" s="228">
        <f t="shared" si="0"/>
        <v>0.96</v>
      </c>
      <c r="G285" s="162"/>
      <c r="H285" s="162"/>
      <c r="I285" s="161"/>
    </row>
    <row r="286" spans="1:9" ht="15" customHeight="1" x14ac:dyDescent="0.25">
      <c r="A286" s="163" t="s">
        <v>1066</v>
      </c>
      <c r="B286" s="120" t="s">
        <v>1061</v>
      </c>
      <c r="C286" s="227">
        <v>48.26</v>
      </c>
      <c r="D286" s="227">
        <v>0.1</v>
      </c>
      <c r="E286" s="227">
        <v>0.2</v>
      </c>
      <c r="F286" s="228">
        <f t="shared" si="0"/>
        <v>0.97</v>
      </c>
      <c r="G286" s="162"/>
      <c r="H286" s="162"/>
      <c r="I286" s="161"/>
    </row>
    <row r="287" spans="1:9" ht="9.9499999999999993" customHeight="1" x14ac:dyDescent="0.25">
      <c r="A287" s="164" t="s">
        <v>1052</v>
      </c>
      <c r="B287" s="121"/>
      <c r="C287" s="122"/>
      <c r="D287" s="122"/>
      <c r="E287" s="122"/>
      <c r="F287" s="123">
        <f>ROUND(SUM(F281:F286),2)</f>
        <v>9.66</v>
      </c>
      <c r="G287" s="162"/>
      <c r="H287" s="162"/>
      <c r="I287" s="161"/>
    </row>
    <row r="288" spans="1:9" ht="12" customHeight="1" x14ac:dyDescent="0.25">
      <c r="A288" s="452"/>
      <c r="B288" s="453"/>
      <c r="C288" s="453"/>
      <c r="D288" s="162"/>
      <c r="E288" s="162"/>
      <c r="F288" s="162"/>
      <c r="G288" s="162"/>
      <c r="H288" s="162"/>
      <c r="I288" s="161"/>
    </row>
    <row r="289" spans="1:9" ht="12" customHeight="1" x14ac:dyDescent="0.25">
      <c r="A289" s="461" t="s">
        <v>4293</v>
      </c>
      <c r="B289" s="462"/>
      <c r="C289" s="462"/>
      <c r="D289" s="458" t="str">
        <f>"TOTAL DA MEMÓRIA DE CÁLCULO: "&amp;TEXT(ROUND(SUM(F287),2),"0,00")</f>
        <v>TOTAL DA MEMÓRIA DE CÁLCULO: 9,66</v>
      </c>
      <c r="E289" s="458"/>
      <c r="F289" s="458"/>
      <c r="G289" s="458"/>
      <c r="H289" s="458"/>
      <c r="I289" s="161"/>
    </row>
    <row r="290" spans="1:9" ht="9.9499999999999993" customHeight="1" x14ac:dyDescent="0.25">
      <c r="A290" s="461"/>
      <c r="B290" s="462"/>
      <c r="C290" s="462"/>
      <c r="D290" s="462" t="s">
        <v>1067</v>
      </c>
      <c r="E290" s="462"/>
      <c r="F290" s="462"/>
      <c r="G290" s="462"/>
      <c r="H290" s="462"/>
      <c r="I290" s="161"/>
    </row>
    <row r="291" spans="1:9" ht="20.100000000000001" customHeight="1" x14ac:dyDescent="0.25">
      <c r="A291" s="452"/>
      <c r="B291" s="453"/>
      <c r="C291" s="453"/>
      <c r="D291" s="453"/>
      <c r="E291" s="162"/>
      <c r="F291" s="162"/>
      <c r="G291" s="162"/>
      <c r="H291" s="162"/>
      <c r="I291" s="161"/>
    </row>
    <row r="292" spans="1:9" ht="15" customHeight="1" x14ac:dyDescent="0.25">
      <c r="A292" s="456" t="s">
        <v>1068</v>
      </c>
      <c r="B292" s="457"/>
      <c r="C292" s="457"/>
      <c r="D292" s="457"/>
      <c r="E292" s="457"/>
      <c r="F292" s="457"/>
      <c r="G292" s="457"/>
      <c r="H292" s="457"/>
      <c r="I292" s="161"/>
    </row>
    <row r="293" spans="1:9" ht="12.95" customHeight="1" x14ac:dyDescent="0.25">
      <c r="A293" s="450" t="s">
        <v>1052</v>
      </c>
      <c r="B293" s="451"/>
      <c r="C293" s="119"/>
      <c r="D293" s="119" t="s">
        <v>984</v>
      </c>
      <c r="E293" s="162"/>
      <c r="F293" s="162"/>
      <c r="G293" s="162"/>
      <c r="H293" s="162"/>
      <c r="I293" s="161"/>
    </row>
    <row r="294" spans="1:9" ht="6" customHeight="1" x14ac:dyDescent="0.25">
      <c r="A294" s="163" t="s">
        <v>1069</v>
      </c>
      <c r="B294" s="120" t="s">
        <v>1070</v>
      </c>
      <c r="C294" s="459">
        <v>136.72999999999999</v>
      </c>
      <c r="D294" s="460">
        <f>ROUND(136.73,2)</f>
        <v>136.72999999999999</v>
      </c>
      <c r="E294" s="162"/>
      <c r="F294" s="162"/>
      <c r="G294" s="162"/>
      <c r="H294" s="162"/>
      <c r="I294" s="161"/>
    </row>
    <row r="295" spans="1:9" ht="15" customHeight="1" x14ac:dyDescent="0.25">
      <c r="A295" s="166"/>
      <c r="B295" s="124"/>
      <c r="C295" s="459"/>
      <c r="D295" s="460"/>
      <c r="E295" s="162"/>
      <c r="F295" s="162"/>
      <c r="G295" s="162"/>
      <c r="H295" s="162"/>
      <c r="I295" s="161"/>
    </row>
    <row r="296" spans="1:9" ht="9.9499999999999993" customHeight="1" x14ac:dyDescent="0.25">
      <c r="A296" s="164" t="s">
        <v>1052</v>
      </c>
      <c r="B296" s="121"/>
      <c r="C296" s="122"/>
      <c r="D296" s="123">
        <f>ROUND(SUM(D294:D295),2)</f>
        <v>136.72999999999999</v>
      </c>
      <c r="E296" s="162"/>
      <c r="F296" s="162"/>
      <c r="G296" s="162"/>
      <c r="H296" s="162"/>
      <c r="I296" s="161"/>
    </row>
    <row r="297" spans="1:9" ht="15" customHeight="1" x14ac:dyDescent="0.25">
      <c r="A297" s="452"/>
      <c r="B297" s="453"/>
      <c r="C297" s="453"/>
      <c r="D297" s="162"/>
      <c r="E297" s="162"/>
      <c r="F297" s="162"/>
      <c r="G297" s="162"/>
      <c r="H297" s="162"/>
      <c r="I297" s="161"/>
    </row>
    <row r="298" spans="1:9" ht="12.95" customHeight="1" x14ac:dyDescent="0.25">
      <c r="A298" s="450" t="s">
        <v>1071</v>
      </c>
      <c r="B298" s="451"/>
      <c r="C298" s="119"/>
      <c r="D298" s="119" t="s">
        <v>984</v>
      </c>
      <c r="E298" s="162"/>
      <c r="F298" s="162"/>
      <c r="G298" s="162"/>
      <c r="H298" s="162"/>
      <c r="I298" s="161"/>
    </row>
    <row r="299" spans="1:9" ht="6" customHeight="1" x14ac:dyDescent="0.25">
      <c r="A299" s="163" t="s">
        <v>1069</v>
      </c>
      <c r="B299" s="120" t="s">
        <v>1072</v>
      </c>
      <c r="C299" s="459">
        <v>177.52</v>
      </c>
      <c r="D299" s="460">
        <f>ROUND(177.52,2)</f>
        <v>177.52</v>
      </c>
      <c r="E299" s="162"/>
      <c r="F299" s="162"/>
      <c r="G299" s="162"/>
      <c r="H299" s="162"/>
      <c r="I299" s="161"/>
    </row>
    <row r="300" spans="1:9" ht="15" customHeight="1" x14ac:dyDescent="0.25">
      <c r="A300" s="166"/>
      <c r="B300" s="124"/>
      <c r="C300" s="459"/>
      <c r="D300" s="460"/>
      <c r="E300" s="162"/>
      <c r="F300" s="162"/>
      <c r="G300" s="162"/>
      <c r="H300" s="162"/>
      <c r="I300" s="161"/>
    </row>
    <row r="301" spans="1:9" ht="9.9499999999999993" customHeight="1" x14ac:dyDescent="0.25">
      <c r="A301" s="164" t="s">
        <v>1071</v>
      </c>
      <c r="B301" s="121"/>
      <c r="C301" s="122"/>
      <c r="D301" s="123">
        <f>ROUND(SUM(D299:D300),2)</f>
        <v>177.52</v>
      </c>
      <c r="E301" s="162"/>
      <c r="F301" s="162"/>
      <c r="G301" s="162"/>
      <c r="H301" s="162"/>
      <c r="I301" s="161"/>
    </row>
    <row r="302" spans="1:9" ht="12" customHeight="1" x14ac:dyDescent="0.25">
      <c r="A302" s="452"/>
      <c r="B302" s="453"/>
      <c r="C302" s="453"/>
      <c r="D302" s="162"/>
      <c r="E302" s="162"/>
      <c r="F302" s="162"/>
      <c r="G302" s="162"/>
      <c r="H302" s="162"/>
      <c r="I302" s="161"/>
    </row>
    <row r="303" spans="1:9" ht="12" customHeight="1" x14ac:dyDescent="0.25">
      <c r="A303" s="461" t="s">
        <v>4292</v>
      </c>
      <c r="B303" s="462"/>
      <c r="C303" s="462"/>
      <c r="D303" s="458" t="str">
        <f>"TOTAL DA MEMÓRIA DE CÁLCULO: "&amp;TEXT(ROUND(SUM(D296,D301),2),"0,00")</f>
        <v>TOTAL DA MEMÓRIA DE CÁLCULO: 314,25</v>
      </c>
      <c r="E303" s="458"/>
      <c r="F303" s="458"/>
      <c r="G303" s="458"/>
      <c r="H303" s="458"/>
      <c r="I303" s="161"/>
    </row>
    <row r="304" spans="1:9" ht="9.9499999999999993" customHeight="1" x14ac:dyDescent="0.25">
      <c r="A304" s="461"/>
      <c r="B304" s="462"/>
      <c r="C304" s="462"/>
      <c r="D304" s="162"/>
      <c r="E304" s="162"/>
      <c r="F304" s="162"/>
      <c r="G304" s="162"/>
      <c r="H304" s="162"/>
      <c r="I304" s="161"/>
    </row>
    <row r="305" spans="1:9" ht="20.100000000000001" customHeight="1" x14ac:dyDescent="0.25">
      <c r="A305" s="452"/>
      <c r="B305" s="453"/>
      <c r="C305" s="453"/>
      <c r="D305" s="453"/>
      <c r="E305" s="162"/>
      <c r="F305" s="162"/>
      <c r="G305" s="162"/>
      <c r="H305" s="162"/>
      <c r="I305" s="161"/>
    </row>
    <row r="306" spans="1:9" ht="15" customHeight="1" x14ac:dyDescent="0.25">
      <c r="A306" s="456" t="s">
        <v>1073</v>
      </c>
      <c r="B306" s="457"/>
      <c r="C306" s="457"/>
      <c r="D306" s="457"/>
      <c r="E306" s="457"/>
      <c r="F306" s="457"/>
      <c r="G306" s="457"/>
      <c r="H306" s="457"/>
      <c r="I306" s="161"/>
    </row>
    <row r="307" spans="1:9" ht="12.95" customHeight="1" x14ac:dyDescent="0.25">
      <c r="A307" s="450" t="s">
        <v>1052</v>
      </c>
      <c r="B307" s="451"/>
      <c r="C307" s="119"/>
      <c r="D307" s="119" t="s">
        <v>984</v>
      </c>
      <c r="E307" s="162"/>
      <c r="F307" s="162"/>
      <c r="G307" s="162"/>
      <c r="H307" s="162"/>
      <c r="I307" s="161"/>
    </row>
    <row r="308" spans="1:9" ht="15" customHeight="1" x14ac:dyDescent="0.25">
      <c r="A308" s="163" t="s">
        <v>1074</v>
      </c>
      <c r="B308" s="120" t="s">
        <v>9</v>
      </c>
      <c r="C308" s="227">
        <v>6</v>
      </c>
      <c r="D308" s="228">
        <f>ROUND(6,2)</f>
        <v>6</v>
      </c>
      <c r="E308" s="162"/>
      <c r="F308" s="162"/>
      <c r="G308" s="162"/>
      <c r="H308" s="162"/>
      <c r="I308" s="161"/>
    </row>
    <row r="309" spans="1:9" ht="9.9499999999999993" customHeight="1" x14ac:dyDescent="0.25">
      <c r="A309" s="164" t="s">
        <v>1052</v>
      </c>
      <c r="B309" s="121"/>
      <c r="C309" s="122"/>
      <c r="D309" s="123">
        <f>ROUND(SUM(D308:D308),2)</f>
        <v>6</v>
      </c>
      <c r="E309" s="162"/>
      <c r="F309" s="162"/>
      <c r="G309" s="162"/>
      <c r="H309" s="162"/>
      <c r="I309" s="161"/>
    </row>
    <row r="310" spans="1:9" ht="12" customHeight="1" x14ac:dyDescent="0.25">
      <c r="A310" s="452"/>
      <c r="B310" s="453"/>
      <c r="C310" s="453"/>
      <c r="D310" s="162"/>
      <c r="E310" s="162"/>
      <c r="F310" s="162"/>
      <c r="G310" s="162"/>
      <c r="H310" s="162"/>
      <c r="I310" s="161"/>
    </row>
    <row r="311" spans="1:9" ht="12" customHeight="1" x14ac:dyDescent="0.25">
      <c r="A311" s="461" t="s">
        <v>4292</v>
      </c>
      <c r="B311" s="462"/>
      <c r="C311" s="462"/>
      <c r="D311" s="458" t="str">
        <f>"TOTAL DA MEMÓRIA DE CÁLCULO: "&amp;TEXT(ROUND(SUM(D309),2),"0,00")</f>
        <v>TOTAL DA MEMÓRIA DE CÁLCULO: 6,00</v>
      </c>
      <c r="E311" s="458"/>
      <c r="F311" s="458"/>
      <c r="G311" s="458"/>
      <c r="H311" s="458"/>
      <c r="I311" s="161"/>
    </row>
    <row r="312" spans="1:9" ht="9.9499999999999993" customHeight="1" x14ac:dyDescent="0.25">
      <c r="A312" s="461"/>
      <c r="B312" s="462"/>
      <c r="C312" s="462"/>
      <c r="D312" s="162"/>
      <c r="E312" s="162"/>
      <c r="F312" s="162"/>
      <c r="G312" s="162"/>
      <c r="H312" s="162"/>
      <c r="I312" s="161"/>
    </row>
    <row r="313" spans="1:9" ht="20.100000000000001" customHeight="1" x14ac:dyDescent="0.25">
      <c r="A313" s="452"/>
      <c r="B313" s="453"/>
      <c r="C313" s="453"/>
      <c r="D313" s="453"/>
      <c r="E313" s="162"/>
      <c r="F313" s="162"/>
      <c r="G313" s="162"/>
      <c r="H313" s="162"/>
      <c r="I313" s="161"/>
    </row>
    <row r="314" spans="1:9" ht="15" customHeight="1" x14ac:dyDescent="0.25">
      <c r="A314" s="456" t="s">
        <v>1075</v>
      </c>
      <c r="B314" s="457"/>
      <c r="C314" s="457"/>
      <c r="D314" s="457"/>
      <c r="E314" s="457"/>
      <c r="F314" s="457"/>
      <c r="G314" s="457"/>
      <c r="H314" s="457"/>
      <c r="I314" s="161"/>
    </row>
    <row r="315" spans="1:9" ht="12.95" customHeight="1" x14ac:dyDescent="0.25">
      <c r="A315" s="450" t="s">
        <v>1071</v>
      </c>
      <c r="B315" s="451"/>
      <c r="C315" s="119" t="s">
        <v>1007</v>
      </c>
      <c r="D315" s="119" t="s">
        <v>1025</v>
      </c>
      <c r="E315" s="119" t="s">
        <v>984</v>
      </c>
      <c r="F315" s="162"/>
      <c r="G315" s="162"/>
      <c r="H315" s="162"/>
      <c r="I315" s="161"/>
    </row>
    <row r="316" spans="1:9" ht="15" customHeight="1" x14ac:dyDescent="0.25">
      <c r="A316" s="163" t="s">
        <v>1076</v>
      </c>
      <c r="B316" s="120" t="s">
        <v>1048</v>
      </c>
      <c r="C316" s="227">
        <v>7.1</v>
      </c>
      <c r="D316" s="227">
        <v>0.06</v>
      </c>
      <c r="E316" s="228">
        <f>ROUND(C316*D316,2)</f>
        <v>0.43</v>
      </c>
      <c r="F316" s="162"/>
      <c r="G316" s="162"/>
      <c r="H316" s="162"/>
      <c r="I316" s="161"/>
    </row>
    <row r="317" spans="1:9" ht="9.9499999999999993" customHeight="1" x14ac:dyDescent="0.25">
      <c r="A317" s="164" t="s">
        <v>1071</v>
      </c>
      <c r="B317" s="121"/>
      <c r="C317" s="122"/>
      <c r="D317" s="122"/>
      <c r="E317" s="123">
        <f>ROUND(SUM(E316:E316),2)</f>
        <v>0.43</v>
      </c>
      <c r="F317" s="162"/>
      <c r="G317" s="162"/>
      <c r="H317" s="162"/>
      <c r="I317" s="161"/>
    </row>
    <row r="318" spans="1:9" ht="12" customHeight="1" x14ac:dyDescent="0.25">
      <c r="A318" s="452"/>
      <c r="B318" s="453"/>
      <c r="C318" s="453"/>
      <c r="D318" s="162"/>
      <c r="E318" s="162"/>
      <c r="F318" s="162"/>
      <c r="G318" s="162"/>
      <c r="H318" s="162"/>
      <c r="I318" s="161"/>
    </row>
    <row r="319" spans="1:9" ht="12" customHeight="1" x14ac:dyDescent="0.25">
      <c r="A319" s="461" t="s">
        <v>4294</v>
      </c>
      <c r="B319" s="462"/>
      <c r="C319" s="462"/>
      <c r="D319" s="458" t="str">
        <f>"TOTAL DA MEMÓRIA DE CÁLCULO: "&amp;TEXT(ROUND(SUM(E317),2),"0,00")</f>
        <v>TOTAL DA MEMÓRIA DE CÁLCULO: 0,43</v>
      </c>
      <c r="E319" s="458"/>
      <c r="F319" s="458"/>
      <c r="G319" s="458"/>
      <c r="H319" s="458"/>
      <c r="I319" s="161"/>
    </row>
    <row r="320" spans="1:9" ht="9.9499999999999993" customHeight="1" x14ac:dyDescent="0.25">
      <c r="A320" s="461"/>
      <c r="B320" s="462"/>
      <c r="C320" s="462"/>
      <c r="D320" s="162"/>
      <c r="E320" s="162"/>
      <c r="F320" s="162"/>
      <c r="G320" s="162"/>
      <c r="H320" s="162"/>
      <c r="I320" s="161"/>
    </row>
    <row r="321" spans="1:9" ht="20.100000000000001" customHeight="1" x14ac:dyDescent="0.25">
      <c r="A321" s="452"/>
      <c r="B321" s="453"/>
      <c r="C321" s="453"/>
      <c r="D321" s="453"/>
      <c r="E321" s="162"/>
      <c r="F321" s="162"/>
      <c r="G321" s="162"/>
      <c r="H321" s="162"/>
      <c r="I321" s="161"/>
    </row>
    <row r="322" spans="1:9" ht="15" customHeight="1" x14ac:dyDescent="0.25">
      <c r="A322" s="456" t="s">
        <v>1077</v>
      </c>
      <c r="B322" s="457"/>
      <c r="C322" s="457"/>
      <c r="D322" s="457"/>
      <c r="E322" s="457"/>
      <c r="F322" s="457"/>
      <c r="G322" s="457"/>
      <c r="H322" s="457"/>
      <c r="I322" s="161"/>
    </row>
    <row r="323" spans="1:9" ht="18.95" customHeight="1" x14ac:dyDescent="0.25">
      <c r="A323" s="450" t="s">
        <v>569</v>
      </c>
      <c r="B323" s="451"/>
      <c r="C323" s="119" t="s">
        <v>1078</v>
      </c>
      <c r="D323" s="119" t="s">
        <v>1059</v>
      </c>
      <c r="E323" s="119" t="s">
        <v>1006</v>
      </c>
      <c r="F323" s="119" t="s">
        <v>1024</v>
      </c>
      <c r="G323" s="119" t="s">
        <v>984</v>
      </c>
      <c r="H323" s="162"/>
      <c r="I323" s="161"/>
    </row>
    <row r="324" spans="1:9" ht="15" customHeight="1" x14ac:dyDescent="0.25">
      <c r="A324" s="163" t="s">
        <v>1079</v>
      </c>
      <c r="B324" s="120" t="s">
        <v>1080</v>
      </c>
      <c r="C324" s="227">
        <v>23</v>
      </c>
      <c r="D324" s="227">
        <v>1.5</v>
      </c>
      <c r="E324" s="227">
        <v>0.5</v>
      </c>
      <c r="F324" s="227">
        <v>0.5</v>
      </c>
      <c r="G324" s="228">
        <f>ROUND(C324*D324*E324*F324,2)</f>
        <v>8.6300000000000008</v>
      </c>
      <c r="H324" s="162"/>
      <c r="I324" s="161"/>
    </row>
    <row r="325" spans="1:9" ht="9.9499999999999993" customHeight="1" x14ac:dyDescent="0.25">
      <c r="A325" s="164" t="s">
        <v>569</v>
      </c>
      <c r="B325" s="121"/>
      <c r="C325" s="122"/>
      <c r="D325" s="122"/>
      <c r="E325" s="122"/>
      <c r="F325" s="122"/>
      <c r="G325" s="123">
        <f>ROUND(SUM(G324:G324),2)</f>
        <v>8.6300000000000008</v>
      </c>
      <c r="H325" s="162"/>
      <c r="I325" s="161"/>
    </row>
    <row r="326" spans="1:9" ht="12" customHeight="1" x14ac:dyDescent="0.25">
      <c r="A326" s="452"/>
      <c r="B326" s="453"/>
      <c r="C326" s="453"/>
      <c r="D326" s="162"/>
      <c r="E326" s="162"/>
      <c r="F326" s="162"/>
      <c r="G326" s="162"/>
      <c r="H326" s="162"/>
      <c r="I326" s="161"/>
    </row>
    <row r="327" spans="1:9" ht="12" customHeight="1" x14ac:dyDescent="0.25">
      <c r="A327" s="461" t="s">
        <v>4295</v>
      </c>
      <c r="B327" s="462"/>
      <c r="C327" s="462"/>
      <c r="D327" s="458" t="str">
        <f>"TOTAL DA MEMÓRIA DE CÁLCULO: "&amp;TEXT(ROUND(SUM(G325),2),"0,00")</f>
        <v>TOTAL DA MEMÓRIA DE CÁLCULO: 8,63</v>
      </c>
      <c r="E327" s="458"/>
      <c r="F327" s="458"/>
      <c r="G327" s="458"/>
      <c r="H327" s="458"/>
      <c r="I327" s="161"/>
    </row>
    <row r="328" spans="1:9" ht="9.9499999999999993" customHeight="1" x14ac:dyDescent="0.25">
      <c r="A328" s="461"/>
      <c r="B328" s="462"/>
      <c r="C328" s="462"/>
      <c r="D328" s="162"/>
      <c r="E328" s="162"/>
      <c r="F328" s="162"/>
      <c r="G328" s="162"/>
      <c r="H328" s="162"/>
      <c r="I328" s="161"/>
    </row>
    <row r="329" spans="1:9" ht="20.100000000000001" customHeight="1" x14ac:dyDescent="0.25">
      <c r="A329" s="452"/>
      <c r="B329" s="453"/>
      <c r="C329" s="453"/>
      <c r="D329" s="453"/>
      <c r="E329" s="162"/>
      <c r="F329" s="162"/>
      <c r="G329" s="162"/>
      <c r="H329" s="162"/>
      <c r="I329" s="161"/>
    </row>
    <row r="330" spans="1:9" ht="9.9499999999999993" customHeight="1" x14ac:dyDescent="0.25">
      <c r="A330" s="456" t="s">
        <v>1081</v>
      </c>
      <c r="B330" s="457"/>
      <c r="C330" s="457"/>
      <c r="D330" s="457"/>
      <c r="E330" s="457"/>
      <c r="F330" s="457"/>
      <c r="G330" s="457"/>
      <c r="H330" s="457"/>
      <c r="I330" s="161"/>
    </row>
    <row r="331" spans="1:9" ht="20.100000000000001" customHeight="1" x14ac:dyDescent="0.25">
      <c r="A331" s="452"/>
      <c r="B331" s="453"/>
      <c r="C331" s="453"/>
      <c r="D331" s="162"/>
      <c r="E331" s="162"/>
      <c r="F331" s="162"/>
      <c r="G331" s="162"/>
      <c r="H331" s="162"/>
      <c r="I331" s="161"/>
    </row>
    <row r="332" spans="1:9" ht="15" customHeight="1" x14ac:dyDescent="0.25">
      <c r="A332" s="456" t="s">
        <v>1082</v>
      </c>
      <c r="B332" s="457"/>
      <c r="C332" s="457"/>
      <c r="D332" s="457"/>
      <c r="E332" s="457"/>
      <c r="F332" s="457"/>
      <c r="G332" s="457"/>
      <c r="H332" s="457"/>
      <c r="I332" s="161"/>
    </row>
    <row r="333" spans="1:9" ht="18.95" customHeight="1" x14ac:dyDescent="0.25">
      <c r="A333" s="450" t="s">
        <v>1083</v>
      </c>
      <c r="B333" s="451"/>
      <c r="C333" s="119" t="s">
        <v>1007</v>
      </c>
      <c r="D333" s="119" t="s">
        <v>1024</v>
      </c>
      <c r="E333" s="119" t="s">
        <v>984</v>
      </c>
      <c r="F333" s="162"/>
      <c r="G333" s="162"/>
      <c r="H333" s="162"/>
      <c r="I333" s="161"/>
    </row>
    <row r="334" spans="1:9" ht="15" customHeight="1" x14ac:dyDescent="0.25">
      <c r="A334" s="163" t="s">
        <v>1084</v>
      </c>
      <c r="B334" s="120" t="s">
        <v>1046</v>
      </c>
      <c r="C334" s="227">
        <v>115.92</v>
      </c>
      <c r="D334" s="227">
        <v>0.08</v>
      </c>
      <c r="E334" s="228">
        <f>ROUND(C334*D334,2)</f>
        <v>9.27</v>
      </c>
      <c r="F334" s="162"/>
      <c r="G334" s="162"/>
      <c r="H334" s="162"/>
      <c r="I334" s="161"/>
    </row>
    <row r="335" spans="1:9" ht="9.9499999999999993" customHeight="1" x14ac:dyDescent="0.25">
      <c r="A335" s="164" t="s">
        <v>1083</v>
      </c>
      <c r="B335" s="121"/>
      <c r="C335" s="122"/>
      <c r="D335" s="122"/>
      <c r="E335" s="123">
        <f>ROUND(SUM(E334:E334),2)</f>
        <v>9.27</v>
      </c>
      <c r="F335" s="162"/>
      <c r="G335" s="162"/>
      <c r="H335" s="162"/>
      <c r="I335" s="161"/>
    </row>
    <row r="336" spans="1:9" ht="12" customHeight="1" x14ac:dyDescent="0.25">
      <c r="A336" s="452"/>
      <c r="B336" s="453"/>
      <c r="C336" s="453"/>
      <c r="D336" s="162"/>
      <c r="E336" s="162"/>
      <c r="F336" s="162"/>
      <c r="G336" s="162"/>
      <c r="H336" s="162"/>
      <c r="I336" s="161"/>
    </row>
    <row r="337" spans="1:9" ht="9.9499999999999993" customHeight="1" x14ac:dyDescent="0.25">
      <c r="A337" s="165"/>
      <c r="B337" s="162"/>
      <c r="C337" s="162"/>
      <c r="D337" s="458" t="str">
        <f>"TOTAL DA MEMÓRIA DE CÁLCULO: "&amp;TEXT(ROUND(SUM(E335),2),"0,00")</f>
        <v>TOTAL DA MEMÓRIA DE CÁLCULO: 9,27</v>
      </c>
      <c r="E337" s="458"/>
      <c r="F337" s="458"/>
      <c r="G337" s="458"/>
      <c r="H337" s="458"/>
      <c r="I337" s="161"/>
    </row>
    <row r="338" spans="1:9" ht="42.95" customHeight="1" x14ac:dyDescent="0.25">
      <c r="A338" s="452"/>
      <c r="B338" s="453"/>
      <c r="C338" s="453"/>
      <c r="D338" s="453"/>
      <c r="E338" s="162"/>
      <c r="F338" s="162"/>
      <c r="G338" s="162"/>
      <c r="H338" s="162"/>
      <c r="I338" s="161"/>
    </row>
    <row r="339" spans="1:9" ht="15" customHeight="1" x14ac:dyDescent="0.25">
      <c r="A339" s="456" t="s">
        <v>1085</v>
      </c>
      <c r="B339" s="457"/>
      <c r="C339" s="457"/>
      <c r="D339" s="457"/>
      <c r="E339" s="457"/>
      <c r="F339" s="457"/>
      <c r="G339" s="457"/>
      <c r="H339" s="457"/>
      <c r="I339" s="161"/>
    </row>
    <row r="340" spans="1:9" ht="12.95" customHeight="1" x14ac:dyDescent="0.25">
      <c r="A340" s="450" t="s">
        <v>1086</v>
      </c>
      <c r="B340" s="451"/>
      <c r="C340" s="119" t="s">
        <v>1087</v>
      </c>
      <c r="D340" s="119" t="s">
        <v>1025</v>
      </c>
      <c r="E340" s="119" t="s">
        <v>1088</v>
      </c>
      <c r="F340" s="119" t="s">
        <v>984</v>
      </c>
      <c r="G340" s="162"/>
      <c r="H340" s="162"/>
      <c r="I340" s="161"/>
    </row>
    <row r="341" spans="1:9" ht="15" customHeight="1" x14ac:dyDescent="0.25">
      <c r="A341" s="163" t="s">
        <v>1089</v>
      </c>
      <c r="B341" s="120" t="s">
        <v>1090</v>
      </c>
      <c r="C341" s="227">
        <v>9.27</v>
      </c>
      <c r="D341" s="227">
        <v>1.06</v>
      </c>
      <c r="E341" s="227">
        <v>1.7</v>
      </c>
      <c r="F341" s="228">
        <f>ROUND(C341*D341*E341,2)</f>
        <v>16.7</v>
      </c>
      <c r="G341" s="162"/>
      <c r="H341" s="162"/>
      <c r="I341" s="161"/>
    </row>
    <row r="342" spans="1:9" ht="9.9499999999999993" customHeight="1" x14ac:dyDescent="0.25">
      <c r="A342" s="164" t="s">
        <v>1086</v>
      </c>
      <c r="B342" s="121"/>
      <c r="C342" s="122"/>
      <c r="D342" s="122"/>
      <c r="E342" s="122"/>
      <c r="F342" s="123">
        <f>ROUND(SUM(F341:F341),2)</f>
        <v>16.7</v>
      </c>
      <c r="G342" s="162"/>
      <c r="H342" s="162"/>
      <c r="I342" s="161"/>
    </row>
    <row r="343" spans="1:9" ht="51" customHeight="1" x14ac:dyDescent="0.25">
      <c r="A343" s="452"/>
      <c r="B343" s="453"/>
      <c r="C343" s="453"/>
      <c r="D343" s="162"/>
      <c r="E343" s="162"/>
      <c r="F343" s="162"/>
      <c r="G343" s="162"/>
      <c r="H343" s="162"/>
      <c r="I343" s="161"/>
    </row>
    <row r="344" spans="1:9" ht="12" customHeight="1" x14ac:dyDescent="0.25">
      <c r="A344" s="461" t="s">
        <v>4296</v>
      </c>
      <c r="B344" s="462"/>
      <c r="C344" s="462"/>
      <c r="D344" s="458" t="str">
        <f>"TOTAL DA MEMÓRIA DE CÁLCULO: "&amp;TEXT(ROUND(SUM(F342),2),"0,00")</f>
        <v>TOTAL DA MEMÓRIA DE CÁLCULO: 16,70</v>
      </c>
      <c r="E344" s="458"/>
      <c r="F344" s="458"/>
      <c r="G344" s="458"/>
      <c r="H344" s="458"/>
      <c r="I344" s="161"/>
    </row>
    <row r="345" spans="1:9" ht="9.9499999999999993" customHeight="1" x14ac:dyDescent="0.25">
      <c r="A345" s="461"/>
      <c r="B345" s="462"/>
      <c r="C345" s="462"/>
      <c r="D345" s="162"/>
      <c r="E345" s="162"/>
      <c r="F345" s="162"/>
      <c r="G345" s="162"/>
      <c r="H345" s="162"/>
      <c r="I345" s="161"/>
    </row>
    <row r="346" spans="1:9" ht="30.95" customHeight="1" x14ac:dyDescent="0.25">
      <c r="A346" s="452"/>
      <c r="B346" s="453"/>
      <c r="C346" s="453"/>
      <c r="D346" s="453"/>
      <c r="E346" s="162"/>
      <c r="F346" s="162"/>
      <c r="G346" s="162"/>
      <c r="H346" s="162"/>
      <c r="I346" s="161"/>
    </row>
    <row r="347" spans="1:9" ht="15" customHeight="1" x14ac:dyDescent="0.25">
      <c r="A347" s="456" t="s">
        <v>1091</v>
      </c>
      <c r="B347" s="457"/>
      <c r="C347" s="457"/>
      <c r="D347" s="457"/>
      <c r="E347" s="457"/>
      <c r="F347" s="457"/>
      <c r="G347" s="457"/>
      <c r="H347" s="457"/>
      <c r="I347" s="161"/>
    </row>
    <row r="348" spans="1:9" ht="12.95" customHeight="1" x14ac:dyDescent="0.25">
      <c r="A348" s="450" t="s">
        <v>1086</v>
      </c>
      <c r="B348" s="451"/>
      <c r="C348" s="119" t="s">
        <v>1092</v>
      </c>
      <c r="D348" s="119" t="s">
        <v>1087</v>
      </c>
      <c r="E348" s="119" t="s">
        <v>1025</v>
      </c>
      <c r="F348" s="119" t="s">
        <v>1088</v>
      </c>
      <c r="G348" s="119" t="s">
        <v>984</v>
      </c>
      <c r="H348" s="162"/>
      <c r="I348" s="161"/>
    </row>
    <row r="349" spans="1:9" ht="15" customHeight="1" x14ac:dyDescent="0.25">
      <c r="A349" s="163" t="s">
        <v>1089</v>
      </c>
      <c r="B349" s="120" t="s">
        <v>1093</v>
      </c>
      <c r="C349" s="227">
        <v>19.2</v>
      </c>
      <c r="D349" s="227">
        <v>9.27</v>
      </c>
      <c r="E349" s="227">
        <v>1.06</v>
      </c>
      <c r="F349" s="227">
        <v>1.7</v>
      </c>
      <c r="G349" s="228">
        <f>ROUND(D349*E349*F349*C349,2)</f>
        <v>320.73</v>
      </c>
      <c r="H349" s="162"/>
      <c r="I349" s="161"/>
    </row>
    <row r="350" spans="1:9" ht="9.9499999999999993" customHeight="1" x14ac:dyDescent="0.25">
      <c r="A350" s="164" t="s">
        <v>1086</v>
      </c>
      <c r="B350" s="121"/>
      <c r="C350" s="122"/>
      <c r="D350" s="122"/>
      <c r="E350" s="122"/>
      <c r="F350" s="122"/>
      <c r="G350" s="123">
        <f>ROUND(SUM(G349:G349),2)</f>
        <v>320.73</v>
      </c>
      <c r="H350" s="162"/>
      <c r="I350" s="161"/>
    </row>
    <row r="351" spans="1:9" ht="12" customHeight="1" x14ac:dyDescent="0.25">
      <c r="A351" s="452"/>
      <c r="B351" s="453"/>
      <c r="C351" s="453"/>
      <c r="D351" s="162"/>
      <c r="E351" s="162"/>
      <c r="F351" s="162"/>
      <c r="G351" s="162"/>
      <c r="H351" s="162"/>
      <c r="I351" s="161"/>
    </row>
    <row r="352" spans="1:9" ht="12" customHeight="1" x14ac:dyDescent="0.25">
      <c r="A352" s="461" t="s">
        <v>4297</v>
      </c>
      <c r="B352" s="462"/>
      <c r="C352" s="462"/>
      <c r="D352" s="458" t="str">
        <f>"TOTAL DA MEMÓRIA DE CÁLCULO: "&amp;TEXT(ROUND(SUM(G350),2),"0,00")</f>
        <v>TOTAL DA MEMÓRIA DE CÁLCULO: 320,73</v>
      </c>
      <c r="E352" s="458"/>
      <c r="F352" s="458"/>
      <c r="G352" s="458"/>
      <c r="H352" s="458"/>
      <c r="I352" s="161"/>
    </row>
    <row r="353" spans="1:9" ht="9.9499999999999993" customHeight="1" x14ac:dyDescent="0.25">
      <c r="A353" s="461"/>
      <c r="B353" s="462"/>
      <c r="C353" s="462"/>
      <c r="D353" s="162"/>
      <c r="E353" s="162"/>
      <c r="F353" s="162"/>
      <c r="G353" s="162"/>
      <c r="H353" s="162"/>
      <c r="I353" s="161"/>
    </row>
    <row r="354" spans="1:9" ht="20.100000000000001" customHeight="1" x14ac:dyDescent="0.25">
      <c r="A354" s="452"/>
      <c r="B354" s="453"/>
      <c r="C354" s="453"/>
      <c r="D354" s="453"/>
      <c r="E354" s="162"/>
      <c r="F354" s="162"/>
      <c r="G354" s="162"/>
      <c r="H354" s="162"/>
      <c r="I354" s="161"/>
    </row>
    <row r="355" spans="1:9" ht="9.9499999999999993" customHeight="1" x14ac:dyDescent="0.25">
      <c r="A355" s="456" t="s">
        <v>1094</v>
      </c>
      <c r="B355" s="457"/>
      <c r="C355" s="457"/>
      <c r="D355" s="457"/>
      <c r="E355" s="457"/>
      <c r="F355" s="457"/>
      <c r="G355" s="457"/>
      <c r="H355" s="457"/>
      <c r="I355" s="161"/>
    </row>
    <row r="356" spans="1:9" ht="20.100000000000001" customHeight="1" x14ac:dyDescent="0.25">
      <c r="A356" s="452"/>
      <c r="B356" s="453"/>
      <c r="C356" s="453"/>
      <c r="D356" s="162"/>
      <c r="E356" s="162"/>
      <c r="F356" s="162"/>
      <c r="G356" s="162"/>
      <c r="H356" s="162"/>
      <c r="I356" s="161"/>
    </row>
    <row r="357" spans="1:9" ht="9.9499999999999993" customHeight="1" x14ac:dyDescent="0.25">
      <c r="A357" s="456" t="s">
        <v>1095</v>
      </c>
      <c r="B357" s="457"/>
      <c r="C357" s="457"/>
      <c r="D357" s="457"/>
      <c r="E357" s="457"/>
      <c r="F357" s="457"/>
      <c r="G357" s="457"/>
      <c r="H357" s="457"/>
      <c r="I357" s="161"/>
    </row>
    <row r="358" spans="1:9" ht="66.95" customHeight="1" x14ac:dyDescent="0.25">
      <c r="A358" s="452"/>
      <c r="B358" s="453"/>
      <c r="C358" s="453"/>
      <c r="D358" s="162"/>
      <c r="E358" s="162"/>
      <c r="F358" s="162"/>
      <c r="G358" s="162"/>
      <c r="H358" s="162"/>
      <c r="I358" s="161"/>
    </row>
    <row r="359" spans="1:9" ht="15" customHeight="1" x14ac:dyDescent="0.25">
      <c r="A359" s="456" t="s">
        <v>1096</v>
      </c>
      <c r="B359" s="457"/>
      <c r="C359" s="457"/>
      <c r="D359" s="457"/>
      <c r="E359" s="457"/>
      <c r="F359" s="457"/>
      <c r="G359" s="457"/>
      <c r="H359" s="457"/>
      <c r="I359" s="161"/>
    </row>
    <row r="360" spans="1:9" ht="12.95" customHeight="1" x14ac:dyDescent="0.25">
      <c r="A360" s="450" t="s">
        <v>1097</v>
      </c>
      <c r="B360" s="451"/>
      <c r="C360" s="119" t="s">
        <v>1059</v>
      </c>
      <c r="D360" s="119" t="s">
        <v>1006</v>
      </c>
      <c r="E360" s="119" t="s">
        <v>984</v>
      </c>
      <c r="F360" s="162"/>
      <c r="G360" s="162"/>
      <c r="H360" s="162"/>
      <c r="I360" s="161"/>
    </row>
    <row r="361" spans="1:9" ht="12.95" customHeight="1" x14ac:dyDescent="0.25">
      <c r="A361" s="163" t="s">
        <v>1098</v>
      </c>
      <c r="B361" s="120" t="s">
        <v>1099</v>
      </c>
      <c r="C361" s="227">
        <v>0.9</v>
      </c>
      <c r="D361" s="227">
        <v>3</v>
      </c>
      <c r="E361" s="228">
        <f>ROUND(C361*D361,2)</f>
        <v>2.7</v>
      </c>
      <c r="F361" s="162"/>
      <c r="G361" s="162"/>
      <c r="H361" s="162"/>
      <c r="I361" s="161"/>
    </row>
    <row r="362" spans="1:9" ht="12.95" customHeight="1" x14ac:dyDescent="0.25">
      <c r="A362" s="163" t="s">
        <v>1098</v>
      </c>
      <c r="B362" s="120" t="s">
        <v>1099</v>
      </c>
      <c r="C362" s="227">
        <v>0.9</v>
      </c>
      <c r="D362" s="227">
        <v>0.9</v>
      </c>
      <c r="E362" s="228">
        <f>ROUND(C362*D362,2)</f>
        <v>0.81</v>
      </c>
      <c r="F362" s="162"/>
      <c r="G362" s="162"/>
      <c r="H362" s="162"/>
      <c r="I362" s="161"/>
    </row>
    <row r="363" spans="1:9" ht="12.95" customHeight="1" x14ac:dyDescent="0.25">
      <c r="A363" s="163" t="s">
        <v>1100</v>
      </c>
      <c r="B363" s="120" t="s">
        <v>1099</v>
      </c>
      <c r="C363" s="227">
        <v>2.44</v>
      </c>
      <c r="D363" s="227">
        <v>3</v>
      </c>
      <c r="E363" s="228">
        <f>ROUND(C363*D363,2)</f>
        <v>7.32</v>
      </c>
      <c r="F363" s="162"/>
      <c r="G363" s="162"/>
      <c r="H363" s="162"/>
      <c r="I363" s="161"/>
    </row>
    <row r="364" spans="1:9" ht="15" customHeight="1" x14ac:dyDescent="0.25">
      <c r="A364" s="163" t="s">
        <v>1100</v>
      </c>
      <c r="B364" s="120" t="s">
        <v>1099</v>
      </c>
      <c r="C364" s="227">
        <v>0.8</v>
      </c>
      <c r="D364" s="227">
        <v>0.9</v>
      </c>
      <c r="E364" s="228">
        <f>ROUND(C364*D364,2)</f>
        <v>0.72</v>
      </c>
      <c r="F364" s="162"/>
      <c r="G364" s="162"/>
      <c r="H364" s="162"/>
      <c r="I364" s="161"/>
    </row>
    <row r="365" spans="1:9" ht="9.9499999999999993" customHeight="1" x14ac:dyDescent="0.25">
      <c r="A365" s="164" t="s">
        <v>1097</v>
      </c>
      <c r="B365" s="121"/>
      <c r="C365" s="122"/>
      <c r="D365" s="122"/>
      <c r="E365" s="123">
        <f>ROUND(SUM(E361:E364),2)</f>
        <v>11.55</v>
      </c>
      <c r="F365" s="162"/>
      <c r="G365" s="162"/>
      <c r="H365" s="162"/>
      <c r="I365" s="161"/>
    </row>
    <row r="366" spans="1:9" ht="12" customHeight="1" x14ac:dyDescent="0.25">
      <c r="A366" s="452"/>
      <c r="B366" s="453"/>
      <c r="C366" s="453"/>
      <c r="D366" s="162"/>
      <c r="E366" s="162"/>
      <c r="F366" s="162"/>
      <c r="G366" s="162"/>
      <c r="H366" s="162"/>
      <c r="I366" s="161"/>
    </row>
    <row r="367" spans="1:9" ht="9.9499999999999993" customHeight="1" x14ac:dyDescent="0.25">
      <c r="A367" s="165"/>
      <c r="B367" s="162"/>
      <c r="C367" s="162"/>
      <c r="D367" s="458" t="str">
        <f>"TOTAL DA MEMÓRIA DE CÁLCULO: "&amp;TEXT(ROUND(SUM(E365),2),"0,00")</f>
        <v>TOTAL DA MEMÓRIA DE CÁLCULO: 11,55</v>
      </c>
      <c r="E367" s="458"/>
      <c r="F367" s="458"/>
      <c r="G367" s="458"/>
      <c r="H367" s="458"/>
      <c r="I367" s="161"/>
    </row>
    <row r="368" spans="1:9" ht="30.95" customHeight="1" x14ac:dyDescent="0.25">
      <c r="A368" s="452"/>
      <c r="B368" s="453"/>
      <c r="C368" s="453"/>
      <c r="D368" s="453"/>
      <c r="E368" s="162"/>
      <c r="F368" s="162"/>
      <c r="G368" s="162"/>
      <c r="H368" s="162"/>
      <c r="I368" s="161"/>
    </row>
    <row r="369" spans="1:9" ht="15" customHeight="1" x14ac:dyDescent="0.25">
      <c r="A369" s="456" t="s">
        <v>1101</v>
      </c>
      <c r="B369" s="457"/>
      <c r="C369" s="457"/>
      <c r="D369" s="457"/>
      <c r="E369" s="457"/>
      <c r="F369" s="457"/>
      <c r="G369" s="457"/>
      <c r="H369" s="457"/>
      <c r="I369" s="161"/>
    </row>
    <row r="370" spans="1:9" ht="12.95" customHeight="1" x14ac:dyDescent="0.25">
      <c r="A370" s="450" t="s">
        <v>1097</v>
      </c>
      <c r="B370" s="451"/>
      <c r="C370" s="119" t="s">
        <v>1059</v>
      </c>
      <c r="D370" s="119" t="s">
        <v>1006</v>
      </c>
      <c r="E370" s="119" t="s">
        <v>984</v>
      </c>
      <c r="F370" s="162"/>
      <c r="G370" s="162"/>
      <c r="H370" s="162"/>
      <c r="I370" s="161"/>
    </row>
    <row r="371" spans="1:9" ht="15" customHeight="1" x14ac:dyDescent="0.25">
      <c r="A371" s="163" t="s">
        <v>1097</v>
      </c>
      <c r="B371" s="120" t="s">
        <v>1099</v>
      </c>
      <c r="C371" s="227">
        <v>3.21</v>
      </c>
      <c r="D371" s="227">
        <v>3</v>
      </c>
      <c r="E371" s="228">
        <f>ROUND(C371*D371,2)</f>
        <v>9.6300000000000008</v>
      </c>
      <c r="F371" s="162"/>
      <c r="G371" s="162"/>
      <c r="H371" s="162"/>
      <c r="I371" s="161"/>
    </row>
    <row r="372" spans="1:9" ht="9.9499999999999993" customHeight="1" x14ac:dyDescent="0.25">
      <c r="A372" s="164" t="s">
        <v>1097</v>
      </c>
      <c r="B372" s="121"/>
      <c r="C372" s="122"/>
      <c r="D372" s="122"/>
      <c r="E372" s="123">
        <f>ROUND(SUM(E371:E371),2)</f>
        <v>9.6300000000000008</v>
      </c>
      <c r="F372" s="162"/>
      <c r="G372" s="162"/>
      <c r="H372" s="162"/>
      <c r="I372" s="161"/>
    </row>
    <row r="373" spans="1:9" ht="15" customHeight="1" x14ac:dyDescent="0.25">
      <c r="A373" s="452"/>
      <c r="B373" s="453"/>
      <c r="C373" s="453"/>
      <c r="D373" s="162"/>
      <c r="E373" s="162"/>
      <c r="F373" s="162"/>
      <c r="G373" s="162"/>
      <c r="H373" s="162"/>
      <c r="I373" s="161"/>
    </row>
    <row r="374" spans="1:9" ht="18.95" customHeight="1" x14ac:dyDescent="0.25">
      <c r="A374" s="450" t="s">
        <v>1083</v>
      </c>
      <c r="B374" s="451"/>
      <c r="C374" s="119" t="s">
        <v>1059</v>
      </c>
      <c r="D374" s="119" t="s">
        <v>1024</v>
      </c>
      <c r="E374" s="119" t="s">
        <v>984</v>
      </c>
      <c r="F374" s="162"/>
      <c r="G374" s="162"/>
      <c r="H374" s="162"/>
      <c r="I374" s="161"/>
    </row>
    <row r="375" spans="1:9" ht="18.95" customHeight="1" x14ac:dyDescent="0.25">
      <c r="A375" s="163" t="s">
        <v>1102</v>
      </c>
      <c r="B375" s="120" t="s">
        <v>1103</v>
      </c>
      <c r="C375" s="227">
        <v>23.4</v>
      </c>
      <c r="D375" s="227">
        <v>0.7</v>
      </c>
      <c r="E375" s="228">
        <f>ROUND(C375*2*D375,2)</f>
        <v>32.76</v>
      </c>
      <c r="F375" s="162"/>
      <c r="G375" s="162"/>
      <c r="H375" s="162"/>
      <c r="I375" s="161"/>
    </row>
    <row r="376" spans="1:9" ht="15" customHeight="1" x14ac:dyDescent="0.25">
      <c r="A376" s="163" t="s">
        <v>1104</v>
      </c>
      <c r="B376" s="120" t="s">
        <v>1105</v>
      </c>
      <c r="C376" s="227">
        <v>6.6</v>
      </c>
      <c r="D376" s="227">
        <v>0.5</v>
      </c>
      <c r="E376" s="228">
        <f>ROUND(C376*D376*2,2)</f>
        <v>6.6</v>
      </c>
      <c r="F376" s="162"/>
      <c r="G376" s="162"/>
      <c r="H376" s="162"/>
      <c r="I376" s="161"/>
    </row>
    <row r="377" spans="1:9" ht="9.9499999999999993" customHeight="1" x14ac:dyDescent="0.25">
      <c r="A377" s="164" t="s">
        <v>1083</v>
      </c>
      <c r="B377" s="121"/>
      <c r="C377" s="122"/>
      <c r="D377" s="122"/>
      <c r="E377" s="123">
        <f>ROUND(SUM(E375:E376),2)</f>
        <v>39.36</v>
      </c>
      <c r="F377" s="162"/>
      <c r="G377" s="162"/>
      <c r="H377" s="162"/>
      <c r="I377" s="161"/>
    </row>
    <row r="378" spans="1:9" ht="12" customHeight="1" x14ac:dyDescent="0.25">
      <c r="A378" s="452"/>
      <c r="B378" s="453"/>
      <c r="C378" s="453"/>
      <c r="D378" s="162"/>
      <c r="E378" s="162"/>
      <c r="F378" s="162"/>
      <c r="G378" s="162"/>
      <c r="H378" s="162"/>
      <c r="I378" s="161"/>
    </row>
    <row r="379" spans="1:9" ht="9.9499999999999993" customHeight="1" x14ac:dyDescent="0.25">
      <c r="A379" s="165"/>
      <c r="B379" s="162"/>
      <c r="C379" s="162"/>
      <c r="D379" s="458" t="str">
        <f>"TOTAL DA MEMÓRIA DE CÁLCULO: "&amp;TEXT(ROUND(SUM(E372,E377),2),"0,00")</f>
        <v>TOTAL DA MEMÓRIA DE CÁLCULO: 48,99</v>
      </c>
      <c r="E379" s="458"/>
      <c r="F379" s="458"/>
      <c r="G379" s="458"/>
      <c r="H379" s="458"/>
      <c r="I379" s="161"/>
    </row>
    <row r="380" spans="1:9" ht="54.95" customHeight="1" x14ac:dyDescent="0.25">
      <c r="A380" s="452"/>
      <c r="B380" s="453"/>
      <c r="C380" s="453"/>
      <c r="D380" s="453"/>
      <c r="E380" s="162"/>
      <c r="F380" s="162"/>
      <c r="G380" s="162"/>
      <c r="H380" s="162"/>
      <c r="I380" s="161"/>
    </row>
    <row r="381" spans="1:9" ht="15" customHeight="1" x14ac:dyDescent="0.25">
      <c r="A381" s="456" t="s">
        <v>1106</v>
      </c>
      <c r="B381" s="457"/>
      <c r="C381" s="457"/>
      <c r="D381" s="457"/>
      <c r="E381" s="457"/>
      <c r="F381" s="457"/>
      <c r="G381" s="457"/>
      <c r="H381" s="457"/>
      <c r="I381" s="161"/>
    </row>
    <row r="382" spans="1:9" ht="18.95" customHeight="1" x14ac:dyDescent="0.25">
      <c r="A382" s="450" t="s">
        <v>1083</v>
      </c>
      <c r="B382" s="451"/>
      <c r="C382" s="119" t="s">
        <v>1059</v>
      </c>
      <c r="D382" s="119" t="s">
        <v>1024</v>
      </c>
      <c r="E382" s="119" t="s">
        <v>984</v>
      </c>
      <c r="F382" s="162"/>
      <c r="G382" s="162"/>
      <c r="H382" s="162"/>
      <c r="I382" s="161"/>
    </row>
    <row r="383" spans="1:9" ht="18.95" customHeight="1" x14ac:dyDescent="0.25">
      <c r="A383" s="163" t="s">
        <v>1102</v>
      </c>
      <c r="B383" s="120" t="s">
        <v>1103</v>
      </c>
      <c r="C383" s="227">
        <v>23.4</v>
      </c>
      <c r="D383" s="227">
        <v>0.7</v>
      </c>
      <c r="E383" s="228">
        <f>ROUND(C383*2*D383,2)</f>
        <v>32.76</v>
      </c>
      <c r="F383" s="162"/>
      <c r="G383" s="162"/>
      <c r="H383" s="162"/>
      <c r="I383" s="161"/>
    </row>
    <row r="384" spans="1:9" ht="15" customHeight="1" x14ac:dyDescent="0.25">
      <c r="A384" s="163" t="s">
        <v>1104</v>
      </c>
      <c r="B384" s="120" t="s">
        <v>1107</v>
      </c>
      <c r="C384" s="227">
        <v>6.6</v>
      </c>
      <c r="D384" s="227">
        <v>0.5</v>
      </c>
      <c r="E384" s="228">
        <f>ROUND(C384*D384,2)</f>
        <v>3.3</v>
      </c>
      <c r="F384" s="162"/>
      <c r="G384" s="162"/>
      <c r="H384" s="162"/>
      <c r="I384" s="161"/>
    </row>
    <row r="385" spans="1:9" ht="9.9499999999999993" customHeight="1" x14ac:dyDescent="0.25">
      <c r="A385" s="164" t="s">
        <v>1083</v>
      </c>
      <c r="B385" s="121"/>
      <c r="C385" s="122"/>
      <c r="D385" s="122"/>
      <c r="E385" s="123">
        <f>ROUND(SUM(E383:E384),2)</f>
        <v>36.06</v>
      </c>
      <c r="F385" s="162"/>
      <c r="G385" s="162"/>
      <c r="H385" s="162"/>
      <c r="I385" s="161"/>
    </row>
    <row r="386" spans="1:9" ht="12" customHeight="1" x14ac:dyDescent="0.25">
      <c r="A386" s="452"/>
      <c r="B386" s="453"/>
      <c r="C386" s="453"/>
      <c r="D386" s="162"/>
      <c r="E386" s="162"/>
      <c r="F386" s="162"/>
      <c r="G386" s="162"/>
      <c r="H386" s="162"/>
      <c r="I386" s="161"/>
    </row>
    <row r="387" spans="1:9" ht="12" customHeight="1" x14ac:dyDescent="0.25">
      <c r="A387" s="461" t="s">
        <v>4298</v>
      </c>
      <c r="B387" s="462"/>
      <c r="C387" s="462"/>
      <c r="D387" s="458" t="str">
        <f>"TOTAL DA MEMÓRIA DE CÁLCULO: "&amp;TEXT(ROUND(SUM(E385),2),"0,00")</f>
        <v>TOTAL DA MEMÓRIA DE CÁLCULO: 36,06</v>
      </c>
      <c r="E387" s="458"/>
      <c r="F387" s="458"/>
      <c r="G387" s="458"/>
      <c r="H387" s="458"/>
      <c r="I387" s="161"/>
    </row>
    <row r="388" spans="1:9" ht="9.9499999999999993" customHeight="1" x14ac:dyDescent="0.25">
      <c r="A388" s="461"/>
      <c r="B388" s="462"/>
      <c r="C388" s="462"/>
      <c r="D388" s="162"/>
      <c r="E388" s="162"/>
      <c r="F388" s="162"/>
      <c r="G388" s="162"/>
      <c r="H388" s="162"/>
      <c r="I388" s="161"/>
    </row>
    <row r="389" spans="1:9" ht="20.100000000000001" customHeight="1" x14ac:dyDescent="0.25">
      <c r="A389" s="452"/>
      <c r="B389" s="453"/>
      <c r="C389" s="453"/>
      <c r="D389" s="453"/>
      <c r="E389" s="162"/>
      <c r="F389" s="162"/>
      <c r="G389" s="162"/>
      <c r="H389" s="162"/>
      <c r="I389" s="161"/>
    </row>
    <row r="390" spans="1:9" ht="9.9499999999999993" customHeight="1" x14ac:dyDescent="0.25">
      <c r="A390" s="456" t="s">
        <v>1108</v>
      </c>
      <c r="B390" s="457"/>
      <c r="C390" s="457"/>
      <c r="D390" s="457"/>
      <c r="E390" s="457"/>
      <c r="F390" s="457"/>
      <c r="G390" s="457"/>
      <c r="H390" s="457"/>
      <c r="I390" s="161"/>
    </row>
    <row r="391" spans="1:9" ht="30.95" customHeight="1" x14ac:dyDescent="0.25">
      <c r="A391" s="452"/>
      <c r="B391" s="453"/>
      <c r="C391" s="453"/>
      <c r="D391" s="162"/>
      <c r="E391" s="162"/>
      <c r="F391" s="162"/>
      <c r="G391" s="162"/>
      <c r="H391" s="162"/>
      <c r="I391" s="161"/>
    </row>
    <row r="392" spans="1:9" ht="15" customHeight="1" x14ac:dyDescent="0.25">
      <c r="A392" s="456" t="s">
        <v>1109</v>
      </c>
      <c r="B392" s="457"/>
      <c r="C392" s="457"/>
      <c r="D392" s="457"/>
      <c r="E392" s="457"/>
      <c r="F392" s="457"/>
      <c r="G392" s="457"/>
      <c r="H392" s="457"/>
      <c r="I392" s="161"/>
    </row>
    <row r="393" spans="1:9" ht="12.95" customHeight="1" x14ac:dyDescent="0.25">
      <c r="A393" s="450" t="s">
        <v>1110</v>
      </c>
      <c r="B393" s="451"/>
      <c r="C393" s="119" t="s">
        <v>1059</v>
      </c>
      <c r="D393" s="119" t="s">
        <v>1024</v>
      </c>
      <c r="E393" s="119" t="s">
        <v>984</v>
      </c>
      <c r="F393" s="162"/>
      <c r="G393" s="162"/>
      <c r="H393" s="162"/>
      <c r="I393" s="161"/>
    </row>
    <row r="394" spans="1:9" ht="12.95" customHeight="1" x14ac:dyDescent="0.25">
      <c r="A394" s="163" t="s">
        <v>1012</v>
      </c>
      <c r="B394" s="120" t="s">
        <v>1107</v>
      </c>
      <c r="C394" s="227">
        <v>10.4</v>
      </c>
      <c r="D394" s="227">
        <v>3</v>
      </c>
      <c r="E394" s="228">
        <f>ROUND(C394*D394,2)</f>
        <v>31.2</v>
      </c>
      <c r="F394" s="162"/>
      <c r="G394" s="162"/>
      <c r="H394" s="162"/>
      <c r="I394" s="161"/>
    </row>
    <row r="395" spans="1:9" ht="12.95" customHeight="1" x14ac:dyDescent="0.25">
      <c r="A395" s="163" t="s">
        <v>1111</v>
      </c>
      <c r="B395" s="120" t="s">
        <v>1112</v>
      </c>
      <c r="C395" s="227">
        <v>0.8</v>
      </c>
      <c r="D395" s="227">
        <v>0.9</v>
      </c>
      <c r="E395" s="228">
        <f>ROUND(-C395*D395,2)</f>
        <v>-0.72</v>
      </c>
      <c r="F395" s="162"/>
      <c r="G395" s="162"/>
      <c r="H395" s="162"/>
      <c r="I395" s="161"/>
    </row>
    <row r="396" spans="1:9" ht="15" customHeight="1" x14ac:dyDescent="0.25">
      <c r="A396" s="163" t="s">
        <v>1113</v>
      </c>
      <c r="B396" s="120" t="s">
        <v>1112</v>
      </c>
      <c r="C396" s="227">
        <v>1.4</v>
      </c>
      <c r="D396" s="227">
        <v>1.55</v>
      </c>
      <c r="E396" s="228">
        <f>ROUND(-C396*D396,2)</f>
        <v>-2.17</v>
      </c>
      <c r="F396" s="162"/>
      <c r="G396" s="162"/>
      <c r="H396" s="162"/>
      <c r="I396" s="161"/>
    </row>
    <row r="397" spans="1:9" ht="9.9499999999999993" customHeight="1" x14ac:dyDescent="0.25">
      <c r="A397" s="164" t="s">
        <v>1110</v>
      </c>
      <c r="B397" s="121"/>
      <c r="C397" s="122"/>
      <c r="D397" s="122"/>
      <c r="E397" s="123">
        <f>ROUND(SUM(E394:E396),2)</f>
        <v>28.31</v>
      </c>
      <c r="F397" s="162"/>
      <c r="G397" s="162"/>
      <c r="H397" s="162"/>
      <c r="I397" s="161"/>
    </row>
    <row r="398" spans="1:9" ht="15" customHeight="1" x14ac:dyDescent="0.25">
      <c r="A398" s="452"/>
      <c r="B398" s="453"/>
      <c r="C398" s="453"/>
      <c r="D398" s="162"/>
      <c r="E398" s="162"/>
      <c r="F398" s="162"/>
      <c r="G398" s="162"/>
      <c r="H398" s="162"/>
      <c r="I398" s="161"/>
    </row>
    <row r="399" spans="1:9" ht="12.95" customHeight="1" x14ac:dyDescent="0.25">
      <c r="A399" s="450" t="s">
        <v>1114</v>
      </c>
      <c r="B399" s="451"/>
      <c r="C399" s="119" t="s">
        <v>1059</v>
      </c>
      <c r="D399" s="119" t="s">
        <v>1024</v>
      </c>
      <c r="E399" s="119" t="s">
        <v>984</v>
      </c>
      <c r="F399" s="162"/>
      <c r="G399" s="162"/>
      <c r="H399" s="162"/>
      <c r="I399" s="161"/>
    </row>
    <row r="400" spans="1:9" ht="12.95" customHeight="1" x14ac:dyDescent="0.25">
      <c r="A400" s="163" t="s">
        <v>1012</v>
      </c>
      <c r="B400" s="120" t="s">
        <v>1107</v>
      </c>
      <c r="C400" s="227">
        <v>12.43</v>
      </c>
      <c r="D400" s="227">
        <v>3</v>
      </c>
      <c r="E400" s="228">
        <f>ROUND(C400*D400,2)</f>
        <v>37.29</v>
      </c>
      <c r="F400" s="162"/>
      <c r="G400" s="162"/>
      <c r="H400" s="162"/>
      <c r="I400" s="161"/>
    </row>
    <row r="401" spans="1:9" ht="12.95" customHeight="1" x14ac:dyDescent="0.25">
      <c r="A401" s="163" t="s">
        <v>1111</v>
      </c>
      <c r="B401" s="120" t="s">
        <v>1112</v>
      </c>
      <c r="C401" s="227">
        <v>0.7</v>
      </c>
      <c r="D401" s="227">
        <v>0.9</v>
      </c>
      <c r="E401" s="228">
        <f>ROUND(-C401*D401,2)</f>
        <v>-0.63</v>
      </c>
      <c r="F401" s="162"/>
      <c r="G401" s="162"/>
      <c r="H401" s="162"/>
      <c r="I401" s="161"/>
    </row>
    <row r="402" spans="1:9" ht="15" customHeight="1" x14ac:dyDescent="0.25">
      <c r="A402" s="163" t="s">
        <v>1113</v>
      </c>
      <c r="B402" s="120" t="s">
        <v>1112</v>
      </c>
      <c r="C402" s="227">
        <v>1.05</v>
      </c>
      <c r="D402" s="227">
        <v>1.55</v>
      </c>
      <c r="E402" s="228">
        <f>ROUND(-C402*D402,2)</f>
        <v>-1.63</v>
      </c>
      <c r="F402" s="162"/>
      <c r="G402" s="162"/>
      <c r="H402" s="162"/>
      <c r="I402" s="161"/>
    </row>
    <row r="403" spans="1:9" ht="9.9499999999999993" customHeight="1" x14ac:dyDescent="0.25">
      <c r="A403" s="164" t="s">
        <v>1114</v>
      </c>
      <c r="B403" s="121"/>
      <c r="C403" s="122"/>
      <c r="D403" s="122"/>
      <c r="E403" s="123">
        <f>ROUND(SUM(E400:E402),2)</f>
        <v>35.03</v>
      </c>
      <c r="F403" s="162"/>
      <c r="G403" s="162"/>
      <c r="H403" s="162"/>
      <c r="I403" s="161"/>
    </row>
    <row r="404" spans="1:9" ht="15" customHeight="1" x14ac:dyDescent="0.25">
      <c r="A404" s="452"/>
      <c r="B404" s="453"/>
      <c r="C404" s="453"/>
      <c r="D404" s="162"/>
      <c r="E404" s="162"/>
      <c r="F404" s="162"/>
      <c r="G404" s="162"/>
      <c r="H404" s="162"/>
      <c r="I404" s="161"/>
    </row>
    <row r="405" spans="1:9" ht="12.95" customHeight="1" x14ac:dyDescent="0.25">
      <c r="A405" s="450" t="s">
        <v>1115</v>
      </c>
      <c r="B405" s="451"/>
      <c r="C405" s="119" t="s">
        <v>1059</v>
      </c>
      <c r="D405" s="119" t="s">
        <v>1024</v>
      </c>
      <c r="E405" s="119" t="s">
        <v>984</v>
      </c>
      <c r="F405" s="162"/>
      <c r="G405" s="162"/>
      <c r="H405" s="162"/>
      <c r="I405" s="161"/>
    </row>
    <row r="406" spans="1:9" ht="12.95" customHeight="1" x14ac:dyDescent="0.25">
      <c r="A406" s="163" t="s">
        <v>1012</v>
      </c>
      <c r="B406" s="120" t="s">
        <v>1107</v>
      </c>
      <c r="C406" s="227">
        <v>13.29</v>
      </c>
      <c r="D406" s="227">
        <v>3</v>
      </c>
      <c r="E406" s="228">
        <f>ROUND(C406*D406,2)</f>
        <v>39.869999999999997</v>
      </c>
      <c r="F406" s="162"/>
      <c r="G406" s="162"/>
      <c r="H406" s="162"/>
      <c r="I406" s="161"/>
    </row>
    <row r="407" spans="1:9" ht="15" customHeight="1" x14ac:dyDescent="0.25">
      <c r="A407" s="163" t="s">
        <v>1111</v>
      </c>
      <c r="B407" s="120" t="s">
        <v>1112</v>
      </c>
      <c r="C407" s="227">
        <v>3.2</v>
      </c>
      <c r="D407" s="227">
        <v>0.9</v>
      </c>
      <c r="E407" s="228">
        <f>ROUND(-C407*D407,2)</f>
        <v>-2.88</v>
      </c>
      <c r="F407" s="162"/>
      <c r="G407" s="162"/>
      <c r="H407" s="162"/>
      <c r="I407" s="161"/>
    </row>
    <row r="408" spans="1:9" ht="9.9499999999999993" customHeight="1" x14ac:dyDescent="0.25">
      <c r="A408" s="164" t="s">
        <v>1115</v>
      </c>
      <c r="B408" s="121"/>
      <c r="C408" s="122"/>
      <c r="D408" s="122"/>
      <c r="E408" s="123">
        <f>ROUND(SUM(E406:E407),2)</f>
        <v>36.99</v>
      </c>
      <c r="F408" s="162"/>
      <c r="G408" s="162"/>
      <c r="H408" s="162"/>
      <c r="I408" s="161"/>
    </row>
    <row r="409" spans="1:9" ht="15" customHeight="1" x14ac:dyDescent="0.25">
      <c r="A409" s="452"/>
      <c r="B409" s="453"/>
      <c r="C409" s="453"/>
      <c r="D409" s="162"/>
      <c r="E409" s="162"/>
      <c r="F409" s="162"/>
      <c r="G409" s="162"/>
      <c r="H409" s="162"/>
      <c r="I409" s="161"/>
    </row>
    <row r="410" spans="1:9" ht="12.95" customHeight="1" x14ac:dyDescent="0.25">
      <c r="A410" s="450" t="s">
        <v>1116</v>
      </c>
      <c r="B410" s="451"/>
      <c r="C410" s="119" t="s">
        <v>1059</v>
      </c>
      <c r="D410" s="119" t="s">
        <v>1024</v>
      </c>
      <c r="E410" s="119" t="s">
        <v>984</v>
      </c>
      <c r="F410" s="162"/>
      <c r="G410" s="162"/>
      <c r="H410" s="162"/>
      <c r="I410" s="161"/>
    </row>
    <row r="411" spans="1:9" ht="12.95" customHeight="1" x14ac:dyDescent="0.25">
      <c r="A411" s="163" t="s">
        <v>1012</v>
      </c>
      <c r="B411" s="120" t="s">
        <v>1107</v>
      </c>
      <c r="C411" s="227">
        <v>11.93</v>
      </c>
      <c r="D411" s="227">
        <v>3</v>
      </c>
      <c r="E411" s="228">
        <f>ROUND(C411*D411,2)</f>
        <v>35.79</v>
      </c>
      <c r="F411" s="162"/>
      <c r="G411" s="162"/>
      <c r="H411" s="162"/>
      <c r="I411" s="161"/>
    </row>
    <row r="412" spans="1:9" ht="18.95" customHeight="1" x14ac:dyDescent="0.25">
      <c r="A412" s="163" t="s">
        <v>1111</v>
      </c>
      <c r="B412" s="120" t="s">
        <v>1112</v>
      </c>
      <c r="C412" s="227">
        <v>1.45</v>
      </c>
      <c r="D412" s="227">
        <v>0.9</v>
      </c>
      <c r="E412" s="228">
        <f>ROUND(-C412*D412,2)</f>
        <v>-1.31</v>
      </c>
      <c r="F412" s="162"/>
      <c r="G412" s="162"/>
      <c r="H412" s="162"/>
      <c r="I412" s="161"/>
    </row>
    <row r="413" spans="1:9" ht="15" customHeight="1" x14ac:dyDescent="0.25">
      <c r="A413" s="163" t="s">
        <v>1117</v>
      </c>
      <c r="B413" s="120" t="s">
        <v>1112</v>
      </c>
      <c r="C413" s="227">
        <v>2.66</v>
      </c>
      <c r="D413" s="227">
        <v>1.55</v>
      </c>
      <c r="E413" s="228">
        <f>ROUND(-C413*D413,2)</f>
        <v>-4.12</v>
      </c>
      <c r="F413" s="162"/>
      <c r="G413" s="162"/>
      <c r="H413" s="162"/>
      <c r="I413" s="161"/>
    </row>
    <row r="414" spans="1:9" ht="9.9499999999999993" customHeight="1" x14ac:dyDescent="0.25">
      <c r="A414" s="164" t="s">
        <v>1116</v>
      </c>
      <c r="B414" s="121"/>
      <c r="C414" s="122"/>
      <c r="D414" s="122"/>
      <c r="E414" s="123">
        <f>ROUND(SUM(E411:E413),2)</f>
        <v>30.36</v>
      </c>
      <c r="F414" s="162"/>
      <c r="G414" s="162"/>
      <c r="H414" s="162"/>
      <c r="I414" s="161"/>
    </row>
    <row r="415" spans="1:9" ht="12" customHeight="1" x14ac:dyDescent="0.25">
      <c r="A415" s="452"/>
      <c r="B415" s="453"/>
      <c r="C415" s="453"/>
      <c r="D415" s="162"/>
      <c r="E415" s="162"/>
      <c r="F415" s="162"/>
      <c r="G415" s="162"/>
      <c r="H415" s="162"/>
      <c r="I415" s="161"/>
    </row>
    <row r="416" spans="1:9" ht="9.9499999999999993" customHeight="1" x14ac:dyDescent="0.25">
      <c r="A416" s="165"/>
      <c r="B416" s="162"/>
      <c r="C416" s="162"/>
      <c r="D416" s="458" t="str">
        <f>"TOTAL DA MEMÓRIA DE CÁLCULO: "&amp;TEXT(ROUND(SUM(E397,E403,E408,E414),2),"0,00")</f>
        <v>TOTAL DA MEMÓRIA DE CÁLCULO: 130,69</v>
      </c>
      <c r="E416" s="458"/>
      <c r="F416" s="458"/>
      <c r="G416" s="458"/>
      <c r="H416" s="458"/>
      <c r="I416" s="161"/>
    </row>
    <row r="417" spans="1:9" ht="42.95" customHeight="1" x14ac:dyDescent="0.25">
      <c r="A417" s="452"/>
      <c r="B417" s="453"/>
      <c r="C417" s="453"/>
      <c r="D417" s="453"/>
      <c r="E417" s="162"/>
      <c r="F417" s="162"/>
      <c r="G417" s="162"/>
      <c r="H417" s="162"/>
      <c r="I417" s="161"/>
    </row>
    <row r="418" spans="1:9" ht="15" customHeight="1" x14ac:dyDescent="0.25">
      <c r="A418" s="456" t="s">
        <v>1118</v>
      </c>
      <c r="B418" s="457"/>
      <c r="C418" s="457"/>
      <c r="D418" s="457"/>
      <c r="E418" s="457"/>
      <c r="F418" s="457"/>
      <c r="G418" s="457"/>
      <c r="H418" s="457"/>
      <c r="I418" s="161"/>
    </row>
    <row r="419" spans="1:9" ht="12.95" customHeight="1" x14ac:dyDescent="0.25">
      <c r="A419" s="450" t="s">
        <v>1119</v>
      </c>
      <c r="B419" s="451"/>
      <c r="C419" s="119" t="s">
        <v>1059</v>
      </c>
      <c r="D419" s="119" t="s">
        <v>1024</v>
      </c>
      <c r="E419" s="119" t="s">
        <v>984</v>
      </c>
      <c r="F419" s="162"/>
      <c r="G419" s="162"/>
      <c r="H419" s="162"/>
      <c r="I419" s="161"/>
    </row>
    <row r="420" spans="1:9" ht="15" customHeight="1" x14ac:dyDescent="0.25">
      <c r="A420" s="163" t="s">
        <v>1120</v>
      </c>
      <c r="B420" s="120" t="s">
        <v>1107</v>
      </c>
      <c r="C420" s="227">
        <v>0.9</v>
      </c>
      <c r="D420" s="227">
        <v>3</v>
      </c>
      <c r="E420" s="228">
        <f>ROUND(C420*D420,2)</f>
        <v>2.7</v>
      </c>
      <c r="F420" s="162"/>
      <c r="G420" s="162"/>
      <c r="H420" s="162"/>
      <c r="I420" s="161"/>
    </row>
    <row r="421" spans="1:9" ht="9.9499999999999993" customHeight="1" x14ac:dyDescent="0.25">
      <c r="A421" s="164" t="s">
        <v>1119</v>
      </c>
      <c r="B421" s="121"/>
      <c r="C421" s="122"/>
      <c r="D421" s="122"/>
      <c r="E421" s="123">
        <f>ROUND(SUM(E420:E420),2)</f>
        <v>2.7</v>
      </c>
      <c r="F421" s="162"/>
      <c r="G421" s="162"/>
      <c r="H421" s="162"/>
      <c r="I421" s="161"/>
    </row>
    <row r="422" spans="1:9" ht="15" customHeight="1" x14ac:dyDescent="0.25">
      <c r="A422" s="452"/>
      <c r="B422" s="453"/>
      <c r="C422" s="453"/>
      <c r="D422" s="162"/>
      <c r="E422" s="162"/>
      <c r="F422" s="162"/>
      <c r="G422" s="162"/>
      <c r="H422" s="162"/>
      <c r="I422" s="161"/>
    </row>
    <row r="423" spans="1:9" ht="12.95" customHeight="1" x14ac:dyDescent="0.25">
      <c r="A423" s="450" t="s">
        <v>1121</v>
      </c>
      <c r="B423" s="451"/>
      <c r="C423" s="119" t="s">
        <v>1059</v>
      </c>
      <c r="D423" s="119" t="s">
        <v>1024</v>
      </c>
      <c r="E423" s="119" t="s">
        <v>984</v>
      </c>
      <c r="F423" s="162"/>
      <c r="G423" s="162"/>
      <c r="H423" s="162"/>
      <c r="I423" s="161"/>
    </row>
    <row r="424" spans="1:9" ht="15" customHeight="1" x14ac:dyDescent="0.25">
      <c r="A424" s="163" t="s">
        <v>1122</v>
      </c>
      <c r="B424" s="120" t="s">
        <v>1107</v>
      </c>
      <c r="C424" s="227">
        <v>2.44</v>
      </c>
      <c r="D424" s="227">
        <v>3</v>
      </c>
      <c r="E424" s="228">
        <f>ROUND(C424*D424,2)</f>
        <v>7.32</v>
      </c>
      <c r="F424" s="162"/>
      <c r="G424" s="162"/>
      <c r="H424" s="162"/>
      <c r="I424" s="161"/>
    </row>
    <row r="425" spans="1:9" ht="9.9499999999999993" customHeight="1" x14ac:dyDescent="0.25">
      <c r="A425" s="164" t="s">
        <v>1121</v>
      </c>
      <c r="B425" s="121"/>
      <c r="C425" s="122"/>
      <c r="D425" s="122"/>
      <c r="E425" s="123">
        <f>ROUND(SUM(E424:E424),2)</f>
        <v>7.32</v>
      </c>
      <c r="F425" s="162"/>
      <c r="G425" s="162"/>
      <c r="H425" s="162"/>
      <c r="I425" s="161"/>
    </row>
    <row r="426" spans="1:9" ht="12" customHeight="1" x14ac:dyDescent="0.25">
      <c r="A426" s="452"/>
      <c r="B426" s="453"/>
      <c r="C426" s="453"/>
      <c r="D426" s="162"/>
      <c r="E426" s="162"/>
      <c r="F426" s="162"/>
      <c r="G426" s="162"/>
      <c r="H426" s="162"/>
      <c r="I426" s="161"/>
    </row>
    <row r="427" spans="1:9" ht="9.9499999999999993" customHeight="1" x14ac:dyDescent="0.25">
      <c r="A427" s="165"/>
      <c r="B427" s="162"/>
      <c r="C427" s="162"/>
      <c r="D427" s="458" t="str">
        <f>"TOTAL DA MEMÓRIA DE CÁLCULO: "&amp;TEXT(ROUND(SUM(E421,E425),2),"0,00")</f>
        <v>TOTAL DA MEMÓRIA DE CÁLCULO: 10,02</v>
      </c>
      <c r="E427" s="458"/>
      <c r="F427" s="458"/>
      <c r="G427" s="458"/>
      <c r="H427" s="458"/>
      <c r="I427" s="161"/>
    </row>
    <row r="428" spans="1:9" ht="30.95" customHeight="1" x14ac:dyDescent="0.25">
      <c r="A428" s="452"/>
      <c r="B428" s="453"/>
      <c r="C428" s="453"/>
      <c r="D428" s="453"/>
      <c r="E428" s="162"/>
      <c r="F428" s="162"/>
      <c r="G428" s="162"/>
      <c r="H428" s="162"/>
      <c r="I428" s="161"/>
    </row>
    <row r="429" spans="1:9" ht="15" customHeight="1" x14ac:dyDescent="0.25">
      <c r="A429" s="456" t="s">
        <v>1123</v>
      </c>
      <c r="B429" s="457"/>
      <c r="C429" s="457"/>
      <c r="D429" s="457"/>
      <c r="E429" s="457"/>
      <c r="F429" s="457"/>
      <c r="G429" s="457"/>
      <c r="H429" s="457"/>
      <c r="I429" s="161"/>
    </row>
    <row r="430" spans="1:9" ht="12.95" customHeight="1" x14ac:dyDescent="0.25">
      <c r="A430" s="450" t="s">
        <v>1119</v>
      </c>
      <c r="B430" s="451"/>
      <c r="C430" s="119" t="s">
        <v>1059</v>
      </c>
      <c r="D430" s="119" t="s">
        <v>1024</v>
      </c>
      <c r="E430" s="119" t="s">
        <v>984</v>
      </c>
      <c r="F430" s="162"/>
      <c r="G430" s="162"/>
      <c r="H430" s="162"/>
      <c r="I430" s="161"/>
    </row>
    <row r="431" spans="1:9" ht="15" customHeight="1" x14ac:dyDescent="0.25">
      <c r="A431" s="163" t="s">
        <v>1124</v>
      </c>
      <c r="B431" s="120" t="s">
        <v>1107</v>
      </c>
      <c r="C431" s="227">
        <v>1.8</v>
      </c>
      <c r="D431" s="227">
        <v>0.9</v>
      </c>
      <c r="E431" s="228">
        <f>ROUND(C431*D431,2)</f>
        <v>1.62</v>
      </c>
      <c r="F431" s="162"/>
      <c r="G431" s="162"/>
      <c r="H431" s="162"/>
      <c r="I431" s="161"/>
    </row>
    <row r="432" spans="1:9" ht="9.9499999999999993" customHeight="1" x14ac:dyDescent="0.25">
      <c r="A432" s="164" t="s">
        <v>1119</v>
      </c>
      <c r="B432" s="121"/>
      <c r="C432" s="122"/>
      <c r="D432" s="122"/>
      <c r="E432" s="123">
        <f>ROUND(SUM(E431:E431),2)</f>
        <v>1.62</v>
      </c>
      <c r="F432" s="162"/>
      <c r="G432" s="162"/>
      <c r="H432" s="162"/>
      <c r="I432" s="161"/>
    </row>
    <row r="433" spans="1:9" ht="15" customHeight="1" x14ac:dyDescent="0.25">
      <c r="A433" s="452"/>
      <c r="B433" s="453"/>
      <c r="C433" s="453"/>
      <c r="D433" s="162"/>
      <c r="E433" s="162"/>
      <c r="F433" s="162"/>
      <c r="G433" s="162"/>
      <c r="H433" s="162"/>
      <c r="I433" s="161"/>
    </row>
    <row r="434" spans="1:9" ht="12.95" customHeight="1" x14ac:dyDescent="0.25">
      <c r="A434" s="450" t="s">
        <v>1121</v>
      </c>
      <c r="B434" s="451"/>
      <c r="C434" s="119" t="s">
        <v>1059</v>
      </c>
      <c r="D434" s="119" t="s">
        <v>1024</v>
      </c>
      <c r="E434" s="119" t="s">
        <v>984</v>
      </c>
      <c r="F434" s="162"/>
      <c r="G434" s="162"/>
      <c r="H434" s="162"/>
      <c r="I434" s="161"/>
    </row>
    <row r="435" spans="1:9" ht="15" customHeight="1" x14ac:dyDescent="0.25">
      <c r="A435" s="163" t="s">
        <v>1125</v>
      </c>
      <c r="B435" s="120" t="s">
        <v>1107</v>
      </c>
      <c r="C435" s="227">
        <v>3.24</v>
      </c>
      <c r="D435" s="227">
        <v>0.9</v>
      </c>
      <c r="E435" s="228">
        <f>ROUND(C435*D435,2)</f>
        <v>2.92</v>
      </c>
      <c r="F435" s="162"/>
      <c r="G435" s="162"/>
      <c r="H435" s="162"/>
      <c r="I435" s="161"/>
    </row>
    <row r="436" spans="1:9" ht="9.9499999999999993" customHeight="1" x14ac:dyDescent="0.25">
      <c r="A436" s="164" t="s">
        <v>1121</v>
      </c>
      <c r="B436" s="121"/>
      <c r="C436" s="122"/>
      <c r="D436" s="122"/>
      <c r="E436" s="123">
        <f>ROUND(SUM(E435:E435),2)</f>
        <v>2.92</v>
      </c>
      <c r="F436" s="162"/>
      <c r="G436" s="162"/>
      <c r="H436" s="162"/>
      <c r="I436" s="161"/>
    </row>
    <row r="437" spans="1:9" ht="12" customHeight="1" x14ac:dyDescent="0.25">
      <c r="A437" s="452"/>
      <c r="B437" s="453"/>
      <c r="C437" s="453"/>
      <c r="D437" s="162"/>
      <c r="E437" s="162"/>
      <c r="F437" s="162"/>
      <c r="G437" s="162"/>
      <c r="H437" s="162"/>
      <c r="I437" s="161"/>
    </row>
    <row r="438" spans="1:9" ht="9.9499999999999993" customHeight="1" x14ac:dyDescent="0.25">
      <c r="A438" s="165"/>
      <c r="B438" s="162"/>
      <c r="C438" s="162"/>
      <c r="D438" s="458" t="str">
        <f>"TOTAL DA MEMÓRIA DE CÁLCULO: "&amp;TEXT(ROUND(SUM(E432,E436),2),"0,00")</f>
        <v>TOTAL DA MEMÓRIA DE CÁLCULO: 4,54</v>
      </c>
      <c r="E438" s="458"/>
      <c r="F438" s="458"/>
      <c r="G438" s="458"/>
      <c r="H438" s="458"/>
      <c r="I438" s="161"/>
    </row>
    <row r="439" spans="1:9" ht="20.100000000000001" customHeight="1" x14ac:dyDescent="0.25">
      <c r="A439" s="452"/>
      <c r="B439" s="453"/>
      <c r="C439" s="453"/>
      <c r="D439" s="453"/>
      <c r="E439" s="162"/>
      <c r="F439" s="162"/>
      <c r="G439" s="162"/>
      <c r="H439" s="162"/>
      <c r="I439" s="161"/>
    </row>
    <row r="440" spans="1:9" ht="15" customHeight="1" x14ac:dyDescent="0.25">
      <c r="A440" s="456" t="s">
        <v>1126</v>
      </c>
      <c r="B440" s="457"/>
      <c r="C440" s="457"/>
      <c r="D440" s="457"/>
      <c r="E440" s="457"/>
      <c r="F440" s="457"/>
      <c r="G440" s="457"/>
      <c r="H440" s="457"/>
      <c r="I440" s="161"/>
    </row>
    <row r="441" spans="1:9" ht="18.95" customHeight="1" x14ac:dyDescent="0.25">
      <c r="A441" s="450" t="s">
        <v>1083</v>
      </c>
      <c r="B441" s="451"/>
      <c r="C441" s="119" t="s">
        <v>1059</v>
      </c>
      <c r="D441" s="119" t="s">
        <v>1024</v>
      </c>
      <c r="E441" s="119" t="s">
        <v>984</v>
      </c>
      <c r="F441" s="162"/>
      <c r="G441" s="162"/>
      <c r="H441" s="162"/>
      <c r="I441" s="161"/>
    </row>
    <row r="442" spans="1:9" ht="18.95" customHeight="1" x14ac:dyDescent="0.25">
      <c r="A442" s="163" t="s">
        <v>1102</v>
      </c>
      <c r="B442" s="120" t="s">
        <v>1103</v>
      </c>
      <c r="C442" s="227">
        <v>23.4</v>
      </c>
      <c r="D442" s="227">
        <v>0.5</v>
      </c>
      <c r="E442" s="228">
        <f>ROUND(C442*2*D442,2)</f>
        <v>23.4</v>
      </c>
      <c r="F442" s="162"/>
      <c r="G442" s="162"/>
      <c r="H442" s="162"/>
      <c r="I442" s="161"/>
    </row>
    <row r="443" spans="1:9" ht="15" customHeight="1" x14ac:dyDescent="0.25">
      <c r="A443" s="163" t="s">
        <v>1104</v>
      </c>
      <c r="B443" s="120" t="s">
        <v>1105</v>
      </c>
      <c r="C443" s="227">
        <v>6.6</v>
      </c>
      <c r="D443" s="227">
        <v>0.5</v>
      </c>
      <c r="E443" s="228">
        <f>ROUND(C443*D443*2,2)</f>
        <v>6.6</v>
      </c>
      <c r="F443" s="162"/>
      <c r="G443" s="162"/>
      <c r="H443" s="162"/>
      <c r="I443" s="161"/>
    </row>
    <row r="444" spans="1:9" ht="9.9499999999999993" customHeight="1" x14ac:dyDescent="0.25">
      <c r="A444" s="164" t="s">
        <v>1083</v>
      </c>
      <c r="B444" s="121"/>
      <c r="C444" s="122"/>
      <c r="D444" s="122"/>
      <c r="E444" s="123">
        <f>ROUND(SUM(E442:E443),2)</f>
        <v>30</v>
      </c>
      <c r="F444" s="162"/>
      <c r="G444" s="162"/>
      <c r="H444" s="162"/>
      <c r="I444" s="161"/>
    </row>
    <row r="445" spans="1:9" ht="12" customHeight="1" x14ac:dyDescent="0.25">
      <c r="A445" s="452"/>
      <c r="B445" s="453"/>
      <c r="C445" s="453"/>
      <c r="D445" s="162"/>
      <c r="E445" s="162"/>
      <c r="F445" s="162"/>
      <c r="G445" s="162"/>
      <c r="H445" s="162"/>
      <c r="I445" s="161"/>
    </row>
    <row r="446" spans="1:9" ht="9.9499999999999993" customHeight="1" x14ac:dyDescent="0.25">
      <c r="A446" s="165"/>
      <c r="B446" s="162"/>
      <c r="C446" s="162"/>
      <c r="D446" s="458" t="str">
        <f>"TOTAL DA MEMÓRIA DE CÁLCULO: "&amp;TEXT(ROUND(SUM(E444),2),"0,00")</f>
        <v>TOTAL DA MEMÓRIA DE CÁLCULO: 30,00</v>
      </c>
      <c r="E446" s="458"/>
      <c r="F446" s="458"/>
      <c r="G446" s="458"/>
      <c r="H446" s="458"/>
      <c r="I446" s="161"/>
    </row>
    <row r="447" spans="1:9" ht="30.95" customHeight="1" x14ac:dyDescent="0.25">
      <c r="A447" s="452"/>
      <c r="B447" s="453"/>
      <c r="C447" s="453"/>
      <c r="D447" s="453"/>
      <c r="E447" s="162"/>
      <c r="F447" s="162"/>
      <c r="G447" s="162"/>
      <c r="H447" s="162"/>
      <c r="I447" s="161"/>
    </row>
    <row r="448" spans="1:9" ht="15" customHeight="1" x14ac:dyDescent="0.25">
      <c r="A448" s="456" t="s">
        <v>1127</v>
      </c>
      <c r="B448" s="457"/>
      <c r="C448" s="457"/>
      <c r="D448" s="457"/>
      <c r="E448" s="457"/>
      <c r="F448" s="457"/>
      <c r="G448" s="457"/>
      <c r="H448" s="457"/>
      <c r="I448" s="161"/>
    </row>
    <row r="449" spans="1:9" ht="18.95" customHeight="1" x14ac:dyDescent="0.25">
      <c r="A449" s="450" t="s">
        <v>1083</v>
      </c>
      <c r="B449" s="451"/>
      <c r="C449" s="119" t="s">
        <v>1059</v>
      </c>
      <c r="D449" s="119" t="s">
        <v>1024</v>
      </c>
      <c r="E449" s="119" t="s">
        <v>984</v>
      </c>
      <c r="F449" s="162"/>
      <c r="G449" s="162"/>
      <c r="H449" s="162"/>
      <c r="I449" s="161"/>
    </row>
    <row r="450" spans="1:9" ht="18.95" customHeight="1" x14ac:dyDescent="0.25">
      <c r="A450" s="163" t="s">
        <v>1102</v>
      </c>
      <c r="B450" s="120" t="s">
        <v>1103</v>
      </c>
      <c r="C450" s="227">
        <v>23.4</v>
      </c>
      <c r="D450" s="227">
        <v>0.5</v>
      </c>
      <c r="E450" s="228">
        <f>ROUND(C450*2*D450,2)</f>
        <v>23.4</v>
      </c>
      <c r="F450" s="162"/>
      <c r="G450" s="162"/>
      <c r="H450" s="162"/>
      <c r="I450" s="161"/>
    </row>
    <row r="451" spans="1:9" ht="15" customHeight="1" x14ac:dyDescent="0.25">
      <c r="A451" s="163" t="s">
        <v>1104</v>
      </c>
      <c r="B451" s="120" t="s">
        <v>1105</v>
      </c>
      <c r="C451" s="227">
        <v>6.6</v>
      </c>
      <c r="D451" s="227">
        <v>0.5</v>
      </c>
      <c r="E451" s="228">
        <f>ROUND(C451*D451*2,2)</f>
        <v>6.6</v>
      </c>
      <c r="F451" s="162"/>
      <c r="G451" s="162"/>
      <c r="H451" s="162"/>
      <c r="I451" s="161"/>
    </row>
    <row r="452" spans="1:9" ht="9.9499999999999993" customHeight="1" x14ac:dyDescent="0.25">
      <c r="A452" s="164" t="s">
        <v>1083</v>
      </c>
      <c r="B452" s="121"/>
      <c r="C452" s="122"/>
      <c r="D452" s="122"/>
      <c r="E452" s="123">
        <f>ROUND(SUM(E450:E451),2)</f>
        <v>30</v>
      </c>
      <c r="F452" s="162"/>
      <c r="G452" s="162"/>
      <c r="H452" s="162"/>
      <c r="I452" s="161"/>
    </row>
    <row r="453" spans="1:9" ht="12" customHeight="1" x14ac:dyDescent="0.25">
      <c r="A453" s="452"/>
      <c r="B453" s="453"/>
      <c r="C453" s="453"/>
      <c r="D453" s="162"/>
      <c r="E453" s="162"/>
      <c r="F453" s="162"/>
      <c r="G453" s="162"/>
      <c r="H453" s="162"/>
      <c r="I453" s="161"/>
    </row>
    <row r="454" spans="1:9" ht="9.9499999999999993" customHeight="1" x14ac:dyDescent="0.25">
      <c r="A454" s="165"/>
      <c r="B454" s="162"/>
      <c r="C454" s="162"/>
      <c r="D454" s="458" t="str">
        <f>"TOTAL DA MEMÓRIA DE CÁLCULO: "&amp;TEXT(ROUND(SUM(E452),2),"0,00")</f>
        <v>TOTAL DA MEMÓRIA DE CÁLCULO: 30,00</v>
      </c>
      <c r="E454" s="458"/>
      <c r="F454" s="458"/>
      <c r="G454" s="458"/>
      <c r="H454" s="458"/>
      <c r="I454" s="161"/>
    </row>
    <row r="455" spans="1:9" ht="20.100000000000001" customHeight="1" x14ac:dyDescent="0.25">
      <c r="A455" s="452"/>
      <c r="B455" s="453"/>
      <c r="C455" s="453"/>
      <c r="D455" s="453"/>
      <c r="E455" s="162"/>
      <c r="F455" s="162"/>
      <c r="G455" s="162"/>
      <c r="H455" s="162"/>
      <c r="I455" s="161"/>
    </row>
    <row r="456" spans="1:9" ht="9.9499999999999993" customHeight="1" x14ac:dyDescent="0.25">
      <c r="A456" s="456" t="s">
        <v>1128</v>
      </c>
      <c r="B456" s="457"/>
      <c r="C456" s="457"/>
      <c r="D456" s="457"/>
      <c r="E456" s="457"/>
      <c r="F456" s="457"/>
      <c r="G456" s="457"/>
      <c r="H456" s="457"/>
      <c r="I456" s="161"/>
    </row>
    <row r="457" spans="1:9" ht="30.95" customHeight="1" x14ac:dyDescent="0.25">
      <c r="A457" s="452"/>
      <c r="B457" s="453"/>
      <c r="C457" s="453"/>
      <c r="D457" s="162"/>
      <c r="E457" s="162"/>
      <c r="F457" s="162"/>
      <c r="G457" s="162"/>
      <c r="H457" s="162"/>
      <c r="I457" s="161"/>
    </row>
    <row r="458" spans="1:9" ht="15" customHeight="1" x14ac:dyDescent="0.25">
      <c r="A458" s="456" t="s">
        <v>1129</v>
      </c>
      <c r="B458" s="457"/>
      <c r="C458" s="457"/>
      <c r="D458" s="457"/>
      <c r="E458" s="457"/>
      <c r="F458" s="457"/>
      <c r="G458" s="457"/>
      <c r="H458" s="457"/>
      <c r="I458" s="161"/>
    </row>
    <row r="459" spans="1:9" ht="12.95" customHeight="1" x14ac:dyDescent="0.25">
      <c r="A459" s="450"/>
      <c r="B459" s="451"/>
      <c r="C459" s="119"/>
      <c r="D459" s="119" t="s">
        <v>984</v>
      </c>
      <c r="E459" s="162"/>
      <c r="F459" s="162"/>
      <c r="G459" s="162"/>
      <c r="H459" s="162"/>
      <c r="I459" s="161"/>
    </row>
    <row r="460" spans="1:9" ht="6" customHeight="1" x14ac:dyDescent="0.25">
      <c r="A460" s="163" t="s">
        <v>1130</v>
      </c>
      <c r="B460" s="120" t="s">
        <v>1131</v>
      </c>
      <c r="C460" s="459">
        <v>186.68</v>
      </c>
      <c r="D460" s="460">
        <f>ROUND(186.68,2)</f>
        <v>186.68</v>
      </c>
      <c r="E460" s="162"/>
      <c r="F460" s="162"/>
      <c r="G460" s="162"/>
      <c r="H460" s="162"/>
      <c r="I460" s="161"/>
    </row>
    <row r="461" spans="1:9" ht="15" customHeight="1" x14ac:dyDescent="0.25">
      <c r="A461" s="166"/>
      <c r="B461" s="124"/>
      <c r="C461" s="459"/>
      <c r="D461" s="460"/>
      <c r="E461" s="162"/>
      <c r="F461" s="162"/>
      <c r="G461" s="162"/>
      <c r="H461" s="162"/>
      <c r="I461" s="161"/>
    </row>
    <row r="462" spans="1:9" ht="9.9499999999999993" customHeight="1" x14ac:dyDescent="0.25">
      <c r="A462" s="164"/>
      <c r="B462" s="121"/>
      <c r="C462" s="122"/>
      <c r="D462" s="123">
        <f>ROUND(SUM(D460:D461),2)</f>
        <v>186.68</v>
      </c>
      <c r="E462" s="162"/>
      <c r="F462" s="162"/>
      <c r="G462" s="162"/>
      <c r="H462" s="162"/>
      <c r="I462" s="161"/>
    </row>
    <row r="463" spans="1:9" ht="12" customHeight="1" x14ac:dyDescent="0.25">
      <c r="A463" s="452"/>
      <c r="B463" s="453"/>
      <c r="C463" s="453"/>
      <c r="D463" s="162"/>
      <c r="E463" s="162"/>
      <c r="F463" s="162"/>
      <c r="G463" s="162"/>
      <c r="H463" s="162"/>
      <c r="I463" s="161"/>
    </row>
    <row r="464" spans="1:9" ht="9.9499999999999993" customHeight="1" x14ac:dyDescent="0.25">
      <c r="A464" s="165"/>
      <c r="B464" s="162"/>
      <c r="C464" s="162"/>
      <c r="D464" s="458" t="str">
        <f>"TOTAL DA MEMÓRIA DE CÁLCULO: "&amp;TEXT(ROUND(SUM(D462),2),"0,00")</f>
        <v>TOTAL DA MEMÓRIA DE CÁLCULO: 186,68</v>
      </c>
      <c r="E464" s="458"/>
      <c r="F464" s="458"/>
      <c r="G464" s="458"/>
      <c r="H464" s="458"/>
      <c r="I464" s="161"/>
    </row>
    <row r="465" spans="1:9" ht="54.95" customHeight="1" x14ac:dyDescent="0.25">
      <c r="A465" s="452"/>
      <c r="B465" s="453"/>
      <c r="C465" s="453"/>
      <c r="D465" s="453"/>
      <c r="E465" s="162"/>
      <c r="F465" s="162"/>
      <c r="G465" s="162"/>
      <c r="H465" s="162"/>
      <c r="I465" s="161"/>
    </row>
    <row r="466" spans="1:9" ht="15" customHeight="1" x14ac:dyDescent="0.25">
      <c r="A466" s="456" t="s">
        <v>1132</v>
      </c>
      <c r="B466" s="457"/>
      <c r="C466" s="457"/>
      <c r="D466" s="457"/>
      <c r="E466" s="457"/>
      <c r="F466" s="457"/>
      <c r="G466" s="457"/>
      <c r="H466" s="457"/>
      <c r="I466" s="161"/>
    </row>
    <row r="467" spans="1:9" ht="12.95" customHeight="1" x14ac:dyDescent="0.25">
      <c r="A467" s="450" t="s">
        <v>1121</v>
      </c>
      <c r="B467" s="451"/>
      <c r="C467" s="119"/>
      <c r="D467" s="119" t="s">
        <v>984</v>
      </c>
      <c r="E467" s="162"/>
      <c r="F467" s="162"/>
      <c r="G467" s="162"/>
      <c r="H467" s="162"/>
      <c r="I467" s="161"/>
    </row>
    <row r="468" spans="1:9" ht="15" customHeight="1" x14ac:dyDescent="0.25">
      <c r="A468" s="163" t="s">
        <v>1133</v>
      </c>
      <c r="B468" s="120" t="s">
        <v>1134</v>
      </c>
      <c r="C468" s="227">
        <v>3.56</v>
      </c>
      <c r="D468" s="228">
        <f>ROUND(3.56,2)</f>
        <v>3.56</v>
      </c>
      <c r="E468" s="162"/>
      <c r="F468" s="162"/>
      <c r="G468" s="162"/>
      <c r="H468" s="162"/>
      <c r="I468" s="161"/>
    </row>
    <row r="469" spans="1:9" ht="9.9499999999999993" customHeight="1" x14ac:dyDescent="0.25">
      <c r="A469" s="164" t="s">
        <v>1121</v>
      </c>
      <c r="B469" s="121"/>
      <c r="C469" s="122"/>
      <c r="D469" s="123">
        <f>ROUND(SUM(D468:D468),2)</f>
        <v>3.56</v>
      </c>
      <c r="E469" s="162"/>
      <c r="F469" s="162"/>
      <c r="G469" s="162"/>
      <c r="H469" s="162"/>
      <c r="I469" s="161"/>
    </row>
    <row r="470" spans="1:9" ht="15" customHeight="1" x14ac:dyDescent="0.25">
      <c r="A470" s="452"/>
      <c r="B470" s="453"/>
      <c r="C470" s="453"/>
      <c r="D470" s="162"/>
      <c r="E470" s="162"/>
      <c r="F470" s="162"/>
      <c r="G470" s="162"/>
      <c r="H470" s="162"/>
      <c r="I470" s="161"/>
    </row>
    <row r="471" spans="1:9" ht="12.95" customHeight="1" x14ac:dyDescent="0.25">
      <c r="A471" s="450" t="s">
        <v>1119</v>
      </c>
      <c r="B471" s="451"/>
      <c r="C471" s="119"/>
      <c r="D471" s="119" t="s">
        <v>984</v>
      </c>
      <c r="E471" s="162"/>
      <c r="F471" s="162"/>
      <c r="G471" s="162"/>
      <c r="H471" s="162"/>
      <c r="I471" s="161"/>
    </row>
    <row r="472" spans="1:9" ht="15" customHeight="1" x14ac:dyDescent="0.25">
      <c r="A472" s="163" t="s">
        <v>1133</v>
      </c>
      <c r="B472" s="120" t="s">
        <v>1135</v>
      </c>
      <c r="C472" s="227">
        <v>2.7</v>
      </c>
      <c r="D472" s="228">
        <f>ROUND(2.7,2)</f>
        <v>2.7</v>
      </c>
      <c r="E472" s="162"/>
      <c r="F472" s="162"/>
      <c r="G472" s="162"/>
      <c r="H472" s="162"/>
      <c r="I472" s="161"/>
    </row>
    <row r="473" spans="1:9" ht="9.9499999999999993" customHeight="1" x14ac:dyDescent="0.25">
      <c r="A473" s="164" t="s">
        <v>1119</v>
      </c>
      <c r="B473" s="121"/>
      <c r="C473" s="122"/>
      <c r="D473" s="123">
        <f>ROUND(SUM(D472:D472),2)</f>
        <v>2.7</v>
      </c>
      <c r="E473" s="162"/>
      <c r="F473" s="162"/>
      <c r="G473" s="162"/>
      <c r="H473" s="162"/>
      <c r="I473" s="161"/>
    </row>
    <row r="474" spans="1:9" ht="15" customHeight="1" x14ac:dyDescent="0.25">
      <c r="A474" s="452"/>
      <c r="B474" s="453"/>
      <c r="C474" s="453"/>
      <c r="D474" s="162"/>
      <c r="E474" s="162"/>
      <c r="F474" s="162"/>
      <c r="G474" s="162"/>
      <c r="H474" s="162"/>
      <c r="I474" s="161"/>
    </row>
    <row r="475" spans="1:9" ht="12.95" customHeight="1" x14ac:dyDescent="0.25">
      <c r="A475" s="450" t="s">
        <v>1136</v>
      </c>
      <c r="B475" s="451"/>
      <c r="C475" s="119"/>
      <c r="D475" s="119" t="s">
        <v>984</v>
      </c>
      <c r="E475" s="162"/>
      <c r="F475" s="162"/>
      <c r="G475" s="162"/>
      <c r="H475" s="162"/>
      <c r="I475" s="161"/>
    </row>
    <row r="476" spans="1:9" ht="12.95" customHeight="1" x14ac:dyDescent="0.25">
      <c r="A476" s="163" t="s">
        <v>1137</v>
      </c>
      <c r="B476" s="120" t="s">
        <v>1138</v>
      </c>
      <c r="C476" s="227">
        <v>2.27</v>
      </c>
      <c r="D476" s="228">
        <f>ROUND(2.27,2)</f>
        <v>2.27</v>
      </c>
      <c r="E476" s="162"/>
      <c r="F476" s="162"/>
      <c r="G476" s="162"/>
      <c r="H476" s="162"/>
      <c r="I476" s="161"/>
    </row>
    <row r="477" spans="1:9" ht="15" customHeight="1" x14ac:dyDescent="0.25">
      <c r="A477" s="163" t="s">
        <v>1139</v>
      </c>
      <c r="B477" s="120" t="s">
        <v>1140</v>
      </c>
      <c r="C477" s="227">
        <v>7.86</v>
      </c>
      <c r="D477" s="228">
        <f>ROUND(7.86,2)</f>
        <v>7.86</v>
      </c>
      <c r="E477" s="162"/>
      <c r="F477" s="162"/>
      <c r="G477" s="162"/>
      <c r="H477" s="162"/>
      <c r="I477" s="161"/>
    </row>
    <row r="478" spans="1:9" ht="9.9499999999999993" customHeight="1" x14ac:dyDescent="0.25">
      <c r="A478" s="164" t="s">
        <v>1136</v>
      </c>
      <c r="B478" s="121"/>
      <c r="C478" s="122"/>
      <c r="D478" s="123">
        <f>ROUND(SUM(D476:D477),2)</f>
        <v>10.130000000000001</v>
      </c>
      <c r="E478" s="162"/>
      <c r="F478" s="162"/>
      <c r="G478" s="162"/>
      <c r="H478" s="162"/>
      <c r="I478" s="161"/>
    </row>
    <row r="479" spans="1:9" ht="15" customHeight="1" x14ac:dyDescent="0.25">
      <c r="A479" s="452"/>
      <c r="B479" s="453"/>
      <c r="C479" s="453"/>
      <c r="D479" s="162"/>
      <c r="E479" s="162"/>
      <c r="F479" s="162"/>
      <c r="G479" s="162"/>
      <c r="H479" s="162"/>
      <c r="I479" s="161"/>
    </row>
    <row r="480" spans="1:9" ht="12.95" customHeight="1" x14ac:dyDescent="0.25">
      <c r="A480" s="450" t="s">
        <v>1110</v>
      </c>
      <c r="B480" s="451"/>
      <c r="C480" s="119"/>
      <c r="D480" s="119" t="s">
        <v>984</v>
      </c>
      <c r="E480" s="162"/>
      <c r="F480" s="162"/>
      <c r="G480" s="162"/>
      <c r="H480" s="162"/>
      <c r="I480" s="161"/>
    </row>
    <row r="481" spans="1:9" ht="15" customHeight="1" x14ac:dyDescent="0.25">
      <c r="A481" s="163" t="s">
        <v>1133</v>
      </c>
      <c r="B481" s="120" t="s">
        <v>1141</v>
      </c>
      <c r="C481" s="227">
        <v>9.4700000000000006</v>
      </c>
      <c r="D481" s="228">
        <f>ROUND(9.47,2)</f>
        <v>9.4700000000000006</v>
      </c>
      <c r="E481" s="162"/>
      <c r="F481" s="162"/>
      <c r="G481" s="162"/>
      <c r="H481" s="162"/>
      <c r="I481" s="161"/>
    </row>
    <row r="482" spans="1:9" ht="9.9499999999999993" customHeight="1" x14ac:dyDescent="0.25">
      <c r="A482" s="164" t="s">
        <v>1110</v>
      </c>
      <c r="B482" s="121"/>
      <c r="C482" s="122"/>
      <c r="D482" s="123">
        <f>ROUND(SUM(D481:D481),2)</f>
        <v>9.4700000000000006</v>
      </c>
      <c r="E482" s="162"/>
      <c r="F482" s="162"/>
      <c r="G482" s="162"/>
      <c r="H482" s="162"/>
      <c r="I482" s="161"/>
    </row>
    <row r="483" spans="1:9" ht="15" customHeight="1" x14ac:dyDescent="0.25">
      <c r="A483" s="452"/>
      <c r="B483" s="453"/>
      <c r="C483" s="453"/>
      <c r="D483" s="162"/>
      <c r="E483" s="162"/>
      <c r="F483" s="162"/>
      <c r="G483" s="162"/>
      <c r="H483" s="162"/>
      <c r="I483" s="161"/>
    </row>
    <row r="484" spans="1:9" ht="12.95" customHeight="1" x14ac:dyDescent="0.25">
      <c r="A484" s="450" t="s">
        <v>1142</v>
      </c>
      <c r="B484" s="451"/>
      <c r="C484" s="119"/>
      <c r="D484" s="119" t="s">
        <v>984</v>
      </c>
      <c r="E484" s="162"/>
      <c r="F484" s="162"/>
      <c r="G484" s="162"/>
      <c r="H484" s="162"/>
      <c r="I484" s="161"/>
    </row>
    <row r="485" spans="1:9" ht="15" customHeight="1" x14ac:dyDescent="0.25">
      <c r="A485" s="163" t="s">
        <v>1133</v>
      </c>
      <c r="B485" s="120" t="s">
        <v>1143</v>
      </c>
      <c r="C485" s="227">
        <v>11.64</v>
      </c>
      <c r="D485" s="228">
        <f>ROUND(11.64,2)</f>
        <v>11.64</v>
      </c>
      <c r="E485" s="162"/>
      <c r="F485" s="162"/>
      <c r="G485" s="162"/>
      <c r="H485" s="162"/>
      <c r="I485" s="161"/>
    </row>
    <row r="486" spans="1:9" ht="9.9499999999999993" customHeight="1" x14ac:dyDescent="0.25">
      <c r="A486" s="164" t="s">
        <v>1142</v>
      </c>
      <c r="B486" s="121"/>
      <c r="C486" s="122"/>
      <c r="D486" s="123">
        <f>ROUND(SUM(D485:D485),2)</f>
        <v>11.64</v>
      </c>
      <c r="E486" s="162"/>
      <c r="F486" s="162"/>
      <c r="G486" s="162"/>
      <c r="H486" s="162"/>
      <c r="I486" s="161"/>
    </row>
    <row r="487" spans="1:9" ht="15" customHeight="1" x14ac:dyDescent="0.25">
      <c r="A487" s="452"/>
      <c r="B487" s="453"/>
      <c r="C487" s="453"/>
      <c r="D487" s="162"/>
      <c r="E487" s="162"/>
      <c r="F487" s="162"/>
      <c r="G487" s="162"/>
      <c r="H487" s="162"/>
      <c r="I487" s="161"/>
    </row>
    <row r="488" spans="1:9" ht="12.95" customHeight="1" x14ac:dyDescent="0.25">
      <c r="A488" s="450" t="s">
        <v>1116</v>
      </c>
      <c r="B488" s="451"/>
      <c r="C488" s="119"/>
      <c r="D488" s="119" t="s">
        <v>984</v>
      </c>
      <c r="E488" s="162"/>
      <c r="F488" s="162"/>
      <c r="G488" s="162"/>
      <c r="H488" s="162"/>
      <c r="I488" s="161"/>
    </row>
    <row r="489" spans="1:9" ht="15" customHeight="1" x14ac:dyDescent="0.25">
      <c r="A489" s="163" t="s">
        <v>1133</v>
      </c>
      <c r="B489" s="120" t="s">
        <v>1144</v>
      </c>
      <c r="C489" s="227">
        <v>23.32</v>
      </c>
      <c r="D489" s="228">
        <f>ROUND(23.32,2)</f>
        <v>23.32</v>
      </c>
      <c r="E489" s="162"/>
      <c r="F489" s="162"/>
      <c r="G489" s="162"/>
      <c r="H489" s="162"/>
      <c r="I489" s="161"/>
    </row>
    <row r="490" spans="1:9" ht="9.9499999999999993" customHeight="1" x14ac:dyDescent="0.25">
      <c r="A490" s="164" t="s">
        <v>1116</v>
      </c>
      <c r="B490" s="121"/>
      <c r="C490" s="122"/>
      <c r="D490" s="123">
        <f>ROUND(SUM(D489:D489),2)</f>
        <v>23.32</v>
      </c>
      <c r="E490" s="162"/>
      <c r="F490" s="162"/>
      <c r="G490" s="162"/>
      <c r="H490" s="162"/>
      <c r="I490" s="161"/>
    </row>
    <row r="491" spans="1:9" ht="12" customHeight="1" x14ac:dyDescent="0.25">
      <c r="A491" s="452"/>
      <c r="B491" s="453"/>
      <c r="C491" s="453"/>
      <c r="D491" s="162"/>
      <c r="E491" s="162"/>
      <c r="F491" s="162"/>
      <c r="G491" s="162"/>
      <c r="H491" s="162"/>
      <c r="I491" s="161"/>
    </row>
    <row r="492" spans="1:9" ht="9.9499999999999993" customHeight="1" x14ac:dyDescent="0.25">
      <c r="A492" s="165"/>
      <c r="B492" s="162"/>
      <c r="C492" s="162"/>
      <c r="D492" s="458" t="str">
        <f>"TOTAL DA MEMÓRIA DE CÁLCULO: "&amp;TEXT(ROUND(SUM(D469,D473,D478,D482,D486,D490),2),"0,00")</f>
        <v>TOTAL DA MEMÓRIA DE CÁLCULO: 60,82</v>
      </c>
      <c r="E492" s="458"/>
      <c r="F492" s="458"/>
      <c r="G492" s="458"/>
      <c r="H492" s="458"/>
      <c r="I492" s="161"/>
    </row>
    <row r="493" spans="1:9" ht="20.100000000000001" customHeight="1" x14ac:dyDescent="0.25">
      <c r="A493" s="452"/>
      <c r="B493" s="453"/>
      <c r="C493" s="453"/>
      <c r="D493" s="453"/>
      <c r="E493" s="162"/>
      <c r="F493" s="162"/>
      <c r="G493" s="162"/>
      <c r="H493" s="162"/>
      <c r="I493" s="161"/>
    </row>
    <row r="494" spans="1:9" ht="15" customHeight="1" x14ac:dyDescent="0.25">
      <c r="A494" s="456" t="s">
        <v>1145</v>
      </c>
      <c r="B494" s="457"/>
      <c r="C494" s="457"/>
      <c r="D494" s="457"/>
      <c r="E494" s="457"/>
      <c r="F494" s="457"/>
      <c r="G494" s="457"/>
      <c r="H494" s="457"/>
      <c r="I494" s="161"/>
    </row>
    <row r="495" spans="1:9" ht="12.95" customHeight="1" x14ac:dyDescent="0.25">
      <c r="A495" s="450" t="s">
        <v>1110</v>
      </c>
      <c r="B495" s="451"/>
      <c r="C495" s="119"/>
      <c r="D495" s="119" t="s">
        <v>984</v>
      </c>
      <c r="E495" s="162"/>
      <c r="F495" s="162"/>
      <c r="G495" s="162"/>
      <c r="H495" s="162"/>
      <c r="I495" s="161"/>
    </row>
    <row r="496" spans="1:9" ht="15" customHeight="1" x14ac:dyDescent="0.25">
      <c r="A496" s="163" t="s">
        <v>1146</v>
      </c>
      <c r="B496" s="120" t="s">
        <v>1147</v>
      </c>
      <c r="C496" s="227">
        <v>11.79</v>
      </c>
      <c r="D496" s="228">
        <f>ROUND(11.79,2)</f>
        <v>11.79</v>
      </c>
      <c r="E496" s="162"/>
      <c r="F496" s="162"/>
      <c r="G496" s="162"/>
      <c r="H496" s="162"/>
      <c r="I496" s="161"/>
    </row>
    <row r="497" spans="1:9" ht="9.9499999999999993" customHeight="1" x14ac:dyDescent="0.25">
      <c r="A497" s="164" t="s">
        <v>1110</v>
      </c>
      <c r="B497" s="121"/>
      <c r="C497" s="122"/>
      <c r="D497" s="123">
        <f>ROUND(SUM(D496:D496),2)</f>
        <v>11.79</v>
      </c>
      <c r="E497" s="162"/>
      <c r="F497" s="162"/>
      <c r="G497" s="162"/>
      <c r="H497" s="162"/>
      <c r="I497" s="161"/>
    </row>
    <row r="498" spans="1:9" ht="15" customHeight="1" x14ac:dyDescent="0.25">
      <c r="A498" s="452"/>
      <c r="B498" s="453"/>
      <c r="C498" s="453"/>
      <c r="D498" s="162"/>
      <c r="E498" s="162"/>
      <c r="F498" s="162"/>
      <c r="G498" s="162"/>
      <c r="H498" s="162"/>
      <c r="I498" s="161"/>
    </row>
    <row r="499" spans="1:9" ht="12.95" customHeight="1" x14ac:dyDescent="0.25">
      <c r="A499" s="450" t="s">
        <v>1142</v>
      </c>
      <c r="B499" s="451"/>
      <c r="C499" s="119"/>
      <c r="D499" s="119" t="s">
        <v>984</v>
      </c>
      <c r="E499" s="162"/>
      <c r="F499" s="162"/>
      <c r="G499" s="162"/>
      <c r="H499" s="162"/>
      <c r="I499" s="161"/>
    </row>
    <row r="500" spans="1:9" ht="15" customHeight="1" x14ac:dyDescent="0.25">
      <c r="A500" s="163" t="s">
        <v>1146</v>
      </c>
      <c r="B500" s="120" t="s">
        <v>1148</v>
      </c>
      <c r="C500" s="227">
        <v>13.48</v>
      </c>
      <c r="D500" s="228">
        <f>ROUND(13.48,2)</f>
        <v>13.48</v>
      </c>
      <c r="E500" s="162"/>
      <c r="F500" s="162"/>
      <c r="G500" s="162"/>
      <c r="H500" s="162"/>
      <c r="I500" s="161"/>
    </row>
    <row r="501" spans="1:9" ht="9.9499999999999993" customHeight="1" x14ac:dyDescent="0.25">
      <c r="A501" s="164" t="s">
        <v>1142</v>
      </c>
      <c r="B501" s="121"/>
      <c r="C501" s="122"/>
      <c r="D501" s="123">
        <f>ROUND(SUM(D500:D500),2)</f>
        <v>13.48</v>
      </c>
      <c r="E501" s="162"/>
      <c r="F501" s="162"/>
      <c r="G501" s="162"/>
      <c r="H501" s="162"/>
      <c r="I501" s="161"/>
    </row>
    <row r="502" spans="1:9" ht="15" customHeight="1" x14ac:dyDescent="0.25">
      <c r="A502" s="452"/>
      <c r="B502" s="453"/>
      <c r="C502" s="453"/>
      <c r="D502" s="162"/>
      <c r="E502" s="162"/>
      <c r="F502" s="162"/>
      <c r="G502" s="162"/>
      <c r="H502" s="162"/>
      <c r="I502" s="161"/>
    </row>
    <row r="503" spans="1:9" ht="12.95" customHeight="1" x14ac:dyDescent="0.25">
      <c r="A503" s="450" t="s">
        <v>1115</v>
      </c>
      <c r="B503" s="451"/>
      <c r="C503" s="119"/>
      <c r="D503" s="119" t="s">
        <v>984</v>
      </c>
      <c r="E503" s="162"/>
      <c r="F503" s="162"/>
      <c r="G503" s="162"/>
      <c r="H503" s="162"/>
      <c r="I503" s="161"/>
    </row>
    <row r="504" spans="1:9" ht="15" customHeight="1" x14ac:dyDescent="0.25">
      <c r="A504" s="163" t="s">
        <v>1146</v>
      </c>
      <c r="B504" s="120" t="s">
        <v>1149</v>
      </c>
      <c r="C504" s="227">
        <v>14.26</v>
      </c>
      <c r="D504" s="228">
        <f>ROUND(14.26,2)</f>
        <v>14.26</v>
      </c>
      <c r="E504" s="162"/>
      <c r="F504" s="162"/>
      <c r="G504" s="162"/>
      <c r="H504" s="162"/>
      <c r="I504" s="161"/>
    </row>
    <row r="505" spans="1:9" ht="9.9499999999999993" customHeight="1" x14ac:dyDescent="0.25">
      <c r="A505" s="164" t="s">
        <v>1115</v>
      </c>
      <c r="B505" s="121"/>
      <c r="C505" s="122"/>
      <c r="D505" s="123">
        <f>ROUND(SUM(D504:D504),2)</f>
        <v>14.26</v>
      </c>
      <c r="E505" s="162"/>
      <c r="F505" s="162"/>
      <c r="G505" s="162"/>
      <c r="H505" s="162"/>
      <c r="I505" s="161"/>
    </row>
    <row r="506" spans="1:9" ht="15" customHeight="1" x14ac:dyDescent="0.25">
      <c r="A506" s="452"/>
      <c r="B506" s="453"/>
      <c r="C506" s="453"/>
      <c r="D506" s="162"/>
      <c r="E506" s="162"/>
      <c r="F506" s="162"/>
      <c r="G506" s="162"/>
      <c r="H506" s="162"/>
      <c r="I506" s="161"/>
    </row>
    <row r="507" spans="1:9" ht="12.95" customHeight="1" x14ac:dyDescent="0.25">
      <c r="A507" s="450" t="s">
        <v>1116</v>
      </c>
      <c r="B507" s="451"/>
      <c r="C507" s="119"/>
      <c r="D507" s="119" t="s">
        <v>984</v>
      </c>
      <c r="E507" s="162"/>
      <c r="F507" s="162"/>
      <c r="G507" s="162"/>
      <c r="H507" s="162"/>
      <c r="I507" s="161"/>
    </row>
    <row r="508" spans="1:9" ht="15" customHeight="1" x14ac:dyDescent="0.25">
      <c r="A508" s="163" t="s">
        <v>1146</v>
      </c>
      <c r="B508" s="120" t="s">
        <v>1150</v>
      </c>
      <c r="C508" s="227">
        <v>14.4</v>
      </c>
      <c r="D508" s="228">
        <f>ROUND(14.4,2)</f>
        <v>14.4</v>
      </c>
      <c r="E508" s="162"/>
      <c r="F508" s="162"/>
      <c r="G508" s="162"/>
      <c r="H508" s="162"/>
      <c r="I508" s="161"/>
    </row>
    <row r="509" spans="1:9" ht="9.9499999999999993" customHeight="1" x14ac:dyDescent="0.25">
      <c r="A509" s="164" t="s">
        <v>1116</v>
      </c>
      <c r="B509" s="121"/>
      <c r="C509" s="122"/>
      <c r="D509" s="123">
        <f>ROUND(SUM(D508:D508),2)</f>
        <v>14.4</v>
      </c>
      <c r="E509" s="162"/>
      <c r="F509" s="162"/>
      <c r="G509" s="162"/>
      <c r="H509" s="162"/>
      <c r="I509" s="161"/>
    </row>
    <row r="510" spans="1:9" ht="12" customHeight="1" x14ac:dyDescent="0.25">
      <c r="A510" s="452"/>
      <c r="B510" s="453"/>
      <c r="C510" s="453"/>
      <c r="D510" s="162"/>
      <c r="E510" s="162"/>
      <c r="F510" s="162"/>
      <c r="G510" s="162"/>
      <c r="H510" s="162"/>
      <c r="I510" s="161"/>
    </row>
    <row r="511" spans="1:9" ht="9.9499999999999993" customHeight="1" x14ac:dyDescent="0.25">
      <c r="A511" s="165"/>
      <c r="B511" s="162"/>
      <c r="C511" s="162"/>
      <c r="D511" s="458" t="str">
        <f>"TOTAL DA MEMÓRIA DE CÁLCULO: "&amp;TEXT(ROUND(SUM(D497,D501,D505,D509),2),"0,00")</f>
        <v>TOTAL DA MEMÓRIA DE CÁLCULO: 53,93</v>
      </c>
      <c r="E511" s="458"/>
      <c r="F511" s="458"/>
      <c r="G511" s="458"/>
      <c r="H511" s="458"/>
      <c r="I511" s="161"/>
    </row>
    <row r="512" spans="1:9" ht="20.100000000000001" customHeight="1" x14ac:dyDescent="0.25">
      <c r="A512" s="452"/>
      <c r="B512" s="453"/>
      <c r="C512" s="453"/>
      <c r="D512" s="453"/>
      <c r="E512" s="162"/>
      <c r="F512" s="162"/>
      <c r="G512" s="162"/>
      <c r="H512" s="162"/>
      <c r="I512" s="161"/>
    </row>
    <row r="513" spans="1:9" ht="15" customHeight="1" x14ac:dyDescent="0.25">
      <c r="A513" s="456" t="s">
        <v>1151</v>
      </c>
      <c r="B513" s="457"/>
      <c r="C513" s="457"/>
      <c r="D513" s="457"/>
      <c r="E513" s="457"/>
      <c r="F513" s="457"/>
      <c r="G513" s="457"/>
      <c r="H513" s="457"/>
      <c r="I513" s="161"/>
    </row>
    <row r="514" spans="1:9" ht="12.95" customHeight="1" x14ac:dyDescent="0.25">
      <c r="A514" s="450"/>
      <c r="B514" s="451"/>
      <c r="C514" s="119" t="s">
        <v>1078</v>
      </c>
      <c r="D514" s="119" t="s">
        <v>1059</v>
      </c>
      <c r="E514" s="119" t="s">
        <v>984</v>
      </c>
      <c r="F514" s="162"/>
      <c r="G514" s="162"/>
      <c r="H514" s="162"/>
      <c r="I514" s="161"/>
    </row>
    <row r="515" spans="1:9" ht="12.95" customHeight="1" x14ac:dyDescent="0.25">
      <c r="A515" s="163" t="s">
        <v>1152</v>
      </c>
      <c r="B515" s="120" t="s">
        <v>1153</v>
      </c>
      <c r="C515" s="227">
        <v>2</v>
      </c>
      <c r="D515" s="227">
        <v>0.8</v>
      </c>
      <c r="E515" s="228">
        <f>ROUND(C515*D515,2)</f>
        <v>1.6</v>
      </c>
      <c r="F515" s="162"/>
      <c r="G515" s="162"/>
      <c r="H515" s="162"/>
      <c r="I515" s="161"/>
    </row>
    <row r="516" spans="1:9" ht="12.95" customHeight="1" x14ac:dyDescent="0.25">
      <c r="A516" s="163" t="s">
        <v>1154</v>
      </c>
      <c r="B516" s="120" t="s">
        <v>1153</v>
      </c>
      <c r="C516" s="227">
        <v>1</v>
      </c>
      <c r="D516" s="227">
        <v>0.7</v>
      </c>
      <c r="E516" s="228">
        <f>ROUND(C516*D516,2)</f>
        <v>0.7</v>
      </c>
      <c r="F516" s="162"/>
      <c r="G516" s="162"/>
      <c r="H516" s="162"/>
      <c r="I516" s="161"/>
    </row>
    <row r="517" spans="1:9" ht="12.95" customHeight="1" x14ac:dyDescent="0.25">
      <c r="A517" s="163" t="s">
        <v>1155</v>
      </c>
      <c r="B517" s="120" t="s">
        <v>1153</v>
      </c>
      <c r="C517" s="227">
        <v>1</v>
      </c>
      <c r="D517" s="227">
        <v>0.6</v>
      </c>
      <c r="E517" s="228">
        <f>ROUND(C517*D517,2)</f>
        <v>0.6</v>
      </c>
      <c r="F517" s="162"/>
      <c r="G517" s="162"/>
      <c r="H517" s="162"/>
      <c r="I517" s="161"/>
    </row>
    <row r="518" spans="1:9" ht="12.95" customHeight="1" x14ac:dyDescent="0.25">
      <c r="A518" s="163" t="s">
        <v>1156</v>
      </c>
      <c r="B518" s="120" t="s">
        <v>1153</v>
      </c>
      <c r="C518" s="227">
        <v>1</v>
      </c>
      <c r="D518" s="227">
        <v>1</v>
      </c>
      <c r="E518" s="228">
        <f>ROUND(C518*D518,2)</f>
        <v>1</v>
      </c>
      <c r="F518" s="162"/>
      <c r="G518" s="162"/>
      <c r="H518" s="162"/>
      <c r="I518" s="161"/>
    </row>
    <row r="519" spans="1:9" ht="15" customHeight="1" x14ac:dyDescent="0.25">
      <c r="A519" s="163" t="s">
        <v>1157</v>
      </c>
      <c r="B519" s="120" t="s">
        <v>1153</v>
      </c>
      <c r="C519" s="227">
        <v>1</v>
      </c>
      <c r="D519" s="227">
        <v>1.6</v>
      </c>
      <c r="E519" s="228">
        <f>ROUND(C519*D519,2)</f>
        <v>1.6</v>
      </c>
      <c r="F519" s="162"/>
      <c r="G519" s="162"/>
      <c r="H519" s="162"/>
      <c r="I519" s="161"/>
    </row>
    <row r="520" spans="1:9" ht="9.9499999999999993" customHeight="1" x14ac:dyDescent="0.25">
      <c r="A520" s="164"/>
      <c r="B520" s="121"/>
      <c r="C520" s="122"/>
      <c r="D520" s="122"/>
      <c r="E520" s="123">
        <f>ROUND(SUM(E515:E519),2)</f>
        <v>5.5</v>
      </c>
      <c r="F520" s="162"/>
      <c r="G520" s="162"/>
      <c r="H520" s="162"/>
      <c r="I520" s="161"/>
    </row>
    <row r="521" spans="1:9" ht="12" customHeight="1" x14ac:dyDescent="0.25">
      <c r="A521" s="452"/>
      <c r="B521" s="453"/>
      <c r="C521" s="453"/>
      <c r="D521" s="162"/>
      <c r="E521" s="162"/>
      <c r="F521" s="162"/>
      <c r="G521" s="162"/>
      <c r="H521" s="162"/>
      <c r="I521" s="161"/>
    </row>
    <row r="522" spans="1:9" ht="9.9499999999999993" customHeight="1" x14ac:dyDescent="0.25">
      <c r="A522" s="165"/>
      <c r="B522" s="162"/>
      <c r="C522" s="162"/>
      <c r="D522" s="458" t="str">
        <f>"TOTAL DA MEMÓRIA DE CÁLCULO: "&amp;TEXT(ROUND(SUM(E520),2),"0,00")</f>
        <v>TOTAL DA MEMÓRIA DE CÁLCULO: 5,50</v>
      </c>
      <c r="E522" s="458"/>
      <c r="F522" s="458"/>
      <c r="G522" s="458"/>
      <c r="H522" s="458"/>
      <c r="I522" s="161"/>
    </row>
    <row r="523" spans="1:9" ht="20.100000000000001" customHeight="1" x14ac:dyDescent="0.25">
      <c r="A523" s="452"/>
      <c r="B523" s="453"/>
      <c r="C523" s="453"/>
      <c r="D523" s="453"/>
      <c r="E523" s="162"/>
      <c r="F523" s="162"/>
      <c r="G523" s="162"/>
      <c r="H523" s="162"/>
      <c r="I523" s="161"/>
    </row>
    <row r="524" spans="1:9" ht="15" customHeight="1" x14ac:dyDescent="0.25">
      <c r="A524" s="456" t="s">
        <v>1158</v>
      </c>
      <c r="B524" s="457"/>
      <c r="C524" s="457"/>
      <c r="D524" s="457"/>
      <c r="E524" s="457"/>
      <c r="F524" s="457"/>
      <c r="G524" s="457"/>
      <c r="H524" s="457"/>
      <c r="I524" s="161"/>
    </row>
    <row r="525" spans="1:9" ht="18.95" customHeight="1" x14ac:dyDescent="0.25">
      <c r="A525" s="450"/>
      <c r="B525" s="451"/>
      <c r="C525" s="119"/>
      <c r="D525" s="119" t="s">
        <v>984</v>
      </c>
      <c r="E525" s="162"/>
      <c r="F525" s="162"/>
      <c r="G525" s="162"/>
      <c r="H525" s="162"/>
      <c r="I525" s="161"/>
    </row>
    <row r="526" spans="1:9" ht="15" customHeight="1" x14ac:dyDescent="0.25">
      <c r="A526" s="163" t="s">
        <v>1159</v>
      </c>
      <c r="B526" s="120" t="s">
        <v>1160</v>
      </c>
      <c r="C526" s="227">
        <v>14.43</v>
      </c>
      <c r="D526" s="228">
        <f>ROUND(14.43,2)</f>
        <v>14.43</v>
      </c>
      <c r="E526" s="162"/>
      <c r="F526" s="162"/>
      <c r="G526" s="162"/>
      <c r="H526" s="162"/>
      <c r="I526" s="161"/>
    </row>
    <row r="527" spans="1:9" ht="9.9499999999999993" customHeight="1" x14ac:dyDescent="0.25">
      <c r="A527" s="164"/>
      <c r="B527" s="121"/>
      <c r="C527" s="122"/>
      <c r="D527" s="123">
        <f>ROUND(SUM(D526:D526),2)</f>
        <v>14.43</v>
      </c>
      <c r="E527" s="162"/>
      <c r="F527" s="162"/>
      <c r="G527" s="162"/>
      <c r="H527" s="162"/>
      <c r="I527" s="161"/>
    </row>
    <row r="528" spans="1:9" ht="12" customHeight="1" x14ac:dyDescent="0.25">
      <c r="A528" s="452"/>
      <c r="B528" s="453"/>
      <c r="C528" s="453"/>
      <c r="D528" s="162"/>
      <c r="E528" s="162"/>
      <c r="F528" s="162"/>
      <c r="G528" s="162"/>
      <c r="H528" s="162"/>
      <c r="I528" s="161"/>
    </row>
    <row r="529" spans="1:9" ht="9.9499999999999993" customHeight="1" x14ac:dyDescent="0.25">
      <c r="A529" s="165"/>
      <c r="B529" s="162"/>
      <c r="C529" s="162"/>
      <c r="D529" s="458" t="str">
        <f>"TOTAL DA MEMÓRIA DE CÁLCULO: "&amp;TEXT(ROUND(SUM(D527),2),"0,00")</f>
        <v>TOTAL DA MEMÓRIA DE CÁLCULO: 14,43</v>
      </c>
      <c r="E529" s="458"/>
      <c r="F529" s="458"/>
      <c r="G529" s="458"/>
      <c r="H529" s="458"/>
      <c r="I529" s="161"/>
    </row>
    <row r="530" spans="1:9" ht="20.100000000000001" customHeight="1" x14ac:dyDescent="0.25">
      <c r="A530" s="452"/>
      <c r="B530" s="453"/>
      <c r="C530" s="453"/>
      <c r="D530" s="453"/>
      <c r="E530" s="162"/>
      <c r="F530" s="162"/>
      <c r="G530" s="162"/>
      <c r="H530" s="162"/>
      <c r="I530" s="161"/>
    </row>
    <row r="531" spans="1:9" ht="15" customHeight="1" x14ac:dyDescent="0.25">
      <c r="A531" s="456" t="s">
        <v>1161</v>
      </c>
      <c r="B531" s="457"/>
      <c r="C531" s="457"/>
      <c r="D531" s="457"/>
      <c r="E531" s="457"/>
      <c r="F531" s="457"/>
      <c r="G531" s="457"/>
      <c r="H531" s="457"/>
      <c r="I531" s="161"/>
    </row>
    <row r="532" spans="1:9" ht="12.95" customHeight="1" x14ac:dyDescent="0.25">
      <c r="A532" s="450"/>
      <c r="B532" s="451"/>
      <c r="C532" s="119"/>
      <c r="D532" s="119" t="s">
        <v>984</v>
      </c>
      <c r="E532" s="162"/>
      <c r="F532" s="162"/>
      <c r="G532" s="162"/>
      <c r="H532" s="162"/>
      <c r="I532" s="161"/>
    </row>
    <row r="533" spans="1:9" ht="6" customHeight="1" x14ac:dyDescent="0.25">
      <c r="A533" s="163" t="s">
        <v>1045</v>
      </c>
      <c r="B533" s="120" t="s">
        <v>1162</v>
      </c>
      <c r="C533" s="459">
        <v>115.92</v>
      </c>
      <c r="D533" s="460">
        <f>ROUND(115.92,2)</f>
        <v>115.92</v>
      </c>
      <c r="E533" s="162"/>
      <c r="F533" s="162"/>
      <c r="G533" s="162"/>
      <c r="H533" s="162"/>
      <c r="I533" s="161"/>
    </row>
    <row r="534" spans="1:9" ht="15" customHeight="1" x14ac:dyDescent="0.25">
      <c r="A534" s="166"/>
      <c r="B534" s="124"/>
      <c r="C534" s="459"/>
      <c r="D534" s="460"/>
      <c r="E534" s="162"/>
      <c r="F534" s="162"/>
      <c r="G534" s="162"/>
      <c r="H534" s="162"/>
      <c r="I534" s="161"/>
    </row>
    <row r="535" spans="1:9" ht="9.9499999999999993" customHeight="1" x14ac:dyDescent="0.25">
      <c r="A535" s="164"/>
      <c r="B535" s="121"/>
      <c r="C535" s="122"/>
      <c r="D535" s="123">
        <f>ROUND(SUM(D533:D534),2)</f>
        <v>115.92</v>
      </c>
      <c r="E535" s="162"/>
      <c r="F535" s="162"/>
      <c r="G535" s="162"/>
      <c r="H535" s="162"/>
      <c r="I535" s="161"/>
    </row>
    <row r="536" spans="1:9" ht="12" customHeight="1" x14ac:dyDescent="0.25">
      <c r="A536" s="452"/>
      <c r="B536" s="453"/>
      <c r="C536" s="453"/>
      <c r="D536" s="162"/>
      <c r="E536" s="162"/>
      <c r="F536" s="162"/>
      <c r="G536" s="162"/>
      <c r="H536" s="162"/>
      <c r="I536" s="161"/>
    </row>
    <row r="537" spans="1:9" ht="9.9499999999999993" customHeight="1" x14ac:dyDescent="0.25">
      <c r="A537" s="165"/>
      <c r="B537" s="162"/>
      <c r="C537" s="162"/>
      <c r="D537" s="458" t="str">
        <f>"TOTAL DA MEMÓRIA DE CÁLCULO: "&amp;TEXT(ROUND(SUM(D535),2),"0,00")</f>
        <v>TOTAL DA MEMÓRIA DE CÁLCULO: 115,92</v>
      </c>
      <c r="E537" s="458"/>
      <c r="F537" s="458"/>
      <c r="G537" s="458"/>
      <c r="H537" s="458"/>
      <c r="I537" s="161"/>
    </row>
    <row r="538" spans="1:9" ht="54.95" customHeight="1" x14ac:dyDescent="0.25">
      <c r="A538" s="452"/>
      <c r="B538" s="453"/>
      <c r="C538" s="453"/>
      <c r="D538" s="453"/>
      <c r="E538" s="162"/>
      <c r="F538" s="162"/>
      <c r="G538" s="162"/>
      <c r="H538" s="162"/>
      <c r="I538" s="161"/>
    </row>
    <row r="539" spans="1:9" ht="15" customHeight="1" x14ac:dyDescent="0.25">
      <c r="A539" s="456" t="s">
        <v>1163</v>
      </c>
      <c r="B539" s="457"/>
      <c r="C539" s="457"/>
      <c r="D539" s="457"/>
      <c r="E539" s="457"/>
      <c r="F539" s="457"/>
      <c r="G539" s="457"/>
      <c r="H539" s="457"/>
      <c r="I539" s="161"/>
    </row>
    <row r="540" spans="1:9" ht="12.95" customHeight="1" x14ac:dyDescent="0.25">
      <c r="A540" s="450"/>
      <c r="B540" s="451"/>
      <c r="C540" s="119"/>
      <c r="D540" s="119" t="s">
        <v>984</v>
      </c>
      <c r="E540" s="162"/>
      <c r="F540" s="162"/>
      <c r="G540" s="162"/>
      <c r="H540" s="162"/>
      <c r="I540" s="161"/>
    </row>
    <row r="541" spans="1:9" ht="6" customHeight="1" x14ac:dyDescent="0.25">
      <c r="A541" s="163" t="s">
        <v>1045</v>
      </c>
      <c r="B541" s="120" t="s">
        <v>1162</v>
      </c>
      <c r="C541" s="459">
        <v>115.92</v>
      </c>
      <c r="D541" s="460">
        <f>ROUND(115.92,2)</f>
        <v>115.92</v>
      </c>
      <c r="E541" s="162"/>
      <c r="F541" s="162"/>
      <c r="G541" s="162"/>
      <c r="H541" s="162"/>
      <c r="I541" s="161"/>
    </row>
    <row r="542" spans="1:9" ht="15" customHeight="1" x14ac:dyDescent="0.25">
      <c r="A542" s="166"/>
      <c r="B542" s="124"/>
      <c r="C542" s="459"/>
      <c r="D542" s="460"/>
      <c r="E542" s="162"/>
      <c r="F542" s="162"/>
      <c r="G542" s="162"/>
      <c r="H542" s="162"/>
      <c r="I542" s="161"/>
    </row>
    <row r="543" spans="1:9" ht="9.9499999999999993" customHeight="1" x14ac:dyDescent="0.25">
      <c r="A543" s="164"/>
      <c r="B543" s="121"/>
      <c r="C543" s="122"/>
      <c r="D543" s="123">
        <f>ROUND(SUM(D541:D542),2)</f>
        <v>115.92</v>
      </c>
      <c r="E543" s="162"/>
      <c r="F543" s="162"/>
      <c r="G543" s="162"/>
      <c r="H543" s="162"/>
      <c r="I543" s="161"/>
    </row>
    <row r="544" spans="1:9" ht="12" customHeight="1" x14ac:dyDescent="0.25">
      <c r="A544" s="452"/>
      <c r="B544" s="453"/>
      <c r="C544" s="453"/>
      <c r="D544" s="162"/>
      <c r="E544" s="162"/>
      <c r="F544" s="162"/>
      <c r="G544" s="162"/>
      <c r="H544" s="162"/>
      <c r="I544" s="161"/>
    </row>
    <row r="545" spans="1:9" ht="9.9499999999999993" customHeight="1" x14ac:dyDescent="0.25">
      <c r="A545" s="165"/>
      <c r="B545" s="162"/>
      <c r="C545" s="162"/>
      <c r="D545" s="458" t="str">
        <f>"TOTAL DA MEMÓRIA DE CÁLCULO: "&amp;TEXT(ROUND(SUM(D543),2),"0,00")</f>
        <v>TOTAL DA MEMÓRIA DE CÁLCULO: 115,92</v>
      </c>
      <c r="E545" s="458"/>
      <c r="F545" s="458"/>
      <c r="G545" s="458"/>
      <c r="H545" s="458"/>
      <c r="I545" s="161"/>
    </row>
    <row r="546" spans="1:9" ht="30.95" customHeight="1" x14ac:dyDescent="0.25">
      <c r="A546" s="452"/>
      <c r="B546" s="453"/>
      <c r="C546" s="453"/>
      <c r="D546" s="453"/>
      <c r="E546" s="162"/>
      <c r="F546" s="162"/>
      <c r="G546" s="162"/>
      <c r="H546" s="162"/>
      <c r="I546" s="161"/>
    </row>
    <row r="547" spans="1:9" ht="15" customHeight="1" x14ac:dyDescent="0.25">
      <c r="A547" s="456" t="s">
        <v>1164</v>
      </c>
      <c r="B547" s="457"/>
      <c r="C547" s="457"/>
      <c r="D547" s="457"/>
      <c r="E547" s="457"/>
      <c r="F547" s="457"/>
      <c r="G547" s="457"/>
      <c r="H547" s="457"/>
      <c r="I547" s="161"/>
    </row>
    <row r="548" spans="1:9" ht="27" customHeight="1" x14ac:dyDescent="0.25">
      <c r="A548" s="450"/>
      <c r="B548" s="451"/>
      <c r="C548" s="119"/>
      <c r="D548" s="119" t="s">
        <v>984</v>
      </c>
      <c r="E548" s="162"/>
      <c r="F548" s="162"/>
      <c r="G548" s="162"/>
      <c r="H548" s="162"/>
      <c r="I548" s="161"/>
    </row>
    <row r="549" spans="1:9" ht="15" customHeight="1" x14ac:dyDescent="0.25">
      <c r="A549" s="163" t="s">
        <v>1165</v>
      </c>
      <c r="B549" s="120" t="s">
        <v>1166</v>
      </c>
      <c r="C549" s="227">
        <v>113.92</v>
      </c>
      <c r="D549" s="228">
        <f>ROUND(113.92,2)</f>
        <v>113.92</v>
      </c>
      <c r="E549" s="162"/>
      <c r="F549" s="162"/>
      <c r="G549" s="162"/>
      <c r="H549" s="162"/>
      <c r="I549" s="161"/>
    </row>
    <row r="550" spans="1:9" ht="9.9499999999999993" customHeight="1" x14ac:dyDescent="0.25">
      <c r="A550" s="164"/>
      <c r="B550" s="121"/>
      <c r="C550" s="122"/>
      <c r="D550" s="123">
        <f>ROUND(SUM(D549:D549),2)</f>
        <v>113.92</v>
      </c>
      <c r="E550" s="162"/>
      <c r="F550" s="162"/>
      <c r="G550" s="162"/>
      <c r="H550" s="162"/>
      <c r="I550" s="161"/>
    </row>
    <row r="551" spans="1:9" ht="12" customHeight="1" x14ac:dyDescent="0.25">
      <c r="A551" s="452"/>
      <c r="B551" s="453"/>
      <c r="C551" s="453"/>
      <c r="D551" s="162"/>
      <c r="E551" s="162"/>
      <c r="F551" s="162"/>
      <c r="G551" s="162"/>
      <c r="H551" s="162"/>
      <c r="I551" s="161"/>
    </row>
    <row r="552" spans="1:9" ht="9.9499999999999993" customHeight="1" x14ac:dyDescent="0.25">
      <c r="A552" s="165"/>
      <c r="B552" s="162"/>
      <c r="C552" s="162"/>
      <c r="D552" s="458" t="str">
        <f>"TOTAL DA MEMÓRIA DE CÁLCULO: "&amp;TEXT(ROUND(SUM(D550),2),"0,00")</f>
        <v>TOTAL DA MEMÓRIA DE CÁLCULO: 113,92</v>
      </c>
      <c r="E552" s="458"/>
      <c r="F552" s="458"/>
      <c r="G552" s="458"/>
      <c r="H552" s="458"/>
      <c r="I552" s="161"/>
    </row>
    <row r="553" spans="1:9" ht="20.100000000000001" customHeight="1" x14ac:dyDescent="0.25">
      <c r="A553" s="452"/>
      <c r="B553" s="453"/>
      <c r="C553" s="453"/>
      <c r="D553" s="453"/>
      <c r="E553" s="162"/>
      <c r="F553" s="162"/>
      <c r="G553" s="162"/>
      <c r="H553" s="162"/>
      <c r="I553" s="161"/>
    </row>
    <row r="554" spans="1:9" ht="9.9499999999999993" customHeight="1" x14ac:dyDescent="0.25">
      <c r="A554" s="456" t="s">
        <v>1167</v>
      </c>
      <c r="B554" s="457"/>
      <c r="C554" s="457"/>
      <c r="D554" s="457"/>
      <c r="E554" s="457"/>
      <c r="F554" s="457"/>
      <c r="G554" s="457"/>
      <c r="H554" s="457"/>
      <c r="I554" s="161"/>
    </row>
    <row r="555" spans="1:9" ht="30.95" customHeight="1" x14ac:dyDescent="0.25">
      <c r="A555" s="452"/>
      <c r="B555" s="453"/>
      <c r="C555" s="453"/>
      <c r="D555" s="162"/>
      <c r="E555" s="162"/>
      <c r="F555" s="162"/>
      <c r="G555" s="162"/>
      <c r="H555" s="162"/>
      <c r="I555" s="161"/>
    </row>
    <row r="556" spans="1:9" ht="15" customHeight="1" x14ac:dyDescent="0.25">
      <c r="A556" s="456" t="s">
        <v>1168</v>
      </c>
      <c r="B556" s="457"/>
      <c r="C556" s="457"/>
      <c r="D556" s="457"/>
      <c r="E556" s="457"/>
      <c r="F556" s="457"/>
      <c r="G556" s="457"/>
      <c r="H556" s="457"/>
      <c r="I556" s="161"/>
    </row>
    <row r="557" spans="1:9" ht="12.95" customHeight="1" x14ac:dyDescent="0.25">
      <c r="A557" s="450" t="s">
        <v>1121</v>
      </c>
      <c r="B557" s="451"/>
      <c r="C557" s="119"/>
      <c r="D557" s="119" t="s">
        <v>984</v>
      </c>
      <c r="E557" s="162"/>
      <c r="F557" s="162"/>
      <c r="G557" s="162"/>
      <c r="H557" s="162"/>
      <c r="I557" s="161"/>
    </row>
    <row r="558" spans="1:9" ht="15" customHeight="1" x14ac:dyDescent="0.25">
      <c r="A558" s="163" t="s">
        <v>1169</v>
      </c>
      <c r="B558" s="120" t="s">
        <v>1134</v>
      </c>
      <c r="C558" s="227">
        <v>3.56</v>
      </c>
      <c r="D558" s="228">
        <f>ROUND(3.56,2)</f>
        <v>3.56</v>
      </c>
      <c r="E558" s="162"/>
      <c r="F558" s="162"/>
      <c r="G558" s="162"/>
      <c r="H558" s="162"/>
      <c r="I558" s="161"/>
    </row>
    <row r="559" spans="1:9" ht="9.9499999999999993" customHeight="1" x14ac:dyDescent="0.25">
      <c r="A559" s="164" t="s">
        <v>1121</v>
      </c>
      <c r="B559" s="121"/>
      <c r="C559" s="122"/>
      <c r="D559" s="123">
        <f>ROUND(SUM(D558:D558),2)</f>
        <v>3.56</v>
      </c>
      <c r="E559" s="162"/>
      <c r="F559" s="162"/>
      <c r="G559" s="162"/>
      <c r="H559" s="162"/>
      <c r="I559" s="161"/>
    </row>
    <row r="560" spans="1:9" ht="15" customHeight="1" x14ac:dyDescent="0.25">
      <c r="A560" s="452"/>
      <c r="B560" s="453"/>
      <c r="C560" s="453"/>
      <c r="D560" s="162"/>
      <c r="E560" s="162"/>
      <c r="F560" s="162"/>
      <c r="G560" s="162"/>
      <c r="H560" s="162"/>
      <c r="I560" s="161"/>
    </row>
    <row r="561" spans="1:9" ht="12.95" customHeight="1" x14ac:dyDescent="0.25">
      <c r="A561" s="450" t="s">
        <v>1119</v>
      </c>
      <c r="B561" s="451"/>
      <c r="C561" s="119"/>
      <c r="D561" s="119" t="s">
        <v>984</v>
      </c>
      <c r="E561" s="162"/>
      <c r="F561" s="162"/>
      <c r="G561" s="162"/>
      <c r="H561" s="162"/>
      <c r="I561" s="161"/>
    </row>
    <row r="562" spans="1:9" ht="15" customHeight="1" x14ac:dyDescent="0.25">
      <c r="A562" s="163" t="s">
        <v>1169</v>
      </c>
      <c r="B562" s="120" t="s">
        <v>1135</v>
      </c>
      <c r="C562" s="227">
        <v>2.7</v>
      </c>
      <c r="D562" s="228">
        <f>ROUND(2.7,2)</f>
        <v>2.7</v>
      </c>
      <c r="E562" s="162"/>
      <c r="F562" s="162"/>
      <c r="G562" s="162"/>
      <c r="H562" s="162"/>
      <c r="I562" s="161"/>
    </row>
    <row r="563" spans="1:9" ht="9.9499999999999993" customHeight="1" x14ac:dyDescent="0.25">
      <c r="A563" s="164" t="s">
        <v>1119</v>
      </c>
      <c r="B563" s="121"/>
      <c r="C563" s="122"/>
      <c r="D563" s="123">
        <f>ROUND(SUM(D562:D562),2)</f>
        <v>2.7</v>
      </c>
      <c r="E563" s="162"/>
      <c r="F563" s="162"/>
      <c r="G563" s="162"/>
      <c r="H563" s="162"/>
      <c r="I563" s="161"/>
    </row>
    <row r="564" spans="1:9" ht="15" customHeight="1" x14ac:dyDescent="0.25">
      <c r="A564" s="452"/>
      <c r="B564" s="453"/>
      <c r="C564" s="453"/>
      <c r="D564" s="162"/>
      <c r="E564" s="162"/>
      <c r="F564" s="162"/>
      <c r="G564" s="162"/>
      <c r="H564" s="162"/>
      <c r="I564" s="161"/>
    </row>
    <row r="565" spans="1:9" ht="12.95" customHeight="1" x14ac:dyDescent="0.25">
      <c r="A565" s="450" t="s">
        <v>1136</v>
      </c>
      <c r="B565" s="451"/>
      <c r="C565" s="119"/>
      <c r="D565" s="119" t="s">
        <v>984</v>
      </c>
      <c r="E565" s="162"/>
      <c r="F565" s="162"/>
      <c r="G565" s="162"/>
      <c r="H565" s="162"/>
      <c r="I565" s="161"/>
    </row>
    <row r="566" spans="1:9" ht="12.95" customHeight="1" x14ac:dyDescent="0.25">
      <c r="A566" s="163" t="s">
        <v>1170</v>
      </c>
      <c r="B566" s="120" t="s">
        <v>1138</v>
      </c>
      <c r="C566" s="227">
        <v>2.27</v>
      </c>
      <c r="D566" s="228">
        <f>ROUND(2.27,2)</f>
        <v>2.27</v>
      </c>
      <c r="E566" s="162"/>
      <c r="F566" s="162"/>
      <c r="G566" s="162"/>
      <c r="H566" s="162"/>
      <c r="I566" s="161"/>
    </row>
    <row r="567" spans="1:9" ht="15" customHeight="1" x14ac:dyDescent="0.25">
      <c r="A567" s="163" t="s">
        <v>1171</v>
      </c>
      <c r="B567" s="120" t="s">
        <v>1140</v>
      </c>
      <c r="C567" s="227">
        <v>7.86</v>
      </c>
      <c r="D567" s="228">
        <f>ROUND(7.86,2)</f>
        <v>7.86</v>
      </c>
      <c r="E567" s="162"/>
      <c r="F567" s="162"/>
      <c r="G567" s="162"/>
      <c r="H567" s="162"/>
      <c r="I567" s="161"/>
    </row>
    <row r="568" spans="1:9" ht="9.9499999999999993" customHeight="1" x14ac:dyDescent="0.25">
      <c r="A568" s="164" t="s">
        <v>1136</v>
      </c>
      <c r="B568" s="121"/>
      <c r="C568" s="122"/>
      <c r="D568" s="123">
        <f>ROUND(SUM(D566:D567),2)</f>
        <v>10.130000000000001</v>
      </c>
      <c r="E568" s="162"/>
      <c r="F568" s="162"/>
      <c r="G568" s="162"/>
      <c r="H568" s="162"/>
      <c r="I568" s="161"/>
    </row>
    <row r="569" spans="1:9" ht="15" customHeight="1" x14ac:dyDescent="0.25">
      <c r="A569" s="452"/>
      <c r="B569" s="453"/>
      <c r="C569" s="453"/>
      <c r="D569" s="162"/>
      <c r="E569" s="162"/>
      <c r="F569" s="162"/>
      <c r="G569" s="162"/>
      <c r="H569" s="162"/>
      <c r="I569" s="161"/>
    </row>
    <row r="570" spans="1:9" ht="12.95" customHeight="1" x14ac:dyDescent="0.25">
      <c r="A570" s="450" t="s">
        <v>1110</v>
      </c>
      <c r="B570" s="451"/>
      <c r="C570" s="119"/>
      <c r="D570" s="119" t="s">
        <v>984</v>
      </c>
      <c r="E570" s="162"/>
      <c r="F570" s="162"/>
      <c r="G570" s="162"/>
      <c r="H570" s="162"/>
      <c r="I570" s="161"/>
    </row>
    <row r="571" spans="1:9" ht="15" customHeight="1" x14ac:dyDescent="0.25">
      <c r="A571" s="163" t="s">
        <v>1169</v>
      </c>
      <c r="B571" s="120" t="s">
        <v>1141</v>
      </c>
      <c r="C571" s="227">
        <v>9.4700000000000006</v>
      </c>
      <c r="D571" s="228">
        <f>ROUND(9.47,2)</f>
        <v>9.4700000000000006</v>
      </c>
      <c r="E571" s="162"/>
      <c r="F571" s="162"/>
      <c r="G571" s="162"/>
      <c r="H571" s="162"/>
      <c r="I571" s="161"/>
    </row>
    <row r="572" spans="1:9" ht="9.9499999999999993" customHeight="1" x14ac:dyDescent="0.25">
      <c r="A572" s="164" t="s">
        <v>1110</v>
      </c>
      <c r="B572" s="121"/>
      <c r="C572" s="122"/>
      <c r="D572" s="123">
        <f>ROUND(SUM(D571:D571),2)</f>
        <v>9.4700000000000006</v>
      </c>
      <c r="E572" s="162"/>
      <c r="F572" s="162"/>
      <c r="G572" s="162"/>
      <c r="H572" s="162"/>
      <c r="I572" s="161"/>
    </row>
    <row r="573" spans="1:9" ht="15" customHeight="1" x14ac:dyDescent="0.25">
      <c r="A573" s="452"/>
      <c r="B573" s="453"/>
      <c r="C573" s="453"/>
      <c r="D573" s="162"/>
      <c r="E573" s="162"/>
      <c r="F573" s="162"/>
      <c r="G573" s="162"/>
      <c r="H573" s="162"/>
      <c r="I573" s="161"/>
    </row>
    <row r="574" spans="1:9" ht="12.95" customHeight="1" x14ac:dyDescent="0.25">
      <c r="A574" s="450" t="s">
        <v>1142</v>
      </c>
      <c r="B574" s="451"/>
      <c r="C574" s="119"/>
      <c r="D574" s="119" t="s">
        <v>984</v>
      </c>
      <c r="E574" s="162"/>
      <c r="F574" s="162"/>
      <c r="G574" s="162"/>
      <c r="H574" s="162"/>
      <c r="I574" s="161"/>
    </row>
    <row r="575" spans="1:9" ht="15" customHeight="1" x14ac:dyDescent="0.25">
      <c r="A575" s="163" t="s">
        <v>1169</v>
      </c>
      <c r="B575" s="120" t="s">
        <v>1143</v>
      </c>
      <c r="C575" s="227">
        <v>11.64</v>
      </c>
      <c r="D575" s="228">
        <f>ROUND(11.64,2)</f>
        <v>11.64</v>
      </c>
      <c r="E575" s="162"/>
      <c r="F575" s="162"/>
      <c r="G575" s="162"/>
      <c r="H575" s="162"/>
      <c r="I575" s="161"/>
    </row>
    <row r="576" spans="1:9" ht="9.9499999999999993" customHeight="1" x14ac:dyDescent="0.25">
      <c r="A576" s="164" t="s">
        <v>1142</v>
      </c>
      <c r="B576" s="121"/>
      <c r="C576" s="122"/>
      <c r="D576" s="123">
        <f>ROUND(SUM(D575:D575),2)</f>
        <v>11.64</v>
      </c>
      <c r="E576" s="162"/>
      <c r="F576" s="162"/>
      <c r="G576" s="162"/>
      <c r="H576" s="162"/>
      <c r="I576" s="161"/>
    </row>
    <row r="577" spans="1:9" ht="15" customHeight="1" x14ac:dyDescent="0.25">
      <c r="A577" s="452"/>
      <c r="B577" s="453"/>
      <c r="C577" s="453"/>
      <c r="D577" s="162"/>
      <c r="E577" s="162"/>
      <c r="F577" s="162"/>
      <c r="G577" s="162"/>
      <c r="H577" s="162"/>
      <c r="I577" s="161"/>
    </row>
    <row r="578" spans="1:9" ht="12.95" customHeight="1" x14ac:dyDescent="0.25">
      <c r="A578" s="450" t="s">
        <v>1116</v>
      </c>
      <c r="B578" s="451"/>
      <c r="C578" s="119"/>
      <c r="D578" s="119" t="s">
        <v>984</v>
      </c>
      <c r="E578" s="162"/>
      <c r="F578" s="162"/>
      <c r="G578" s="162"/>
      <c r="H578" s="162"/>
      <c r="I578" s="161"/>
    </row>
    <row r="579" spans="1:9" ht="15" customHeight="1" x14ac:dyDescent="0.25">
      <c r="A579" s="163" t="s">
        <v>1169</v>
      </c>
      <c r="B579" s="120" t="s">
        <v>1144</v>
      </c>
      <c r="C579" s="227">
        <v>23.32</v>
      </c>
      <c r="D579" s="228">
        <f>ROUND(23.32,2)</f>
        <v>23.32</v>
      </c>
      <c r="E579" s="162"/>
      <c r="F579" s="162"/>
      <c r="G579" s="162"/>
      <c r="H579" s="162"/>
      <c r="I579" s="161"/>
    </row>
    <row r="580" spans="1:9" ht="9.9499999999999993" customHeight="1" x14ac:dyDescent="0.25">
      <c r="A580" s="164" t="s">
        <v>1116</v>
      </c>
      <c r="B580" s="121"/>
      <c r="C580" s="122"/>
      <c r="D580" s="123">
        <f>ROUND(SUM(D579:D579),2)</f>
        <v>23.32</v>
      </c>
      <c r="E580" s="162"/>
      <c r="F580" s="162"/>
      <c r="G580" s="162"/>
      <c r="H580" s="162"/>
      <c r="I580" s="161"/>
    </row>
    <row r="581" spans="1:9" ht="12" customHeight="1" x14ac:dyDescent="0.25">
      <c r="A581" s="452"/>
      <c r="B581" s="453"/>
      <c r="C581" s="453"/>
      <c r="D581" s="162"/>
      <c r="E581" s="162"/>
      <c r="F581" s="162"/>
      <c r="G581" s="162"/>
      <c r="H581" s="162"/>
      <c r="I581" s="161"/>
    </row>
    <row r="582" spans="1:9" ht="9.9499999999999993" customHeight="1" x14ac:dyDescent="0.25">
      <c r="A582" s="165"/>
      <c r="B582" s="162"/>
      <c r="C582" s="162"/>
      <c r="D582" s="458" t="str">
        <f>"TOTAL DA MEMÓRIA DE CÁLCULO: "&amp;TEXT(ROUND(SUM(D559,D563,D568,D572,D576,D580),2),"0,00")</f>
        <v>TOTAL DA MEMÓRIA DE CÁLCULO: 60,82</v>
      </c>
      <c r="E582" s="458"/>
      <c r="F582" s="458"/>
      <c r="G582" s="458"/>
      <c r="H582" s="458"/>
      <c r="I582" s="161"/>
    </row>
    <row r="583" spans="1:9" ht="20.100000000000001" customHeight="1" x14ac:dyDescent="0.25">
      <c r="A583" s="452"/>
      <c r="B583" s="453"/>
      <c r="C583" s="453"/>
      <c r="D583" s="453"/>
      <c r="E583" s="162"/>
      <c r="F583" s="162"/>
      <c r="G583" s="162"/>
      <c r="H583" s="162"/>
      <c r="I583" s="161"/>
    </row>
    <row r="584" spans="1:9" ht="15" customHeight="1" x14ac:dyDescent="0.25">
      <c r="A584" s="456" t="s">
        <v>1172</v>
      </c>
      <c r="B584" s="457"/>
      <c r="C584" s="457"/>
      <c r="D584" s="457"/>
      <c r="E584" s="457"/>
      <c r="F584" s="457"/>
      <c r="G584" s="457"/>
      <c r="H584" s="457"/>
      <c r="I584" s="161"/>
    </row>
    <row r="585" spans="1:9" ht="12.95" customHeight="1" x14ac:dyDescent="0.25">
      <c r="A585" s="450"/>
      <c r="B585" s="451"/>
      <c r="C585" s="119"/>
      <c r="D585" s="119" t="s">
        <v>984</v>
      </c>
      <c r="E585" s="162"/>
      <c r="F585" s="162"/>
      <c r="G585" s="162"/>
      <c r="H585" s="162"/>
      <c r="I585" s="161"/>
    </row>
    <row r="586" spans="1:9" ht="15" customHeight="1" x14ac:dyDescent="0.25">
      <c r="A586" s="163" t="s">
        <v>1173</v>
      </c>
      <c r="B586" s="120" t="s">
        <v>1174</v>
      </c>
      <c r="C586" s="227">
        <v>27.5</v>
      </c>
      <c r="D586" s="228">
        <f>ROUND(27.5,2)</f>
        <v>27.5</v>
      </c>
      <c r="E586" s="162"/>
      <c r="F586" s="162"/>
      <c r="G586" s="162"/>
      <c r="H586" s="162"/>
      <c r="I586" s="161"/>
    </row>
    <row r="587" spans="1:9" ht="9.9499999999999993" customHeight="1" x14ac:dyDescent="0.25">
      <c r="A587" s="164"/>
      <c r="B587" s="121"/>
      <c r="C587" s="122"/>
      <c r="D587" s="123">
        <f>ROUND(SUM(D586:D586),2)</f>
        <v>27.5</v>
      </c>
      <c r="E587" s="162"/>
      <c r="F587" s="162"/>
      <c r="G587" s="162"/>
      <c r="H587" s="162"/>
      <c r="I587" s="161"/>
    </row>
    <row r="588" spans="1:9" ht="12" customHeight="1" x14ac:dyDescent="0.25">
      <c r="A588" s="452"/>
      <c r="B588" s="453"/>
      <c r="C588" s="453"/>
      <c r="D588" s="162"/>
      <c r="E588" s="162"/>
      <c r="F588" s="162"/>
      <c r="G588" s="162"/>
      <c r="H588" s="162"/>
      <c r="I588" s="161"/>
    </row>
    <row r="589" spans="1:9" ht="9.9499999999999993" customHeight="1" x14ac:dyDescent="0.25">
      <c r="A589" s="165"/>
      <c r="B589" s="162"/>
      <c r="C589" s="162"/>
      <c r="D589" s="458" t="str">
        <f>"TOTAL DA MEMÓRIA DE CÁLCULO: "&amp;TEXT(ROUND(SUM(D587),2),"0,00")</f>
        <v>TOTAL DA MEMÓRIA DE CÁLCULO: 27,50</v>
      </c>
      <c r="E589" s="458"/>
      <c r="F589" s="458"/>
      <c r="G589" s="458"/>
      <c r="H589" s="458"/>
      <c r="I589" s="161"/>
    </row>
    <row r="590" spans="1:9" ht="9.9499999999999993" customHeight="1" x14ac:dyDescent="0.25">
      <c r="A590" s="165"/>
      <c r="B590" s="162"/>
      <c r="C590" s="162"/>
      <c r="D590" s="229"/>
      <c r="E590" s="229"/>
      <c r="F590" s="229"/>
      <c r="G590" s="229"/>
      <c r="H590" s="229"/>
      <c r="I590" s="161"/>
    </row>
    <row r="591" spans="1:9" x14ac:dyDescent="0.25">
      <c r="A591" s="456" t="s">
        <v>4391</v>
      </c>
      <c r="B591" s="457"/>
      <c r="C591" s="457"/>
      <c r="D591" s="457"/>
      <c r="E591" s="457"/>
      <c r="F591" s="457"/>
      <c r="G591" s="457"/>
      <c r="H591" s="457"/>
      <c r="I591" s="161"/>
    </row>
    <row r="592" spans="1:9" x14ac:dyDescent="0.25">
      <c r="A592" s="450"/>
      <c r="B592" s="451"/>
      <c r="C592" s="119" t="s">
        <v>54</v>
      </c>
      <c r="D592" s="119" t="s">
        <v>984</v>
      </c>
      <c r="E592" s="162"/>
      <c r="F592" s="162"/>
      <c r="G592" s="162"/>
      <c r="H592" s="162"/>
      <c r="I592" s="161"/>
    </row>
    <row r="593" spans="1:9" x14ac:dyDescent="0.25">
      <c r="A593" s="163"/>
      <c r="B593" s="120"/>
      <c r="C593" s="227">
        <v>562.65</v>
      </c>
      <c r="D593" s="228">
        <f>C593</f>
        <v>562.65</v>
      </c>
      <c r="E593" s="162"/>
      <c r="F593" s="162"/>
      <c r="G593" s="162"/>
      <c r="H593" s="162"/>
      <c r="I593" s="161"/>
    </row>
    <row r="594" spans="1:9" x14ac:dyDescent="0.25">
      <c r="A594" s="164"/>
      <c r="B594" s="121"/>
      <c r="C594" s="122"/>
      <c r="D594" s="123">
        <f>ROUND(SUM(D593:D593),2)</f>
        <v>562.65</v>
      </c>
      <c r="E594" s="162"/>
      <c r="F594" s="162"/>
      <c r="G594" s="162"/>
      <c r="H594" s="162"/>
      <c r="I594" s="161"/>
    </row>
    <row r="595" spans="1:9" x14ac:dyDescent="0.25">
      <c r="A595" s="452"/>
      <c r="B595" s="453"/>
      <c r="C595" s="453"/>
      <c r="D595" s="162"/>
      <c r="E595" s="162"/>
      <c r="F595" s="162"/>
      <c r="G595" s="162"/>
      <c r="H595" s="162"/>
      <c r="I595" s="161"/>
    </row>
    <row r="596" spans="1:9" ht="12" customHeight="1" x14ac:dyDescent="0.25">
      <c r="A596" s="165"/>
      <c r="B596" s="162"/>
      <c r="C596" s="162"/>
      <c r="D596" s="458" t="str">
        <f>"TOTAL DA MEMÓRIA DE CÁLCULO: "&amp;TEXT(ROUND(SUM(D594),2),"0,00")</f>
        <v>TOTAL DA MEMÓRIA DE CÁLCULO: 562,65</v>
      </c>
      <c r="E596" s="458"/>
      <c r="F596" s="458"/>
      <c r="G596" s="458"/>
      <c r="H596" s="458"/>
      <c r="I596" s="161"/>
    </row>
    <row r="597" spans="1:9" ht="20.100000000000001" customHeight="1" x14ac:dyDescent="0.25">
      <c r="A597" s="452"/>
      <c r="B597" s="453"/>
      <c r="C597" s="453"/>
      <c r="D597" s="453"/>
      <c r="E597" s="162"/>
      <c r="F597" s="162"/>
      <c r="G597" s="162"/>
      <c r="H597" s="162"/>
      <c r="I597" s="161"/>
    </row>
    <row r="598" spans="1:9" x14ac:dyDescent="0.25">
      <c r="A598" s="456" t="s">
        <v>4392</v>
      </c>
      <c r="B598" s="457"/>
      <c r="C598" s="457"/>
      <c r="D598" s="457"/>
      <c r="E598" s="457"/>
      <c r="F598" s="457"/>
      <c r="G598" s="457"/>
      <c r="H598" s="457"/>
      <c r="I598" s="161"/>
    </row>
    <row r="599" spans="1:9" x14ac:dyDescent="0.25">
      <c r="A599" s="450"/>
      <c r="B599" s="451"/>
      <c r="C599" s="119" t="s">
        <v>54</v>
      </c>
      <c r="D599" s="119" t="s">
        <v>984</v>
      </c>
      <c r="E599" s="162"/>
      <c r="F599" s="162"/>
      <c r="G599" s="162"/>
      <c r="H599" s="162"/>
      <c r="I599" s="161"/>
    </row>
    <row r="600" spans="1:9" x14ac:dyDescent="0.25">
      <c r="A600" s="163"/>
      <c r="B600" s="120"/>
      <c r="C600" s="227">
        <v>10</v>
      </c>
      <c r="D600" s="228">
        <f>C600</f>
        <v>10</v>
      </c>
      <c r="E600" s="162"/>
      <c r="F600" s="162"/>
      <c r="G600" s="162"/>
      <c r="H600" s="162"/>
      <c r="I600" s="161"/>
    </row>
    <row r="601" spans="1:9" x14ac:dyDescent="0.25">
      <c r="A601" s="164"/>
      <c r="B601" s="121"/>
      <c r="C601" s="122"/>
      <c r="D601" s="123">
        <f>ROUND(SUM(D600:D600),2)</f>
        <v>10</v>
      </c>
      <c r="E601" s="162"/>
      <c r="F601" s="162"/>
      <c r="G601" s="162"/>
      <c r="H601" s="162"/>
      <c r="I601" s="161"/>
    </row>
    <row r="602" spans="1:9" x14ac:dyDescent="0.25">
      <c r="A602" s="452"/>
      <c r="B602" s="453"/>
      <c r="C602" s="453"/>
      <c r="D602" s="162"/>
      <c r="E602" s="162"/>
      <c r="F602" s="162"/>
      <c r="G602" s="162"/>
      <c r="H602" s="162"/>
      <c r="I602" s="161"/>
    </row>
    <row r="603" spans="1:9" ht="12" customHeight="1" x14ac:dyDescent="0.25">
      <c r="A603" s="165"/>
      <c r="B603" s="162"/>
      <c r="C603" s="162"/>
      <c r="D603" s="458" t="str">
        <f>"TOTAL DA MEMÓRIA DE CÁLCULO: "&amp;TEXT(ROUND(SUM(D601),2),"0,00")</f>
        <v>TOTAL DA MEMÓRIA DE CÁLCULO: 10,00</v>
      </c>
      <c r="E603" s="458"/>
      <c r="F603" s="458"/>
      <c r="G603" s="458"/>
      <c r="H603" s="458"/>
      <c r="I603" s="161"/>
    </row>
    <row r="604" spans="1:9" ht="20.100000000000001" customHeight="1" x14ac:dyDescent="0.25">
      <c r="A604" s="452"/>
      <c r="B604" s="453"/>
      <c r="C604" s="453"/>
      <c r="D604" s="453"/>
      <c r="E604" s="162"/>
      <c r="F604" s="162"/>
      <c r="G604" s="162"/>
      <c r="H604" s="162"/>
      <c r="I604" s="161"/>
    </row>
    <row r="605" spans="1:9" ht="9.9499999999999993" customHeight="1" x14ac:dyDescent="0.25">
      <c r="A605" s="165"/>
      <c r="B605" s="162"/>
      <c r="C605" s="162"/>
      <c r="D605" s="229"/>
      <c r="E605" s="229"/>
      <c r="F605" s="229"/>
      <c r="G605" s="229"/>
      <c r="H605" s="229"/>
      <c r="I605" s="161"/>
    </row>
    <row r="606" spans="1:9" x14ac:dyDescent="0.25">
      <c r="A606" s="456" t="s">
        <v>4393</v>
      </c>
      <c r="B606" s="457"/>
      <c r="C606" s="457"/>
      <c r="D606" s="457"/>
      <c r="E606" s="457"/>
      <c r="F606" s="457"/>
      <c r="G606" s="457"/>
      <c r="H606" s="457"/>
      <c r="I606" s="161"/>
    </row>
    <row r="607" spans="1:9" x14ac:dyDescent="0.25">
      <c r="A607" s="450"/>
      <c r="B607" s="451"/>
      <c r="C607" s="119" t="s">
        <v>54</v>
      </c>
      <c r="D607" s="119" t="s">
        <v>984</v>
      </c>
      <c r="E607" s="162"/>
      <c r="F607" s="162"/>
      <c r="G607" s="162"/>
      <c r="H607" s="162"/>
      <c r="I607" s="161"/>
    </row>
    <row r="608" spans="1:9" x14ac:dyDescent="0.25">
      <c r="A608" s="163"/>
      <c r="B608" s="120"/>
      <c r="C608" s="227">
        <v>562.65</v>
      </c>
      <c r="D608" s="228">
        <f>C608</f>
        <v>562.65</v>
      </c>
      <c r="E608" s="162"/>
      <c r="F608" s="162"/>
      <c r="G608" s="162"/>
      <c r="H608" s="162"/>
      <c r="I608" s="161"/>
    </row>
    <row r="609" spans="1:9" x14ac:dyDescent="0.25">
      <c r="A609" s="164"/>
      <c r="B609" s="121"/>
      <c r="C609" s="122"/>
      <c r="D609" s="123">
        <f>ROUND(SUM(D608:D608),2)</f>
        <v>562.65</v>
      </c>
      <c r="E609" s="162"/>
      <c r="F609" s="162"/>
      <c r="G609" s="162"/>
      <c r="H609" s="162"/>
      <c r="I609" s="161"/>
    </row>
    <row r="610" spans="1:9" x14ac:dyDescent="0.25">
      <c r="A610" s="452"/>
      <c r="B610" s="453"/>
      <c r="C610" s="453"/>
      <c r="D610" s="162"/>
      <c r="E610" s="162"/>
      <c r="F610" s="162"/>
      <c r="G610" s="162"/>
      <c r="H610" s="162"/>
      <c r="I610" s="161"/>
    </row>
    <row r="611" spans="1:9" ht="12" customHeight="1" x14ac:dyDescent="0.25">
      <c r="A611" s="165"/>
      <c r="B611" s="162"/>
      <c r="C611" s="162"/>
      <c r="D611" s="458" t="str">
        <f>"TOTAL DA MEMÓRIA DE CÁLCULO: "&amp;TEXT(ROUND(SUM(D609),2),"0,00")</f>
        <v>TOTAL DA MEMÓRIA DE CÁLCULO: 562,65</v>
      </c>
      <c r="E611" s="458"/>
      <c r="F611" s="458"/>
      <c r="G611" s="458"/>
      <c r="H611" s="458"/>
      <c r="I611" s="161"/>
    </row>
    <row r="612" spans="1:9" ht="20.100000000000001" customHeight="1" x14ac:dyDescent="0.25">
      <c r="A612" s="452"/>
      <c r="B612" s="453"/>
      <c r="C612" s="453"/>
      <c r="D612" s="453"/>
      <c r="E612" s="162"/>
      <c r="F612" s="162"/>
      <c r="G612" s="162"/>
      <c r="H612" s="162"/>
      <c r="I612" s="161"/>
    </row>
    <row r="613" spans="1:9" ht="9.9499999999999993" customHeight="1" x14ac:dyDescent="0.25">
      <c r="A613" s="456" t="s">
        <v>1175</v>
      </c>
      <c r="B613" s="457"/>
      <c r="C613" s="457"/>
      <c r="D613" s="457"/>
      <c r="E613" s="457"/>
      <c r="F613" s="457"/>
      <c r="G613" s="457"/>
      <c r="H613" s="457"/>
      <c r="I613" s="161"/>
    </row>
    <row r="614" spans="1:9" ht="42.95" customHeight="1" x14ac:dyDescent="0.25">
      <c r="A614" s="452"/>
      <c r="B614" s="453"/>
      <c r="C614" s="453"/>
      <c r="D614" s="162"/>
      <c r="E614" s="162"/>
      <c r="F614" s="162"/>
      <c r="G614" s="162"/>
      <c r="H614" s="162"/>
      <c r="I614" s="161"/>
    </row>
    <row r="615" spans="1:9" ht="15" customHeight="1" x14ac:dyDescent="0.25">
      <c r="A615" s="456" t="s">
        <v>1176</v>
      </c>
      <c r="B615" s="457"/>
      <c r="C615" s="457"/>
      <c r="D615" s="457"/>
      <c r="E615" s="457"/>
      <c r="F615" s="457"/>
      <c r="G615" s="457"/>
      <c r="H615" s="457"/>
      <c r="I615" s="161"/>
    </row>
    <row r="616" spans="1:9" ht="12.95" customHeight="1" x14ac:dyDescent="0.25">
      <c r="A616" s="450"/>
      <c r="B616" s="451"/>
      <c r="C616" s="119"/>
      <c r="D616" s="119" t="s">
        <v>984</v>
      </c>
      <c r="E616" s="162"/>
      <c r="F616" s="162"/>
      <c r="G616" s="162"/>
      <c r="H616" s="162"/>
      <c r="I616" s="161"/>
    </row>
    <row r="617" spans="1:9" ht="15" customHeight="1" x14ac:dyDescent="0.25">
      <c r="A617" s="163" t="s">
        <v>1177</v>
      </c>
      <c r="B617" s="120" t="s">
        <v>2</v>
      </c>
      <c r="C617" s="227">
        <v>2</v>
      </c>
      <c r="D617" s="228">
        <f>ROUND(2,2)</f>
        <v>2</v>
      </c>
      <c r="E617" s="162"/>
      <c r="F617" s="162"/>
      <c r="G617" s="162"/>
      <c r="H617" s="162"/>
      <c r="I617" s="161"/>
    </row>
    <row r="618" spans="1:9" ht="9.9499999999999993" customHeight="1" x14ac:dyDescent="0.25">
      <c r="A618" s="164"/>
      <c r="B618" s="121"/>
      <c r="C618" s="122"/>
      <c r="D618" s="123">
        <f>ROUND(SUM(D617:D617),2)</f>
        <v>2</v>
      </c>
      <c r="E618" s="162"/>
      <c r="F618" s="162"/>
      <c r="G618" s="162"/>
      <c r="H618" s="162"/>
      <c r="I618" s="161"/>
    </row>
    <row r="619" spans="1:9" ht="12" customHeight="1" x14ac:dyDescent="0.25">
      <c r="A619" s="452"/>
      <c r="B619" s="453"/>
      <c r="C619" s="453"/>
      <c r="D619" s="162"/>
      <c r="E619" s="162"/>
      <c r="F619" s="162"/>
      <c r="G619" s="162"/>
      <c r="H619" s="162"/>
      <c r="I619" s="161"/>
    </row>
    <row r="620" spans="1:9" ht="9.9499999999999993" customHeight="1" x14ac:dyDescent="0.25">
      <c r="A620" s="165"/>
      <c r="B620" s="162"/>
      <c r="C620" s="162"/>
      <c r="D620" s="458" t="str">
        <f>"TOTAL DA MEMÓRIA DE CÁLCULO: "&amp;TEXT(ROUND(SUM(D618),2),"0,00")</f>
        <v>TOTAL DA MEMÓRIA DE CÁLCULO: 2,00</v>
      </c>
      <c r="E620" s="458"/>
      <c r="F620" s="458"/>
      <c r="G620" s="458"/>
      <c r="H620" s="458"/>
      <c r="I620" s="161"/>
    </row>
    <row r="621" spans="1:9" ht="30.95" customHeight="1" x14ac:dyDescent="0.25">
      <c r="A621" s="452"/>
      <c r="B621" s="453"/>
      <c r="C621" s="453"/>
      <c r="D621" s="453"/>
      <c r="E621" s="162"/>
      <c r="F621" s="162"/>
      <c r="G621" s="162"/>
      <c r="H621" s="162"/>
      <c r="I621" s="161"/>
    </row>
    <row r="622" spans="1:9" ht="15" customHeight="1" x14ac:dyDescent="0.25">
      <c r="A622" s="456" t="s">
        <v>1178</v>
      </c>
      <c r="B622" s="457"/>
      <c r="C622" s="457"/>
      <c r="D622" s="457"/>
      <c r="E622" s="457"/>
      <c r="F622" s="457"/>
      <c r="G622" s="457"/>
      <c r="H622" s="457"/>
      <c r="I622" s="161"/>
    </row>
    <row r="623" spans="1:9" ht="12.95" customHeight="1" x14ac:dyDescent="0.25">
      <c r="A623" s="450"/>
      <c r="B623" s="451"/>
      <c r="C623" s="119"/>
      <c r="D623" s="119" t="s">
        <v>984</v>
      </c>
      <c r="E623" s="162"/>
      <c r="F623" s="162"/>
      <c r="G623" s="162"/>
      <c r="H623" s="162"/>
      <c r="I623" s="161"/>
    </row>
    <row r="624" spans="1:9" ht="15" customHeight="1" x14ac:dyDescent="0.25">
      <c r="A624" s="163" t="s">
        <v>1177</v>
      </c>
      <c r="B624" s="120" t="s">
        <v>2</v>
      </c>
      <c r="C624" s="227">
        <v>2</v>
      </c>
      <c r="D624" s="228">
        <f>ROUND(2,2)</f>
        <v>2</v>
      </c>
      <c r="E624" s="162"/>
      <c r="F624" s="162"/>
      <c r="G624" s="162"/>
      <c r="H624" s="162"/>
      <c r="I624" s="161"/>
    </row>
    <row r="625" spans="1:9" ht="9.9499999999999993" customHeight="1" x14ac:dyDescent="0.25">
      <c r="A625" s="164"/>
      <c r="B625" s="121"/>
      <c r="C625" s="122"/>
      <c r="D625" s="123">
        <f>ROUND(SUM(D624:D624),2)</f>
        <v>2</v>
      </c>
      <c r="E625" s="162"/>
      <c r="F625" s="162"/>
      <c r="G625" s="162"/>
      <c r="H625" s="162"/>
      <c r="I625" s="161"/>
    </row>
    <row r="626" spans="1:9" ht="12" customHeight="1" x14ac:dyDescent="0.25">
      <c r="A626" s="452"/>
      <c r="B626" s="453"/>
      <c r="C626" s="453"/>
      <c r="D626" s="162"/>
      <c r="E626" s="162"/>
      <c r="F626" s="162"/>
      <c r="G626" s="162"/>
      <c r="H626" s="162"/>
      <c r="I626" s="161"/>
    </row>
    <row r="627" spans="1:9" ht="9.9499999999999993" customHeight="1" x14ac:dyDescent="0.25">
      <c r="A627" s="165"/>
      <c r="B627" s="162"/>
      <c r="C627" s="162"/>
      <c r="D627" s="458" t="str">
        <f>"TOTAL DA MEMÓRIA DE CÁLCULO: "&amp;TEXT(ROUND(SUM(D625),2),"0,00")</f>
        <v>TOTAL DA MEMÓRIA DE CÁLCULO: 2,00</v>
      </c>
      <c r="E627" s="458"/>
      <c r="F627" s="458"/>
      <c r="G627" s="458"/>
      <c r="H627" s="458"/>
      <c r="I627" s="161"/>
    </row>
    <row r="628" spans="1:9" ht="54.95" customHeight="1" x14ac:dyDescent="0.25">
      <c r="A628" s="452"/>
      <c r="B628" s="453"/>
      <c r="C628" s="453"/>
      <c r="D628" s="453"/>
      <c r="E628" s="162"/>
      <c r="F628" s="162"/>
      <c r="G628" s="162"/>
      <c r="H628" s="162"/>
      <c r="I628" s="161"/>
    </row>
    <row r="629" spans="1:9" ht="15" customHeight="1" x14ac:dyDescent="0.25">
      <c r="A629" s="456" t="s">
        <v>1179</v>
      </c>
      <c r="B629" s="457"/>
      <c r="C629" s="457"/>
      <c r="D629" s="457"/>
      <c r="E629" s="457"/>
      <c r="F629" s="457"/>
      <c r="G629" s="457"/>
      <c r="H629" s="457"/>
      <c r="I629" s="161"/>
    </row>
    <row r="630" spans="1:9" ht="12.95" customHeight="1" x14ac:dyDescent="0.25">
      <c r="A630" s="450"/>
      <c r="B630" s="451"/>
      <c r="C630" s="119"/>
      <c r="D630" s="119" t="s">
        <v>984</v>
      </c>
      <c r="E630" s="162"/>
      <c r="F630" s="162"/>
      <c r="G630" s="162"/>
      <c r="H630" s="162"/>
      <c r="I630" s="161"/>
    </row>
    <row r="631" spans="1:9" ht="15" customHeight="1" x14ac:dyDescent="0.25">
      <c r="A631" s="163" t="s">
        <v>1177</v>
      </c>
      <c r="B631" s="120" t="s">
        <v>0</v>
      </c>
      <c r="C631" s="227">
        <v>1</v>
      </c>
      <c r="D631" s="228">
        <f>ROUND(1,2)</f>
        <v>1</v>
      </c>
      <c r="E631" s="162"/>
      <c r="F631" s="162"/>
      <c r="G631" s="162"/>
      <c r="H631" s="162"/>
      <c r="I631" s="161"/>
    </row>
    <row r="632" spans="1:9" ht="9.9499999999999993" customHeight="1" x14ac:dyDescent="0.25">
      <c r="A632" s="164"/>
      <c r="B632" s="121"/>
      <c r="C632" s="122"/>
      <c r="D632" s="123">
        <f>ROUND(SUM(D631:D631),2)</f>
        <v>1</v>
      </c>
      <c r="E632" s="162"/>
      <c r="F632" s="162"/>
      <c r="G632" s="162"/>
      <c r="H632" s="162"/>
      <c r="I632" s="161"/>
    </row>
    <row r="633" spans="1:9" ht="12" customHeight="1" x14ac:dyDescent="0.25">
      <c r="A633" s="452"/>
      <c r="B633" s="453"/>
      <c r="C633" s="453"/>
      <c r="D633" s="162"/>
      <c r="E633" s="162"/>
      <c r="F633" s="162"/>
      <c r="G633" s="162"/>
      <c r="H633" s="162"/>
      <c r="I633" s="161"/>
    </row>
    <row r="634" spans="1:9" ht="9.9499999999999993" customHeight="1" x14ac:dyDescent="0.25">
      <c r="A634" s="165"/>
      <c r="B634" s="162"/>
      <c r="C634" s="162"/>
      <c r="D634" s="458" t="str">
        <f>"TOTAL DA MEMÓRIA DE CÁLCULO: "&amp;TEXT(ROUND(SUM(D632),2),"0,00")</f>
        <v>TOTAL DA MEMÓRIA DE CÁLCULO: 1,00</v>
      </c>
      <c r="E634" s="458"/>
      <c r="F634" s="458"/>
      <c r="G634" s="458"/>
      <c r="H634" s="458"/>
      <c r="I634" s="161"/>
    </row>
    <row r="635" spans="1:9" ht="30.95" customHeight="1" x14ac:dyDescent="0.25">
      <c r="A635" s="452"/>
      <c r="B635" s="453"/>
      <c r="C635" s="453"/>
      <c r="D635" s="453"/>
      <c r="E635" s="162"/>
      <c r="F635" s="162"/>
      <c r="G635" s="162"/>
      <c r="H635" s="162"/>
      <c r="I635" s="161"/>
    </row>
    <row r="636" spans="1:9" ht="15" customHeight="1" x14ac:dyDescent="0.25">
      <c r="A636" s="456" t="s">
        <v>1180</v>
      </c>
      <c r="B636" s="457"/>
      <c r="C636" s="457"/>
      <c r="D636" s="457"/>
      <c r="E636" s="457"/>
      <c r="F636" s="457"/>
      <c r="G636" s="457"/>
      <c r="H636" s="457"/>
      <c r="I636" s="161"/>
    </row>
    <row r="637" spans="1:9" ht="12.95" customHeight="1" x14ac:dyDescent="0.25">
      <c r="A637" s="450"/>
      <c r="B637" s="451"/>
      <c r="C637" s="119"/>
      <c r="D637" s="119" t="s">
        <v>984</v>
      </c>
      <c r="E637" s="162"/>
      <c r="F637" s="162"/>
      <c r="G637" s="162"/>
      <c r="H637" s="162"/>
      <c r="I637" s="161"/>
    </row>
    <row r="638" spans="1:9" ht="15" customHeight="1" x14ac:dyDescent="0.25">
      <c r="A638" s="163" t="s">
        <v>1177</v>
      </c>
      <c r="B638" s="120" t="s">
        <v>2</v>
      </c>
      <c r="C638" s="227">
        <v>2</v>
      </c>
      <c r="D638" s="228">
        <f>ROUND(2,2)</f>
        <v>2</v>
      </c>
      <c r="E638" s="162"/>
      <c r="F638" s="162"/>
      <c r="G638" s="162"/>
      <c r="H638" s="162"/>
      <c r="I638" s="161"/>
    </row>
    <row r="639" spans="1:9" ht="9.9499999999999993" customHeight="1" x14ac:dyDescent="0.25">
      <c r="A639" s="164"/>
      <c r="B639" s="121"/>
      <c r="C639" s="122"/>
      <c r="D639" s="123">
        <f>ROUND(SUM(D638:D638),2)</f>
        <v>2</v>
      </c>
      <c r="E639" s="162"/>
      <c r="F639" s="162"/>
      <c r="G639" s="162"/>
      <c r="H639" s="162"/>
      <c r="I639" s="161"/>
    </row>
    <row r="640" spans="1:9" ht="12" customHeight="1" x14ac:dyDescent="0.25">
      <c r="A640" s="452"/>
      <c r="B640" s="453"/>
      <c r="C640" s="453"/>
      <c r="D640" s="162"/>
      <c r="E640" s="162"/>
      <c r="F640" s="162"/>
      <c r="G640" s="162"/>
      <c r="H640" s="162"/>
      <c r="I640" s="161"/>
    </row>
    <row r="641" spans="1:9" ht="9.9499999999999993" customHeight="1" x14ac:dyDescent="0.25">
      <c r="A641" s="165"/>
      <c r="B641" s="162"/>
      <c r="C641" s="162"/>
      <c r="D641" s="458" t="str">
        <f>"TOTAL DA MEMÓRIA DE CÁLCULO: "&amp;TEXT(ROUND(SUM(D639),2),"0,00")</f>
        <v>TOTAL DA MEMÓRIA DE CÁLCULO: 2,00</v>
      </c>
      <c r="E641" s="458"/>
      <c r="F641" s="458"/>
      <c r="G641" s="458"/>
      <c r="H641" s="458"/>
      <c r="I641" s="161"/>
    </row>
    <row r="642" spans="1:9" ht="30.95" customHeight="1" x14ac:dyDescent="0.25">
      <c r="A642" s="452"/>
      <c r="B642" s="453"/>
      <c r="C642" s="453"/>
      <c r="D642" s="453"/>
      <c r="E642" s="162"/>
      <c r="F642" s="162"/>
      <c r="G642" s="162"/>
      <c r="H642" s="162"/>
      <c r="I642" s="161"/>
    </row>
    <row r="643" spans="1:9" ht="15" customHeight="1" x14ac:dyDescent="0.25">
      <c r="A643" s="456" t="s">
        <v>1181</v>
      </c>
      <c r="B643" s="457"/>
      <c r="C643" s="457"/>
      <c r="D643" s="457"/>
      <c r="E643" s="457"/>
      <c r="F643" s="457"/>
      <c r="G643" s="457"/>
      <c r="H643" s="457"/>
      <c r="I643" s="161"/>
    </row>
    <row r="644" spans="1:9" ht="12.95" customHeight="1" x14ac:dyDescent="0.25">
      <c r="A644" s="450"/>
      <c r="B644" s="451"/>
      <c r="C644" s="119"/>
      <c r="D644" s="119" t="s">
        <v>984</v>
      </c>
      <c r="E644" s="162"/>
      <c r="F644" s="162"/>
      <c r="G644" s="162"/>
      <c r="H644" s="162"/>
      <c r="I644" s="161"/>
    </row>
    <row r="645" spans="1:9" ht="15" customHeight="1" x14ac:dyDescent="0.25">
      <c r="A645" s="163" t="s">
        <v>1177</v>
      </c>
      <c r="B645" s="120" t="s">
        <v>2</v>
      </c>
      <c r="C645" s="227">
        <v>2</v>
      </c>
      <c r="D645" s="228">
        <f>ROUND(2,2)</f>
        <v>2</v>
      </c>
      <c r="E645" s="162"/>
      <c r="F645" s="162"/>
      <c r="G645" s="162"/>
      <c r="H645" s="162"/>
      <c r="I645" s="161"/>
    </row>
    <row r="646" spans="1:9" ht="9.9499999999999993" customHeight="1" x14ac:dyDescent="0.25">
      <c r="A646" s="164"/>
      <c r="B646" s="121"/>
      <c r="C646" s="122"/>
      <c r="D646" s="123">
        <f>ROUND(SUM(D645:D645),2)</f>
        <v>2</v>
      </c>
      <c r="E646" s="162"/>
      <c r="F646" s="162"/>
      <c r="G646" s="162"/>
      <c r="H646" s="162"/>
      <c r="I646" s="161"/>
    </row>
    <row r="647" spans="1:9" ht="12" customHeight="1" x14ac:dyDescent="0.25">
      <c r="A647" s="452"/>
      <c r="B647" s="453"/>
      <c r="C647" s="453"/>
      <c r="D647" s="162"/>
      <c r="E647" s="162"/>
      <c r="F647" s="162"/>
      <c r="G647" s="162"/>
      <c r="H647" s="162"/>
      <c r="I647" s="161"/>
    </row>
    <row r="648" spans="1:9" ht="9.9499999999999993" customHeight="1" x14ac:dyDescent="0.25">
      <c r="A648" s="165"/>
      <c r="B648" s="162"/>
      <c r="C648" s="162"/>
      <c r="D648" s="458" t="str">
        <f>"TOTAL DA MEMÓRIA DE CÁLCULO: "&amp;TEXT(ROUND(SUM(D646),2),"0,00")</f>
        <v>TOTAL DA MEMÓRIA DE CÁLCULO: 2,00</v>
      </c>
      <c r="E648" s="458"/>
      <c r="F648" s="458"/>
      <c r="G648" s="458"/>
      <c r="H648" s="458"/>
      <c r="I648" s="161"/>
    </row>
    <row r="649" spans="1:9" ht="30.95" customHeight="1" x14ac:dyDescent="0.25">
      <c r="A649" s="452"/>
      <c r="B649" s="453"/>
      <c r="C649" s="453"/>
      <c r="D649" s="453"/>
      <c r="E649" s="162"/>
      <c r="F649" s="162"/>
      <c r="G649" s="162"/>
      <c r="H649" s="162"/>
      <c r="I649" s="161"/>
    </row>
    <row r="650" spans="1:9" ht="15" customHeight="1" x14ac:dyDescent="0.25">
      <c r="A650" s="456" t="s">
        <v>1182</v>
      </c>
      <c r="B650" s="457"/>
      <c r="C650" s="457"/>
      <c r="D650" s="457"/>
      <c r="E650" s="457"/>
      <c r="F650" s="457"/>
      <c r="G650" s="457"/>
      <c r="H650" s="457"/>
      <c r="I650" s="161"/>
    </row>
    <row r="651" spans="1:9" ht="12.95" customHeight="1" x14ac:dyDescent="0.25">
      <c r="A651" s="450"/>
      <c r="B651" s="451"/>
      <c r="C651" s="119"/>
      <c r="D651" s="119" t="s">
        <v>984</v>
      </c>
      <c r="E651" s="162"/>
      <c r="F651" s="162"/>
      <c r="G651" s="162"/>
      <c r="H651" s="162"/>
      <c r="I651" s="161"/>
    </row>
    <row r="652" spans="1:9" ht="15" customHeight="1" x14ac:dyDescent="0.25">
      <c r="A652" s="163" t="s">
        <v>1177</v>
      </c>
      <c r="B652" s="120" t="s">
        <v>2</v>
      </c>
      <c r="C652" s="227">
        <v>2</v>
      </c>
      <c r="D652" s="228">
        <f>ROUND(2,2)</f>
        <v>2</v>
      </c>
      <c r="E652" s="162"/>
      <c r="F652" s="162"/>
      <c r="G652" s="162"/>
      <c r="H652" s="162"/>
      <c r="I652" s="161"/>
    </row>
    <row r="653" spans="1:9" ht="9.9499999999999993" customHeight="1" x14ac:dyDescent="0.25">
      <c r="A653" s="164"/>
      <c r="B653" s="121"/>
      <c r="C653" s="122"/>
      <c r="D653" s="123">
        <f>ROUND(SUM(D652:D652),2)</f>
        <v>2</v>
      </c>
      <c r="E653" s="162"/>
      <c r="F653" s="162"/>
      <c r="G653" s="162"/>
      <c r="H653" s="162"/>
      <c r="I653" s="161"/>
    </row>
    <row r="654" spans="1:9" ht="12" customHeight="1" x14ac:dyDescent="0.25">
      <c r="A654" s="452"/>
      <c r="B654" s="453"/>
      <c r="C654" s="453"/>
      <c r="D654" s="162"/>
      <c r="E654" s="162"/>
      <c r="F654" s="162"/>
      <c r="G654" s="162"/>
      <c r="H654" s="162"/>
      <c r="I654" s="161"/>
    </row>
    <row r="655" spans="1:9" ht="9.9499999999999993" customHeight="1" x14ac:dyDescent="0.25">
      <c r="A655" s="165"/>
      <c r="B655" s="162"/>
      <c r="C655" s="162"/>
      <c r="D655" s="458" t="str">
        <f>"TOTAL DA MEMÓRIA DE CÁLCULO: "&amp;TEXT(ROUND(SUM(D653),2),"0,00")</f>
        <v>TOTAL DA MEMÓRIA DE CÁLCULO: 2,00</v>
      </c>
      <c r="E655" s="458"/>
      <c r="F655" s="458"/>
      <c r="G655" s="458"/>
      <c r="H655" s="458"/>
      <c r="I655" s="161"/>
    </row>
    <row r="656" spans="1:9" ht="30.95" customHeight="1" x14ac:dyDescent="0.25">
      <c r="A656" s="452"/>
      <c r="B656" s="453"/>
      <c r="C656" s="453"/>
      <c r="D656" s="453"/>
      <c r="E656" s="162"/>
      <c r="F656" s="162"/>
      <c r="G656" s="162"/>
      <c r="H656" s="162"/>
      <c r="I656" s="161"/>
    </row>
    <row r="657" spans="1:9" ht="15" customHeight="1" x14ac:dyDescent="0.25">
      <c r="A657" s="456" t="s">
        <v>1183</v>
      </c>
      <c r="B657" s="457"/>
      <c r="C657" s="457"/>
      <c r="D657" s="457"/>
      <c r="E657" s="457"/>
      <c r="F657" s="457"/>
      <c r="G657" s="457"/>
      <c r="H657" s="457"/>
      <c r="I657" s="161"/>
    </row>
    <row r="658" spans="1:9" ht="12.95" customHeight="1" x14ac:dyDescent="0.25">
      <c r="A658" s="450"/>
      <c r="B658" s="451"/>
      <c r="C658" s="119"/>
      <c r="D658" s="119" t="s">
        <v>984</v>
      </c>
      <c r="E658" s="162"/>
      <c r="F658" s="162"/>
      <c r="G658" s="162"/>
      <c r="H658" s="162"/>
      <c r="I658" s="161"/>
    </row>
    <row r="659" spans="1:9" ht="15" customHeight="1" x14ac:dyDescent="0.25">
      <c r="A659" s="163" t="s">
        <v>1177</v>
      </c>
      <c r="B659" s="120" t="s">
        <v>2</v>
      </c>
      <c r="C659" s="227">
        <v>2</v>
      </c>
      <c r="D659" s="228">
        <f>ROUND(2,2)</f>
        <v>2</v>
      </c>
      <c r="E659" s="162"/>
      <c r="F659" s="162"/>
      <c r="G659" s="162"/>
      <c r="H659" s="162"/>
      <c r="I659" s="161"/>
    </row>
    <row r="660" spans="1:9" ht="9.9499999999999993" customHeight="1" x14ac:dyDescent="0.25">
      <c r="A660" s="164"/>
      <c r="B660" s="121"/>
      <c r="C660" s="122"/>
      <c r="D660" s="123">
        <f>ROUND(SUM(D659:D659),2)</f>
        <v>2</v>
      </c>
      <c r="E660" s="162"/>
      <c r="F660" s="162"/>
      <c r="G660" s="162"/>
      <c r="H660" s="162"/>
      <c r="I660" s="161"/>
    </row>
    <row r="661" spans="1:9" ht="12" customHeight="1" x14ac:dyDescent="0.25">
      <c r="A661" s="452"/>
      <c r="B661" s="453"/>
      <c r="C661" s="453"/>
      <c r="D661" s="162"/>
      <c r="E661" s="162"/>
      <c r="F661" s="162"/>
      <c r="G661" s="162"/>
      <c r="H661" s="162"/>
      <c r="I661" s="161"/>
    </row>
    <row r="662" spans="1:9" ht="9.9499999999999993" customHeight="1" x14ac:dyDescent="0.25">
      <c r="A662" s="165"/>
      <c r="B662" s="162"/>
      <c r="C662" s="162"/>
      <c r="D662" s="458" t="str">
        <f>"TOTAL DA MEMÓRIA DE CÁLCULO: "&amp;TEXT(ROUND(SUM(D660),2),"0,00")</f>
        <v>TOTAL DA MEMÓRIA DE CÁLCULO: 2,00</v>
      </c>
      <c r="E662" s="458"/>
      <c r="F662" s="458"/>
      <c r="G662" s="458"/>
      <c r="H662" s="458"/>
      <c r="I662" s="161"/>
    </row>
    <row r="663" spans="1:9" ht="30.95" customHeight="1" x14ac:dyDescent="0.25">
      <c r="A663" s="452"/>
      <c r="B663" s="453"/>
      <c r="C663" s="453"/>
      <c r="D663" s="453"/>
      <c r="E663" s="162"/>
      <c r="F663" s="162"/>
      <c r="G663" s="162"/>
      <c r="H663" s="162"/>
      <c r="I663" s="161"/>
    </row>
    <row r="664" spans="1:9" ht="15" customHeight="1" x14ac:dyDescent="0.25">
      <c r="A664" s="456" t="s">
        <v>1184</v>
      </c>
      <c r="B664" s="457"/>
      <c r="C664" s="457"/>
      <c r="D664" s="457"/>
      <c r="E664" s="457"/>
      <c r="F664" s="457"/>
      <c r="G664" s="457"/>
      <c r="H664" s="457"/>
      <c r="I664" s="161"/>
    </row>
    <row r="665" spans="1:9" ht="12.95" customHeight="1" x14ac:dyDescent="0.25">
      <c r="A665" s="450"/>
      <c r="B665" s="451"/>
      <c r="C665" s="119"/>
      <c r="D665" s="119" t="s">
        <v>984</v>
      </c>
      <c r="E665" s="162"/>
      <c r="F665" s="162"/>
      <c r="G665" s="162"/>
      <c r="H665" s="162"/>
      <c r="I665" s="161"/>
    </row>
    <row r="666" spans="1:9" ht="15" customHeight="1" x14ac:dyDescent="0.25">
      <c r="A666" s="163" t="s">
        <v>1177</v>
      </c>
      <c r="B666" s="120" t="s">
        <v>0</v>
      </c>
      <c r="C666" s="227">
        <v>1</v>
      </c>
      <c r="D666" s="228">
        <f>ROUND(1,2)</f>
        <v>1</v>
      </c>
      <c r="E666" s="162"/>
      <c r="F666" s="162"/>
      <c r="G666" s="162"/>
      <c r="H666" s="162"/>
      <c r="I666" s="161"/>
    </row>
    <row r="667" spans="1:9" ht="9.9499999999999993" customHeight="1" x14ac:dyDescent="0.25">
      <c r="A667" s="164"/>
      <c r="B667" s="121"/>
      <c r="C667" s="122"/>
      <c r="D667" s="123">
        <f>ROUND(SUM(D666:D666),2)</f>
        <v>1</v>
      </c>
      <c r="E667" s="162"/>
      <c r="F667" s="162"/>
      <c r="G667" s="162"/>
      <c r="H667" s="162"/>
      <c r="I667" s="161"/>
    </row>
    <row r="668" spans="1:9" ht="12" customHeight="1" x14ac:dyDescent="0.25">
      <c r="A668" s="452"/>
      <c r="B668" s="453"/>
      <c r="C668" s="453"/>
      <c r="D668" s="162"/>
      <c r="E668" s="162"/>
      <c r="F668" s="162"/>
      <c r="G668" s="162"/>
      <c r="H668" s="162"/>
      <c r="I668" s="161"/>
    </row>
    <row r="669" spans="1:9" ht="9.9499999999999993" customHeight="1" x14ac:dyDescent="0.25">
      <c r="A669" s="165"/>
      <c r="B669" s="162"/>
      <c r="C669" s="162"/>
      <c r="D669" s="458" t="str">
        <f>"TOTAL DA MEMÓRIA DE CÁLCULO: "&amp;TEXT(ROUND(SUM(D667),2),"0,00")</f>
        <v>TOTAL DA MEMÓRIA DE CÁLCULO: 1,00</v>
      </c>
      <c r="E669" s="458"/>
      <c r="F669" s="458"/>
      <c r="G669" s="458"/>
      <c r="H669" s="458"/>
      <c r="I669" s="161"/>
    </row>
    <row r="670" spans="1:9" ht="30.95" customHeight="1" x14ac:dyDescent="0.25">
      <c r="A670" s="452"/>
      <c r="B670" s="453"/>
      <c r="C670" s="453"/>
      <c r="D670" s="453"/>
      <c r="E670" s="162"/>
      <c r="F670" s="162"/>
      <c r="G670" s="162"/>
      <c r="H670" s="162"/>
      <c r="I670" s="161"/>
    </row>
    <row r="671" spans="1:9" ht="15" customHeight="1" x14ac:dyDescent="0.25">
      <c r="A671" s="456" t="s">
        <v>1185</v>
      </c>
      <c r="B671" s="457"/>
      <c r="C671" s="457"/>
      <c r="D671" s="457"/>
      <c r="E671" s="457"/>
      <c r="F671" s="457"/>
      <c r="G671" s="457"/>
      <c r="H671" s="457"/>
      <c r="I671" s="161"/>
    </row>
    <row r="672" spans="1:9" ht="12.95" customHeight="1" x14ac:dyDescent="0.25">
      <c r="A672" s="450"/>
      <c r="B672" s="451"/>
      <c r="C672" s="119"/>
      <c r="D672" s="119" t="s">
        <v>984</v>
      </c>
      <c r="E672" s="162"/>
      <c r="F672" s="162"/>
      <c r="G672" s="162"/>
      <c r="H672" s="162"/>
      <c r="I672" s="161"/>
    </row>
    <row r="673" spans="1:9" ht="15" customHeight="1" x14ac:dyDescent="0.25">
      <c r="A673" s="163" t="s">
        <v>1177</v>
      </c>
      <c r="B673" s="120" t="s">
        <v>2</v>
      </c>
      <c r="C673" s="227">
        <v>2</v>
      </c>
      <c r="D673" s="228">
        <f>ROUND(2,2)</f>
        <v>2</v>
      </c>
      <c r="E673" s="162"/>
      <c r="F673" s="162"/>
      <c r="G673" s="162"/>
      <c r="H673" s="162"/>
      <c r="I673" s="161"/>
    </row>
    <row r="674" spans="1:9" ht="9.9499999999999993" customHeight="1" x14ac:dyDescent="0.25">
      <c r="A674" s="164"/>
      <c r="B674" s="121"/>
      <c r="C674" s="122"/>
      <c r="D674" s="123">
        <f>ROUND(SUM(D673:D673),2)</f>
        <v>2</v>
      </c>
      <c r="E674" s="162"/>
      <c r="F674" s="162"/>
      <c r="G674" s="162"/>
      <c r="H674" s="162"/>
      <c r="I674" s="161"/>
    </row>
    <row r="675" spans="1:9" ht="12" customHeight="1" x14ac:dyDescent="0.25">
      <c r="A675" s="452"/>
      <c r="B675" s="453"/>
      <c r="C675" s="453"/>
      <c r="D675" s="162"/>
      <c r="E675" s="162"/>
      <c r="F675" s="162"/>
      <c r="G675" s="162"/>
      <c r="H675" s="162"/>
      <c r="I675" s="161"/>
    </row>
    <row r="676" spans="1:9" ht="9.9499999999999993" customHeight="1" x14ac:dyDescent="0.25">
      <c r="A676" s="165"/>
      <c r="B676" s="162"/>
      <c r="C676" s="162"/>
      <c r="D676" s="458" t="str">
        <f>"TOTAL DA MEMÓRIA DE CÁLCULO: "&amp;TEXT(ROUND(SUM(D674),2),"0,00")</f>
        <v>TOTAL DA MEMÓRIA DE CÁLCULO: 2,00</v>
      </c>
      <c r="E676" s="458"/>
      <c r="F676" s="458"/>
      <c r="G676" s="458"/>
      <c r="H676" s="458"/>
      <c r="I676" s="161"/>
    </row>
    <row r="677" spans="1:9" ht="42.95" customHeight="1" x14ac:dyDescent="0.25">
      <c r="A677" s="452"/>
      <c r="B677" s="453"/>
      <c r="C677" s="453"/>
      <c r="D677" s="453"/>
      <c r="E677" s="162"/>
      <c r="F677" s="162"/>
      <c r="G677" s="162"/>
      <c r="H677" s="162"/>
      <c r="I677" s="161"/>
    </row>
    <row r="678" spans="1:9" ht="15" customHeight="1" x14ac:dyDescent="0.25">
      <c r="A678" s="456" t="s">
        <v>1186</v>
      </c>
      <c r="B678" s="457"/>
      <c r="C678" s="457"/>
      <c r="D678" s="457"/>
      <c r="E678" s="457"/>
      <c r="F678" s="457"/>
      <c r="G678" s="457"/>
      <c r="H678" s="457"/>
      <c r="I678" s="161"/>
    </row>
    <row r="679" spans="1:9" ht="12.95" customHeight="1" x14ac:dyDescent="0.25">
      <c r="A679" s="450"/>
      <c r="B679" s="451"/>
      <c r="C679" s="119"/>
      <c r="D679" s="119" t="s">
        <v>984</v>
      </c>
      <c r="E679" s="162"/>
      <c r="F679" s="162"/>
      <c r="G679" s="162"/>
      <c r="H679" s="162"/>
      <c r="I679" s="161"/>
    </row>
    <row r="680" spans="1:9" ht="15" customHeight="1" x14ac:dyDescent="0.25">
      <c r="A680" s="163" t="s">
        <v>1177</v>
      </c>
      <c r="B680" s="120" t="s">
        <v>0</v>
      </c>
      <c r="C680" s="227">
        <v>1</v>
      </c>
      <c r="D680" s="228">
        <f>ROUND(1,2)</f>
        <v>1</v>
      </c>
      <c r="E680" s="162"/>
      <c r="F680" s="162"/>
      <c r="G680" s="162"/>
      <c r="H680" s="162"/>
      <c r="I680" s="161"/>
    </row>
    <row r="681" spans="1:9" ht="9.9499999999999993" customHeight="1" x14ac:dyDescent="0.25">
      <c r="A681" s="164"/>
      <c r="B681" s="121"/>
      <c r="C681" s="122"/>
      <c r="D681" s="123">
        <f>ROUND(SUM(D680:D680),2)</f>
        <v>1</v>
      </c>
      <c r="E681" s="162"/>
      <c r="F681" s="162"/>
      <c r="G681" s="162"/>
      <c r="H681" s="162"/>
      <c r="I681" s="161"/>
    </row>
    <row r="682" spans="1:9" ht="12" customHeight="1" x14ac:dyDescent="0.25">
      <c r="A682" s="452"/>
      <c r="B682" s="453"/>
      <c r="C682" s="453"/>
      <c r="D682" s="162"/>
      <c r="E682" s="162"/>
      <c r="F682" s="162"/>
      <c r="G682" s="162"/>
      <c r="H682" s="162"/>
      <c r="I682" s="161"/>
    </row>
    <row r="683" spans="1:9" ht="9.9499999999999993" customHeight="1" x14ac:dyDescent="0.25">
      <c r="A683" s="165"/>
      <c r="B683" s="162"/>
      <c r="C683" s="162"/>
      <c r="D683" s="458" t="str">
        <f>"TOTAL DA MEMÓRIA DE CÁLCULO: "&amp;TEXT(ROUND(SUM(D681),2),"0,00")</f>
        <v>TOTAL DA MEMÓRIA DE CÁLCULO: 1,00</v>
      </c>
      <c r="E683" s="458"/>
      <c r="F683" s="458"/>
      <c r="G683" s="458"/>
      <c r="H683" s="458"/>
      <c r="I683" s="161"/>
    </row>
    <row r="684" spans="1:9" ht="20.100000000000001" customHeight="1" x14ac:dyDescent="0.25">
      <c r="A684" s="452"/>
      <c r="B684" s="453"/>
      <c r="C684" s="453"/>
      <c r="D684" s="453"/>
      <c r="E684" s="162"/>
      <c r="F684" s="162"/>
      <c r="G684" s="162"/>
      <c r="H684" s="162"/>
      <c r="I684" s="161"/>
    </row>
    <row r="685" spans="1:9" ht="15" customHeight="1" x14ac:dyDescent="0.25">
      <c r="A685" s="456" t="s">
        <v>1187</v>
      </c>
      <c r="B685" s="457"/>
      <c r="C685" s="457"/>
      <c r="D685" s="457"/>
      <c r="E685" s="457"/>
      <c r="F685" s="457"/>
      <c r="G685" s="457"/>
      <c r="H685" s="457"/>
      <c r="I685" s="161"/>
    </row>
    <row r="686" spans="1:9" ht="12.95" customHeight="1" x14ac:dyDescent="0.25">
      <c r="A686" s="450"/>
      <c r="B686" s="451"/>
      <c r="C686" s="119" t="s">
        <v>1059</v>
      </c>
      <c r="D686" s="119" t="s">
        <v>1024</v>
      </c>
      <c r="E686" s="119" t="s">
        <v>984</v>
      </c>
      <c r="F686" s="162"/>
      <c r="G686" s="162"/>
      <c r="H686" s="162"/>
      <c r="I686" s="161"/>
    </row>
    <row r="687" spans="1:9" ht="12.95" customHeight="1" x14ac:dyDescent="0.25">
      <c r="A687" s="163" t="s">
        <v>1188</v>
      </c>
      <c r="B687" s="120" t="s">
        <v>1107</v>
      </c>
      <c r="C687" s="227">
        <v>0.4</v>
      </c>
      <c r="D687" s="227">
        <v>0.8</v>
      </c>
      <c r="E687" s="228">
        <f>ROUND(C687*D687,2)</f>
        <v>0.32</v>
      </c>
      <c r="F687" s="162"/>
      <c r="G687" s="162"/>
      <c r="H687" s="162"/>
      <c r="I687" s="161"/>
    </row>
    <row r="688" spans="1:9" ht="15" customHeight="1" x14ac:dyDescent="0.25">
      <c r="A688" s="163" t="s">
        <v>1189</v>
      </c>
      <c r="B688" s="120" t="s">
        <v>1107</v>
      </c>
      <c r="C688" s="227">
        <v>0.8</v>
      </c>
      <c r="D688" s="227">
        <v>0.8</v>
      </c>
      <c r="E688" s="228">
        <f>ROUND(C688*D688,2)</f>
        <v>0.64</v>
      </c>
      <c r="F688" s="162"/>
      <c r="G688" s="162"/>
      <c r="H688" s="162"/>
      <c r="I688" s="161"/>
    </row>
    <row r="689" spans="1:9" ht="9.9499999999999993" customHeight="1" x14ac:dyDescent="0.25">
      <c r="A689" s="164"/>
      <c r="B689" s="121"/>
      <c r="C689" s="122"/>
      <c r="D689" s="122"/>
      <c r="E689" s="123">
        <f>ROUND(SUM(E687:E688),2)</f>
        <v>0.96</v>
      </c>
      <c r="F689" s="162"/>
      <c r="G689" s="162"/>
      <c r="H689" s="162"/>
      <c r="I689" s="161"/>
    </row>
    <row r="690" spans="1:9" ht="12" customHeight="1" x14ac:dyDescent="0.25">
      <c r="A690" s="452"/>
      <c r="B690" s="453"/>
      <c r="C690" s="453"/>
      <c r="D690" s="162"/>
      <c r="E690" s="162"/>
      <c r="F690" s="162"/>
      <c r="G690" s="162"/>
      <c r="H690" s="162"/>
      <c r="I690" s="161"/>
    </row>
    <row r="691" spans="1:9" ht="9.9499999999999993" customHeight="1" x14ac:dyDescent="0.25">
      <c r="A691" s="165"/>
      <c r="B691" s="162"/>
      <c r="C691" s="162"/>
      <c r="D691" s="458" t="str">
        <f>"TOTAL DA MEMÓRIA DE CÁLCULO: "&amp;TEXT(ROUND(SUM(E689),2),"0,00")</f>
        <v>TOTAL DA MEMÓRIA DE CÁLCULO: 0,96</v>
      </c>
      <c r="E691" s="458"/>
      <c r="F691" s="458"/>
      <c r="G691" s="458"/>
      <c r="H691" s="458"/>
      <c r="I691" s="161"/>
    </row>
    <row r="692" spans="1:9" ht="30.95" customHeight="1" x14ac:dyDescent="0.25">
      <c r="A692" s="452"/>
      <c r="B692" s="453"/>
      <c r="C692" s="453"/>
      <c r="D692" s="453"/>
      <c r="E692" s="162"/>
      <c r="F692" s="162"/>
      <c r="G692" s="162"/>
      <c r="H692" s="162"/>
      <c r="I692" s="161"/>
    </row>
    <row r="693" spans="1:9" ht="15" customHeight="1" x14ac:dyDescent="0.25">
      <c r="A693" s="456" t="s">
        <v>1190</v>
      </c>
      <c r="B693" s="457"/>
      <c r="C693" s="457"/>
      <c r="D693" s="457"/>
      <c r="E693" s="457"/>
      <c r="F693" s="457"/>
      <c r="G693" s="457"/>
      <c r="H693" s="457"/>
      <c r="I693" s="161"/>
    </row>
    <row r="694" spans="1:9" ht="12.95" customHeight="1" x14ac:dyDescent="0.25">
      <c r="A694" s="450"/>
      <c r="B694" s="451"/>
      <c r="C694" s="119"/>
      <c r="D694" s="119" t="s">
        <v>984</v>
      </c>
      <c r="E694" s="162"/>
      <c r="F694" s="162"/>
      <c r="G694" s="162"/>
      <c r="H694" s="162"/>
      <c r="I694" s="161"/>
    </row>
    <row r="695" spans="1:9" ht="15" customHeight="1" x14ac:dyDescent="0.25">
      <c r="A695" s="163" t="s">
        <v>1045</v>
      </c>
      <c r="B695" s="120" t="s">
        <v>2</v>
      </c>
      <c r="C695" s="227">
        <v>2</v>
      </c>
      <c r="D695" s="228">
        <f>ROUND(2,2)</f>
        <v>2</v>
      </c>
      <c r="E695" s="162"/>
      <c r="F695" s="162"/>
      <c r="G695" s="162"/>
      <c r="H695" s="162"/>
      <c r="I695" s="161"/>
    </row>
    <row r="696" spans="1:9" ht="9.9499999999999993" customHeight="1" x14ac:dyDescent="0.25">
      <c r="A696" s="164"/>
      <c r="B696" s="121"/>
      <c r="C696" s="122"/>
      <c r="D696" s="123">
        <f>ROUND(SUM(D695:D695),2)</f>
        <v>2</v>
      </c>
      <c r="E696" s="162"/>
      <c r="F696" s="162"/>
      <c r="G696" s="162"/>
      <c r="H696" s="162"/>
      <c r="I696" s="161"/>
    </row>
    <row r="697" spans="1:9" ht="12" customHeight="1" x14ac:dyDescent="0.25">
      <c r="A697" s="452"/>
      <c r="B697" s="453"/>
      <c r="C697" s="453"/>
      <c r="D697" s="162"/>
      <c r="E697" s="162"/>
      <c r="F697" s="162"/>
      <c r="G697" s="162"/>
      <c r="H697" s="162"/>
      <c r="I697" s="161"/>
    </row>
    <row r="698" spans="1:9" ht="9.9499999999999993" customHeight="1" x14ac:dyDescent="0.25">
      <c r="A698" s="165"/>
      <c r="B698" s="162"/>
      <c r="C698" s="162"/>
      <c r="D698" s="458" t="str">
        <f>"TOTAL DA MEMÓRIA DE CÁLCULO: "&amp;TEXT(ROUND(SUM(D696),2),"0,00")</f>
        <v>TOTAL DA MEMÓRIA DE CÁLCULO: 2,00</v>
      </c>
      <c r="E698" s="458"/>
      <c r="F698" s="458"/>
      <c r="G698" s="458"/>
      <c r="H698" s="458"/>
      <c r="I698" s="161"/>
    </row>
    <row r="699" spans="1:9" ht="20.100000000000001" customHeight="1" x14ac:dyDescent="0.25">
      <c r="A699" s="452"/>
      <c r="B699" s="453"/>
      <c r="C699" s="453"/>
      <c r="D699" s="453"/>
      <c r="E699" s="162"/>
      <c r="F699" s="162"/>
      <c r="G699" s="162"/>
      <c r="H699" s="162"/>
      <c r="I699" s="161"/>
    </row>
    <row r="700" spans="1:9" ht="9.9499999999999993" customHeight="1" x14ac:dyDescent="0.25">
      <c r="A700" s="456" t="s">
        <v>1191</v>
      </c>
      <c r="B700" s="457"/>
      <c r="C700" s="457"/>
      <c r="D700" s="457"/>
      <c r="E700" s="457"/>
      <c r="F700" s="457"/>
      <c r="G700" s="457"/>
      <c r="H700" s="457"/>
      <c r="I700" s="161"/>
    </row>
    <row r="701" spans="1:9" ht="20.100000000000001" customHeight="1" x14ac:dyDescent="0.25">
      <c r="A701" s="452"/>
      <c r="B701" s="453"/>
      <c r="C701" s="453"/>
      <c r="D701" s="162"/>
      <c r="E701" s="162"/>
      <c r="F701" s="162"/>
      <c r="G701" s="162"/>
      <c r="H701" s="162"/>
      <c r="I701" s="161"/>
    </row>
    <row r="702" spans="1:9" ht="9.9499999999999993" customHeight="1" x14ac:dyDescent="0.25">
      <c r="A702" s="456" t="s">
        <v>1192</v>
      </c>
      <c r="B702" s="457"/>
      <c r="C702" s="457"/>
      <c r="D702" s="457"/>
      <c r="E702" s="457"/>
      <c r="F702" s="457"/>
      <c r="G702" s="457"/>
      <c r="H702" s="457"/>
      <c r="I702" s="161"/>
    </row>
    <row r="703" spans="1:9" ht="30.95" customHeight="1" x14ac:dyDescent="0.25">
      <c r="A703" s="452"/>
      <c r="B703" s="453"/>
      <c r="C703" s="453"/>
      <c r="D703" s="162"/>
      <c r="E703" s="162"/>
      <c r="F703" s="162"/>
      <c r="G703" s="162"/>
      <c r="H703" s="162"/>
      <c r="I703" s="161"/>
    </row>
    <row r="704" spans="1:9" ht="15" customHeight="1" x14ac:dyDescent="0.25">
      <c r="A704" s="456" t="s">
        <v>1193</v>
      </c>
      <c r="B704" s="457"/>
      <c r="C704" s="457"/>
      <c r="D704" s="457"/>
      <c r="E704" s="457"/>
      <c r="F704" s="457"/>
      <c r="G704" s="457"/>
      <c r="H704" s="457"/>
      <c r="I704" s="161"/>
    </row>
    <row r="705" spans="1:9" ht="27" customHeight="1" x14ac:dyDescent="0.25">
      <c r="A705" s="450"/>
      <c r="B705" s="451"/>
      <c r="C705" s="119" t="s">
        <v>1078</v>
      </c>
      <c r="D705" s="119" t="s">
        <v>1024</v>
      </c>
      <c r="E705" s="119" t="s">
        <v>1006</v>
      </c>
      <c r="F705" s="119" t="s">
        <v>984</v>
      </c>
      <c r="G705" s="162"/>
      <c r="H705" s="162"/>
      <c r="I705" s="161"/>
    </row>
    <row r="706" spans="1:9" ht="15" customHeight="1" x14ac:dyDescent="0.25">
      <c r="A706" s="163" t="s">
        <v>1194</v>
      </c>
      <c r="B706" s="120" t="s">
        <v>1195</v>
      </c>
      <c r="C706" s="227">
        <v>1</v>
      </c>
      <c r="D706" s="227">
        <v>2.1</v>
      </c>
      <c r="E706" s="227">
        <v>0.9</v>
      </c>
      <c r="F706" s="228">
        <f>ROUND(C706*D706*E706,2)</f>
        <v>1.89</v>
      </c>
      <c r="G706" s="162"/>
      <c r="H706" s="162"/>
      <c r="I706" s="161"/>
    </row>
    <row r="707" spans="1:9" ht="9.9499999999999993" customHeight="1" x14ac:dyDescent="0.25">
      <c r="A707" s="164"/>
      <c r="B707" s="121"/>
      <c r="C707" s="122"/>
      <c r="D707" s="122"/>
      <c r="E707" s="122"/>
      <c r="F707" s="123">
        <f>ROUND(SUM(F706:F706),2)</f>
        <v>1.89</v>
      </c>
      <c r="G707" s="162"/>
      <c r="H707" s="162"/>
      <c r="I707" s="161"/>
    </row>
    <row r="708" spans="1:9" ht="12" customHeight="1" x14ac:dyDescent="0.25">
      <c r="A708" s="452"/>
      <c r="B708" s="453"/>
      <c r="C708" s="453"/>
      <c r="D708" s="162"/>
      <c r="E708" s="162"/>
      <c r="F708" s="162"/>
      <c r="G708" s="162"/>
      <c r="H708" s="162"/>
      <c r="I708" s="161"/>
    </row>
    <row r="709" spans="1:9" ht="9.9499999999999993" customHeight="1" x14ac:dyDescent="0.25">
      <c r="A709" s="165"/>
      <c r="B709" s="162"/>
      <c r="C709" s="162"/>
      <c r="D709" s="458" t="str">
        <f>"TOTAL DA MEMÓRIA DE CÁLCULO: "&amp;TEXT(ROUND(SUM(F707),2),"0,00")</f>
        <v>TOTAL DA MEMÓRIA DE CÁLCULO: 1,89</v>
      </c>
      <c r="E709" s="458"/>
      <c r="F709" s="458"/>
      <c r="G709" s="458"/>
      <c r="H709" s="458"/>
      <c r="I709" s="161"/>
    </row>
    <row r="710" spans="1:9" ht="30.95" customHeight="1" x14ac:dyDescent="0.25">
      <c r="A710" s="452"/>
      <c r="B710" s="453"/>
      <c r="C710" s="453"/>
      <c r="D710" s="453"/>
      <c r="E710" s="162"/>
      <c r="F710" s="162"/>
      <c r="G710" s="162"/>
      <c r="H710" s="162"/>
      <c r="I710" s="161"/>
    </row>
    <row r="711" spans="1:9" ht="15" customHeight="1" x14ac:dyDescent="0.25">
      <c r="A711" s="456" t="s">
        <v>1196</v>
      </c>
      <c r="B711" s="457"/>
      <c r="C711" s="457"/>
      <c r="D711" s="457"/>
      <c r="E711" s="457"/>
      <c r="F711" s="457"/>
      <c r="G711" s="457"/>
      <c r="H711" s="457"/>
      <c r="I711" s="161"/>
    </row>
    <row r="712" spans="1:9" ht="27" customHeight="1" x14ac:dyDescent="0.25">
      <c r="A712" s="450"/>
      <c r="B712" s="451"/>
      <c r="C712" s="119" t="s">
        <v>1078</v>
      </c>
      <c r="D712" s="119" t="s">
        <v>1024</v>
      </c>
      <c r="E712" s="119" t="s">
        <v>1006</v>
      </c>
      <c r="F712" s="119" t="s">
        <v>984</v>
      </c>
      <c r="G712" s="162"/>
      <c r="H712" s="162"/>
      <c r="I712" s="161"/>
    </row>
    <row r="713" spans="1:9" ht="15" customHeight="1" x14ac:dyDescent="0.25">
      <c r="A713" s="163" t="s">
        <v>1197</v>
      </c>
      <c r="B713" s="120" t="s">
        <v>1195</v>
      </c>
      <c r="C713" s="227">
        <v>1</v>
      </c>
      <c r="D713" s="227">
        <v>2.1</v>
      </c>
      <c r="E713" s="227">
        <v>0.8</v>
      </c>
      <c r="F713" s="228">
        <f>ROUND(C713*D713*E713,2)</f>
        <v>1.68</v>
      </c>
      <c r="G713" s="162"/>
      <c r="H713" s="162"/>
      <c r="I713" s="161"/>
    </row>
    <row r="714" spans="1:9" ht="9.9499999999999993" customHeight="1" x14ac:dyDescent="0.25">
      <c r="A714" s="164"/>
      <c r="B714" s="121"/>
      <c r="C714" s="122"/>
      <c r="D714" s="122"/>
      <c r="E714" s="122"/>
      <c r="F714" s="123">
        <f>ROUND(SUM(F713:F713),2)</f>
        <v>1.68</v>
      </c>
      <c r="G714" s="162"/>
      <c r="H714" s="162"/>
      <c r="I714" s="161"/>
    </row>
    <row r="715" spans="1:9" ht="12" customHeight="1" x14ac:dyDescent="0.25">
      <c r="A715" s="452"/>
      <c r="B715" s="453"/>
      <c r="C715" s="453"/>
      <c r="D715" s="162"/>
      <c r="E715" s="162"/>
      <c r="F715" s="162"/>
      <c r="G715" s="162"/>
      <c r="H715" s="162"/>
      <c r="I715" s="161"/>
    </row>
    <row r="716" spans="1:9" ht="9.9499999999999993" customHeight="1" x14ac:dyDescent="0.25">
      <c r="A716" s="165"/>
      <c r="B716" s="162"/>
      <c r="C716" s="162"/>
      <c r="D716" s="458" t="str">
        <f>"TOTAL DA MEMÓRIA DE CÁLCULO: "&amp;TEXT(ROUND(SUM(F714),2),"0,00")</f>
        <v>TOTAL DA MEMÓRIA DE CÁLCULO: 1,68</v>
      </c>
      <c r="E716" s="458"/>
      <c r="F716" s="458"/>
      <c r="G716" s="458"/>
      <c r="H716" s="458"/>
      <c r="I716" s="161"/>
    </row>
    <row r="717" spans="1:9" ht="20.100000000000001" customHeight="1" x14ac:dyDescent="0.25">
      <c r="A717" s="452"/>
      <c r="B717" s="453"/>
      <c r="C717" s="453"/>
      <c r="D717" s="453"/>
      <c r="E717" s="162"/>
      <c r="F717" s="162"/>
      <c r="G717" s="162"/>
      <c r="H717" s="162"/>
      <c r="I717" s="161"/>
    </row>
    <row r="718" spans="1:9" ht="15" customHeight="1" x14ac:dyDescent="0.25">
      <c r="A718" s="456" t="s">
        <v>1198</v>
      </c>
      <c r="B718" s="457"/>
      <c r="C718" s="457"/>
      <c r="D718" s="457"/>
      <c r="E718" s="457"/>
      <c r="F718" s="457"/>
      <c r="G718" s="457"/>
      <c r="H718" s="457"/>
      <c r="I718" s="161"/>
    </row>
    <row r="719" spans="1:9" ht="12.95" customHeight="1" x14ac:dyDescent="0.25">
      <c r="A719" s="450" t="s">
        <v>405</v>
      </c>
      <c r="B719" s="451"/>
      <c r="C719" s="119" t="s">
        <v>1059</v>
      </c>
      <c r="D719" s="119" t="s">
        <v>1024</v>
      </c>
      <c r="E719" s="119" t="s">
        <v>984</v>
      </c>
      <c r="F719" s="162"/>
      <c r="G719" s="162"/>
      <c r="H719" s="162"/>
      <c r="I719" s="161"/>
    </row>
    <row r="720" spans="1:9" ht="15" customHeight="1" x14ac:dyDescent="0.25">
      <c r="A720" s="163" t="s">
        <v>1199</v>
      </c>
      <c r="B720" s="120" t="s">
        <v>1200</v>
      </c>
      <c r="C720" s="227">
        <v>1.19</v>
      </c>
      <c r="D720" s="227">
        <v>2.4900000000000002</v>
      </c>
      <c r="E720" s="228">
        <f>ROUND(D720*C720,2)</f>
        <v>2.96</v>
      </c>
      <c r="F720" s="162"/>
      <c r="G720" s="162"/>
      <c r="H720" s="162"/>
      <c r="I720" s="161"/>
    </row>
    <row r="721" spans="1:9" ht="9.9499999999999993" customHeight="1" x14ac:dyDescent="0.25">
      <c r="A721" s="164" t="s">
        <v>405</v>
      </c>
      <c r="B721" s="121"/>
      <c r="C721" s="122"/>
      <c r="D721" s="122"/>
      <c r="E721" s="123">
        <f>ROUND(SUM(E720:E720),2)</f>
        <v>2.96</v>
      </c>
      <c r="F721" s="162"/>
      <c r="G721" s="162"/>
      <c r="H721" s="162"/>
      <c r="I721" s="161"/>
    </row>
    <row r="722" spans="1:9" ht="15" customHeight="1" x14ac:dyDescent="0.25">
      <c r="A722" s="452"/>
      <c r="B722" s="453"/>
      <c r="C722" s="453"/>
      <c r="D722" s="162"/>
      <c r="E722" s="162"/>
      <c r="F722" s="162"/>
      <c r="G722" s="162"/>
      <c r="H722" s="162"/>
      <c r="I722" s="161"/>
    </row>
    <row r="723" spans="1:9" ht="12.95" customHeight="1" x14ac:dyDescent="0.25">
      <c r="A723" s="450" t="s">
        <v>1201</v>
      </c>
      <c r="B723" s="451"/>
      <c r="C723" s="119" t="s">
        <v>1059</v>
      </c>
      <c r="D723" s="119" t="s">
        <v>1024</v>
      </c>
      <c r="E723" s="119" t="s">
        <v>984</v>
      </c>
      <c r="F723" s="162"/>
      <c r="G723" s="162"/>
      <c r="H723" s="162"/>
      <c r="I723" s="161"/>
    </row>
    <row r="724" spans="1:9" ht="15" customHeight="1" x14ac:dyDescent="0.25">
      <c r="A724" s="163" t="s">
        <v>1202</v>
      </c>
      <c r="B724" s="120" t="s">
        <v>1203</v>
      </c>
      <c r="C724" s="227">
        <v>1.5</v>
      </c>
      <c r="D724" s="227">
        <v>2.0499999999999998</v>
      </c>
      <c r="E724" s="228">
        <f>ROUND(D724*C724*2,2)</f>
        <v>6.15</v>
      </c>
      <c r="F724" s="162"/>
      <c r="G724" s="162"/>
      <c r="H724" s="162"/>
      <c r="I724" s="161"/>
    </row>
    <row r="725" spans="1:9" ht="9.9499999999999993" customHeight="1" x14ac:dyDescent="0.25">
      <c r="A725" s="164" t="s">
        <v>1201</v>
      </c>
      <c r="B725" s="121"/>
      <c r="C725" s="122"/>
      <c r="D725" s="122"/>
      <c r="E725" s="123">
        <f>ROUND(SUM(E724:E724),2)</f>
        <v>6.15</v>
      </c>
      <c r="F725" s="162"/>
      <c r="G725" s="162"/>
      <c r="H725" s="162"/>
      <c r="I725" s="161"/>
    </row>
    <row r="726" spans="1:9" ht="12" customHeight="1" x14ac:dyDescent="0.25">
      <c r="A726" s="452"/>
      <c r="B726" s="453"/>
      <c r="C726" s="453"/>
      <c r="D726" s="162"/>
      <c r="E726" s="162"/>
      <c r="F726" s="162"/>
      <c r="G726" s="162"/>
      <c r="H726" s="162"/>
      <c r="I726" s="161"/>
    </row>
    <row r="727" spans="1:9" ht="12" customHeight="1" x14ac:dyDescent="0.25">
      <c r="A727" s="461" t="s">
        <v>4299</v>
      </c>
      <c r="B727" s="462"/>
      <c r="C727" s="462"/>
      <c r="D727" s="458" t="str">
        <f>"TOTAL DA MEMÓRIA DE CÁLCULO: "&amp;TEXT(ROUND(SUM(E721,E725),2),"0,00")</f>
        <v>TOTAL DA MEMÓRIA DE CÁLCULO: 9,11</v>
      </c>
      <c r="E727" s="458"/>
      <c r="F727" s="458"/>
      <c r="G727" s="458"/>
      <c r="H727" s="458"/>
      <c r="I727" s="161"/>
    </row>
    <row r="728" spans="1:9" ht="9.9499999999999993" customHeight="1" x14ac:dyDescent="0.25">
      <c r="A728" s="461"/>
      <c r="B728" s="462"/>
      <c r="C728" s="462"/>
      <c r="D728" s="162"/>
      <c r="E728" s="162"/>
      <c r="F728" s="162"/>
      <c r="G728" s="162"/>
      <c r="H728" s="162"/>
      <c r="I728" s="161"/>
    </row>
    <row r="729" spans="1:9" ht="30.95" customHeight="1" x14ac:dyDescent="0.25">
      <c r="A729" s="452"/>
      <c r="B729" s="453"/>
      <c r="C729" s="453"/>
      <c r="D729" s="453"/>
      <c r="E729" s="162"/>
      <c r="F729" s="162"/>
      <c r="G729" s="162"/>
      <c r="H729" s="162"/>
      <c r="I729" s="161"/>
    </row>
    <row r="730" spans="1:9" ht="15" customHeight="1" x14ac:dyDescent="0.25">
      <c r="A730" s="456" t="s">
        <v>1204</v>
      </c>
      <c r="B730" s="457"/>
      <c r="C730" s="457"/>
      <c r="D730" s="457"/>
      <c r="E730" s="457"/>
      <c r="F730" s="457"/>
      <c r="G730" s="457"/>
      <c r="H730" s="457"/>
      <c r="I730" s="161"/>
    </row>
    <row r="731" spans="1:9" ht="12.95" customHeight="1" x14ac:dyDescent="0.25">
      <c r="A731" s="450"/>
      <c r="B731" s="451"/>
      <c r="C731" s="119" t="s">
        <v>1059</v>
      </c>
      <c r="D731" s="119" t="s">
        <v>1024</v>
      </c>
      <c r="E731" s="119" t="s">
        <v>984</v>
      </c>
      <c r="F731" s="162"/>
      <c r="G731" s="162"/>
      <c r="H731" s="162"/>
      <c r="I731" s="161"/>
    </row>
    <row r="732" spans="1:9" ht="12.95" customHeight="1" x14ac:dyDescent="0.25">
      <c r="A732" s="163" t="s">
        <v>1205</v>
      </c>
      <c r="B732" s="120" t="s">
        <v>1200</v>
      </c>
      <c r="C732" s="227">
        <v>1.84</v>
      </c>
      <c r="D732" s="227">
        <v>3.74</v>
      </c>
      <c r="E732" s="228">
        <f>ROUND(D732*C732,2)</f>
        <v>6.88</v>
      </c>
      <c r="F732" s="162"/>
      <c r="G732" s="162"/>
      <c r="H732" s="162"/>
      <c r="I732" s="161"/>
    </row>
    <row r="733" spans="1:9" ht="12.95" customHeight="1" x14ac:dyDescent="0.25">
      <c r="A733" s="163" t="s">
        <v>1206</v>
      </c>
      <c r="B733" s="120" t="s">
        <v>1200</v>
      </c>
      <c r="C733" s="227">
        <v>1.34</v>
      </c>
      <c r="D733" s="227">
        <v>2.0499999999999998</v>
      </c>
      <c r="E733" s="228">
        <f>ROUND(D733*C733,2)</f>
        <v>2.75</v>
      </c>
      <c r="F733" s="162"/>
      <c r="G733" s="162"/>
      <c r="H733" s="162"/>
      <c r="I733" s="161"/>
    </row>
    <row r="734" spans="1:9" ht="12.95" customHeight="1" x14ac:dyDescent="0.25">
      <c r="A734" s="163" t="s">
        <v>1207</v>
      </c>
      <c r="B734" s="120" t="s">
        <v>1200</v>
      </c>
      <c r="C734" s="227">
        <v>0.89</v>
      </c>
      <c r="D734" s="227">
        <v>2.16</v>
      </c>
      <c r="E734" s="228">
        <f>ROUND(D734*C734,2)</f>
        <v>1.92</v>
      </c>
      <c r="F734" s="162"/>
      <c r="G734" s="162"/>
      <c r="H734" s="162"/>
      <c r="I734" s="161"/>
    </row>
    <row r="735" spans="1:9" ht="12.95" customHeight="1" x14ac:dyDescent="0.25">
      <c r="A735" s="163" t="s">
        <v>1208</v>
      </c>
      <c r="B735" s="120" t="s">
        <v>1200</v>
      </c>
      <c r="C735" s="227">
        <v>0.8</v>
      </c>
      <c r="D735" s="227">
        <v>2.0699999999999998</v>
      </c>
      <c r="E735" s="228">
        <f>ROUND(D735*C735,2)</f>
        <v>1.66</v>
      </c>
      <c r="F735" s="162"/>
      <c r="G735" s="162"/>
      <c r="H735" s="162"/>
      <c r="I735" s="161"/>
    </row>
    <row r="736" spans="1:9" ht="12.95" customHeight="1" x14ac:dyDescent="0.25">
      <c r="A736" s="163" t="s">
        <v>1209</v>
      </c>
      <c r="B736" s="120" t="s">
        <v>1200</v>
      </c>
      <c r="C736" s="227">
        <v>1.1200000000000001</v>
      </c>
      <c r="D736" s="227">
        <v>2.67</v>
      </c>
      <c r="E736" s="228">
        <f>ROUND(D736*C736,2)</f>
        <v>2.99</v>
      </c>
      <c r="F736" s="162"/>
      <c r="G736" s="162"/>
      <c r="H736" s="162"/>
      <c r="I736" s="161"/>
    </row>
    <row r="737" spans="1:9" ht="12.95" customHeight="1" x14ac:dyDescent="0.25">
      <c r="A737" s="163" t="s">
        <v>1210</v>
      </c>
      <c r="B737" s="120" t="s">
        <v>1203</v>
      </c>
      <c r="C737" s="227">
        <v>1.64</v>
      </c>
      <c r="D737" s="227">
        <v>2.2999999999999998</v>
      </c>
      <c r="E737" s="228">
        <f>ROUND(D737*C737*2,2)</f>
        <v>7.54</v>
      </c>
      <c r="F737" s="162"/>
      <c r="G737" s="162"/>
      <c r="H737" s="162"/>
      <c r="I737" s="161"/>
    </row>
    <row r="738" spans="1:9" ht="12.95" customHeight="1" x14ac:dyDescent="0.25">
      <c r="A738" s="163" t="s">
        <v>1210</v>
      </c>
      <c r="B738" s="120" t="s">
        <v>1203</v>
      </c>
      <c r="C738" s="227">
        <v>1.64</v>
      </c>
      <c r="D738" s="227">
        <v>2.2999999999999998</v>
      </c>
      <c r="E738" s="228">
        <f>ROUND(D738*C738*2,2)</f>
        <v>7.54</v>
      </c>
      <c r="F738" s="162"/>
      <c r="G738" s="162"/>
      <c r="H738" s="162"/>
      <c r="I738" s="161"/>
    </row>
    <row r="739" spans="1:9" ht="12.95" customHeight="1" x14ac:dyDescent="0.25">
      <c r="A739" s="163" t="s">
        <v>1211</v>
      </c>
      <c r="B739" s="120" t="s">
        <v>1200</v>
      </c>
      <c r="C739" s="227">
        <v>0.67</v>
      </c>
      <c r="D739" s="227">
        <v>2.0499999999999998</v>
      </c>
      <c r="E739" s="228">
        <f t="shared" ref="E739:E745" si="1">ROUND(D739*C739,2)</f>
        <v>1.37</v>
      </c>
      <c r="F739" s="162"/>
      <c r="G739" s="162"/>
      <c r="H739" s="162"/>
      <c r="I739" s="161"/>
    </row>
    <row r="740" spans="1:9" ht="12.95" customHeight="1" x14ac:dyDescent="0.25">
      <c r="A740" s="163" t="s">
        <v>1212</v>
      </c>
      <c r="B740" s="120" t="s">
        <v>1200</v>
      </c>
      <c r="C740" s="227">
        <v>0.94</v>
      </c>
      <c r="D740" s="227">
        <v>2.06</v>
      </c>
      <c r="E740" s="228">
        <f t="shared" si="1"/>
        <v>1.94</v>
      </c>
      <c r="F740" s="162"/>
      <c r="G740" s="162"/>
      <c r="H740" s="162"/>
      <c r="I740" s="161"/>
    </row>
    <row r="741" spans="1:9" ht="12.95" customHeight="1" x14ac:dyDescent="0.25">
      <c r="A741" s="163" t="s">
        <v>1213</v>
      </c>
      <c r="B741" s="120" t="s">
        <v>1200</v>
      </c>
      <c r="C741" s="227">
        <v>0.92</v>
      </c>
      <c r="D741" s="227">
        <v>2.04</v>
      </c>
      <c r="E741" s="228">
        <f t="shared" si="1"/>
        <v>1.88</v>
      </c>
      <c r="F741" s="162"/>
      <c r="G741" s="162"/>
      <c r="H741" s="162"/>
      <c r="I741" s="161"/>
    </row>
    <row r="742" spans="1:9" ht="12.95" customHeight="1" x14ac:dyDescent="0.25">
      <c r="A742" s="163" t="s">
        <v>1214</v>
      </c>
      <c r="B742" s="120" t="s">
        <v>1200</v>
      </c>
      <c r="C742" s="227">
        <v>1.4</v>
      </c>
      <c r="D742" s="227">
        <v>2.38</v>
      </c>
      <c r="E742" s="228">
        <f t="shared" si="1"/>
        <v>3.33</v>
      </c>
      <c r="F742" s="162"/>
      <c r="G742" s="162"/>
      <c r="H742" s="162"/>
      <c r="I742" s="161"/>
    </row>
    <row r="743" spans="1:9" ht="12.95" customHeight="1" x14ac:dyDescent="0.25">
      <c r="A743" s="163" t="s">
        <v>1215</v>
      </c>
      <c r="B743" s="120" t="s">
        <v>1200</v>
      </c>
      <c r="C743" s="227">
        <v>1.39</v>
      </c>
      <c r="D743" s="227">
        <v>2.85</v>
      </c>
      <c r="E743" s="228">
        <f t="shared" si="1"/>
        <v>3.96</v>
      </c>
      <c r="F743" s="162"/>
      <c r="G743" s="162"/>
      <c r="H743" s="162"/>
      <c r="I743" s="161"/>
    </row>
    <row r="744" spans="1:9" ht="12.95" customHeight="1" x14ac:dyDescent="0.25">
      <c r="A744" s="163" t="s">
        <v>1216</v>
      </c>
      <c r="B744" s="120" t="s">
        <v>1200</v>
      </c>
      <c r="C744" s="227">
        <v>1.8</v>
      </c>
      <c r="D744" s="227">
        <v>2.1</v>
      </c>
      <c r="E744" s="228">
        <f t="shared" si="1"/>
        <v>3.78</v>
      </c>
      <c r="F744" s="162"/>
      <c r="G744" s="162"/>
      <c r="H744" s="162"/>
      <c r="I744" s="161"/>
    </row>
    <row r="745" spans="1:9" ht="15" customHeight="1" x14ac:dyDescent="0.25">
      <c r="A745" s="163" t="s">
        <v>1217</v>
      </c>
      <c r="B745" s="120" t="s">
        <v>1200</v>
      </c>
      <c r="C745" s="227">
        <v>1.8</v>
      </c>
      <c r="D745" s="227">
        <v>2.1</v>
      </c>
      <c r="E745" s="228">
        <f t="shared" si="1"/>
        <v>3.78</v>
      </c>
      <c r="F745" s="162"/>
      <c r="G745" s="162"/>
      <c r="H745" s="162"/>
      <c r="I745" s="161"/>
    </row>
    <row r="746" spans="1:9" ht="9.9499999999999993" customHeight="1" x14ac:dyDescent="0.25">
      <c r="A746" s="164"/>
      <c r="B746" s="121"/>
      <c r="C746" s="122"/>
      <c r="D746" s="122"/>
      <c r="E746" s="123">
        <f>ROUND(SUM(E732:E745),2)</f>
        <v>51.32</v>
      </c>
      <c r="F746" s="162"/>
      <c r="G746" s="162"/>
      <c r="H746" s="162"/>
      <c r="I746" s="161"/>
    </row>
    <row r="747" spans="1:9" ht="12" customHeight="1" x14ac:dyDescent="0.25">
      <c r="A747" s="452"/>
      <c r="B747" s="453"/>
      <c r="C747" s="453"/>
      <c r="D747" s="162"/>
      <c r="E747" s="162"/>
      <c r="F747" s="162"/>
      <c r="G747" s="162"/>
      <c r="H747" s="162"/>
      <c r="I747" s="161"/>
    </row>
    <row r="748" spans="1:9" ht="9.9499999999999993" customHeight="1" x14ac:dyDescent="0.25">
      <c r="A748" s="165"/>
      <c r="B748" s="162"/>
      <c r="C748" s="162"/>
      <c r="D748" s="458" t="str">
        <f>"TOTAL DA MEMÓRIA DE CÁLCULO: "&amp;TEXT(ROUND(SUM(E746),2),"0,00")</f>
        <v>TOTAL DA MEMÓRIA DE CÁLCULO: 51,32</v>
      </c>
      <c r="E748" s="458"/>
      <c r="F748" s="458"/>
      <c r="G748" s="458"/>
      <c r="H748" s="458"/>
      <c r="I748" s="161"/>
    </row>
    <row r="749" spans="1:9" ht="30.95" customHeight="1" x14ac:dyDescent="0.25">
      <c r="A749" s="452"/>
      <c r="B749" s="453"/>
      <c r="C749" s="453"/>
      <c r="D749" s="453"/>
      <c r="E749" s="162"/>
      <c r="F749" s="162"/>
      <c r="G749" s="162"/>
      <c r="H749" s="162"/>
      <c r="I749" s="161"/>
    </row>
    <row r="750" spans="1:9" ht="15" customHeight="1" x14ac:dyDescent="0.25">
      <c r="A750" s="456" t="s">
        <v>1218</v>
      </c>
      <c r="B750" s="457"/>
      <c r="C750" s="457"/>
      <c r="D750" s="457"/>
      <c r="E750" s="457"/>
      <c r="F750" s="457"/>
      <c r="G750" s="457"/>
      <c r="H750" s="457"/>
      <c r="I750" s="161"/>
    </row>
    <row r="751" spans="1:9" ht="12.95" customHeight="1" x14ac:dyDescent="0.25">
      <c r="A751" s="450"/>
      <c r="B751" s="451"/>
      <c r="C751" s="119"/>
      <c r="D751" s="119" t="s">
        <v>984</v>
      </c>
      <c r="E751" s="162"/>
      <c r="F751" s="162"/>
      <c r="G751" s="162"/>
      <c r="H751" s="162"/>
      <c r="I751" s="161"/>
    </row>
    <row r="752" spans="1:9" ht="15" customHeight="1" x14ac:dyDescent="0.25">
      <c r="A752" s="163" t="s">
        <v>1219</v>
      </c>
      <c r="B752" s="120" t="s">
        <v>0</v>
      </c>
      <c r="C752" s="227">
        <v>1</v>
      </c>
      <c r="D752" s="228">
        <f>ROUND(1,2)</f>
        <v>1</v>
      </c>
      <c r="E752" s="162"/>
      <c r="F752" s="162"/>
      <c r="G752" s="162"/>
      <c r="H752" s="162"/>
      <c r="I752" s="161"/>
    </row>
    <row r="753" spans="1:9" ht="9.9499999999999993" customHeight="1" x14ac:dyDescent="0.25">
      <c r="A753" s="164"/>
      <c r="B753" s="121"/>
      <c r="C753" s="122"/>
      <c r="D753" s="123">
        <f>ROUND(SUM(D752:D752),2)</f>
        <v>1</v>
      </c>
      <c r="E753" s="162"/>
      <c r="F753" s="162"/>
      <c r="G753" s="162"/>
      <c r="H753" s="162"/>
      <c r="I753" s="161"/>
    </row>
    <row r="754" spans="1:9" ht="12" customHeight="1" x14ac:dyDescent="0.25">
      <c r="A754" s="452"/>
      <c r="B754" s="453"/>
      <c r="C754" s="453"/>
      <c r="D754" s="162"/>
      <c r="E754" s="162"/>
      <c r="F754" s="162"/>
      <c r="G754" s="162"/>
      <c r="H754" s="162"/>
      <c r="I754" s="161"/>
    </row>
    <row r="755" spans="1:9" ht="9.9499999999999993" customHeight="1" x14ac:dyDescent="0.25">
      <c r="A755" s="165"/>
      <c r="B755" s="162"/>
      <c r="C755" s="162"/>
      <c r="D755" s="458" t="str">
        <f>"TOTAL DA MEMÓRIA DE CÁLCULO: "&amp;TEXT(ROUND(SUM(D753),2),"0,00")</f>
        <v>TOTAL DA MEMÓRIA DE CÁLCULO: 1,00</v>
      </c>
      <c r="E755" s="458"/>
      <c r="F755" s="458"/>
      <c r="G755" s="458"/>
      <c r="H755" s="458"/>
      <c r="I755" s="161"/>
    </row>
    <row r="756" spans="1:9" ht="30.95" customHeight="1" x14ac:dyDescent="0.25">
      <c r="A756" s="452"/>
      <c r="B756" s="453"/>
      <c r="C756" s="453"/>
      <c r="D756" s="453"/>
      <c r="E756" s="162"/>
      <c r="F756" s="162"/>
      <c r="G756" s="162"/>
      <c r="H756" s="162"/>
      <c r="I756" s="161"/>
    </row>
    <row r="757" spans="1:9" ht="15" customHeight="1" x14ac:dyDescent="0.25">
      <c r="A757" s="456" t="s">
        <v>1220</v>
      </c>
      <c r="B757" s="457"/>
      <c r="C757" s="457"/>
      <c r="D757" s="457"/>
      <c r="E757" s="457"/>
      <c r="F757" s="457"/>
      <c r="G757" s="457"/>
      <c r="H757" s="457"/>
      <c r="I757" s="161"/>
    </row>
    <row r="758" spans="1:9" ht="12.95" customHeight="1" x14ac:dyDescent="0.25">
      <c r="A758" s="450"/>
      <c r="B758" s="451"/>
      <c r="C758" s="119"/>
      <c r="D758" s="119" t="s">
        <v>984</v>
      </c>
      <c r="E758" s="162"/>
      <c r="F758" s="162"/>
      <c r="G758" s="162"/>
      <c r="H758" s="162"/>
      <c r="I758" s="161"/>
    </row>
    <row r="759" spans="1:9" ht="15" customHeight="1" x14ac:dyDescent="0.25">
      <c r="A759" s="163" t="s">
        <v>1221</v>
      </c>
      <c r="B759" s="120" t="s">
        <v>0</v>
      </c>
      <c r="C759" s="227">
        <v>1</v>
      </c>
      <c r="D759" s="228">
        <f>ROUND(1,2)</f>
        <v>1</v>
      </c>
      <c r="E759" s="162"/>
      <c r="F759" s="162"/>
      <c r="G759" s="162"/>
      <c r="H759" s="162"/>
      <c r="I759" s="161"/>
    </row>
    <row r="760" spans="1:9" ht="9.9499999999999993" customHeight="1" x14ac:dyDescent="0.25">
      <c r="A760" s="164"/>
      <c r="B760" s="121"/>
      <c r="C760" s="122"/>
      <c r="D760" s="123">
        <f>ROUND(SUM(D759:D759),2)</f>
        <v>1</v>
      </c>
      <c r="E760" s="162"/>
      <c r="F760" s="162"/>
      <c r="G760" s="162"/>
      <c r="H760" s="162"/>
      <c r="I760" s="161"/>
    </row>
    <row r="761" spans="1:9" ht="12" customHeight="1" x14ac:dyDescent="0.25">
      <c r="A761" s="452"/>
      <c r="B761" s="453"/>
      <c r="C761" s="453"/>
      <c r="D761" s="162"/>
      <c r="E761" s="162"/>
      <c r="F761" s="162"/>
      <c r="G761" s="162"/>
      <c r="H761" s="162"/>
      <c r="I761" s="161"/>
    </row>
    <row r="762" spans="1:9" ht="9.9499999999999993" customHeight="1" x14ac:dyDescent="0.25">
      <c r="A762" s="165"/>
      <c r="B762" s="162"/>
      <c r="C762" s="162"/>
      <c r="D762" s="458" t="str">
        <f>"TOTAL DA MEMÓRIA DE CÁLCULO: "&amp;TEXT(ROUND(SUM(D760),2),"0,00")</f>
        <v>TOTAL DA MEMÓRIA DE CÁLCULO: 1,00</v>
      </c>
      <c r="E762" s="458"/>
      <c r="F762" s="458"/>
      <c r="G762" s="458"/>
      <c r="H762" s="458"/>
      <c r="I762" s="161"/>
    </row>
    <row r="763" spans="1:9" ht="30.95" customHeight="1" x14ac:dyDescent="0.25">
      <c r="A763" s="452"/>
      <c r="B763" s="453"/>
      <c r="C763" s="453"/>
      <c r="D763" s="453"/>
      <c r="E763" s="162"/>
      <c r="F763" s="162"/>
      <c r="G763" s="162"/>
      <c r="H763" s="162"/>
      <c r="I763" s="161"/>
    </row>
    <row r="764" spans="1:9" ht="15" customHeight="1" x14ac:dyDescent="0.25">
      <c r="A764" s="456" t="s">
        <v>1222</v>
      </c>
      <c r="B764" s="457"/>
      <c r="C764" s="457"/>
      <c r="D764" s="457"/>
      <c r="E764" s="457"/>
      <c r="F764" s="457"/>
      <c r="G764" s="457"/>
      <c r="H764" s="457"/>
      <c r="I764" s="161"/>
    </row>
    <row r="765" spans="1:9" ht="12.95" customHeight="1" x14ac:dyDescent="0.25">
      <c r="A765" s="450"/>
      <c r="B765" s="451"/>
      <c r="C765" s="119"/>
      <c r="D765" s="119" t="s">
        <v>984</v>
      </c>
      <c r="E765" s="162"/>
      <c r="F765" s="162"/>
      <c r="G765" s="162"/>
      <c r="H765" s="162"/>
      <c r="I765" s="161"/>
    </row>
    <row r="766" spans="1:9" ht="15" customHeight="1" x14ac:dyDescent="0.25">
      <c r="A766" s="163" t="s">
        <v>1223</v>
      </c>
      <c r="B766" s="120" t="s">
        <v>1224</v>
      </c>
      <c r="C766" s="227">
        <v>0.04</v>
      </c>
      <c r="D766" s="228">
        <f>ROUND(0.007*6,2)</f>
        <v>0.04</v>
      </c>
      <c r="E766" s="162"/>
      <c r="F766" s="162"/>
      <c r="G766" s="162"/>
      <c r="H766" s="162"/>
      <c r="I766" s="161"/>
    </row>
    <row r="767" spans="1:9" ht="9.9499999999999993" customHeight="1" x14ac:dyDescent="0.25">
      <c r="A767" s="164"/>
      <c r="B767" s="121"/>
      <c r="C767" s="122"/>
      <c r="D767" s="123">
        <f>ROUND(SUM(D766:D766),2)</f>
        <v>0.04</v>
      </c>
      <c r="E767" s="162"/>
      <c r="F767" s="162"/>
      <c r="G767" s="162"/>
      <c r="H767" s="162"/>
      <c r="I767" s="161"/>
    </row>
    <row r="768" spans="1:9" ht="12" customHeight="1" x14ac:dyDescent="0.25">
      <c r="A768" s="452"/>
      <c r="B768" s="453"/>
      <c r="C768" s="453"/>
      <c r="D768" s="162"/>
      <c r="E768" s="162"/>
      <c r="F768" s="162"/>
      <c r="G768" s="162"/>
      <c r="H768" s="162"/>
      <c r="I768" s="161"/>
    </row>
    <row r="769" spans="1:9" ht="9.9499999999999993" customHeight="1" x14ac:dyDescent="0.25">
      <c r="A769" s="165"/>
      <c r="B769" s="162"/>
      <c r="C769" s="162"/>
      <c r="D769" s="458" t="str">
        <f>"TOTAL DA MEMÓRIA DE CÁLCULO: "&amp;TEXT(ROUND(SUM(D767),2),"0,00")</f>
        <v>TOTAL DA MEMÓRIA DE CÁLCULO: 0,04</v>
      </c>
      <c r="E769" s="458"/>
      <c r="F769" s="458"/>
      <c r="G769" s="458"/>
      <c r="H769" s="458"/>
      <c r="I769" s="161"/>
    </row>
    <row r="770" spans="1:9" ht="54.95" customHeight="1" x14ac:dyDescent="0.25">
      <c r="A770" s="452"/>
      <c r="B770" s="453"/>
      <c r="C770" s="453"/>
      <c r="D770" s="453"/>
      <c r="E770" s="162"/>
      <c r="F770" s="162"/>
      <c r="G770" s="162"/>
      <c r="H770" s="162"/>
      <c r="I770" s="161"/>
    </row>
    <row r="771" spans="1:9" ht="15" customHeight="1" x14ac:dyDescent="0.25">
      <c r="A771" s="456" t="s">
        <v>1225</v>
      </c>
      <c r="B771" s="457"/>
      <c r="C771" s="457"/>
      <c r="D771" s="457"/>
      <c r="E771" s="457"/>
      <c r="F771" s="457"/>
      <c r="G771" s="457"/>
      <c r="H771" s="457"/>
      <c r="I771" s="161"/>
    </row>
    <row r="772" spans="1:9" ht="18.95" customHeight="1" x14ac:dyDescent="0.25">
      <c r="A772" s="450"/>
      <c r="B772" s="451"/>
      <c r="C772" s="119"/>
      <c r="D772" s="119" t="s">
        <v>984</v>
      </c>
      <c r="E772" s="162"/>
      <c r="F772" s="162"/>
      <c r="G772" s="162"/>
      <c r="H772" s="162"/>
      <c r="I772" s="161"/>
    </row>
    <row r="773" spans="1:9" ht="15" customHeight="1" x14ac:dyDescent="0.25">
      <c r="A773" s="163" t="s">
        <v>1226</v>
      </c>
      <c r="B773" s="120" t="s">
        <v>1227</v>
      </c>
      <c r="C773" s="227">
        <v>25.66</v>
      </c>
      <c r="D773" s="228">
        <f>ROUND(51.32*0.5,2)</f>
        <v>25.66</v>
      </c>
      <c r="E773" s="162"/>
      <c r="F773" s="162"/>
      <c r="G773" s="162"/>
      <c r="H773" s="162"/>
      <c r="I773" s="161"/>
    </row>
    <row r="774" spans="1:9" ht="9.9499999999999993" customHeight="1" x14ac:dyDescent="0.25">
      <c r="A774" s="164"/>
      <c r="B774" s="121"/>
      <c r="C774" s="122"/>
      <c r="D774" s="123">
        <f>ROUND(SUM(D773:D773),2)</f>
        <v>25.66</v>
      </c>
      <c r="E774" s="162"/>
      <c r="F774" s="162"/>
      <c r="G774" s="162"/>
      <c r="H774" s="162"/>
      <c r="I774" s="161"/>
    </row>
    <row r="775" spans="1:9" ht="12" customHeight="1" x14ac:dyDescent="0.25">
      <c r="A775" s="452"/>
      <c r="B775" s="453"/>
      <c r="C775" s="453"/>
      <c r="D775" s="162"/>
      <c r="E775" s="162"/>
      <c r="F775" s="162"/>
      <c r="G775" s="162"/>
      <c r="H775" s="162"/>
      <c r="I775" s="161"/>
    </row>
    <row r="776" spans="1:9" ht="12" customHeight="1" x14ac:dyDescent="0.25">
      <c r="A776" s="461" t="s">
        <v>4300</v>
      </c>
      <c r="B776" s="462"/>
      <c r="C776" s="462"/>
      <c r="D776" s="458" t="str">
        <f>"TOTAL DA MEMÓRIA DE CÁLCULO: "&amp;TEXT(ROUND(SUM(D774),2),"0,00")</f>
        <v>TOTAL DA MEMÓRIA DE CÁLCULO: 25,66</v>
      </c>
      <c r="E776" s="458"/>
      <c r="F776" s="458"/>
      <c r="G776" s="458"/>
      <c r="H776" s="458"/>
      <c r="I776" s="161"/>
    </row>
    <row r="777" spans="1:9" ht="9.9499999999999993" customHeight="1" x14ac:dyDescent="0.25">
      <c r="A777" s="461"/>
      <c r="B777" s="462"/>
      <c r="C777" s="462"/>
      <c r="D777" s="162"/>
      <c r="E777" s="162"/>
      <c r="F777" s="162"/>
      <c r="G777" s="162"/>
      <c r="H777" s="162"/>
      <c r="I777" s="161"/>
    </row>
    <row r="778" spans="1:9" ht="30.95" customHeight="1" x14ac:dyDescent="0.25">
      <c r="A778" s="452"/>
      <c r="B778" s="453"/>
      <c r="C778" s="453"/>
      <c r="D778" s="453"/>
      <c r="E778" s="162"/>
      <c r="F778" s="162"/>
      <c r="G778" s="162"/>
      <c r="H778" s="162"/>
      <c r="I778" s="161"/>
    </row>
    <row r="779" spans="1:9" ht="15" customHeight="1" x14ac:dyDescent="0.25">
      <c r="A779" s="456" t="s">
        <v>1228</v>
      </c>
      <c r="B779" s="457"/>
      <c r="C779" s="457"/>
      <c r="D779" s="457"/>
      <c r="E779" s="457"/>
      <c r="F779" s="457"/>
      <c r="G779" s="457"/>
      <c r="H779" s="457"/>
      <c r="I779" s="161"/>
    </row>
    <row r="780" spans="1:9" ht="18.95" customHeight="1" x14ac:dyDescent="0.25">
      <c r="A780" s="450"/>
      <c r="B780" s="451"/>
      <c r="C780" s="119"/>
      <c r="D780" s="119" t="s">
        <v>984</v>
      </c>
      <c r="E780" s="162"/>
      <c r="F780" s="162"/>
      <c r="G780" s="162"/>
      <c r="H780" s="162"/>
      <c r="I780" s="161"/>
    </row>
    <row r="781" spans="1:9" ht="15" customHeight="1" x14ac:dyDescent="0.25">
      <c r="A781" s="163" t="s">
        <v>1229</v>
      </c>
      <c r="B781" s="120" t="s">
        <v>1230</v>
      </c>
      <c r="C781" s="227">
        <v>2.57</v>
      </c>
      <c r="D781" s="228">
        <f>ROUND(51.32*0.05,2)</f>
        <v>2.57</v>
      </c>
      <c r="E781" s="162"/>
      <c r="F781" s="162"/>
      <c r="G781" s="162"/>
      <c r="H781" s="162"/>
      <c r="I781" s="161"/>
    </row>
    <row r="782" spans="1:9" ht="9.9499999999999993" customHeight="1" x14ac:dyDescent="0.25">
      <c r="A782" s="164"/>
      <c r="B782" s="121"/>
      <c r="C782" s="122"/>
      <c r="D782" s="123">
        <f>ROUND(SUM(D781:D781),2)</f>
        <v>2.57</v>
      </c>
      <c r="E782" s="162"/>
      <c r="F782" s="162"/>
      <c r="G782" s="162"/>
      <c r="H782" s="162"/>
      <c r="I782" s="161"/>
    </row>
    <row r="783" spans="1:9" ht="12" customHeight="1" x14ac:dyDescent="0.25">
      <c r="A783" s="452"/>
      <c r="B783" s="453"/>
      <c r="C783" s="453"/>
      <c r="D783" s="162"/>
      <c r="E783" s="162"/>
      <c r="F783" s="162"/>
      <c r="G783" s="162"/>
      <c r="H783" s="162"/>
      <c r="I783" s="161"/>
    </row>
    <row r="784" spans="1:9" ht="9.9499999999999993" customHeight="1" x14ac:dyDescent="0.25">
      <c r="A784" s="165"/>
      <c r="B784" s="162"/>
      <c r="C784" s="162"/>
      <c r="D784" s="458" t="str">
        <f>"TOTAL DA MEMÓRIA DE CÁLCULO: "&amp;TEXT(ROUND(SUM(D782),2),"0,00")</f>
        <v>TOTAL DA MEMÓRIA DE CÁLCULO: 2,57</v>
      </c>
      <c r="E784" s="458"/>
      <c r="F784" s="458"/>
      <c r="G784" s="458"/>
      <c r="H784" s="458"/>
      <c r="I784" s="161"/>
    </row>
    <row r="785" spans="1:9" ht="30.95" customHeight="1" x14ac:dyDescent="0.25">
      <c r="A785" s="452"/>
      <c r="B785" s="453"/>
      <c r="C785" s="453"/>
      <c r="D785" s="453"/>
      <c r="E785" s="162"/>
      <c r="F785" s="162"/>
      <c r="G785" s="162"/>
      <c r="H785" s="162"/>
      <c r="I785" s="161"/>
    </row>
    <row r="786" spans="1:9" ht="15" customHeight="1" x14ac:dyDescent="0.25">
      <c r="A786" s="456" t="s">
        <v>1231</v>
      </c>
      <c r="B786" s="457"/>
      <c r="C786" s="457"/>
      <c r="D786" s="457"/>
      <c r="E786" s="457"/>
      <c r="F786" s="457"/>
      <c r="G786" s="457"/>
      <c r="H786" s="457"/>
      <c r="I786" s="161"/>
    </row>
    <row r="787" spans="1:9" ht="18.95" customHeight="1" x14ac:dyDescent="0.25">
      <c r="A787" s="450"/>
      <c r="B787" s="451"/>
      <c r="C787" s="119"/>
      <c r="D787" s="119" t="s">
        <v>984</v>
      </c>
      <c r="E787" s="162"/>
      <c r="F787" s="162"/>
      <c r="G787" s="162"/>
      <c r="H787" s="162"/>
      <c r="I787" s="161"/>
    </row>
    <row r="788" spans="1:9" ht="15" customHeight="1" x14ac:dyDescent="0.25">
      <c r="A788" s="163" t="s">
        <v>1229</v>
      </c>
      <c r="B788" s="120" t="s">
        <v>1230</v>
      </c>
      <c r="C788" s="227">
        <v>2.57</v>
      </c>
      <c r="D788" s="228">
        <f>ROUND(51.32*0.05,2)</f>
        <v>2.57</v>
      </c>
      <c r="E788" s="162"/>
      <c r="F788" s="162"/>
      <c r="G788" s="162"/>
      <c r="H788" s="162"/>
      <c r="I788" s="161"/>
    </row>
    <row r="789" spans="1:9" ht="9.9499999999999993" customHeight="1" x14ac:dyDescent="0.25">
      <c r="A789" s="164"/>
      <c r="B789" s="121"/>
      <c r="C789" s="122"/>
      <c r="D789" s="123">
        <f>ROUND(SUM(D788:D788),2)</f>
        <v>2.57</v>
      </c>
      <c r="E789" s="162"/>
      <c r="F789" s="162"/>
      <c r="G789" s="162"/>
      <c r="H789" s="162"/>
      <c r="I789" s="161"/>
    </row>
    <row r="790" spans="1:9" ht="12" customHeight="1" x14ac:dyDescent="0.25">
      <c r="A790" s="452"/>
      <c r="B790" s="453"/>
      <c r="C790" s="453"/>
      <c r="D790" s="162"/>
      <c r="E790" s="162"/>
      <c r="F790" s="162"/>
      <c r="G790" s="162"/>
      <c r="H790" s="162"/>
      <c r="I790" s="161"/>
    </row>
    <row r="791" spans="1:9" ht="9.9499999999999993" customHeight="1" x14ac:dyDescent="0.25">
      <c r="A791" s="165"/>
      <c r="B791" s="162"/>
      <c r="C791" s="162"/>
      <c r="D791" s="458" t="str">
        <f>"TOTAL DA MEMÓRIA DE CÁLCULO: "&amp;TEXT(ROUND(SUM(D789),2),"0,00")</f>
        <v>TOTAL DA MEMÓRIA DE CÁLCULO: 2,57</v>
      </c>
      <c r="E791" s="458"/>
      <c r="F791" s="458"/>
      <c r="G791" s="458"/>
      <c r="H791" s="458"/>
      <c r="I791" s="161"/>
    </row>
    <row r="792" spans="1:9" ht="20.100000000000001" customHeight="1" x14ac:dyDescent="0.25">
      <c r="A792" s="452"/>
      <c r="B792" s="453"/>
      <c r="C792" s="453"/>
      <c r="D792" s="453"/>
      <c r="E792" s="162"/>
      <c r="F792" s="162"/>
      <c r="G792" s="162"/>
      <c r="H792" s="162"/>
      <c r="I792" s="161"/>
    </row>
    <row r="793" spans="1:9" ht="9.9499999999999993" customHeight="1" x14ac:dyDescent="0.25">
      <c r="A793" s="456" t="s">
        <v>1232</v>
      </c>
      <c r="B793" s="457"/>
      <c r="C793" s="457"/>
      <c r="D793" s="457"/>
      <c r="E793" s="457"/>
      <c r="F793" s="457"/>
      <c r="G793" s="457"/>
      <c r="H793" s="457"/>
      <c r="I793" s="161"/>
    </row>
    <row r="794" spans="1:9" ht="30.95" customHeight="1" x14ac:dyDescent="0.25">
      <c r="A794" s="452"/>
      <c r="B794" s="453"/>
      <c r="C794" s="453"/>
      <c r="D794" s="162"/>
      <c r="E794" s="162"/>
      <c r="F794" s="162"/>
      <c r="G794" s="162"/>
      <c r="H794" s="162"/>
      <c r="I794" s="161"/>
    </row>
    <row r="795" spans="1:9" ht="15" customHeight="1" x14ac:dyDescent="0.25">
      <c r="A795" s="456" t="s">
        <v>1233</v>
      </c>
      <c r="B795" s="457"/>
      <c r="C795" s="457"/>
      <c r="D795" s="457"/>
      <c r="E795" s="457"/>
      <c r="F795" s="457"/>
      <c r="G795" s="457"/>
      <c r="H795" s="457"/>
      <c r="I795" s="161"/>
    </row>
    <row r="796" spans="1:9" ht="12.95" customHeight="1" x14ac:dyDescent="0.25">
      <c r="A796" s="450"/>
      <c r="B796" s="451"/>
      <c r="C796" s="119" t="s">
        <v>1059</v>
      </c>
      <c r="D796" s="119" t="s">
        <v>1024</v>
      </c>
      <c r="E796" s="119" t="s">
        <v>984</v>
      </c>
      <c r="F796" s="162"/>
      <c r="G796" s="162"/>
      <c r="H796" s="162"/>
      <c r="I796" s="161"/>
    </row>
    <row r="797" spans="1:9" ht="12.95" customHeight="1" x14ac:dyDescent="0.25">
      <c r="A797" s="163" t="s">
        <v>1234</v>
      </c>
      <c r="B797" s="120" t="s">
        <v>1107</v>
      </c>
      <c r="C797" s="227">
        <v>1.05</v>
      </c>
      <c r="D797" s="227">
        <v>2.2000000000000002</v>
      </c>
      <c r="E797" s="228">
        <f>ROUND(C797*D797,2)</f>
        <v>2.31</v>
      </c>
      <c r="F797" s="162"/>
      <c r="G797" s="162"/>
      <c r="H797" s="162"/>
      <c r="I797" s="161"/>
    </row>
    <row r="798" spans="1:9" ht="15" customHeight="1" x14ac:dyDescent="0.25">
      <c r="A798" s="163" t="s">
        <v>1235</v>
      </c>
      <c r="B798" s="120" t="s">
        <v>1107</v>
      </c>
      <c r="C798" s="227">
        <v>1.05</v>
      </c>
      <c r="D798" s="227">
        <v>2.2000000000000002</v>
      </c>
      <c r="E798" s="228">
        <f>ROUND(C798*D798,2)</f>
        <v>2.31</v>
      </c>
      <c r="F798" s="162"/>
      <c r="G798" s="162"/>
      <c r="H798" s="162"/>
      <c r="I798" s="161"/>
    </row>
    <row r="799" spans="1:9" ht="9.9499999999999993" customHeight="1" x14ac:dyDescent="0.25">
      <c r="A799" s="164"/>
      <c r="B799" s="121"/>
      <c r="C799" s="122"/>
      <c r="D799" s="122"/>
      <c r="E799" s="123">
        <f>ROUND(SUM(E797:E798),2)</f>
        <v>4.62</v>
      </c>
      <c r="F799" s="162"/>
      <c r="G799" s="162"/>
      <c r="H799" s="162"/>
      <c r="I799" s="161"/>
    </row>
    <row r="800" spans="1:9" ht="12" customHeight="1" x14ac:dyDescent="0.25">
      <c r="A800" s="452"/>
      <c r="B800" s="453"/>
      <c r="C800" s="453"/>
      <c r="D800" s="162"/>
      <c r="E800" s="162"/>
      <c r="F800" s="162"/>
      <c r="G800" s="162"/>
      <c r="H800" s="162"/>
      <c r="I800" s="161"/>
    </row>
    <row r="801" spans="1:9" ht="9.9499999999999993" customHeight="1" x14ac:dyDescent="0.25">
      <c r="A801" s="165"/>
      <c r="B801" s="162"/>
      <c r="C801" s="162"/>
      <c r="D801" s="458" t="str">
        <f>"TOTAL DA MEMÓRIA DE CÁLCULO: "&amp;TEXT(ROUND(SUM(E799),2),"0,00")</f>
        <v>TOTAL DA MEMÓRIA DE CÁLCULO: 4,62</v>
      </c>
      <c r="E801" s="458"/>
      <c r="F801" s="458"/>
      <c r="G801" s="458"/>
      <c r="H801" s="458"/>
      <c r="I801" s="161"/>
    </row>
    <row r="802" spans="1:9" ht="30.95" customHeight="1" x14ac:dyDescent="0.25">
      <c r="A802" s="452"/>
      <c r="B802" s="453"/>
      <c r="C802" s="453"/>
      <c r="D802" s="453"/>
      <c r="E802" s="162"/>
      <c r="F802" s="162"/>
      <c r="G802" s="162"/>
      <c r="H802" s="162"/>
      <c r="I802" s="161"/>
    </row>
    <row r="803" spans="1:9" ht="15" customHeight="1" x14ac:dyDescent="0.25">
      <c r="A803" s="456" t="s">
        <v>1236</v>
      </c>
      <c r="B803" s="457"/>
      <c r="C803" s="457"/>
      <c r="D803" s="457"/>
      <c r="E803" s="457"/>
      <c r="F803" s="457"/>
      <c r="G803" s="457"/>
      <c r="H803" s="457"/>
      <c r="I803" s="161"/>
    </row>
    <row r="804" spans="1:9" ht="12.95" customHeight="1" x14ac:dyDescent="0.25">
      <c r="A804" s="450"/>
      <c r="B804" s="451"/>
      <c r="C804" s="119" t="s">
        <v>1059</v>
      </c>
      <c r="D804" s="119" t="s">
        <v>1024</v>
      </c>
      <c r="E804" s="119" t="s">
        <v>984</v>
      </c>
      <c r="F804" s="162"/>
      <c r="G804" s="162"/>
      <c r="H804" s="162"/>
      <c r="I804" s="161"/>
    </row>
    <row r="805" spans="1:9" ht="12.95" customHeight="1" x14ac:dyDescent="0.25">
      <c r="A805" s="163" t="s">
        <v>1237</v>
      </c>
      <c r="B805" s="120" t="s">
        <v>1200</v>
      </c>
      <c r="C805" s="227">
        <v>1.45</v>
      </c>
      <c r="D805" s="227">
        <v>1.06</v>
      </c>
      <c r="E805" s="228">
        <f>ROUND(D805*C805,2)</f>
        <v>1.54</v>
      </c>
      <c r="F805" s="162"/>
      <c r="G805" s="162"/>
      <c r="H805" s="162"/>
      <c r="I805" s="161"/>
    </row>
    <row r="806" spans="1:9" ht="12.95" customHeight="1" x14ac:dyDescent="0.25">
      <c r="A806" s="163" t="s">
        <v>1238</v>
      </c>
      <c r="B806" s="120" t="s">
        <v>1200</v>
      </c>
      <c r="C806" s="227">
        <v>1.03</v>
      </c>
      <c r="D806" s="227">
        <v>1.54</v>
      </c>
      <c r="E806" s="228">
        <f>ROUND(D806*C806,2)</f>
        <v>1.59</v>
      </c>
      <c r="F806" s="162"/>
      <c r="G806" s="162"/>
      <c r="H806" s="162"/>
      <c r="I806" s="161"/>
    </row>
    <row r="807" spans="1:9" ht="12.95" customHeight="1" x14ac:dyDescent="0.25">
      <c r="A807" s="163" t="s">
        <v>1239</v>
      </c>
      <c r="B807" s="120" t="s">
        <v>1240</v>
      </c>
      <c r="C807" s="227">
        <v>0.98</v>
      </c>
      <c r="D807" s="227">
        <v>1.92</v>
      </c>
      <c r="E807" s="228">
        <f>ROUND(D807*C807*5,2)</f>
        <v>9.41</v>
      </c>
      <c r="F807" s="162"/>
      <c r="G807" s="162"/>
      <c r="H807" s="162"/>
      <c r="I807" s="161"/>
    </row>
    <row r="808" spans="1:9" ht="12.95" customHeight="1" x14ac:dyDescent="0.25">
      <c r="A808" s="163" t="s">
        <v>1241</v>
      </c>
      <c r="B808" s="120" t="s">
        <v>1242</v>
      </c>
      <c r="C808" s="227">
        <v>1.05</v>
      </c>
      <c r="D808" s="227">
        <v>2.2000000000000002</v>
      </c>
      <c r="E808" s="228">
        <f>ROUND(D808*C808*6,2)</f>
        <v>13.86</v>
      </c>
      <c r="F808" s="162"/>
      <c r="G808" s="162"/>
      <c r="H808" s="162"/>
      <c r="I808" s="161"/>
    </row>
    <row r="809" spans="1:9" ht="12.95" customHeight="1" x14ac:dyDescent="0.25">
      <c r="A809" s="163" t="s">
        <v>1243</v>
      </c>
      <c r="B809" s="120" t="s">
        <v>1200</v>
      </c>
      <c r="C809" s="227">
        <v>0.96</v>
      </c>
      <c r="D809" s="227">
        <v>1.68</v>
      </c>
      <c r="E809" s="228">
        <f>ROUND(D809*C809,2)</f>
        <v>1.61</v>
      </c>
      <c r="F809" s="162"/>
      <c r="G809" s="162"/>
      <c r="H809" s="162"/>
      <c r="I809" s="161"/>
    </row>
    <row r="810" spans="1:9" ht="12.95" customHeight="1" x14ac:dyDescent="0.25">
      <c r="A810" s="163" t="s">
        <v>1244</v>
      </c>
      <c r="B810" s="120" t="s">
        <v>1245</v>
      </c>
      <c r="C810" s="227">
        <v>0.72</v>
      </c>
      <c r="D810" s="227">
        <v>0</v>
      </c>
      <c r="E810" s="228">
        <f>ROUND((PI()*(C810/2)^2)*6,2)</f>
        <v>2.44</v>
      </c>
      <c r="F810" s="162"/>
      <c r="G810" s="162"/>
      <c r="H810" s="162"/>
      <c r="I810" s="161"/>
    </row>
    <row r="811" spans="1:9" ht="12.95" customHeight="1" x14ac:dyDescent="0.25">
      <c r="A811" s="163" t="s">
        <v>1246</v>
      </c>
      <c r="B811" s="120" t="s">
        <v>1247</v>
      </c>
      <c r="C811" s="227">
        <v>0.35</v>
      </c>
      <c r="D811" s="227">
        <v>0</v>
      </c>
      <c r="E811" s="228">
        <f>ROUND((PI()*((C811/2)^2))*8,2)</f>
        <v>0.77</v>
      </c>
      <c r="F811" s="162"/>
      <c r="G811" s="162"/>
      <c r="H811" s="162"/>
      <c r="I811" s="161"/>
    </row>
    <row r="812" spans="1:9" ht="15" customHeight="1" x14ac:dyDescent="0.25">
      <c r="A812" s="163" t="s">
        <v>1248</v>
      </c>
      <c r="B812" s="120" t="s">
        <v>1249</v>
      </c>
      <c r="C812" s="227">
        <v>0.6</v>
      </c>
      <c r="D812" s="227">
        <v>1.45</v>
      </c>
      <c r="E812" s="228">
        <f>ROUND(D812*C812*8,2)</f>
        <v>6.96</v>
      </c>
      <c r="F812" s="162"/>
      <c r="G812" s="162"/>
      <c r="H812" s="162"/>
      <c r="I812" s="161"/>
    </row>
    <row r="813" spans="1:9" ht="9.9499999999999993" customHeight="1" x14ac:dyDescent="0.25">
      <c r="A813" s="164"/>
      <c r="B813" s="121"/>
      <c r="C813" s="122"/>
      <c r="D813" s="122"/>
      <c r="E813" s="123">
        <f>ROUND(SUM(E805:E812),2)</f>
        <v>38.18</v>
      </c>
      <c r="F813" s="162"/>
      <c r="G813" s="162"/>
      <c r="H813" s="162"/>
      <c r="I813" s="161"/>
    </row>
    <row r="814" spans="1:9" ht="12" customHeight="1" x14ac:dyDescent="0.25">
      <c r="A814" s="452"/>
      <c r="B814" s="453"/>
      <c r="C814" s="453"/>
      <c r="D814" s="162"/>
      <c r="E814" s="162"/>
      <c r="F814" s="162"/>
      <c r="G814" s="162"/>
      <c r="H814" s="162"/>
      <c r="I814" s="161"/>
    </row>
    <row r="815" spans="1:9" ht="9.9499999999999993" customHeight="1" x14ac:dyDescent="0.25">
      <c r="A815" s="165"/>
      <c r="B815" s="162"/>
      <c r="C815" s="162"/>
      <c r="D815" s="458" t="str">
        <f>"TOTAL DA MEMÓRIA DE CÁLCULO: "&amp;TEXT(ROUND(SUM(E813),2),"0,00")</f>
        <v>TOTAL DA MEMÓRIA DE CÁLCULO: 38,18</v>
      </c>
      <c r="E815" s="458"/>
      <c r="F815" s="458"/>
      <c r="G815" s="458"/>
      <c r="H815" s="458"/>
      <c r="I815" s="161"/>
    </row>
    <row r="816" spans="1:9" ht="54.95" customHeight="1" x14ac:dyDescent="0.25">
      <c r="A816" s="452"/>
      <c r="B816" s="453"/>
      <c r="C816" s="453"/>
      <c r="D816" s="453"/>
      <c r="E816" s="162"/>
      <c r="F816" s="162"/>
      <c r="G816" s="162"/>
      <c r="H816" s="162"/>
      <c r="I816" s="161"/>
    </row>
    <row r="817" spans="1:9" ht="15" customHeight="1" x14ac:dyDescent="0.25">
      <c r="A817" s="456" t="s">
        <v>1250</v>
      </c>
      <c r="B817" s="457"/>
      <c r="C817" s="457"/>
      <c r="D817" s="457"/>
      <c r="E817" s="457"/>
      <c r="F817" s="457"/>
      <c r="G817" s="457"/>
      <c r="H817" s="457"/>
      <c r="I817" s="161"/>
    </row>
    <row r="818" spans="1:9" ht="18.95" customHeight="1" x14ac:dyDescent="0.25">
      <c r="A818" s="450"/>
      <c r="B818" s="451"/>
      <c r="C818" s="119"/>
      <c r="D818" s="119" t="s">
        <v>984</v>
      </c>
      <c r="E818" s="162"/>
      <c r="F818" s="162"/>
      <c r="G818" s="162"/>
      <c r="H818" s="162"/>
      <c r="I818" s="161"/>
    </row>
    <row r="819" spans="1:9" ht="15" customHeight="1" x14ac:dyDescent="0.25">
      <c r="A819" s="163" t="s">
        <v>1226</v>
      </c>
      <c r="B819" s="120" t="s">
        <v>1251</v>
      </c>
      <c r="C819" s="227">
        <v>19.09</v>
      </c>
      <c r="D819" s="228">
        <f>ROUND(38.18*0.5,2)</f>
        <v>19.09</v>
      </c>
      <c r="E819" s="162"/>
      <c r="F819" s="162"/>
      <c r="G819" s="162"/>
      <c r="H819" s="162"/>
      <c r="I819" s="161"/>
    </row>
    <row r="820" spans="1:9" ht="9.9499999999999993" customHeight="1" x14ac:dyDescent="0.25">
      <c r="A820" s="164"/>
      <c r="B820" s="121"/>
      <c r="C820" s="122"/>
      <c r="D820" s="123">
        <f>ROUND(SUM(D819:D819),2)</f>
        <v>19.09</v>
      </c>
      <c r="E820" s="162"/>
      <c r="F820" s="162"/>
      <c r="G820" s="162"/>
      <c r="H820" s="162"/>
      <c r="I820" s="161"/>
    </row>
    <row r="821" spans="1:9" ht="12" customHeight="1" x14ac:dyDescent="0.25">
      <c r="A821" s="452"/>
      <c r="B821" s="453"/>
      <c r="C821" s="453"/>
      <c r="D821" s="162"/>
      <c r="E821" s="162"/>
      <c r="F821" s="162"/>
      <c r="G821" s="162"/>
      <c r="H821" s="162"/>
      <c r="I821" s="161"/>
    </row>
    <row r="822" spans="1:9" ht="12" customHeight="1" x14ac:dyDescent="0.25">
      <c r="A822" s="461" t="s">
        <v>4300</v>
      </c>
      <c r="B822" s="462"/>
      <c r="C822" s="462"/>
      <c r="D822" s="458" t="str">
        <f>"TOTAL DA MEMÓRIA DE CÁLCULO: "&amp;TEXT(ROUND(SUM(D820),2),"0,00")</f>
        <v>TOTAL DA MEMÓRIA DE CÁLCULO: 19,09</v>
      </c>
      <c r="E822" s="458"/>
      <c r="F822" s="458"/>
      <c r="G822" s="458"/>
      <c r="H822" s="458"/>
      <c r="I822" s="161"/>
    </row>
    <row r="823" spans="1:9" ht="9.9499999999999993" customHeight="1" x14ac:dyDescent="0.25">
      <c r="A823" s="461"/>
      <c r="B823" s="462"/>
      <c r="C823" s="462"/>
      <c r="D823" s="162"/>
      <c r="E823" s="162"/>
      <c r="F823" s="162"/>
      <c r="G823" s="162"/>
      <c r="H823" s="162"/>
      <c r="I823" s="161"/>
    </row>
    <row r="824" spans="1:9" ht="30.95" customHeight="1" x14ac:dyDescent="0.25">
      <c r="A824" s="452"/>
      <c r="B824" s="453"/>
      <c r="C824" s="453"/>
      <c r="D824" s="453"/>
      <c r="E824" s="162"/>
      <c r="F824" s="162"/>
      <c r="G824" s="162"/>
      <c r="H824" s="162"/>
      <c r="I824" s="161"/>
    </row>
    <row r="825" spans="1:9" ht="15" customHeight="1" x14ac:dyDescent="0.25">
      <c r="A825" s="456" t="s">
        <v>1252</v>
      </c>
      <c r="B825" s="457"/>
      <c r="C825" s="457"/>
      <c r="D825" s="457"/>
      <c r="E825" s="457"/>
      <c r="F825" s="457"/>
      <c r="G825" s="457"/>
      <c r="H825" s="457"/>
      <c r="I825" s="161"/>
    </row>
    <row r="826" spans="1:9" ht="18.95" customHeight="1" x14ac:dyDescent="0.25">
      <c r="A826" s="450"/>
      <c r="B826" s="451"/>
      <c r="C826" s="119"/>
      <c r="D826" s="119" t="s">
        <v>984</v>
      </c>
      <c r="E826" s="162"/>
      <c r="F826" s="162"/>
      <c r="G826" s="162"/>
      <c r="H826" s="162"/>
      <c r="I826" s="161"/>
    </row>
    <row r="827" spans="1:9" ht="15" customHeight="1" x14ac:dyDescent="0.25">
      <c r="A827" s="163" t="s">
        <v>1253</v>
      </c>
      <c r="B827" s="120" t="s">
        <v>1254</v>
      </c>
      <c r="C827" s="227">
        <v>3.82</v>
      </c>
      <c r="D827" s="228">
        <f>ROUND(38.18*0.1,2)</f>
        <v>3.82</v>
      </c>
      <c r="E827" s="162"/>
      <c r="F827" s="162"/>
      <c r="G827" s="162"/>
      <c r="H827" s="162"/>
      <c r="I827" s="161"/>
    </row>
    <row r="828" spans="1:9" ht="9.9499999999999993" customHeight="1" x14ac:dyDescent="0.25">
      <c r="A828" s="164"/>
      <c r="B828" s="121"/>
      <c r="C828" s="122"/>
      <c r="D828" s="123">
        <f>ROUND(SUM(D827:D827),2)</f>
        <v>3.82</v>
      </c>
      <c r="E828" s="162"/>
      <c r="F828" s="162"/>
      <c r="G828" s="162"/>
      <c r="H828" s="162"/>
      <c r="I828" s="161"/>
    </row>
    <row r="829" spans="1:9" ht="12" customHeight="1" x14ac:dyDescent="0.25">
      <c r="A829" s="452"/>
      <c r="B829" s="453"/>
      <c r="C829" s="453"/>
      <c r="D829" s="162"/>
      <c r="E829" s="162"/>
      <c r="F829" s="162"/>
      <c r="G829" s="162"/>
      <c r="H829" s="162"/>
      <c r="I829" s="161"/>
    </row>
    <row r="830" spans="1:9" ht="9.9499999999999993" customHeight="1" x14ac:dyDescent="0.25">
      <c r="A830" s="165"/>
      <c r="B830" s="162"/>
      <c r="C830" s="162"/>
      <c r="D830" s="458" t="str">
        <f>"TOTAL DA MEMÓRIA DE CÁLCULO: "&amp;TEXT(ROUND(SUM(D828),2),"0,00")</f>
        <v>TOTAL DA MEMÓRIA DE CÁLCULO: 3,82</v>
      </c>
      <c r="E830" s="458"/>
      <c r="F830" s="458"/>
      <c r="G830" s="458"/>
      <c r="H830" s="458"/>
      <c r="I830" s="161"/>
    </row>
    <row r="831" spans="1:9" ht="30.95" customHeight="1" x14ac:dyDescent="0.25">
      <c r="A831" s="452"/>
      <c r="B831" s="453"/>
      <c r="C831" s="453"/>
      <c r="D831" s="453"/>
      <c r="E831" s="162"/>
      <c r="F831" s="162"/>
      <c r="G831" s="162"/>
      <c r="H831" s="162"/>
      <c r="I831" s="161"/>
    </row>
    <row r="832" spans="1:9" ht="15" customHeight="1" x14ac:dyDescent="0.25">
      <c r="A832" s="456" t="s">
        <v>1255</v>
      </c>
      <c r="B832" s="457"/>
      <c r="C832" s="457"/>
      <c r="D832" s="457"/>
      <c r="E832" s="457"/>
      <c r="F832" s="457"/>
      <c r="G832" s="457"/>
      <c r="H832" s="457"/>
      <c r="I832" s="161"/>
    </row>
    <row r="833" spans="1:9" ht="18.95" customHeight="1" x14ac:dyDescent="0.25">
      <c r="A833" s="450"/>
      <c r="B833" s="451"/>
      <c r="C833" s="119"/>
      <c r="D833" s="119" t="s">
        <v>984</v>
      </c>
      <c r="E833" s="162"/>
      <c r="F833" s="162"/>
      <c r="G833" s="162"/>
      <c r="H833" s="162"/>
      <c r="I833" s="161"/>
    </row>
    <row r="834" spans="1:9" ht="15" customHeight="1" x14ac:dyDescent="0.25">
      <c r="A834" s="163" t="s">
        <v>1256</v>
      </c>
      <c r="B834" s="120" t="s">
        <v>1257</v>
      </c>
      <c r="C834" s="227">
        <v>5.73</v>
      </c>
      <c r="D834" s="228">
        <f>ROUND(38.18*0.15,2)</f>
        <v>5.73</v>
      </c>
      <c r="E834" s="162"/>
      <c r="F834" s="162"/>
      <c r="G834" s="162"/>
      <c r="H834" s="162"/>
      <c r="I834" s="161"/>
    </row>
    <row r="835" spans="1:9" ht="9.9499999999999993" customHeight="1" x14ac:dyDescent="0.25">
      <c r="A835" s="164"/>
      <c r="B835" s="121"/>
      <c r="C835" s="122"/>
      <c r="D835" s="123">
        <f>ROUND(SUM(D834:D834),2)</f>
        <v>5.73</v>
      </c>
      <c r="E835" s="162"/>
      <c r="F835" s="162"/>
      <c r="G835" s="162"/>
      <c r="H835" s="162"/>
      <c r="I835" s="161"/>
    </row>
    <row r="836" spans="1:9" ht="12" customHeight="1" x14ac:dyDescent="0.25">
      <c r="A836" s="452"/>
      <c r="B836" s="453"/>
      <c r="C836" s="453"/>
      <c r="D836" s="162"/>
      <c r="E836" s="162"/>
      <c r="F836" s="162"/>
      <c r="G836" s="162"/>
      <c r="H836" s="162"/>
      <c r="I836" s="161"/>
    </row>
    <row r="837" spans="1:9" ht="9.9499999999999993" customHeight="1" x14ac:dyDescent="0.25">
      <c r="A837" s="165"/>
      <c r="B837" s="162"/>
      <c r="C837" s="162"/>
      <c r="D837" s="458" t="str">
        <f>"TOTAL DA MEMÓRIA DE CÁLCULO: "&amp;TEXT(ROUND(SUM(D835),2),"0,00")</f>
        <v>TOTAL DA MEMÓRIA DE CÁLCULO: 5,73</v>
      </c>
      <c r="E837" s="458"/>
      <c r="F837" s="458"/>
      <c r="G837" s="458"/>
      <c r="H837" s="458"/>
      <c r="I837" s="161"/>
    </row>
    <row r="838" spans="1:9" ht="20.100000000000001" customHeight="1" x14ac:dyDescent="0.25">
      <c r="A838" s="452"/>
      <c r="B838" s="453"/>
      <c r="C838" s="453"/>
      <c r="D838" s="453"/>
      <c r="E838" s="162"/>
      <c r="F838" s="162"/>
      <c r="G838" s="162"/>
      <c r="H838" s="162"/>
      <c r="I838" s="161"/>
    </row>
    <row r="839" spans="1:9" ht="9.9499999999999993" customHeight="1" x14ac:dyDescent="0.25">
      <c r="A839" s="456" t="s">
        <v>1258</v>
      </c>
      <c r="B839" s="457"/>
      <c r="C839" s="457"/>
      <c r="D839" s="457"/>
      <c r="E839" s="457"/>
      <c r="F839" s="457"/>
      <c r="G839" s="457"/>
      <c r="H839" s="457"/>
      <c r="I839" s="161"/>
    </row>
    <row r="840" spans="1:9" ht="42.95" customHeight="1" x14ac:dyDescent="0.25">
      <c r="A840" s="452"/>
      <c r="B840" s="453"/>
      <c r="C840" s="453"/>
      <c r="D840" s="162"/>
      <c r="E840" s="162"/>
      <c r="F840" s="162"/>
      <c r="G840" s="162"/>
      <c r="H840" s="162"/>
      <c r="I840" s="161"/>
    </row>
    <row r="841" spans="1:9" ht="15" customHeight="1" x14ac:dyDescent="0.25">
      <c r="A841" s="456" t="s">
        <v>1259</v>
      </c>
      <c r="B841" s="457"/>
      <c r="C841" s="457"/>
      <c r="D841" s="457"/>
      <c r="E841" s="457"/>
      <c r="F841" s="457"/>
      <c r="G841" s="457"/>
      <c r="H841" s="457"/>
      <c r="I841" s="161"/>
    </row>
    <row r="842" spans="1:9" ht="12.95" customHeight="1" x14ac:dyDescent="0.25">
      <c r="A842" s="450" t="s">
        <v>1260</v>
      </c>
      <c r="B842" s="451"/>
      <c r="C842" s="119" t="s">
        <v>1059</v>
      </c>
      <c r="D842" s="119" t="s">
        <v>1006</v>
      </c>
      <c r="E842" s="119" t="s">
        <v>984</v>
      </c>
      <c r="F842" s="162"/>
      <c r="G842" s="162"/>
      <c r="H842" s="162"/>
      <c r="I842" s="161"/>
    </row>
    <row r="843" spans="1:9" ht="15" customHeight="1" x14ac:dyDescent="0.25">
      <c r="A843" s="163" t="s">
        <v>1260</v>
      </c>
      <c r="B843" s="120" t="s">
        <v>1099</v>
      </c>
      <c r="C843" s="227">
        <v>1.4</v>
      </c>
      <c r="D843" s="227">
        <v>0.5</v>
      </c>
      <c r="E843" s="228">
        <f>ROUND(C843*D843,2)</f>
        <v>0.7</v>
      </c>
      <c r="F843" s="162"/>
      <c r="G843" s="162"/>
      <c r="H843" s="162"/>
      <c r="I843" s="161"/>
    </row>
    <row r="844" spans="1:9" ht="9.9499999999999993" customHeight="1" x14ac:dyDescent="0.25">
      <c r="A844" s="164" t="s">
        <v>1260</v>
      </c>
      <c r="B844" s="121"/>
      <c r="C844" s="122"/>
      <c r="D844" s="122"/>
      <c r="E844" s="123">
        <f>ROUND(SUM(E843:E843),2)</f>
        <v>0.7</v>
      </c>
      <c r="F844" s="162"/>
      <c r="G844" s="162"/>
      <c r="H844" s="162"/>
      <c r="I844" s="161"/>
    </row>
    <row r="845" spans="1:9" ht="15" customHeight="1" x14ac:dyDescent="0.25">
      <c r="A845" s="452"/>
      <c r="B845" s="453"/>
      <c r="C845" s="453"/>
      <c r="D845" s="162"/>
      <c r="E845" s="162"/>
      <c r="F845" s="162"/>
      <c r="G845" s="162"/>
      <c r="H845" s="162"/>
      <c r="I845" s="161"/>
    </row>
    <row r="846" spans="1:9" ht="12.95" customHeight="1" x14ac:dyDescent="0.25">
      <c r="A846" s="450" t="s">
        <v>1261</v>
      </c>
      <c r="B846" s="451"/>
      <c r="C846" s="119" t="s">
        <v>1059</v>
      </c>
      <c r="D846" s="119" t="s">
        <v>1006</v>
      </c>
      <c r="E846" s="119" t="s">
        <v>984</v>
      </c>
      <c r="F846" s="162"/>
      <c r="G846" s="162"/>
      <c r="H846" s="162"/>
      <c r="I846" s="161"/>
    </row>
    <row r="847" spans="1:9" ht="15" customHeight="1" x14ac:dyDescent="0.25">
      <c r="A847" s="163" t="s">
        <v>1262</v>
      </c>
      <c r="B847" s="120" t="s">
        <v>1099</v>
      </c>
      <c r="C847" s="227">
        <v>1.8</v>
      </c>
      <c r="D847" s="227">
        <v>0.6</v>
      </c>
      <c r="E847" s="228">
        <f>ROUND(C847*D847,2)</f>
        <v>1.08</v>
      </c>
      <c r="F847" s="162"/>
      <c r="G847" s="162"/>
      <c r="H847" s="162"/>
      <c r="I847" s="161"/>
    </row>
    <row r="848" spans="1:9" ht="9.9499999999999993" customHeight="1" x14ac:dyDescent="0.25">
      <c r="A848" s="164" t="s">
        <v>1261</v>
      </c>
      <c r="B848" s="121"/>
      <c r="C848" s="122"/>
      <c r="D848" s="122"/>
      <c r="E848" s="123">
        <f>ROUND(SUM(E847:E847),2)</f>
        <v>1.08</v>
      </c>
      <c r="F848" s="162"/>
      <c r="G848" s="162"/>
      <c r="H848" s="162"/>
      <c r="I848" s="161"/>
    </row>
    <row r="849" spans="1:9" ht="15" customHeight="1" x14ac:dyDescent="0.25">
      <c r="A849" s="452"/>
      <c r="B849" s="453"/>
      <c r="C849" s="453"/>
      <c r="D849" s="162"/>
      <c r="E849" s="162"/>
      <c r="F849" s="162"/>
      <c r="G849" s="162"/>
      <c r="H849" s="162"/>
      <c r="I849" s="161"/>
    </row>
    <row r="850" spans="1:9" ht="12.95" customHeight="1" x14ac:dyDescent="0.25">
      <c r="A850" s="450" t="s">
        <v>1263</v>
      </c>
      <c r="B850" s="451"/>
      <c r="C850" s="119" t="s">
        <v>1059</v>
      </c>
      <c r="D850" s="119" t="s">
        <v>1006</v>
      </c>
      <c r="E850" s="119" t="s">
        <v>984</v>
      </c>
      <c r="F850" s="162"/>
      <c r="G850" s="162"/>
      <c r="H850" s="162"/>
      <c r="I850" s="161"/>
    </row>
    <row r="851" spans="1:9" ht="12.95" customHeight="1" x14ac:dyDescent="0.25">
      <c r="A851" s="163" t="s">
        <v>1262</v>
      </c>
      <c r="B851" s="120" t="s">
        <v>1099</v>
      </c>
      <c r="C851" s="227">
        <v>0.45</v>
      </c>
      <c r="D851" s="227">
        <v>0.5</v>
      </c>
      <c r="E851" s="228">
        <f>ROUND(C851*D851,2)</f>
        <v>0.23</v>
      </c>
      <c r="F851" s="162"/>
      <c r="G851" s="162"/>
      <c r="H851" s="162"/>
      <c r="I851" s="161"/>
    </row>
    <row r="852" spans="1:9" ht="15" customHeight="1" x14ac:dyDescent="0.25">
      <c r="A852" s="163" t="s">
        <v>1264</v>
      </c>
      <c r="B852" s="120" t="s">
        <v>1099</v>
      </c>
      <c r="C852" s="227">
        <v>0.5</v>
      </c>
      <c r="D852" s="227">
        <v>0.4</v>
      </c>
      <c r="E852" s="228">
        <f>ROUND(C852*D852,2)</f>
        <v>0.2</v>
      </c>
      <c r="F852" s="162"/>
      <c r="G852" s="162"/>
      <c r="H852" s="162"/>
      <c r="I852" s="161"/>
    </row>
    <row r="853" spans="1:9" ht="9.9499999999999993" customHeight="1" x14ac:dyDescent="0.25">
      <c r="A853" s="164" t="s">
        <v>1263</v>
      </c>
      <c r="B853" s="121"/>
      <c r="C853" s="122"/>
      <c r="D853" s="122"/>
      <c r="E853" s="123">
        <f>ROUND(SUM(E851:E852),2)</f>
        <v>0.43</v>
      </c>
      <c r="F853" s="162"/>
      <c r="G853" s="162"/>
      <c r="H853" s="162"/>
      <c r="I853" s="161"/>
    </row>
    <row r="854" spans="1:9" ht="12" customHeight="1" x14ac:dyDescent="0.25">
      <c r="A854" s="452"/>
      <c r="B854" s="453"/>
      <c r="C854" s="453"/>
      <c r="D854" s="162"/>
      <c r="E854" s="162"/>
      <c r="F854" s="162"/>
      <c r="G854" s="162"/>
      <c r="H854" s="162"/>
      <c r="I854" s="161"/>
    </row>
    <row r="855" spans="1:9" ht="9.9499999999999993" customHeight="1" x14ac:dyDescent="0.25">
      <c r="A855" s="165"/>
      <c r="B855" s="162"/>
      <c r="C855" s="162"/>
      <c r="D855" s="458" t="str">
        <f>"TOTAL DA MEMÓRIA DE CÁLCULO: "&amp;TEXT(ROUND(SUM(E844,E848,E853),2),"0,00")</f>
        <v>TOTAL DA MEMÓRIA DE CÁLCULO: 2,21</v>
      </c>
      <c r="E855" s="458"/>
      <c r="F855" s="458"/>
      <c r="G855" s="458"/>
      <c r="H855" s="458"/>
      <c r="I855" s="161"/>
    </row>
    <row r="856" spans="1:9" ht="20.100000000000001" customHeight="1" x14ac:dyDescent="0.25">
      <c r="A856" s="452"/>
      <c r="B856" s="453"/>
      <c r="C856" s="453"/>
      <c r="D856" s="453"/>
      <c r="E856" s="162"/>
      <c r="F856" s="162"/>
      <c r="G856" s="162"/>
      <c r="H856" s="162"/>
      <c r="I856" s="161"/>
    </row>
    <row r="857" spans="1:9" ht="15" customHeight="1" x14ac:dyDescent="0.25">
      <c r="A857" s="456" t="s">
        <v>1265</v>
      </c>
      <c r="B857" s="457"/>
      <c r="C857" s="457"/>
      <c r="D857" s="457"/>
      <c r="E857" s="457"/>
      <c r="F857" s="457"/>
      <c r="G857" s="457"/>
      <c r="H857" s="457"/>
      <c r="I857" s="161"/>
    </row>
    <row r="858" spans="1:9" ht="12.95" customHeight="1" x14ac:dyDescent="0.25">
      <c r="A858" s="450" t="s">
        <v>1260</v>
      </c>
      <c r="B858" s="451"/>
      <c r="C858" s="119" t="s">
        <v>1059</v>
      </c>
      <c r="D858" s="119" t="s">
        <v>1006</v>
      </c>
      <c r="E858" s="119" t="s">
        <v>984</v>
      </c>
      <c r="F858" s="162"/>
      <c r="G858" s="162"/>
      <c r="H858" s="162"/>
      <c r="I858" s="161"/>
    </row>
    <row r="859" spans="1:9" ht="12.95" customHeight="1" x14ac:dyDescent="0.25">
      <c r="A859" s="163" t="s">
        <v>1266</v>
      </c>
      <c r="B859" s="120" t="s">
        <v>1059</v>
      </c>
      <c r="C859" s="227">
        <v>1.9</v>
      </c>
      <c r="D859" s="227">
        <v>0.1</v>
      </c>
      <c r="E859" s="228">
        <f>ROUND(C859,2)</f>
        <v>1.9</v>
      </c>
      <c r="F859" s="162"/>
      <c r="G859" s="162"/>
      <c r="H859" s="162"/>
      <c r="I859" s="161"/>
    </row>
    <row r="860" spans="1:9" ht="15" customHeight="1" x14ac:dyDescent="0.25">
      <c r="A860" s="163" t="s">
        <v>1267</v>
      </c>
      <c r="B860" s="120" t="s">
        <v>1059</v>
      </c>
      <c r="C860" s="227">
        <v>1.9</v>
      </c>
      <c r="D860" s="227">
        <v>0.1</v>
      </c>
      <c r="E860" s="228">
        <f>ROUND(C860,2)</f>
        <v>1.9</v>
      </c>
      <c r="F860" s="162"/>
      <c r="G860" s="162"/>
      <c r="H860" s="162"/>
      <c r="I860" s="161"/>
    </row>
    <row r="861" spans="1:9" ht="9.9499999999999993" customHeight="1" x14ac:dyDescent="0.25">
      <c r="A861" s="164" t="s">
        <v>1260</v>
      </c>
      <c r="B861" s="121"/>
      <c r="C861" s="122"/>
      <c r="D861" s="122"/>
      <c r="E861" s="123">
        <f>ROUND(SUM(E859:E860),2)</f>
        <v>3.8</v>
      </c>
      <c r="F861" s="162"/>
      <c r="G861" s="162"/>
      <c r="H861" s="162"/>
      <c r="I861" s="161"/>
    </row>
    <row r="862" spans="1:9" ht="15" customHeight="1" x14ac:dyDescent="0.25">
      <c r="A862" s="452"/>
      <c r="B862" s="453"/>
      <c r="C862" s="453"/>
      <c r="D862" s="162"/>
      <c r="E862" s="162"/>
      <c r="F862" s="162"/>
      <c r="G862" s="162"/>
      <c r="H862" s="162"/>
      <c r="I862" s="161"/>
    </row>
    <row r="863" spans="1:9" ht="12.95" customHeight="1" x14ac:dyDescent="0.25">
      <c r="A863" s="450" t="s">
        <v>1261</v>
      </c>
      <c r="B863" s="451"/>
      <c r="C863" s="119" t="s">
        <v>1059</v>
      </c>
      <c r="D863" s="119" t="s">
        <v>1006</v>
      </c>
      <c r="E863" s="119" t="s">
        <v>984</v>
      </c>
      <c r="F863" s="162"/>
      <c r="G863" s="162"/>
      <c r="H863" s="162"/>
      <c r="I863" s="161"/>
    </row>
    <row r="864" spans="1:9" ht="15" customHeight="1" x14ac:dyDescent="0.25">
      <c r="A864" s="163" t="s">
        <v>1267</v>
      </c>
      <c r="B864" s="120" t="s">
        <v>1059</v>
      </c>
      <c r="C864" s="227">
        <v>1.6</v>
      </c>
      <c r="D864" s="227">
        <v>0.1</v>
      </c>
      <c r="E864" s="228">
        <f>ROUND(C864,2)</f>
        <v>1.6</v>
      </c>
      <c r="F864" s="162"/>
      <c r="G864" s="162"/>
      <c r="H864" s="162"/>
      <c r="I864" s="161"/>
    </row>
    <row r="865" spans="1:9" ht="9.9499999999999993" customHeight="1" x14ac:dyDescent="0.25">
      <c r="A865" s="164" t="s">
        <v>1261</v>
      </c>
      <c r="B865" s="121"/>
      <c r="C865" s="122"/>
      <c r="D865" s="122"/>
      <c r="E865" s="123">
        <f>ROUND(SUM(E864:E864),2)</f>
        <v>1.6</v>
      </c>
      <c r="F865" s="162"/>
      <c r="G865" s="162"/>
      <c r="H865" s="162"/>
      <c r="I865" s="161"/>
    </row>
    <row r="866" spans="1:9" ht="15" customHeight="1" x14ac:dyDescent="0.25">
      <c r="A866" s="452"/>
      <c r="B866" s="453"/>
      <c r="C866" s="453"/>
      <c r="D866" s="162"/>
      <c r="E866" s="162"/>
      <c r="F866" s="162"/>
      <c r="G866" s="162"/>
      <c r="H866" s="162"/>
      <c r="I866" s="161"/>
    </row>
    <row r="867" spans="1:9" ht="12.95" customHeight="1" x14ac:dyDescent="0.25">
      <c r="A867" s="450" t="s">
        <v>1263</v>
      </c>
      <c r="B867" s="451"/>
      <c r="C867" s="119" t="s">
        <v>1059</v>
      </c>
      <c r="D867" s="119" t="s">
        <v>1006</v>
      </c>
      <c r="E867" s="119" t="s">
        <v>984</v>
      </c>
      <c r="F867" s="162"/>
      <c r="G867" s="162"/>
      <c r="H867" s="162"/>
      <c r="I867" s="161"/>
    </row>
    <row r="868" spans="1:9" ht="15" customHeight="1" x14ac:dyDescent="0.25">
      <c r="A868" s="163" t="s">
        <v>1267</v>
      </c>
      <c r="B868" s="120" t="s">
        <v>1268</v>
      </c>
      <c r="C868" s="227">
        <v>0.5</v>
      </c>
      <c r="D868" s="227">
        <v>0.04</v>
      </c>
      <c r="E868" s="228">
        <f>ROUND(0.5*C868,2)</f>
        <v>0.25</v>
      </c>
      <c r="F868" s="162"/>
      <c r="G868" s="162"/>
      <c r="H868" s="162"/>
      <c r="I868" s="161"/>
    </row>
    <row r="869" spans="1:9" ht="9.9499999999999993" customHeight="1" x14ac:dyDescent="0.25">
      <c r="A869" s="164" t="s">
        <v>1263</v>
      </c>
      <c r="B869" s="121"/>
      <c r="C869" s="122"/>
      <c r="D869" s="122"/>
      <c r="E869" s="123">
        <f>ROUND(SUM(E868:E868),2)</f>
        <v>0.25</v>
      </c>
      <c r="F869" s="162"/>
      <c r="G869" s="162"/>
      <c r="H869" s="162"/>
      <c r="I869" s="161"/>
    </row>
    <row r="870" spans="1:9" ht="12" customHeight="1" x14ac:dyDescent="0.25">
      <c r="A870" s="452"/>
      <c r="B870" s="453"/>
      <c r="C870" s="453"/>
      <c r="D870" s="162"/>
      <c r="E870" s="162"/>
      <c r="F870" s="162"/>
      <c r="G870" s="162"/>
      <c r="H870" s="162"/>
      <c r="I870" s="161"/>
    </row>
    <row r="871" spans="1:9" ht="12" customHeight="1" x14ac:dyDescent="0.25">
      <c r="A871" s="461" t="s">
        <v>4301</v>
      </c>
      <c r="B871" s="462"/>
      <c r="C871" s="462"/>
      <c r="D871" s="458" t="str">
        <f>"TOTAL DA MEMÓRIA DE CÁLCULO: "&amp;TEXT(ROUND(SUM(E861,E865,E869),2),"0,00")</f>
        <v>TOTAL DA MEMÓRIA DE CÁLCULO: 5,65</v>
      </c>
      <c r="E871" s="458"/>
      <c r="F871" s="458"/>
      <c r="G871" s="458"/>
      <c r="H871" s="458"/>
      <c r="I871" s="161"/>
    </row>
    <row r="872" spans="1:9" ht="9.9499999999999993" customHeight="1" x14ac:dyDescent="0.25">
      <c r="A872" s="461"/>
      <c r="B872" s="462"/>
      <c r="C872" s="462"/>
      <c r="D872" s="162"/>
      <c r="E872" s="162"/>
      <c r="F872" s="162"/>
      <c r="G872" s="162"/>
      <c r="H872" s="162"/>
      <c r="I872" s="161"/>
    </row>
    <row r="873" spans="1:9" ht="30.95" customHeight="1" x14ac:dyDescent="0.25">
      <c r="A873" s="452"/>
      <c r="B873" s="453"/>
      <c r="C873" s="453"/>
      <c r="D873" s="453"/>
      <c r="E873" s="162"/>
      <c r="F873" s="162"/>
      <c r="G873" s="162"/>
      <c r="H873" s="162"/>
      <c r="I873" s="161"/>
    </row>
    <row r="874" spans="1:9" ht="15" customHeight="1" x14ac:dyDescent="0.25">
      <c r="A874" s="456" t="s">
        <v>1269</v>
      </c>
      <c r="B874" s="457"/>
      <c r="C874" s="457"/>
      <c r="D874" s="457"/>
      <c r="E874" s="457"/>
      <c r="F874" s="457"/>
      <c r="G874" s="457"/>
      <c r="H874" s="457"/>
      <c r="I874" s="161"/>
    </row>
    <row r="875" spans="1:9" ht="18.95" customHeight="1" x14ac:dyDescent="0.25">
      <c r="A875" s="450" t="s">
        <v>1263</v>
      </c>
      <c r="B875" s="451"/>
      <c r="C875" s="119" t="s">
        <v>1059</v>
      </c>
      <c r="D875" s="119" t="s">
        <v>1006</v>
      </c>
      <c r="E875" s="119" t="s">
        <v>1024</v>
      </c>
      <c r="F875" s="119" t="s">
        <v>984</v>
      </c>
      <c r="G875" s="162"/>
      <c r="H875" s="162"/>
      <c r="I875" s="161"/>
    </row>
    <row r="876" spans="1:9" ht="15" customHeight="1" x14ac:dyDescent="0.25">
      <c r="A876" s="163" t="s">
        <v>1270</v>
      </c>
      <c r="B876" s="120" t="s">
        <v>1271</v>
      </c>
      <c r="C876" s="227">
        <v>0.5</v>
      </c>
      <c r="D876" s="227">
        <v>0.4</v>
      </c>
      <c r="E876" s="227">
        <v>0.88</v>
      </c>
      <c r="F876" s="228">
        <f>ROUND((E876*D876*2)+(C876*E876)+(0.2*C876)+(0.2*D876),2)</f>
        <v>1.32</v>
      </c>
      <c r="G876" s="162"/>
      <c r="H876" s="162"/>
      <c r="I876" s="161"/>
    </row>
    <row r="877" spans="1:9" ht="9.9499999999999993" customHeight="1" x14ac:dyDescent="0.25">
      <c r="A877" s="164" t="s">
        <v>1263</v>
      </c>
      <c r="B877" s="121"/>
      <c r="C877" s="122"/>
      <c r="D877" s="122"/>
      <c r="E877" s="122"/>
      <c r="F877" s="123">
        <f>ROUND(SUM(F876:F876),2)</f>
        <v>1.32</v>
      </c>
      <c r="G877" s="162"/>
      <c r="H877" s="162"/>
      <c r="I877" s="161"/>
    </row>
    <row r="878" spans="1:9" ht="15" customHeight="1" x14ac:dyDescent="0.25">
      <c r="A878" s="452"/>
      <c r="B878" s="453"/>
      <c r="C878" s="453"/>
      <c r="D878" s="162"/>
      <c r="E878" s="162"/>
      <c r="F878" s="162"/>
      <c r="G878" s="162"/>
      <c r="H878" s="162"/>
      <c r="I878" s="161"/>
    </row>
    <row r="879" spans="1:9" ht="12.95" customHeight="1" x14ac:dyDescent="0.25">
      <c r="A879" s="450" t="s">
        <v>1261</v>
      </c>
      <c r="B879" s="451"/>
      <c r="C879" s="119" t="s">
        <v>1059</v>
      </c>
      <c r="D879" s="119" t="s">
        <v>1006</v>
      </c>
      <c r="E879" s="119" t="s">
        <v>1024</v>
      </c>
      <c r="F879" s="119" t="s">
        <v>984</v>
      </c>
      <c r="G879" s="162"/>
      <c r="H879" s="162"/>
      <c r="I879" s="161"/>
    </row>
    <row r="880" spans="1:9" ht="15" customHeight="1" x14ac:dyDescent="0.25">
      <c r="A880" s="163" t="s">
        <v>1270</v>
      </c>
      <c r="B880" s="120" t="s">
        <v>1272</v>
      </c>
      <c r="C880" s="227">
        <v>0</v>
      </c>
      <c r="D880" s="227">
        <v>0.6</v>
      </c>
      <c r="E880" s="227">
        <v>0.88</v>
      </c>
      <c r="F880" s="228">
        <f>ROUND(E880*D880*4,2)</f>
        <v>2.11</v>
      </c>
      <c r="G880" s="162"/>
      <c r="H880" s="162"/>
      <c r="I880" s="161"/>
    </row>
    <row r="881" spans="1:9" ht="9.9499999999999993" customHeight="1" x14ac:dyDescent="0.25">
      <c r="A881" s="164" t="s">
        <v>1261</v>
      </c>
      <c r="B881" s="121"/>
      <c r="C881" s="122"/>
      <c r="D881" s="122"/>
      <c r="E881" s="122"/>
      <c r="F881" s="123">
        <f>ROUND(SUM(F880:F880),2)</f>
        <v>2.11</v>
      </c>
      <c r="G881" s="162"/>
      <c r="H881" s="162"/>
      <c r="I881" s="161"/>
    </row>
    <row r="882" spans="1:9" ht="12" customHeight="1" x14ac:dyDescent="0.25">
      <c r="A882" s="452"/>
      <c r="B882" s="453"/>
      <c r="C882" s="453"/>
      <c r="D882" s="162"/>
      <c r="E882" s="162"/>
      <c r="F882" s="162"/>
      <c r="G882" s="162"/>
      <c r="H882" s="162"/>
      <c r="I882" s="161"/>
    </row>
    <row r="883" spans="1:9" ht="9.9499999999999993" customHeight="1" x14ac:dyDescent="0.25">
      <c r="A883" s="165"/>
      <c r="B883" s="162"/>
      <c r="C883" s="162"/>
      <c r="D883" s="458" t="str">
        <f>"TOTAL DA MEMÓRIA DE CÁLCULO: "&amp;TEXT(ROUND(SUM(F877,F881),2),"0,00")</f>
        <v>TOTAL DA MEMÓRIA DE CÁLCULO: 3,43</v>
      </c>
      <c r="E883" s="458"/>
      <c r="F883" s="458"/>
      <c r="G883" s="458"/>
      <c r="H883" s="458"/>
      <c r="I883" s="161"/>
    </row>
    <row r="884" spans="1:9" ht="20.100000000000001" customHeight="1" x14ac:dyDescent="0.25">
      <c r="A884" s="452"/>
      <c r="B884" s="453"/>
      <c r="C884" s="453"/>
      <c r="D884" s="453"/>
      <c r="E884" s="162"/>
      <c r="F884" s="162"/>
      <c r="G884" s="162"/>
      <c r="H884" s="162"/>
      <c r="I884" s="161"/>
    </row>
    <row r="885" spans="1:9" ht="9.9499999999999993" customHeight="1" x14ac:dyDescent="0.25">
      <c r="A885" s="456" t="s">
        <v>1273</v>
      </c>
      <c r="B885" s="457"/>
      <c r="C885" s="457"/>
      <c r="D885" s="457"/>
      <c r="E885" s="457"/>
      <c r="F885" s="457"/>
      <c r="G885" s="457"/>
      <c r="H885" s="457"/>
      <c r="I885" s="161"/>
    </row>
    <row r="886" spans="1:9" ht="20.100000000000001" customHeight="1" x14ac:dyDescent="0.25">
      <c r="A886" s="452"/>
      <c r="B886" s="453"/>
      <c r="C886" s="453"/>
      <c r="D886" s="162"/>
      <c r="E886" s="162"/>
      <c r="F886" s="162"/>
      <c r="G886" s="162"/>
      <c r="H886" s="162"/>
      <c r="I886" s="161"/>
    </row>
    <row r="887" spans="1:9" ht="15" customHeight="1" x14ac:dyDescent="0.25">
      <c r="A887" s="456" t="s">
        <v>1274</v>
      </c>
      <c r="B887" s="457"/>
      <c r="C887" s="457"/>
      <c r="D887" s="457"/>
      <c r="E887" s="457"/>
      <c r="F887" s="457"/>
      <c r="G887" s="457"/>
      <c r="H887" s="457"/>
      <c r="I887" s="161"/>
    </row>
    <row r="888" spans="1:9" ht="12.95" customHeight="1" x14ac:dyDescent="0.25">
      <c r="A888" s="450" t="s">
        <v>1045</v>
      </c>
      <c r="B888" s="451"/>
      <c r="C888" s="119" t="s">
        <v>1006</v>
      </c>
      <c r="D888" s="119" t="s">
        <v>1024</v>
      </c>
      <c r="E888" s="119" t="s">
        <v>984</v>
      </c>
      <c r="F888" s="162"/>
      <c r="G888" s="162"/>
      <c r="H888" s="162"/>
      <c r="I888" s="161"/>
    </row>
    <row r="889" spans="1:9" ht="15" customHeight="1" x14ac:dyDescent="0.25">
      <c r="A889" s="163" t="s">
        <v>1033</v>
      </c>
      <c r="B889" s="120" t="s">
        <v>1034</v>
      </c>
      <c r="C889" s="227">
        <v>3</v>
      </c>
      <c r="D889" s="227">
        <v>2.2000000000000002</v>
      </c>
      <c r="E889" s="228">
        <f>ROUND(C889*D889,2)</f>
        <v>6.6</v>
      </c>
      <c r="F889" s="162"/>
      <c r="G889" s="162"/>
      <c r="H889" s="162"/>
      <c r="I889" s="161"/>
    </row>
    <row r="890" spans="1:9" ht="9.9499999999999993" customHeight="1" x14ac:dyDescent="0.25">
      <c r="A890" s="164" t="s">
        <v>1045</v>
      </c>
      <c r="B890" s="121"/>
      <c r="C890" s="122"/>
      <c r="D890" s="122"/>
      <c r="E890" s="123">
        <f>ROUND(SUM(E889:E889),2)</f>
        <v>6.6</v>
      </c>
      <c r="F890" s="162"/>
      <c r="G890" s="162"/>
      <c r="H890" s="162"/>
      <c r="I890" s="161"/>
    </row>
    <row r="891" spans="1:9" ht="12" customHeight="1" x14ac:dyDescent="0.25">
      <c r="A891" s="452"/>
      <c r="B891" s="453"/>
      <c r="C891" s="453"/>
      <c r="D891" s="162"/>
      <c r="E891" s="162"/>
      <c r="F891" s="162"/>
      <c r="G891" s="162"/>
      <c r="H891" s="162"/>
      <c r="I891" s="161"/>
    </row>
    <row r="892" spans="1:9" ht="9.9499999999999993" customHeight="1" x14ac:dyDescent="0.25">
      <c r="A892" s="165"/>
      <c r="B892" s="162"/>
      <c r="C892" s="162"/>
      <c r="D892" s="458" t="str">
        <f>"TOTAL DA MEMÓRIA DE CÁLCULO: "&amp;TEXT(ROUND(SUM(E890),2),"0,00")</f>
        <v>TOTAL DA MEMÓRIA DE CÁLCULO: 6,60</v>
      </c>
      <c r="E892" s="458"/>
      <c r="F892" s="458"/>
      <c r="G892" s="458"/>
      <c r="H892" s="458"/>
      <c r="I892" s="161"/>
    </row>
    <row r="893" spans="1:9" ht="20.100000000000001" customHeight="1" x14ac:dyDescent="0.25">
      <c r="A893" s="452"/>
      <c r="B893" s="453"/>
      <c r="C893" s="453"/>
      <c r="D893" s="453"/>
      <c r="E893" s="162"/>
      <c r="F893" s="162"/>
      <c r="G893" s="162"/>
      <c r="H893" s="162"/>
      <c r="I893" s="161"/>
    </row>
    <row r="894" spans="1:9" ht="15" customHeight="1" x14ac:dyDescent="0.25">
      <c r="A894" s="456" t="s">
        <v>1275</v>
      </c>
      <c r="B894" s="457"/>
      <c r="C894" s="457"/>
      <c r="D894" s="457"/>
      <c r="E894" s="457"/>
      <c r="F894" s="457"/>
      <c r="G894" s="457"/>
      <c r="H894" s="457"/>
      <c r="I894" s="161"/>
    </row>
    <row r="895" spans="1:9" ht="12.95" customHeight="1" x14ac:dyDescent="0.25">
      <c r="A895" s="450" t="s">
        <v>1045</v>
      </c>
      <c r="B895" s="451"/>
      <c r="C895" s="119" t="s">
        <v>1006</v>
      </c>
      <c r="D895" s="119" t="s">
        <v>1024</v>
      </c>
      <c r="E895" s="119" t="s">
        <v>984</v>
      </c>
      <c r="F895" s="162"/>
      <c r="G895" s="162"/>
      <c r="H895" s="162"/>
      <c r="I895" s="161"/>
    </row>
    <row r="896" spans="1:9" ht="15" customHeight="1" x14ac:dyDescent="0.25">
      <c r="A896" s="163" t="s">
        <v>1036</v>
      </c>
      <c r="B896" s="120" t="s">
        <v>1034</v>
      </c>
      <c r="C896" s="227">
        <v>20.059999999999999</v>
      </c>
      <c r="D896" s="227">
        <v>2.2000000000000002</v>
      </c>
      <c r="E896" s="228">
        <f>ROUND(C896*D896,2)</f>
        <v>44.13</v>
      </c>
      <c r="F896" s="162"/>
      <c r="G896" s="162"/>
      <c r="H896" s="162"/>
      <c r="I896" s="161"/>
    </row>
    <row r="897" spans="1:9" ht="9.9499999999999993" customHeight="1" x14ac:dyDescent="0.25">
      <c r="A897" s="164" t="s">
        <v>1045</v>
      </c>
      <c r="B897" s="121"/>
      <c r="C897" s="122"/>
      <c r="D897" s="122"/>
      <c r="E897" s="123">
        <f>ROUND(SUM(E896:E896),2)</f>
        <v>44.13</v>
      </c>
      <c r="F897" s="162"/>
      <c r="G897" s="162"/>
      <c r="H897" s="162"/>
      <c r="I897" s="161"/>
    </row>
    <row r="898" spans="1:9" ht="12" customHeight="1" x14ac:dyDescent="0.25">
      <c r="A898" s="452"/>
      <c r="B898" s="453"/>
      <c r="C898" s="453"/>
      <c r="D898" s="162"/>
      <c r="E898" s="162"/>
      <c r="F898" s="162"/>
      <c r="G898" s="162"/>
      <c r="H898" s="162"/>
      <c r="I898" s="161"/>
    </row>
    <row r="899" spans="1:9" ht="9.9499999999999993" customHeight="1" x14ac:dyDescent="0.25">
      <c r="A899" s="165"/>
      <c r="B899" s="162"/>
      <c r="C899" s="162"/>
      <c r="D899" s="458" t="str">
        <f>"TOTAL DA MEMÓRIA DE CÁLCULO: "&amp;TEXT(ROUND(SUM(E897),2),"0,00")</f>
        <v>TOTAL DA MEMÓRIA DE CÁLCULO: 44,13</v>
      </c>
      <c r="E899" s="458"/>
      <c r="F899" s="458"/>
      <c r="G899" s="458"/>
      <c r="H899" s="458"/>
      <c r="I899" s="161"/>
    </row>
    <row r="900" spans="1:9" ht="42.95" customHeight="1" x14ac:dyDescent="0.25">
      <c r="A900" s="452"/>
      <c r="B900" s="453"/>
      <c r="C900" s="453"/>
      <c r="D900" s="453"/>
      <c r="E900" s="162"/>
      <c r="F900" s="162"/>
      <c r="G900" s="162"/>
      <c r="H900" s="162"/>
      <c r="I900" s="161"/>
    </row>
    <row r="901" spans="1:9" ht="15" customHeight="1" x14ac:dyDescent="0.25">
      <c r="A901" s="456" t="s">
        <v>1276</v>
      </c>
      <c r="B901" s="457"/>
      <c r="C901" s="457"/>
      <c r="D901" s="457"/>
      <c r="E901" s="457"/>
      <c r="F901" s="457"/>
      <c r="G901" s="457"/>
      <c r="H901" s="457"/>
      <c r="I901" s="161"/>
    </row>
    <row r="902" spans="1:9" ht="12.95" customHeight="1" x14ac:dyDescent="0.25">
      <c r="A902" s="450" t="s">
        <v>1045</v>
      </c>
      <c r="B902" s="451"/>
      <c r="C902" s="119" t="s">
        <v>1006</v>
      </c>
      <c r="D902" s="119" t="s">
        <v>1024</v>
      </c>
      <c r="E902" s="119" t="s">
        <v>984</v>
      </c>
      <c r="F902" s="162"/>
      <c r="G902" s="162"/>
      <c r="H902" s="162"/>
      <c r="I902" s="161"/>
    </row>
    <row r="903" spans="1:9" ht="12.95" customHeight="1" x14ac:dyDescent="0.25">
      <c r="A903" s="163" t="s">
        <v>1036</v>
      </c>
      <c r="B903" s="120" t="s">
        <v>1034</v>
      </c>
      <c r="C903" s="227">
        <v>20.059999999999999</v>
      </c>
      <c r="D903" s="227">
        <v>2.2000000000000002</v>
      </c>
      <c r="E903" s="228">
        <f>ROUND(C903*D903,2)</f>
        <v>44.13</v>
      </c>
      <c r="F903" s="162"/>
      <c r="G903" s="162"/>
      <c r="H903" s="162"/>
      <c r="I903" s="161"/>
    </row>
    <row r="904" spans="1:9" ht="15" customHeight="1" x14ac:dyDescent="0.25">
      <c r="A904" s="163" t="s">
        <v>1033</v>
      </c>
      <c r="B904" s="120" t="s">
        <v>1034</v>
      </c>
      <c r="C904" s="227">
        <v>3</v>
      </c>
      <c r="D904" s="227">
        <v>2.2000000000000002</v>
      </c>
      <c r="E904" s="228">
        <f>ROUND(C904*D904,2)</f>
        <v>6.6</v>
      </c>
      <c r="F904" s="162"/>
      <c r="G904" s="162"/>
      <c r="H904" s="162"/>
      <c r="I904" s="161"/>
    </row>
    <row r="905" spans="1:9" ht="9.9499999999999993" customHeight="1" x14ac:dyDescent="0.25">
      <c r="A905" s="164" t="s">
        <v>1045</v>
      </c>
      <c r="B905" s="121"/>
      <c r="C905" s="122"/>
      <c r="D905" s="122"/>
      <c r="E905" s="123">
        <f>ROUND(SUM(E903:E904),2)</f>
        <v>50.73</v>
      </c>
      <c r="F905" s="162"/>
      <c r="G905" s="162"/>
      <c r="H905" s="162"/>
      <c r="I905" s="161"/>
    </row>
    <row r="906" spans="1:9" ht="12" customHeight="1" x14ac:dyDescent="0.25">
      <c r="A906" s="452"/>
      <c r="B906" s="453"/>
      <c r="C906" s="453"/>
      <c r="D906" s="162"/>
      <c r="E906" s="162"/>
      <c r="F906" s="162"/>
      <c r="G906" s="162"/>
      <c r="H906" s="162"/>
      <c r="I906" s="161"/>
    </row>
    <row r="907" spans="1:9" ht="9.9499999999999993" customHeight="1" x14ac:dyDescent="0.25">
      <c r="A907" s="165"/>
      <c r="B907" s="162"/>
      <c r="C907" s="162"/>
      <c r="D907" s="458" t="str">
        <f>"TOTAL DA MEMÓRIA DE CÁLCULO: "&amp;TEXT(ROUND(SUM(E905),2),"0,00")</f>
        <v>TOTAL DA MEMÓRIA DE CÁLCULO: 50,73</v>
      </c>
      <c r="E907" s="458"/>
      <c r="F907" s="458"/>
      <c r="G907" s="458"/>
      <c r="H907" s="458"/>
      <c r="I907" s="161"/>
    </row>
    <row r="908" spans="1:9" ht="30.95" customHeight="1" x14ac:dyDescent="0.25">
      <c r="A908" s="452"/>
      <c r="B908" s="453"/>
      <c r="C908" s="453"/>
      <c r="D908" s="453"/>
      <c r="E908" s="162"/>
      <c r="F908" s="162"/>
      <c r="G908" s="162"/>
      <c r="H908" s="162"/>
      <c r="I908" s="161"/>
    </row>
    <row r="909" spans="1:9" ht="15" customHeight="1" x14ac:dyDescent="0.25">
      <c r="A909" s="456" t="s">
        <v>1277</v>
      </c>
      <c r="B909" s="457"/>
      <c r="C909" s="457"/>
      <c r="D909" s="457"/>
      <c r="E909" s="457"/>
      <c r="F909" s="457"/>
      <c r="G909" s="457"/>
      <c r="H909" s="457"/>
      <c r="I909" s="161"/>
    </row>
    <row r="910" spans="1:9" ht="12.95" customHeight="1" x14ac:dyDescent="0.25">
      <c r="A910" s="450"/>
      <c r="B910" s="451"/>
      <c r="C910" s="119" t="s">
        <v>1059</v>
      </c>
      <c r="D910" s="119" t="s">
        <v>1024</v>
      </c>
      <c r="E910" s="119" t="s">
        <v>984</v>
      </c>
      <c r="F910" s="162"/>
      <c r="G910" s="162"/>
      <c r="H910" s="162"/>
      <c r="I910" s="161"/>
    </row>
    <row r="911" spans="1:9" ht="15" customHeight="1" x14ac:dyDescent="0.25">
      <c r="A911" s="163" t="s">
        <v>1238</v>
      </c>
      <c r="B911" s="120" t="s">
        <v>1200</v>
      </c>
      <c r="C911" s="227">
        <v>0.9</v>
      </c>
      <c r="D911" s="227">
        <v>1.45</v>
      </c>
      <c r="E911" s="228">
        <f>ROUND(D911*C911,2)</f>
        <v>1.31</v>
      </c>
      <c r="F911" s="162"/>
      <c r="G911" s="162"/>
      <c r="H911" s="162"/>
      <c r="I911" s="161"/>
    </row>
    <row r="912" spans="1:9" ht="9.9499999999999993" customHeight="1" x14ac:dyDescent="0.25">
      <c r="A912" s="164"/>
      <c r="B912" s="121"/>
      <c r="C912" s="122"/>
      <c r="D912" s="122"/>
      <c r="E912" s="123">
        <f>ROUND(SUM(E911:E911),2)</f>
        <v>1.31</v>
      </c>
      <c r="F912" s="162"/>
      <c r="G912" s="162"/>
      <c r="H912" s="162"/>
      <c r="I912" s="161"/>
    </row>
    <row r="913" spans="1:9" ht="12" customHeight="1" x14ac:dyDescent="0.25">
      <c r="A913" s="452"/>
      <c r="B913" s="453"/>
      <c r="C913" s="453"/>
      <c r="D913" s="162"/>
      <c r="E913" s="162"/>
      <c r="F913" s="162"/>
      <c r="G913" s="162"/>
      <c r="H913" s="162"/>
      <c r="I913" s="161"/>
    </row>
    <row r="914" spans="1:9" ht="9.9499999999999993" customHeight="1" x14ac:dyDescent="0.25">
      <c r="A914" s="165"/>
      <c r="B914" s="162"/>
      <c r="C914" s="162"/>
      <c r="D914" s="458" t="str">
        <f>"TOTAL DA MEMÓRIA DE CÁLCULO: "&amp;TEXT(ROUND(SUM(E912),2),"0,00")</f>
        <v>TOTAL DA MEMÓRIA DE CÁLCULO: 1,31</v>
      </c>
      <c r="E914" s="458"/>
      <c r="F914" s="458"/>
      <c r="G914" s="458"/>
      <c r="H914" s="458"/>
      <c r="I914" s="161"/>
    </row>
    <row r="915" spans="1:9" ht="20.100000000000001" customHeight="1" x14ac:dyDescent="0.25">
      <c r="A915" s="452"/>
      <c r="B915" s="453"/>
      <c r="C915" s="453"/>
      <c r="D915" s="453"/>
      <c r="E915" s="162"/>
      <c r="F915" s="162"/>
      <c r="G915" s="162"/>
      <c r="H915" s="162"/>
      <c r="I915" s="161"/>
    </row>
    <row r="916" spans="1:9" ht="9.9499999999999993" customHeight="1" x14ac:dyDescent="0.25">
      <c r="A916" s="456" t="s">
        <v>1278</v>
      </c>
      <c r="B916" s="457"/>
      <c r="C916" s="457"/>
      <c r="D916" s="457"/>
      <c r="E916" s="457"/>
      <c r="F916" s="457"/>
      <c r="G916" s="457"/>
      <c r="H916" s="457"/>
      <c r="I916" s="161"/>
    </row>
    <row r="917" spans="1:9" ht="20.100000000000001" customHeight="1" x14ac:dyDescent="0.25">
      <c r="A917" s="452"/>
      <c r="B917" s="453"/>
      <c r="C917" s="453"/>
      <c r="D917" s="162"/>
      <c r="E917" s="162"/>
      <c r="F917" s="162"/>
      <c r="G917" s="162"/>
      <c r="H917" s="162"/>
      <c r="I917" s="161"/>
    </row>
    <row r="918" spans="1:9" ht="9.9499999999999993" customHeight="1" x14ac:dyDescent="0.25">
      <c r="A918" s="456" t="s">
        <v>1279</v>
      </c>
      <c r="B918" s="457"/>
      <c r="C918" s="457"/>
      <c r="D918" s="457"/>
      <c r="E918" s="457"/>
      <c r="F918" s="457"/>
      <c r="G918" s="457"/>
      <c r="H918" s="457"/>
      <c r="I918" s="161"/>
    </row>
    <row r="919" spans="1:9" ht="20.100000000000001" customHeight="1" x14ac:dyDescent="0.25">
      <c r="A919" s="452"/>
      <c r="B919" s="453"/>
      <c r="C919" s="453"/>
      <c r="D919" s="162"/>
      <c r="E919" s="162"/>
      <c r="F919" s="162"/>
      <c r="G919" s="162"/>
      <c r="H919" s="162"/>
      <c r="I919" s="161"/>
    </row>
    <row r="920" spans="1:9" ht="15" customHeight="1" x14ac:dyDescent="0.25">
      <c r="A920" s="456" t="s">
        <v>1280</v>
      </c>
      <c r="B920" s="457"/>
      <c r="C920" s="457"/>
      <c r="D920" s="457"/>
      <c r="E920" s="457"/>
      <c r="F920" s="457"/>
      <c r="G920" s="457"/>
      <c r="H920" s="457"/>
      <c r="I920" s="161"/>
    </row>
    <row r="921" spans="1:9" ht="12.95" customHeight="1" x14ac:dyDescent="0.25">
      <c r="A921" s="450"/>
      <c r="B921" s="451"/>
      <c r="C921" s="119"/>
      <c r="D921" s="119" t="s">
        <v>984</v>
      </c>
      <c r="E921" s="162"/>
      <c r="F921" s="162"/>
      <c r="G921" s="162"/>
      <c r="H921" s="162"/>
      <c r="I921" s="161"/>
    </row>
    <row r="922" spans="1:9" ht="15" customHeight="1" x14ac:dyDescent="0.25">
      <c r="A922" s="163" t="s">
        <v>319</v>
      </c>
      <c r="B922" s="120" t="s">
        <v>1281</v>
      </c>
      <c r="C922" s="227">
        <v>96.02</v>
      </c>
      <c r="D922" s="228">
        <f>ROUND(96.02,2)</f>
        <v>96.02</v>
      </c>
      <c r="E922" s="162"/>
      <c r="F922" s="162"/>
      <c r="G922" s="162"/>
      <c r="H922" s="162"/>
      <c r="I922" s="161"/>
    </row>
    <row r="923" spans="1:9" ht="9.9499999999999993" customHeight="1" x14ac:dyDescent="0.25">
      <c r="A923" s="164"/>
      <c r="B923" s="121"/>
      <c r="C923" s="122"/>
      <c r="D923" s="123">
        <f>ROUND(SUM(D922:D922),2)</f>
        <v>96.02</v>
      </c>
      <c r="E923" s="162"/>
      <c r="F923" s="162"/>
      <c r="G923" s="162"/>
      <c r="H923" s="162"/>
      <c r="I923" s="161"/>
    </row>
    <row r="924" spans="1:9" ht="12" customHeight="1" x14ac:dyDescent="0.25">
      <c r="A924" s="452"/>
      <c r="B924" s="453"/>
      <c r="C924" s="453"/>
      <c r="D924" s="162"/>
      <c r="E924" s="162"/>
      <c r="F924" s="162"/>
      <c r="G924" s="162"/>
      <c r="H924" s="162"/>
      <c r="I924" s="161"/>
    </row>
    <row r="925" spans="1:9" ht="12" customHeight="1" x14ac:dyDescent="0.25">
      <c r="A925" s="461" t="s">
        <v>4299</v>
      </c>
      <c r="B925" s="462"/>
      <c r="C925" s="462"/>
      <c r="D925" s="458" t="str">
        <f>"TOTAL DA MEMÓRIA DE CÁLCULO: "&amp;TEXT(ROUND(SUM(D923),2),"0,00")</f>
        <v>TOTAL DA MEMÓRIA DE CÁLCULO: 96,02</v>
      </c>
      <c r="E925" s="458"/>
      <c r="F925" s="458"/>
      <c r="G925" s="458"/>
      <c r="H925" s="458"/>
      <c r="I925" s="161"/>
    </row>
    <row r="926" spans="1:9" ht="9.9499999999999993" customHeight="1" x14ac:dyDescent="0.25">
      <c r="A926" s="461"/>
      <c r="B926" s="462"/>
      <c r="C926" s="462"/>
      <c r="D926" s="162"/>
      <c r="E926" s="162"/>
      <c r="F926" s="162"/>
      <c r="G926" s="162"/>
      <c r="H926" s="162"/>
      <c r="I926" s="161"/>
    </row>
    <row r="927" spans="1:9" ht="30.95" customHeight="1" x14ac:dyDescent="0.25">
      <c r="A927" s="452"/>
      <c r="B927" s="453"/>
      <c r="C927" s="453"/>
      <c r="D927" s="453"/>
      <c r="E927" s="162"/>
      <c r="F927" s="162"/>
      <c r="G927" s="162"/>
      <c r="H927" s="162"/>
      <c r="I927" s="161"/>
    </row>
    <row r="928" spans="1:9" ht="15" customHeight="1" x14ac:dyDescent="0.25">
      <c r="A928" s="456" t="s">
        <v>1282</v>
      </c>
      <c r="B928" s="457"/>
      <c r="C928" s="457"/>
      <c r="D928" s="457"/>
      <c r="E928" s="457"/>
      <c r="F928" s="457"/>
      <c r="G928" s="457"/>
      <c r="H928" s="457"/>
      <c r="I928" s="161"/>
    </row>
    <row r="929" spans="1:9" ht="12.95" customHeight="1" x14ac:dyDescent="0.25">
      <c r="A929" s="450"/>
      <c r="B929" s="451"/>
      <c r="C929" s="119"/>
      <c r="D929" s="119" t="s">
        <v>984</v>
      </c>
      <c r="E929" s="162"/>
      <c r="F929" s="162"/>
      <c r="G929" s="162"/>
      <c r="H929" s="162"/>
      <c r="I929" s="161"/>
    </row>
    <row r="930" spans="1:9" x14ac:dyDescent="0.25">
      <c r="A930" s="163" t="s">
        <v>319</v>
      </c>
      <c r="B930" s="120" t="s">
        <v>1283</v>
      </c>
      <c r="C930" s="459">
        <v>224.05</v>
      </c>
      <c r="D930" s="460">
        <f>ROUND(224.05,2)</f>
        <v>224.05</v>
      </c>
      <c r="E930" s="162"/>
      <c r="F930" s="162"/>
      <c r="G930" s="162"/>
      <c r="H930" s="162"/>
      <c r="I930" s="161"/>
    </row>
    <row r="931" spans="1:9" x14ac:dyDescent="0.25">
      <c r="A931" s="166"/>
      <c r="B931" s="124"/>
      <c r="C931" s="459"/>
      <c r="D931" s="460"/>
      <c r="E931" s="162"/>
      <c r="F931" s="162"/>
      <c r="G931" s="162"/>
      <c r="H931" s="162"/>
      <c r="I931" s="161"/>
    </row>
    <row r="932" spans="1:9" ht="9.9499999999999993" customHeight="1" x14ac:dyDescent="0.25">
      <c r="A932" s="164"/>
      <c r="B932" s="121"/>
      <c r="C932" s="122"/>
      <c r="D932" s="123">
        <f>ROUND(SUM(D930:D931),2)</f>
        <v>224.05</v>
      </c>
      <c r="E932" s="162"/>
      <c r="F932" s="162"/>
      <c r="G932" s="162"/>
      <c r="H932" s="162"/>
      <c r="I932" s="161"/>
    </row>
    <row r="933" spans="1:9" ht="12" customHeight="1" x14ac:dyDescent="0.25">
      <c r="A933" s="452"/>
      <c r="B933" s="453"/>
      <c r="C933" s="453"/>
      <c r="D933" s="162"/>
      <c r="E933" s="162"/>
      <c r="F933" s="162"/>
      <c r="G933" s="162"/>
      <c r="H933" s="162"/>
      <c r="I933" s="161"/>
    </row>
    <row r="934" spans="1:9" ht="12" customHeight="1" x14ac:dyDescent="0.25">
      <c r="A934" s="461" t="s">
        <v>4299</v>
      </c>
      <c r="B934" s="462"/>
      <c r="C934" s="462"/>
      <c r="D934" s="458" t="str">
        <f>"TOTAL DA MEMÓRIA DE CÁLCULO: "&amp;TEXT(ROUND(SUM(D932),2),"0,00")</f>
        <v>TOTAL DA MEMÓRIA DE CÁLCULO: 224,05</v>
      </c>
      <c r="E934" s="458"/>
      <c r="F934" s="458"/>
      <c r="G934" s="458"/>
      <c r="H934" s="458"/>
      <c r="I934" s="161"/>
    </row>
    <row r="935" spans="1:9" ht="9.9499999999999993" customHeight="1" x14ac:dyDescent="0.25">
      <c r="A935" s="461"/>
      <c r="B935" s="462"/>
      <c r="C935" s="462"/>
      <c r="D935" s="162"/>
      <c r="E935" s="162"/>
      <c r="F935" s="162"/>
      <c r="G935" s="162"/>
      <c r="H935" s="162"/>
      <c r="I935" s="161"/>
    </row>
    <row r="936" spans="1:9" ht="30.95" customHeight="1" x14ac:dyDescent="0.25">
      <c r="A936" s="452"/>
      <c r="B936" s="453"/>
      <c r="C936" s="453"/>
      <c r="D936" s="453"/>
      <c r="E936" s="162"/>
      <c r="F936" s="162"/>
      <c r="G936" s="162"/>
      <c r="H936" s="162"/>
      <c r="I936" s="161"/>
    </row>
    <row r="937" spans="1:9" ht="9.9499999999999993" customHeight="1" x14ac:dyDescent="0.25">
      <c r="A937" s="165"/>
      <c r="B937" s="162"/>
      <c r="C937" s="162"/>
      <c r="D937" s="229"/>
      <c r="E937" s="229"/>
      <c r="F937" s="229"/>
      <c r="G937" s="229"/>
      <c r="H937" s="229"/>
      <c r="I937" s="161"/>
    </row>
    <row r="938" spans="1:9" x14ac:dyDescent="0.25">
      <c r="A938" s="456" t="s">
        <v>767</v>
      </c>
      <c r="B938" s="457"/>
      <c r="C938" s="457"/>
      <c r="D938" s="457"/>
      <c r="E938" s="457"/>
      <c r="F938" s="457"/>
      <c r="G938" s="457"/>
      <c r="H938" s="457"/>
      <c r="I938" s="161"/>
    </row>
    <row r="939" spans="1:9" x14ac:dyDescent="0.25">
      <c r="A939" s="450"/>
      <c r="B939" s="451"/>
      <c r="C939" s="119" t="s">
        <v>54</v>
      </c>
      <c r="D939" s="119" t="s">
        <v>984</v>
      </c>
      <c r="E939" s="162"/>
      <c r="F939" s="162"/>
      <c r="G939" s="162"/>
      <c r="H939" s="162"/>
      <c r="I939" s="161"/>
    </row>
    <row r="940" spans="1:9" x14ac:dyDescent="0.25">
      <c r="A940" s="163"/>
      <c r="B940" s="120"/>
      <c r="C940" s="227">
        <v>180</v>
      </c>
      <c r="D940" s="228">
        <f>C940</f>
        <v>180</v>
      </c>
      <c r="E940" s="162"/>
      <c r="F940" s="162"/>
      <c r="G940" s="162"/>
      <c r="H940" s="162"/>
      <c r="I940" s="161"/>
    </row>
    <row r="941" spans="1:9" x14ac:dyDescent="0.25">
      <c r="A941" s="164"/>
      <c r="B941" s="121"/>
      <c r="C941" s="122"/>
      <c r="D941" s="123">
        <f>ROUND(SUM(D940:D940),2)</f>
        <v>180</v>
      </c>
      <c r="E941" s="162"/>
      <c r="F941" s="162"/>
      <c r="G941" s="162"/>
      <c r="H941" s="162"/>
      <c r="I941" s="161"/>
    </row>
    <row r="942" spans="1:9" x14ac:dyDescent="0.25">
      <c r="A942" s="452"/>
      <c r="B942" s="453"/>
      <c r="C942" s="453"/>
      <c r="D942" s="162"/>
      <c r="E942" s="162"/>
      <c r="F942" s="162"/>
      <c r="G942" s="162"/>
      <c r="H942" s="162"/>
      <c r="I942" s="161"/>
    </row>
    <row r="943" spans="1:9" ht="12" customHeight="1" x14ac:dyDescent="0.25">
      <c r="A943" s="165"/>
      <c r="B943" s="162"/>
      <c r="C943" s="162"/>
      <c r="D943" s="458" t="str">
        <f>"TOTAL DA MEMÓRIA DE CÁLCULO: "&amp;TEXT(ROUND(SUM(D941),2),"0,00")</f>
        <v>TOTAL DA MEMÓRIA DE CÁLCULO: 180,00</v>
      </c>
      <c r="E943" s="458"/>
      <c r="F943" s="458"/>
      <c r="G943" s="458"/>
      <c r="H943" s="458"/>
      <c r="I943" s="161"/>
    </row>
    <row r="944" spans="1:9" ht="20.100000000000001" customHeight="1" x14ac:dyDescent="0.25">
      <c r="A944" s="452"/>
      <c r="B944" s="453"/>
      <c r="C944" s="453"/>
      <c r="D944" s="453"/>
      <c r="E944" s="162"/>
      <c r="F944" s="162"/>
      <c r="G944" s="162"/>
      <c r="H944" s="162"/>
      <c r="I944" s="161"/>
    </row>
    <row r="945" spans="1:9" ht="9.9499999999999993" customHeight="1" x14ac:dyDescent="0.25">
      <c r="A945" s="165"/>
      <c r="B945" s="162"/>
      <c r="C945" s="162"/>
      <c r="D945" s="229"/>
      <c r="E945" s="229"/>
      <c r="F945" s="229"/>
      <c r="G945" s="229"/>
      <c r="H945" s="229"/>
      <c r="I945" s="161"/>
    </row>
    <row r="946" spans="1:9" x14ac:dyDescent="0.25">
      <c r="A946" s="456" t="s">
        <v>770</v>
      </c>
      <c r="B946" s="457"/>
      <c r="C946" s="457"/>
      <c r="D946" s="457"/>
      <c r="E946" s="457"/>
      <c r="F946" s="457"/>
      <c r="G946" s="457"/>
      <c r="H946" s="457"/>
      <c r="I946" s="161"/>
    </row>
    <row r="947" spans="1:9" x14ac:dyDescent="0.25">
      <c r="A947" s="450"/>
      <c r="B947" s="451"/>
      <c r="C947" s="119" t="s">
        <v>54</v>
      </c>
      <c r="D947" s="119" t="s">
        <v>984</v>
      </c>
      <c r="E947" s="162"/>
      <c r="F947" s="162"/>
      <c r="G947" s="162"/>
      <c r="H947" s="162"/>
      <c r="I947" s="161"/>
    </row>
    <row r="948" spans="1:9" x14ac:dyDescent="0.25">
      <c r="A948" s="163"/>
      <c r="B948" s="120"/>
      <c r="C948" s="227">
        <v>3071.79</v>
      </c>
      <c r="D948" s="228">
        <f>C948</f>
        <v>3071.79</v>
      </c>
      <c r="E948" s="162"/>
      <c r="F948" s="162"/>
      <c r="G948" s="162"/>
      <c r="H948" s="162"/>
      <c r="I948" s="161"/>
    </row>
    <row r="949" spans="1:9" x14ac:dyDescent="0.25">
      <c r="A949" s="164"/>
      <c r="B949" s="121"/>
      <c r="C949" s="122"/>
      <c r="D949" s="123">
        <f>ROUND(SUM(D948:D948),2)</f>
        <v>3071.79</v>
      </c>
      <c r="E949" s="162"/>
      <c r="F949" s="162"/>
      <c r="G949" s="162"/>
      <c r="H949" s="162"/>
      <c r="I949" s="161"/>
    </row>
    <row r="950" spans="1:9" x14ac:dyDescent="0.25">
      <c r="A950" s="452"/>
      <c r="B950" s="453"/>
      <c r="C950" s="453"/>
      <c r="D950" s="162"/>
      <c r="E950" s="162"/>
      <c r="F950" s="162"/>
      <c r="G950" s="162"/>
      <c r="H950" s="162"/>
      <c r="I950" s="161"/>
    </row>
    <row r="951" spans="1:9" ht="12" customHeight="1" x14ac:dyDescent="0.25">
      <c r="A951" s="165"/>
      <c r="B951" s="162"/>
      <c r="C951" s="162"/>
      <c r="D951" s="458" t="str">
        <f>"TOTAL DA MEMÓRIA DE CÁLCULO: "&amp;TEXT(ROUND(SUM(D949),2),"0,00")</f>
        <v>TOTAL DA MEMÓRIA DE CÁLCULO: 3071,79</v>
      </c>
      <c r="E951" s="458"/>
      <c r="F951" s="458"/>
      <c r="G951" s="458"/>
      <c r="H951" s="458"/>
      <c r="I951" s="161"/>
    </row>
    <row r="952" spans="1:9" ht="20.100000000000001" customHeight="1" x14ac:dyDescent="0.25">
      <c r="A952" s="452"/>
      <c r="B952" s="453"/>
      <c r="C952" s="453"/>
      <c r="D952" s="453"/>
      <c r="E952" s="162"/>
      <c r="F952" s="162"/>
      <c r="G952" s="162"/>
      <c r="H952" s="162"/>
      <c r="I952" s="161"/>
    </row>
    <row r="953" spans="1:9" ht="9.9499999999999993" customHeight="1" x14ac:dyDescent="0.25">
      <c r="A953" s="165"/>
      <c r="B953" s="162"/>
      <c r="C953" s="162"/>
      <c r="D953" s="229"/>
      <c r="E953" s="229"/>
      <c r="F953" s="229"/>
      <c r="G953" s="229"/>
      <c r="H953" s="229"/>
      <c r="I953" s="161"/>
    </row>
    <row r="954" spans="1:9" x14ac:dyDescent="0.25">
      <c r="A954" s="456" t="s">
        <v>776</v>
      </c>
      <c r="B954" s="457"/>
      <c r="C954" s="457"/>
      <c r="D954" s="457"/>
      <c r="E954" s="457"/>
      <c r="F954" s="457"/>
      <c r="G954" s="457"/>
      <c r="H954" s="457"/>
      <c r="I954" s="161"/>
    </row>
    <row r="955" spans="1:9" x14ac:dyDescent="0.25">
      <c r="A955" s="450"/>
      <c r="B955" s="451"/>
      <c r="C955" s="119" t="s">
        <v>54</v>
      </c>
      <c r="D955" s="119" t="s">
        <v>984</v>
      </c>
      <c r="E955" s="162"/>
      <c r="F955" s="162"/>
      <c r="G955" s="162"/>
      <c r="H955" s="162"/>
      <c r="I955" s="161"/>
    </row>
    <row r="956" spans="1:9" x14ac:dyDescent="0.25">
      <c r="A956" s="163"/>
      <c r="B956" s="120"/>
      <c r="C956" s="227">
        <v>180</v>
      </c>
      <c r="D956" s="228">
        <f>C956</f>
        <v>180</v>
      </c>
      <c r="E956" s="162"/>
      <c r="F956" s="162"/>
      <c r="G956" s="162"/>
      <c r="H956" s="162"/>
      <c r="I956" s="161"/>
    </row>
    <row r="957" spans="1:9" x14ac:dyDescent="0.25">
      <c r="A957" s="164"/>
      <c r="B957" s="121"/>
      <c r="C957" s="122"/>
      <c r="D957" s="123">
        <f>ROUND(SUM(D956:D956),2)</f>
        <v>180</v>
      </c>
      <c r="E957" s="162"/>
      <c r="F957" s="162"/>
      <c r="G957" s="162"/>
      <c r="H957" s="162"/>
      <c r="I957" s="161"/>
    </row>
    <row r="958" spans="1:9" x14ac:dyDescent="0.25">
      <c r="A958" s="452"/>
      <c r="B958" s="453"/>
      <c r="C958" s="453"/>
      <c r="D958" s="162"/>
      <c r="E958" s="162"/>
      <c r="F958" s="162"/>
      <c r="G958" s="162"/>
      <c r="H958" s="162"/>
      <c r="I958" s="161"/>
    </row>
    <row r="959" spans="1:9" ht="12" customHeight="1" x14ac:dyDescent="0.25">
      <c r="A959" s="165"/>
      <c r="B959" s="162"/>
      <c r="C959" s="162"/>
      <c r="D959" s="458" t="str">
        <f>"TOTAL DA MEMÓRIA DE CÁLCULO: "&amp;TEXT(ROUND(SUM(D957),2),"0,00")</f>
        <v>TOTAL DA MEMÓRIA DE CÁLCULO: 180,00</v>
      </c>
      <c r="E959" s="458"/>
      <c r="F959" s="458"/>
      <c r="G959" s="458"/>
      <c r="H959" s="458"/>
      <c r="I959" s="161"/>
    </row>
    <row r="960" spans="1:9" ht="20.100000000000001" customHeight="1" x14ac:dyDescent="0.25">
      <c r="A960" s="452"/>
      <c r="B960" s="453"/>
      <c r="C960" s="453"/>
      <c r="D960" s="453"/>
      <c r="E960" s="162"/>
      <c r="F960" s="162"/>
      <c r="G960" s="162"/>
      <c r="H960" s="162"/>
      <c r="I960" s="161"/>
    </row>
    <row r="961" spans="1:9" ht="9.9499999999999993" customHeight="1" x14ac:dyDescent="0.25">
      <c r="A961" s="165"/>
      <c r="B961" s="162"/>
      <c r="C961" s="162"/>
      <c r="D961" s="229"/>
      <c r="E961" s="229"/>
      <c r="F961" s="229"/>
      <c r="G961" s="229"/>
      <c r="H961" s="229"/>
      <c r="I961" s="161"/>
    </row>
    <row r="962" spans="1:9" x14ac:dyDescent="0.25">
      <c r="A962" s="456" t="s">
        <v>779</v>
      </c>
      <c r="B962" s="457"/>
      <c r="C962" s="457"/>
      <c r="D962" s="457"/>
      <c r="E962" s="457"/>
      <c r="F962" s="457"/>
      <c r="G962" s="457"/>
      <c r="H962" s="457"/>
      <c r="I962" s="161"/>
    </row>
    <row r="963" spans="1:9" x14ac:dyDescent="0.25">
      <c r="A963" s="450"/>
      <c r="B963" s="451"/>
      <c r="C963" s="119" t="s">
        <v>54</v>
      </c>
      <c r="D963" s="119" t="s">
        <v>984</v>
      </c>
      <c r="E963" s="162"/>
      <c r="F963" s="162"/>
      <c r="G963" s="162"/>
      <c r="H963" s="162"/>
      <c r="I963" s="161"/>
    </row>
    <row r="964" spans="1:9" x14ac:dyDescent="0.25">
      <c r="A964" s="163"/>
      <c r="B964" s="120"/>
      <c r="C964" s="227">
        <v>180</v>
      </c>
      <c r="D964" s="228">
        <f>C964</f>
        <v>180</v>
      </c>
      <c r="E964" s="162"/>
      <c r="F964" s="162"/>
      <c r="G964" s="162"/>
      <c r="H964" s="162"/>
      <c r="I964" s="161"/>
    </row>
    <row r="965" spans="1:9" x14ac:dyDescent="0.25">
      <c r="A965" s="164"/>
      <c r="B965" s="121"/>
      <c r="C965" s="122"/>
      <c r="D965" s="123">
        <f>ROUND(SUM(D964:D964),2)</f>
        <v>180</v>
      </c>
      <c r="E965" s="162"/>
      <c r="F965" s="162"/>
      <c r="G965" s="162"/>
      <c r="H965" s="162"/>
      <c r="I965" s="161"/>
    </row>
    <row r="966" spans="1:9" x14ac:dyDescent="0.25">
      <c r="A966" s="452"/>
      <c r="B966" s="453"/>
      <c r="C966" s="453"/>
      <c r="D966" s="162"/>
      <c r="E966" s="162"/>
      <c r="F966" s="162"/>
      <c r="G966" s="162"/>
      <c r="H966" s="162"/>
      <c r="I966" s="161"/>
    </row>
    <row r="967" spans="1:9" ht="12" customHeight="1" x14ac:dyDescent="0.25">
      <c r="A967" s="165"/>
      <c r="B967" s="162"/>
      <c r="C967" s="162"/>
      <c r="D967" s="458" t="str">
        <f>"TOTAL DA MEMÓRIA DE CÁLCULO: "&amp;TEXT(ROUND(SUM(D965),2),"0,00")</f>
        <v>TOTAL DA MEMÓRIA DE CÁLCULO: 180,00</v>
      </c>
      <c r="E967" s="458"/>
      <c r="F967" s="458"/>
      <c r="G967" s="458"/>
      <c r="H967" s="458"/>
      <c r="I967" s="161"/>
    </row>
    <row r="968" spans="1:9" ht="20.100000000000001" customHeight="1" x14ac:dyDescent="0.25">
      <c r="A968" s="452"/>
      <c r="B968" s="453"/>
      <c r="C968" s="453"/>
      <c r="D968" s="453"/>
      <c r="E968" s="162"/>
      <c r="F968" s="162"/>
      <c r="G968" s="162"/>
      <c r="H968" s="162"/>
      <c r="I968" s="161"/>
    </row>
    <row r="969" spans="1:9" ht="9.9499999999999993" customHeight="1" x14ac:dyDescent="0.25">
      <c r="A969" s="165"/>
      <c r="B969" s="162"/>
      <c r="C969" s="162"/>
      <c r="D969" s="229"/>
      <c r="E969" s="229"/>
      <c r="F969" s="229"/>
      <c r="G969" s="229"/>
      <c r="H969" s="229"/>
      <c r="I969" s="161"/>
    </row>
    <row r="970" spans="1:9" x14ac:dyDescent="0.25">
      <c r="A970" s="456" t="s">
        <v>782</v>
      </c>
      <c r="B970" s="457"/>
      <c r="C970" s="457"/>
      <c r="D970" s="457"/>
      <c r="E970" s="457"/>
      <c r="F970" s="457"/>
      <c r="G970" s="457"/>
      <c r="H970" s="457"/>
      <c r="I970" s="161"/>
    </row>
    <row r="971" spans="1:9" x14ac:dyDescent="0.25">
      <c r="A971" s="450"/>
      <c r="B971" s="451"/>
      <c r="C971" s="119" t="s">
        <v>54</v>
      </c>
      <c r="D971" s="119" t="s">
        <v>984</v>
      </c>
      <c r="E971" s="162"/>
      <c r="F971" s="162"/>
      <c r="G971" s="162"/>
      <c r="H971" s="162"/>
      <c r="I971" s="161"/>
    </row>
    <row r="972" spans="1:9" x14ac:dyDescent="0.25">
      <c r="A972" s="163"/>
      <c r="B972" s="120"/>
      <c r="C972" s="227">
        <v>180</v>
      </c>
      <c r="D972" s="228">
        <f>C972</f>
        <v>180</v>
      </c>
      <c r="E972" s="162"/>
      <c r="F972" s="162"/>
      <c r="G972" s="162"/>
      <c r="H972" s="162"/>
      <c r="I972" s="161"/>
    </row>
    <row r="973" spans="1:9" x14ac:dyDescent="0.25">
      <c r="A973" s="164"/>
      <c r="B973" s="121"/>
      <c r="C973" s="122"/>
      <c r="D973" s="123">
        <f>ROUND(SUM(D972:D972),2)</f>
        <v>180</v>
      </c>
      <c r="E973" s="162"/>
      <c r="F973" s="162"/>
      <c r="G973" s="162"/>
      <c r="H973" s="162"/>
      <c r="I973" s="161"/>
    </row>
    <row r="974" spans="1:9" x14ac:dyDescent="0.25">
      <c r="A974" s="452"/>
      <c r="B974" s="453"/>
      <c r="C974" s="453"/>
      <c r="D974" s="162"/>
      <c r="E974" s="162"/>
      <c r="F974" s="162"/>
      <c r="G974" s="162"/>
      <c r="H974" s="162"/>
      <c r="I974" s="161"/>
    </row>
    <row r="975" spans="1:9" ht="12" customHeight="1" x14ac:dyDescent="0.25">
      <c r="A975" s="165"/>
      <c r="B975" s="162"/>
      <c r="C975" s="162"/>
      <c r="D975" s="458" t="str">
        <f>"TOTAL DA MEMÓRIA DE CÁLCULO: "&amp;TEXT(ROUND(SUM(D973),2),"0,00")</f>
        <v>TOTAL DA MEMÓRIA DE CÁLCULO: 180,00</v>
      </c>
      <c r="E975" s="458"/>
      <c r="F975" s="458"/>
      <c r="G975" s="458"/>
      <c r="H975" s="458"/>
      <c r="I975" s="161"/>
    </row>
    <row r="976" spans="1:9" ht="20.100000000000001" customHeight="1" x14ac:dyDescent="0.25">
      <c r="A976" s="452"/>
      <c r="B976" s="453"/>
      <c r="C976" s="453"/>
      <c r="D976" s="453"/>
      <c r="E976" s="162"/>
      <c r="F976" s="162"/>
      <c r="G976" s="162"/>
      <c r="H976" s="162"/>
      <c r="I976" s="161"/>
    </row>
    <row r="977" spans="1:9" ht="9.9499999999999993" customHeight="1" x14ac:dyDescent="0.25">
      <c r="A977" s="165"/>
      <c r="B977" s="162"/>
      <c r="C977" s="162"/>
      <c r="D977" s="229"/>
      <c r="E977" s="229"/>
      <c r="F977" s="229"/>
      <c r="G977" s="229"/>
      <c r="H977" s="229"/>
      <c r="I977" s="161"/>
    </row>
    <row r="978" spans="1:9" x14ac:dyDescent="0.25">
      <c r="A978" s="456" t="s">
        <v>785</v>
      </c>
      <c r="B978" s="457"/>
      <c r="C978" s="457"/>
      <c r="D978" s="457"/>
      <c r="E978" s="457"/>
      <c r="F978" s="457"/>
      <c r="G978" s="457"/>
      <c r="H978" s="457"/>
      <c r="I978" s="161"/>
    </row>
    <row r="979" spans="1:9" x14ac:dyDescent="0.25">
      <c r="A979" s="450"/>
      <c r="B979" s="451"/>
      <c r="C979" s="119" t="s">
        <v>786</v>
      </c>
      <c r="D979" s="119" t="s">
        <v>984</v>
      </c>
      <c r="E979" s="162"/>
      <c r="F979" s="162"/>
      <c r="G979" s="162"/>
      <c r="H979" s="162"/>
      <c r="I979" s="161"/>
    </row>
    <row r="980" spans="1:9" x14ac:dyDescent="0.25">
      <c r="A980" s="163"/>
      <c r="B980" s="120"/>
      <c r="C980" s="227">
        <v>96</v>
      </c>
      <c r="D980" s="228">
        <f>C980</f>
        <v>96</v>
      </c>
      <c r="E980" s="162"/>
      <c r="F980" s="162"/>
      <c r="G980" s="162"/>
      <c r="H980" s="162"/>
      <c r="I980" s="161"/>
    </row>
    <row r="981" spans="1:9" x14ac:dyDescent="0.25">
      <c r="A981" s="164"/>
      <c r="B981" s="121"/>
      <c r="C981" s="122"/>
      <c r="D981" s="123">
        <f>ROUND(SUM(D980:D980),2)</f>
        <v>96</v>
      </c>
      <c r="E981" s="162"/>
      <c r="F981" s="162"/>
      <c r="G981" s="162"/>
      <c r="H981" s="162"/>
      <c r="I981" s="161"/>
    </row>
    <row r="982" spans="1:9" x14ac:dyDescent="0.25">
      <c r="A982" s="452"/>
      <c r="B982" s="453"/>
      <c r="C982" s="453"/>
      <c r="D982" s="162"/>
      <c r="E982" s="162"/>
      <c r="F982" s="162"/>
      <c r="G982" s="162"/>
      <c r="H982" s="162"/>
      <c r="I982" s="161"/>
    </row>
    <row r="983" spans="1:9" ht="12" customHeight="1" x14ac:dyDescent="0.25">
      <c r="A983" s="165"/>
      <c r="B983" s="162"/>
      <c r="C983" s="162"/>
      <c r="D983" s="458" t="str">
        <f>"TOTAL DA MEMÓRIA DE CÁLCULO: "&amp;TEXT(ROUND(SUM(D981),2),"0,00")</f>
        <v>TOTAL DA MEMÓRIA DE CÁLCULO: 96,00</v>
      </c>
      <c r="E983" s="458"/>
      <c r="F983" s="458"/>
      <c r="G983" s="458"/>
      <c r="H983" s="458"/>
      <c r="I983" s="161"/>
    </row>
    <row r="984" spans="1:9" ht="20.100000000000001" customHeight="1" x14ac:dyDescent="0.25">
      <c r="A984" s="452"/>
      <c r="B984" s="453"/>
      <c r="C984" s="453"/>
      <c r="D984" s="453"/>
      <c r="E984" s="162"/>
      <c r="F984" s="162"/>
      <c r="G984" s="162"/>
      <c r="H984" s="162"/>
      <c r="I984" s="161"/>
    </row>
    <row r="985" spans="1:9" ht="9.9499999999999993" customHeight="1" x14ac:dyDescent="0.25">
      <c r="A985" s="165"/>
      <c r="B985" s="162"/>
      <c r="C985" s="162"/>
      <c r="D985" s="229"/>
      <c r="E985" s="229"/>
      <c r="F985" s="229"/>
      <c r="G985" s="229"/>
      <c r="H985" s="229"/>
      <c r="I985" s="161"/>
    </row>
    <row r="986" spans="1:9" x14ac:dyDescent="0.25">
      <c r="A986" s="456" t="s">
        <v>789</v>
      </c>
      <c r="B986" s="457"/>
      <c r="C986" s="457"/>
      <c r="D986" s="457"/>
      <c r="E986" s="457"/>
      <c r="F986" s="457"/>
      <c r="G986" s="457"/>
      <c r="H986" s="457"/>
      <c r="I986" s="161"/>
    </row>
    <row r="987" spans="1:9" x14ac:dyDescent="0.25">
      <c r="A987" s="450"/>
      <c r="B987" s="451"/>
      <c r="C987" s="119" t="s">
        <v>54</v>
      </c>
      <c r="D987" s="119" t="s">
        <v>984</v>
      </c>
      <c r="E987" s="162"/>
      <c r="F987" s="162"/>
      <c r="G987" s="162"/>
      <c r="H987" s="162"/>
      <c r="I987" s="161"/>
    </row>
    <row r="988" spans="1:9" x14ac:dyDescent="0.25">
      <c r="A988" s="163"/>
      <c r="B988" s="120"/>
      <c r="C988" s="227">
        <v>180</v>
      </c>
      <c r="D988" s="228">
        <f>C988</f>
        <v>180</v>
      </c>
      <c r="E988" s="162"/>
      <c r="F988" s="162"/>
      <c r="G988" s="162"/>
      <c r="H988" s="162"/>
      <c r="I988" s="161"/>
    </row>
    <row r="989" spans="1:9" x14ac:dyDescent="0.25">
      <c r="A989" s="164"/>
      <c r="B989" s="121"/>
      <c r="C989" s="122"/>
      <c r="D989" s="123">
        <f>ROUND(SUM(D988:D988),2)</f>
        <v>180</v>
      </c>
      <c r="E989" s="162"/>
      <c r="F989" s="162"/>
      <c r="G989" s="162"/>
      <c r="H989" s="162"/>
      <c r="I989" s="161"/>
    </row>
    <row r="990" spans="1:9" x14ac:dyDescent="0.25">
      <c r="A990" s="452"/>
      <c r="B990" s="453"/>
      <c r="C990" s="453"/>
      <c r="D990" s="162"/>
      <c r="E990" s="162"/>
      <c r="F990" s="162"/>
      <c r="G990" s="162"/>
      <c r="H990" s="162"/>
      <c r="I990" s="161"/>
    </row>
    <row r="991" spans="1:9" ht="12" customHeight="1" x14ac:dyDescent="0.25">
      <c r="A991" s="165"/>
      <c r="B991" s="162"/>
      <c r="C991" s="162"/>
      <c r="D991" s="458" t="str">
        <f>"TOTAL DA MEMÓRIA DE CÁLCULO: "&amp;TEXT(ROUND(SUM(D989),2),"0,00")</f>
        <v>TOTAL DA MEMÓRIA DE CÁLCULO: 180,00</v>
      </c>
      <c r="E991" s="458"/>
      <c r="F991" s="458"/>
      <c r="G991" s="458"/>
      <c r="H991" s="458"/>
      <c r="I991" s="161"/>
    </row>
    <row r="992" spans="1:9" ht="20.100000000000001" customHeight="1" x14ac:dyDescent="0.25">
      <c r="A992" s="452"/>
      <c r="B992" s="453"/>
      <c r="C992" s="453"/>
      <c r="D992" s="453"/>
      <c r="E992" s="162"/>
      <c r="F992" s="162"/>
      <c r="G992" s="162"/>
      <c r="H992" s="162"/>
      <c r="I992" s="161"/>
    </row>
    <row r="993" spans="1:9" ht="9.9499999999999993" customHeight="1" x14ac:dyDescent="0.25">
      <c r="A993" s="165"/>
      <c r="B993" s="162"/>
      <c r="C993" s="162"/>
      <c r="D993" s="229"/>
      <c r="E993" s="229"/>
      <c r="F993" s="229"/>
      <c r="G993" s="229"/>
      <c r="H993" s="229"/>
      <c r="I993" s="161"/>
    </row>
    <row r="994" spans="1:9" x14ac:dyDescent="0.25">
      <c r="A994" s="456" t="s">
        <v>792</v>
      </c>
      <c r="B994" s="457"/>
      <c r="C994" s="457"/>
      <c r="D994" s="457"/>
      <c r="E994" s="457"/>
      <c r="F994" s="457"/>
      <c r="G994" s="457"/>
      <c r="H994" s="457"/>
      <c r="I994" s="161"/>
    </row>
    <row r="995" spans="1:9" x14ac:dyDescent="0.25">
      <c r="A995" s="450"/>
      <c r="B995" s="451"/>
      <c r="C995" s="119" t="s">
        <v>54</v>
      </c>
      <c r="D995" s="119" t="s">
        <v>984</v>
      </c>
      <c r="E995" s="162"/>
      <c r="F995" s="162"/>
      <c r="G995" s="162"/>
      <c r="H995" s="162"/>
      <c r="I995" s="161"/>
    </row>
    <row r="996" spans="1:9" x14ac:dyDescent="0.25">
      <c r="A996" s="163"/>
      <c r="B996" s="120"/>
      <c r="C996" s="227">
        <v>180</v>
      </c>
      <c r="D996" s="228">
        <f>C996</f>
        <v>180</v>
      </c>
      <c r="E996" s="162"/>
      <c r="F996" s="162"/>
      <c r="G996" s="162"/>
      <c r="H996" s="162"/>
      <c r="I996" s="161"/>
    </row>
    <row r="997" spans="1:9" x14ac:dyDescent="0.25">
      <c r="A997" s="164"/>
      <c r="B997" s="121"/>
      <c r="C997" s="122"/>
      <c r="D997" s="123">
        <f>ROUND(SUM(D996:D996),2)</f>
        <v>180</v>
      </c>
      <c r="E997" s="162"/>
      <c r="F997" s="162"/>
      <c r="G997" s="162"/>
      <c r="H997" s="162"/>
      <c r="I997" s="161"/>
    </row>
    <row r="998" spans="1:9" x14ac:dyDescent="0.25">
      <c r="A998" s="452"/>
      <c r="B998" s="453"/>
      <c r="C998" s="453"/>
      <c r="D998" s="162"/>
      <c r="E998" s="162"/>
      <c r="F998" s="162"/>
      <c r="G998" s="162"/>
      <c r="H998" s="162"/>
      <c r="I998" s="161"/>
    </row>
    <row r="999" spans="1:9" ht="12" customHeight="1" x14ac:dyDescent="0.25">
      <c r="A999" s="165"/>
      <c r="B999" s="162"/>
      <c r="C999" s="162"/>
      <c r="D999" s="458" t="str">
        <f>"TOTAL DA MEMÓRIA DE CÁLCULO: "&amp;TEXT(ROUND(SUM(D997),2),"0,00")</f>
        <v>TOTAL DA MEMÓRIA DE CÁLCULO: 180,00</v>
      </c>
      <c r="E999" s="458"/>
      <c r="F999" s="458"/>
      <c r="G999" s="458"/>
      <c r="H999" s="458"/>
      <c r="I999" s="161"/>
    </row>
    <row r="1000" spans="1:9" ht="20.100000000000001" customHeight="1" x14ac:dyDescent="0.25">
      <c r="A1000" s="452"/>
      <c r="B1000" s="453"/>
      <c r="C1000" s="453"/>
      <c r="D1000" s="453"/>
      <c r="E1000" s="162"/>
      <c r="F1000" s="162"/>
      <c r="G1000" s="162"/>
      <c r="H1000" s="162"/>
      <c r="I1000" s="161"/>
    </row>
    <row r="1001" spans="1:9" ht="9.9499999999999993" customHeight="1" x14ac:dyDescent="0.25">
      <c r="A1001" s="165"/>
      <c r="B1001" s="162"/>
      <c r="C1001" s="162"/>
      <c r="D1001" s="229"/>
      <c r="E1001" s="229"/>
      <c r="F1001" s="229"/>
      <c r="G1001" s="229"/>
      <c r="H1001" s="229"/>
      <c r="I1001" s="161"/>
    </row>
    <row r="1002" spans="1:9" x14ac:dyDescent="0.25">
      <c r="A1002" s="456" t="s">
        <v>795</v>
      </c>
      <c r="B1002" s="457"/>
      <c r="C1002" s="457"/>
      <c r="D1002" s="457"/>
      <c r="E1002" s="457"/>
      <c r="F1002" s="457"/>
      <c r="G1002" s="457"/>
      <c r="H1002" s="457"/>
      <c r="I1002" s="161"/>
    </row>
    <row r="1003" spans="1:9" x14ac:dyDescent="0.25">
      <c r="A1003" s="450"/>
      <c r="B1003" s="451"/>
      <c r="C1003" s="119" t="s">
        <v>54</v>
      </c>
      <c r="D1003" s="119" t="s">
        <v>984</v>
      </c>
      <c r="E1003" s="162"/>
      <c r="F1003" s="162"/>
      <c r="G1003" s="162"/>
      <c r="H1003" s="162"/>
      <c r="I1003" s="161"/>
    </row>
    <row r="1004" spans="1:9" x14ac:dyDescent="0.25">
      <c r="A1004" s="163"/>
      <c r="B1004" s="120"/>
      <c r="C1004" s="227">
        <v>190.5</v>
      </c>
      <c r="D1004" s="228">
        <f>C1004</f>
        <v>190.5</v>
      </c>
      <c r="E1004" s="162"/>
      <c r="F1004" s="162"/>
      <c r="G1004" s="162"/>
      <c r="H1004" s="162"/>
      <c r="I1004" s="161"/>
    </row>
    <row r="1005" spans="1:9" x14ac:dyDescent="0.25">
      <c r="A1005" s="164"/>
      <c r="B1005" s="121"/>
      <c r="C1005" s="122"/>
      <c r="D1005" s="123">
        <f>ROUND(SUM(D1004:D1004),2)</f>
        <v>190.5</v>
      </c>
      <c r="E1005" s="162"/>
      <c r="F1005" s="162"/>
      <c r="G1005" s="162"/>
      <c r="H1005" s="162"/>
      <c r="I1005" s="161"/>
    </row>
    <row r="1006" spans="1:9" x14ac:dyDescent="0.25">
      <c r="A1006" s="452"/>
      <c r="B1006" s="453"/>
      <c r="C1006" s="453"/>
      <c r="D1006" s="162"/>
      <c r="E1006" s="162"/>
      <c r="F1006" s="162"/>
      <c r="G1006" s="162"/>
      <c r="H1006" s="162"/>
      <c r="I1006" s="161"/>
    </row>
    <row r="1007" spans="1:9" ht="12" customHeight="1" x14ac:dyDescent="0.25">
      <c r="A1007" s="165"/>
      <c r="B1007" s="162"/>
      <c r="C1007" s="162"/>
      <c r="D1007" s="458" t="str">
        <f>"TOTAL DA MEMÓRIA DE CÁLCULO: "&amp;TEXT(ROUND(SUM(D1005),2),"0,00")</f>
        <v>TOTAL DA MEMÓRIA DE CÁLCULO: 190,50</v>
      </c>
      <c r="E1007" s="458"/>
      <c r="F1007" s="458"/>
      <c r="G1007" s="458"/>
      <c r="H1007" s="458"/>
      <c r="I1007" s="161"/>
    </row>
    <row r="1008" spans="1:9" ht="20.100000000000001" customHeight="1" x14ac:dyDescent="0.25">
      <c r="A1008" s="452"/>
      <c r="B1008" s="453"/>
      <c r="C1008" s="453"/>
      <c r="D1008" s="453"/>
      <c r="E1008" s="162"/>
      <c r="F1008" s="162"/>
      <c r="G1008" s="162"/>
      <c r="H1008" s="162"/>
      <c r="I1008" s="161"/>
    </row>
    <row r="1009" spans="1:9" ht="9.9499999999999993" customHeight="1" x14ac:dyDescent="0.25">
      <c r="A1009" s="165"/>
      <c r="B1009" s="162"/>
      <c r="C1009" s="162"/>
      <c r="D1009" s="229"/>
      <c r="E1009" s="229"/>
      <c r="F1009" s="229"/>
      <c r="G1009" s="229"/>
      <c r="H1009" s="229"/>
      <c r="I1009" s="161"/>
    </row>
    <row r="1010" spans="1:9" x14ac:dyDescent="0.25">
      <c r="A1010" s="456" t="s">
        <v>798</v>
      </c>
      <c r="B1010" s="457"/>
      <c r="C1010" s="457"/>
      <c r="D1010" s="457"/>
      <c r="E1010" s="457"/>
      <c r="F1010" s="457"/>
      <c r="G1010" s="457"/>
      <c r="H1010" s="457"/>
      <c r="I1010" s="161"/>
    </row>
    <row r="1011" spans="1:9" x14ac:dyDescent="0.25">
      <c r="A1011" s="450"/>
      <c r="B1011" s="451"/>
      <c r="C1011" s="119" t="s">
        <v>786</v>
      </c>
      <c r="D1011" s="119" t="s">
        <v>984</v>
      </c>
      <c r="E1011" s="162"/>
      <c r="F1011" s="162"/>
      <c r="G1011" s="162"/>
      <c r="H1011" s="162"/>
      <c r="I1011" s="161"/>
    </row>
    <row r="1012" spans="1:9" x14ac:dyDescent="0.25">
      <c r="A1012" s="163"/>
      <c r="B1012" s="120"/>
      <c r="C1012" s="227">
        <v>495</v>
      </c>
      <c r="D1012" s="228">
        <f>C1012</f>
        <v>495</v>
      </c>
      <c r="E1012" s="162"/>
      <c r="F1012" s="162"/>
      <c r="G1012" s="162"/>
      <c r="H1012" s="162"/>
      <c r="I1012" s="161"/>
    </row>
    <row r="1013" spans="1:9" x14ac:dyDescent="0.25">
      <c r="A1013" s="164"/>
      <c r="B1013" s="121"/>
      <c r="C1013" s="122"/>
      <c r="D1013" s="123">
        <f>ROUND(SUM(D1012:D1012),2)</f>
        <v>495</v>
      </c>
      <c r="E1013" s="162"/>
      <c r="F1013" s="162"/>
      <c r="G1013" s="162"/>
      <c r="H1013" s="162"/>
      <c r="I1013" s="161"/>
    </row>
    <row r="1014" spans="1:9" x14ac:dyDescent="0.25">
      <c r="A1014" s="452"/>
      <c r="B1014" s="453"/>
      <c r="C1014" s="453"/>
      <c r="D1014" s="162"/>
      <c r="E1014" s="162"/>
      <c r="F1014" s="162"/>
      <c r="G1014" s="162"/>
      <c r="H1014" s="162"/>
      <c r="I1014" s="161"/>
    </row>
    <row r="1015" spans="1:9" ht="12" customHeight="1" x14ac:dyDescent="0.25">
      <c r="A1015" s="165"/>
      <c r="B1015" s="162"/>
      <c r="C1015" s="162"/>
      <c r="D1015" s="458" t="str">
        <f>"TOTAL DA MEMÓRIA DE CÁLCULO: "&amp;TEXT(ROUND(SUM(D1013),2),"0,00")</f>
        <v>TOTAL DA MEMÓRIA DE CÁLCULO: 495,00</v>
      </c>
      <c r="E1015" s="458"/>
      <c r="F1015" s="458"/>
      <c r="G1015" s="458"/>
      <c r="H1015" s="458"/>
      <c r="I1015" s="161"/>
    </row>
    <row r="1016" spans="1:9" ht="20.100000000000001" customHeight="1" x14ac:dyDescent="0.25">
      <c r="A1016" s="452"/>
      <c r="B1016" s="453"/>
      <c r="C1016" s="453"/>
      <c r="D1016" s="453"/>
      <c r="E1016" s="162"/>
      <c r="F1016" s="162"/>
      <c r="G1016" s="162"/>
      <c r="H1016" s="162"/>
      <c r="I1016" s="161"/>
    </row>
    <row r="1017" spans="1:9" ht="9.9499999999999993" customHeight="1" x14ac:dyDescent="0.25">
      <c r="A1017" s="165"/>
      <c r="B1017" s="162"/>
      <c r="C1017" s="162"/>
      <c r="D1017" s="229"/>
      <c r="E1017" s="229"/>
      <c r="F1017" s="229"/>
      <c r="G1017" s="229"/>
      <c r="H1017" s="229"/>
      <c r="I1017" s="161"/>
    </row>
    <row r="1018" spans="1:9" x14ac:dyDescent="0.25">
      <c r="A1018" s="456" t="s">
        <v>801</v>
      </c>
      <c r="B1018" s="457"/>
      <c r="C1018" s="457"/>
      <c r="D1018" s="457"/>
      <c r="E1018" s="457"/>
      <c r="F1018" s="457"/>
      <c r="G1018" s="457"/>
      <c r="H1018" s="457"/>
      <c r="I1018" s="161"/>
    </row>
    <row r="1019" spans="1:9" x14ac:dyDescent="0.25">
      <c r="A1019" s="450"/>
      <c r="B1019" s="451"/>
      <c r="C1019" s="119" t="s">
        <v>89</v>
      </c>
      <c r="D1019" s="119" t="s">
        <v>984</v>
      </c>
      <c r="E1019" s="162"/>
      <c r="F1019" s="162"/>
      <c r="G1019" s="162"/>
      <c r="H1019" s="162"/>
      <c r="I1019" s="161"/>
    </row>
    <row r="1020" spans="1:9" x14ac:dyDescent="0.25">
      <c r="A1020" s="163"/>
      <c r="B1020" s="120"/>
      <c r="C1020" s="227">
        <v>17</v>
      </c>
      <c r="D1020" s="228">
        <f>C1020</f>
        <v>17</v>
      </c>
      <c r="E1020" s="162"/>
      <c r="F1020" s="162"/>
      <c r="G1020" s="162"/>
      <c r="H1020" s="162"/>
      <c r="I1020" s="161"/>
    </row>
    <row r="1021" spans="1:9" x14ac:dyDescent="0.25">
      <c r="A1021" s="164"/>
      <c r="B1021" s="121"/>
      <c r="C1021" s="122"/>
      <c r="D1021" s="123">
        <f>ROUND(SUM(D1020:D1020),2)</f>
        <v>17</v>
      </c>
      <c r="E1021" s="162"/>
      <c r="F1021" s="162"/>
      <c r="G1021" s="162"/>
      <c r="H1021" s="162"/>
      <c r="I1021" s="161"/>
    </row>
    <row r="1022" spans="1:9" x14ac:dyDescent="0.25">
      <c r="A1022" s="452"/>
      <c r="B1022" s="453"/>
      <c r="C1022" s="453"/>
      <c r="D1022" s="162"/>
      <c r="E1022" s="162"/>
      <c r="F1022" s="162"/>
      <c r="G1022" s="162"/>
      <c r="H1022" s="162"/>
      <c r="I1022" s="161"/>
    </row>
    <row r="1023" spans="1:9" ht="12" customHeight="1" x14ac:dyDescent="0.25">
      <c r="A1023" s="165"/>
      <c r="B1023" s="162"/>
      <c r="C1023" s="162"/>
      <c r="D1023" s="458" t="str">
        <f>"TOTAL DA MEMÓRIA DE CÁLCULO: "&amp;TEXT(ROUND(SUM(D1021),2),"0,00")</f>
        <v>TOTAL DA MEMÓRIA DE CÁLCULO: 17,00</v>
      </c>
      <c r="E1023" s="458"/>
      <c r="F1023" s="458"/>
      <c r="G1023" s="458"/>
      <c r="H1023" s="458"/>
      <c r="I1023" s="161"/>
    </row>
    <row r="1024" spans="1:9" ht="9.9499999999999993" customHeight="1" x14ac:dyDescent="0.25">
      <c r="A1024" s="165"/>
      <c r="B1024" s="162"/>
      <c r="C1024" s="162"/>
      <c r="D1024" s="229"/>
      <c r="E1024" s="229"/>
      <c r="F1024" s="229"/>
      <c r="G1024" s="229"/>
      <c r="H1024" s="229"/>
      <c r="I1024" s="161"/>
    </row>
    <row r="1025" spans="1:9" ht="15" customHeight="1" x14ac:dyDescent="0.25">
      <c r="A1025" s="456" t="s">
        <v>4401</v>
      </c>
      <c r="B1025" s="457"/>
      <c r="C1025" s="457"/>
      <c r="D1025" s="457"/>
      <c r="E1025" s="457"/>
      <c r="F1025" s="457"/>
      <c r="G1025" s="457"/>
      <c r="H1025" s="457"/>
      <c r="I1025" s="161"/>
    </row>
    <row r="1026" spans="1:9" ht="12.95" customHeight="1" x14ac:dyDescent="0.25">
      <c r="A1026" s="450"/>
      <c r="B1026" s="451"/>
      <c r="C1026" s="119"/>
      <c r="D1026" s="119" t="s">
        <v>984</v>
      </c>
      <c r="E1026" s="162"/>
      <c r="F1026" s="162"/>
      <c r="G1026" s="162"/>
      <c r="H1026" s="162"/>
      <c r="I1026" s="161"/>
    </row>
    <row r="1027" spans="1:9" ht="6" customHeight="1" x14ac:dyDescent="0.25">
      <c r="A1027" s="163" t="s">
        <v>319</v>
      </c>
      <c r="B1027" s="120" t="s">
        <v>1283</v>
      </c>
      <c r="C1027" s="459">
        <v>224.05</v>
      </c>
      <c r="D1027" s="460">
        <f>ROUND(224.05,2)</f>
        <v>224.05</v>
      </c>
      <c r="E1027" s="162"/>
      <c r="F1027" s="162"/>
      <c r="G1027" s="162"/>
      <c r="H1027" s="162"/>
      <c r="I1027" s="161"/>
    </row>
    <row r="1028" spans="1:9" ht="15" customHeight="1" x14ac:dyDescent="0.25">
      <c r="A1028" s="166"/>
      <c r="B1028" s="124"/>
      <c r="C1028" s="459"/>
      <c r="D1028" s="460"/>
      <c r="E1028" s="162"/>
      <c r="F1028" s="162"/>
      <c r="G1028" s="162"/>
      <c r="H1028" s="162"/>
      <c r="I1028" s="161"/>
    </row>
    <row r="1029" spans="1:9" ht="9.9499999999999993" customHeight="1" x14ac:dyDescent="0.25">
      <c r="A1029" s="164"/>
      <c r="B1029" s="121"/>
      <c r="C1029" s="122"/>
      <c r="D1029" s="123">
        <f>ROUND(SUM(D1027:D1028),2)</f>
        <v>224.05</v>
      </c>
      <c r="E1029" s="162"/>
      <c r="F1029" s="162"/>
      <c r="G1029" s="162"/>
      <c r="H1029" s="162"/>
      <c r="I1029" s="161"/>
    </row>
    <row r="1030" spans="1:9" ht="12" customHeight="1" x14ac:dyDescent="0.25">
      <c r="A1030" s="452"/>
      <c r="B1030" s="453"/>
      <c r="C1030" s="453"/>
      <c r="D1030" s="162"/>
      <c r="E1030" s="162"/>
      <c r="F1030" s="162"/>
      <c r="G1030" s="162"/>
      <c r="H1030" s="162"/>
      <c r="I1030" s="161"/>
    </row>
    <row r="1031" spans="1:9" ht="12" customHeight="1" x14ac:dyDescent="0.25">
      <c r="A1031" s="461" t="s">
        <v>4299</v>
      </c>
      <c r="B1031" s="462"/>
      <c r="C1031" s="462"/>
      <c r="D1031" s="458" t="str">
        <f>"TOTAL DA MEMÓRIA DE CÁLCULO: "&amp;TEXT(ROUND(SUM(D1029),2),"0,00")</f>
        <v>TOTAL DA MEMÓRIA DE CÁLCULO: 224,05</v>
      </c>
      <c r="E1031" s="458"/>
      <c r="F1031" s="458"/>
      <c r="G1031" s="458"/>
      <c r="H1031" s="458"/>
      <c r="I1031" s="161"/>
    </row>
    <row r="1032" spans="1:9" ht="9.9499999999999993" customHeight="1" x14ac:dyDescent="0.25">
      <c r="A1032" s="461"/>
      <c r="B1032" s="462"/>
      <c r="C1032" s="462"/>
      <c r="D1032" s="162"/>
      <c r="E1032" s="162"/>
      <c r="F1032" s="162"/>
      <c r="G1032" s="162"/>
      <c r="H1032" s="162"/>
      <c r="I1032" s="161"/>
    </row>
    <row r="1033" spans="1:9" ht="30.95" customHeight="1" x14ac:dyDescent="0.25">
      <c r="A1033" s="452"/>
      <c r="B1033" s="453"/>
      <c r="C1033" s="453"/>
      <c r="D1033" s="453"/>
      <c r="E1033" s="162"/>
      <c r="F1033" s="162"/>
      <c r="G1033" s="162"/>
      <c r="H1033" s="162"/>
      <c r="I1033" s="161"/>
    </row>
    <row r="1034" spans="1:9" ht="15" customHeight="1" x14ac:dyDescent="0.25">
      <c r="A1034" s="456" t="s">
        <v>4400</v>
      </c>
      <c r="B1034" s="457"/>
      <c r="C1034" s="457"/>
      <c r="D1034" s="457"/>
      <c r="E1034" s="457"/>
      <c r="F1034" s="457"/>
      <c r="G1034" s="457"/>
      <c r="H1034" s="457"/>
      <c r="I1034" s="161"/>
    </row>
    <row r="1035" spans="1:9" ht="12.95" customHeight="1" x14ac:dyDescent="0.25">
      <c r="A1035" s="450"/>
      <c r="B1035" s="451"/>
      <c r="C1035" s="119"/>
      <c r="D1035" s="119" t="s">
        <v>984</v>
      </c>
      <c r="E1035" s="162"/>
      <c r="F1035" s="162"/>
      <c r="G1035" s="162"/>
      <c r="H1035" s="162"/>
      <c r="I1035" s="161"/>
    </row>
    <row r="1036" spans="1:9" ht="6" customHeight="1" x14ac:dyDescent="0.25">
      <c r="A1036" s="163" t="s">
        <v>319</v>
      </c>
      <c r="B1036" s="120" t="s">
        <v>1284</v>
      </c>
      <c r="C1036" s="459">
        <v>320.07</v>
      </c>
      <c r="D1036" s="460">
        <f>ROUND(320.07,2)</f>
        <v>320.07</v>
      </c>
      <c r="E1036" s="162"/>
      <c r="F1036" s="162"/>
      <c r="G1036" s="162"/>
      <c r="H1036" s="162"/>
      <c r="I1036" s="161"/>
    </row>
    <row r="1037" spans="1:9" ht="15" customHeight="1" x14ac:dyDescent="0.25">
      <c r="A1037" s="166"/>
      <c r="B1037" s="124"/>
      <c r="C1037" s="459"/>
      <c r="D1037" s="460"/>
      <c r="E1037" s="162"/>
      <c r="F1037" s="162"/>
      <c r="G1037" s="162"/>
      <c r="H1037" s="162"/>
      <c r="I1037" s="161"/>
    </row>
    <row r="1038" spans="1:9" ht="9.9499999999999993" customHeight="1" x14ac:dyDescent="0.25">
      <c r="A1038" s="164"/>
      <c r="B1038" s="121"/>
      <c r="C1038" s="122"/>
      <c r="D1038" s="123">
        <f>ROUND(SUM(D1036:D1037),2)</f>
        <v>320.07</v>
      </c>
      <c r="E1038" s="162"/>
      <c r="F1038" s="162"/>
      <c r="G1038" s="162"/>
      <c r="H1038" s="162"/>
      <c r="I1038" s="161"/>
    </row>
    <row r="1039" spans="1:9" ht="12" customHeight="1" x14ac:dyDescent="0.25">
      <c r="A1039" s="452"/>
      <c r="B1039" s="453"/>
      <c r="C1039" s="453"/>
      <c r="D1039" s="162"/>
      <c r="E1039" s="162"/>
      <c r="F1039" s="162"/>
      <c r="G1039" s="162"/>
      <c r="H1039" s="162"/>
      <c r="I1039" s="161"/>
    </row>
    <row r="1040" spans="1:9" ht="12" customHeight="1" x14ac:dyDescent="0.25">
      <c r="A1040" s="461" t="s">
        <v>4299</v>
      </c>
      <c r="B1040" s="462"/>
      <c r="C1040" s="462"/>
      <c r="D1040" s="458" t="str">
        <f>"TOTAL DA MEMÓRIA DE CÁLCULO: "&amp;TEXT(ROUND(SUM(D1038),2),"0,00")</f>
        <v>TOTAL DA MEMÓRIA DE CÁLCULO: 320,07</v>
      </c>
      <c r="E1040" s="458"/>
      <c r="F1040" s="458"/>
      <c r="G1040" s="458"/>
      <c r="H1040" s="458"/>
      <c r="I1040" s="161"/>
    </row>
    <row r="1041" spans="1:9" ht="9.9499999999999993" customHeight="1" x14ac:dyDescent="0.25">
      <c r="A1041" s="461"/>
      <c r="B1041" s="462"/>
      <c r="C1041" s="462"/>
      <c r="D1041" s="162"/>
      <c r="E1041" s="162"/>
      <c r="F1041" s="162"/>
      <c r="G1041" s="162"/>
      <c r="H1041" s="162"/>
      <c r="I1041" s="161"/>
    </row>
    <row r="1042" spans="1:9" ht="30.95" customHeight="1" x14ac:dyDescent="0.25">
      <c r="A1042" s="452"/>
      <c r="B1042" s="453"/>
      <c r="C1042" s="453"/>
      <c r="D1042" s="453"/>
      <c r="E1042" s="162"/>
      <c r="F1042" s="162"/>
      <c r="G1042" s="162"/>
      <c r="H1042" s="162"/>
      <c r="I1042" s="161"/>
    </row>
    <row r="1043" spans="1:9" ht="20.100000000000001" customHeight="1" x14ac:dyDescent="0.25">
      <c r="A1043" s="452"/>
      <c r="B1043" s="453"/>
      <c r="C1043" s="453"/>
      <c r="D1043" s="453"/>
      <c r="E1043" s="162"/>
      <c r="F1043" s="162"/>
      <c r="G1043" s="162"/>
      <c r="H1043" s="162"/>
      <c r="I1043" s="161"/>
    </row>
    <row r="1044" spans="1:9" ht="15" customHeight="1" x14ac:dyDescent="0.25">
      <c r="A1044" s="456" t="s">
        <v>4399</v>
      </c>
      <c r="B1044" s="457"/>
      <c r="C1044" s="457"/>
      <c r="D1044" s="457"/>
      <c r="E1044" s="457"/>
      <c r="F1044" s="457"/>
      <c r="G1044" s="457"/>
      <c r="H1044" s="457"/>
      <c r="I1044" s="161"/>
    </row>
    <row r="1045" spans="1:9" ht="12.95" customHeight="1" x14ac:dyDescent="0.25">
      <c r="A1045" s="450"/>
      <c r="B1045" s="451"/>
      <c r="C1045" s="119"/>
      <c r="D1045" s="119" t="s">
        <v>984</v>
      </c>
      <c r="E1045" s="162"/>
      <c r="F1045" s="162"/>
      <c r="G1045" s="162"/>
      <c r="H1045" s="162"/>
      <c r="I1045" s="161"/>
    </row>
    <row r="1046" spans="1:9" ht="6" customHeight="1" x14ac:dyDescent="0.25">
      <c r="A1046" s="163" t="s">
        <v>319</v>
      </c>
      <c r="B1046" s="120" t="s">
        <v>1285</v>
      </c>
      <c r="C1046" s="459">
        <v>111.02</v>
      </c>
      <c r="D1046" s="460">
        <f>ROUND(111.02,2)</f>
        <v>111.02</v>
      </c>
      <c r="E1046" s="162"/>
      <c r="F1046" s="162"/>
      <c r="G1046" s="162"/>
      <c r="H1046" s="162"/>
      <c r="I1046" s="161"/>
    </row>
    <row r="1047" spans="1:9" ht="15" customHeight="1" x14ac:dyDescent="0.25">
      <c r="A1047" s="166"/>
      <c r="B1047" s="124"/>
      <c r="C1047" s="459"/>
      <c r="D1047" s="460"/>
      <c r="E1047" s="162"/>
      <c r="F1047" s="162"/>
      <c r="G1047" s="162"/>
      <c r="H1047" s="162"/>
      <c r="I1047" s="161"/>
    </row>
    <row r="1048" spans="1:9" ht="9.9499999999999993" customHeight="1" x14ac:dyDescent="0.25">
      <c r="A1048" s="164"/>
      <c r="B1048" s="121"/>
      <c r="C1048" s="122"/>
      <c r="D1048" s="123">
        <f>ROUND(SUM(D1046:D1047),2)</f>
        <v>111.02</v>
      </c>
      <c r="E1048" s="162"/>
      <c r="F1048" s="162"/>
      <c r="G1048" s="162"/>
      <c r="H1048" s="162"/>
      <c r="I1048" s="161"/>
    </row>
    <row r="1049" spans="1:9" ht="12" customHeight="1" x14ac:dyDescent="0.25">
      <c r="A1049" s="452"/>
      <c r="B1049" s="453"/>
      <c r="C1049" s="453"/>
      <c r="D1049" s="162"/>
      <c r="E1049" s="162"/>
      <c r="F1049" s="162"/>
      <c r="G1049" s="162"/>
      <c r="H1049" s="162"/>
      <c r="I1049" s="161"/>
    </row>
    <row r="1050" spans="1:9" ht="12" customHeight="1" x14ac:dyDescent="0.25">
      <c r="A1050" s="461" t="s">
        <v>4299</v>
      </c>
      <c r="B1050" s="462"/>
      <c r="C1050" s="462"/>
      <c r="D1050" s="458" t="str">
        <f>"TOTAL DA MEMÓRIA DE CÁLCULO: "&amp;TEXT(ROUND(SUM(D1048),2),"0,00")</f>
        <v>TOTAL DA MEMÓRIA DE CÁLCULO: 111,02</v>
      </c>
      <c r="E1050" s="458"/>
      <c r="F1050" s="458"/>
      <c r="G1050" s="458"/>
      <c r="H1050" s="458"/>
      <c r="I1050" s="161"/>
    </row>
    <row r="1051" spans="1:9" ht="9.9499999999999993" customHeight="1" x14ac:dyDescent="0.25">
      <c r="A1051" s="461"/>
      <c r="B1051" s="462"/>
      <c r="C1051" s="462"/>
      <c r="D1051" s="162"/>
      <c r="E1051" s="162"/>
      <c r="F1051" s="162"/>
      <c r="G1051" s="162"/>
      <c r="H1051" s="162"/>
      <c r="I1051" s="161"/>
    </row>
    <row r="1052" spans="1:9" ht="30.95" customHeight="1" x14ac:dyDescent="0.25">
      <c r="A1052" s="452"/>
      <c r="B1052" s="453"/>
      <c r="C1052" s="453"/>
      <c r="D1052" s="453"/>
      <c r="E1052" s="162"/>
      <c r="F1052" s="162"/>
      <c r="G1052" s="162"/>
      <c r="H1052" s="162"/>
      <c r="I1052" s="161"/>
    </row>
    <row r="1053" spans="1:9" ht="15" customHeight="1" x14ac:dyDescent="0.25">
      <c r="A1053" s="456" t="s">
        <v>4398</v>
      </c>
      <c r="B1053" s="457"/>
      <c r="C1053" s="457"/>
      <c r="D1053" s="457"/>
      <c r="E1053" s="457"/>
      <c r="F1053" s="457"/>
      <c r="G1053" s="457"/>
      <c r="H1053" s="457"/>
      <c r="I1053" s="161"/>
    </row>
    <row r="1054" spans="1:9" ht="18.95" customHeight="1" x14ac:dyDescent="0.25">
      <c r="A1054" s="450"/>
      <c r="B1054" s="451"/>
      <c r="C1054" s="119"/>
      <c r="D1054" s="119" t="s">
        <v>984</v>
      </c>
      <c r="E1054" s="162"/>
      <c r="F1054" s="162"/>
      <c r="G1054" s="162"/>
      <c r="H1054" s="162"/>
      <c r="I1054" s="161"/>
    </row>
    <row r="1055" spans="1:9" ht="15" customHeight="1" x14ac:dyDescent="0.25">
      <c r="A1055" s="163" t="s">
        <v>1286</v>
      </c>
      <c r="B1055" s="120" t="s">
        <v>1287</v>
      </c>
      <c r="C1055" s="227">
        <v>12.8</v>
      </c>
      <c r="D1055" s="228">
        <f>ROUND(12.8,2)</f>
        <v>12.8</v>
      </c>
      <c r="E1055" s="162"/>
      <c r="F1055" s="162"/>
      <c r="G1055" s="162"/>
      <c r="H1055" s="162"/>
      <c r="I1055" s="161"/>
    </row>
    <row r="1056" spans="1:9" ht="9.9499999999999993" customHeight="1" x14ac:dyDescent="0.25">
      <c r="A1056" s="164"/>
      <c r="B1056" s="121"/>
      <c r="C1056" s="122"/>
      <c r="D1056" s="123">
        <f>ROUND(SUM(D1055:D1055),2)</f>
        <v>12.8</v>
      </c>
      <c r="E1056" s="162"/>
      <c r="F1056" s="162"/>
      <c r="G1056" s="162"/>
      <c r="H1056" s="162"/>
      <c r="I1056" s="161"/>
    </row>
    <row r="1057" spans="1:9" ht="12" customHeight="1" x14ac:dyDescent="0.25">
      <c r="A1057" s="452"/>
      <c r="B1057" s="453"/>
      <c r="C1057" s="453"/>
      <c r="D1057" s="162"/>
      <c r="E1057" s="162"/>
      <c r="F1057" s="162"/>
      <c r="G1057" s="162"/>
      <c r="H1057" s="162"/>
      <c r="I1057" s="161"/>
    </row>
    <row r="1058" spans="1:9" ht="12" customHeight="1" x14ac:dyDescent="0.25">
      <c r="A1058" s="461" t="s">
        <v>4299</v>
      </c>
      <c r="B1058" s="462"/>
      <c r="C1058" s="462"/>
      <c r="D1058" s="458" t="str">
        <f>"TOTAL DA MEMÓRIA DE CÁLCULO: "&amp;TEXT(ROUND(SUM(D1056),2),"0,00")</f>
        <v>TOTAL DA MEMÓRIA DE CÁLCULO: 12,80</v>
      </c>
      <c r="E1058" s="458"/>
      <c r="F1058" s="458"/>
      <c r="G1058" s="458"/>
      <c r="H1058" s="458"/>
      <c r="I1058" s="161"/>
    </row>
    <row r="1059" spans="1:9" ht="9.9499999999999993" customHeight="1" x14ac:dyDescent="0.25">
      <c r="A1059" s="461"/>
      <c r="B1059" s="462"/>
      <c r="C1059" s="462"/>
      <c r="D1059" s="162"/>
      <c r="E1059" s="162"/>
      <c r="F1059" s="162"/>
      <c r="G1059" s="162"/>
      <c r="H1059" s="162"/>
      <c r="I1059" s="161"/>
    </row>
    <row r="1060" spans="1:9" ht="42.95" customHeight="1" x14ac:dyDescent="0.25">
      <c r="A1060" s="452"/>
      <c r="B1060" s="453"/>
      <c r="C1060" s="453"/>
      <c r="D1060" s="453"/>
      <c r="E1060" s="162"/>
      <c r="F1060" s="162"/>
      <c r="G1060" s="162"/>
      <c r="H1060" s="162"/>
      <c r="I1060" s="161"/>
    </row>
    <row r="1061" spans="1:9" x14ac:dyDescent="0.25">
      <c r="A1061" s="456" t="s">
        <v>4397</v>
      </c>
      <c r="B1061" s="457"/>
      <c r="C1061" s="457"/>
      <c r="D1061" s="457"/>
      <c r="E1061" s="457"/>
      <c r="F1061" s="457"/>
      <c r="G1061" s="457"/>
      <c r="H1061" s="457"/>
      <c r="I1061" s="161"/>
    </row>
    <row r="1062" spans="1:9" ht="12.95" customHeight="1" x14ac:dyDescent="0.25">
      <c r="A1062" s="450"/>
      <c r="B1062" s="451"/>
      <c r="C1062" s="119"/>
      <c r="D1062" s="119" t="s">
        <v>984</v>
      </c>
      <c r="E1062" s="162"/>
      <c r="F1062" s="162"/>
      <c r="G1062" s="162"/>
      <c r="H1062" s="162"/>
      <c r="I1062" s="161"/>
    </row>
    <row r="1063" spans="1:9" ht="20.25" customHeight="1" x14ac:dyDescent="0.25">
      <c r="A1063" s="163" t="s">
        <v>319</v>
      </c>
      <c r="B1063" s="120" t="s">
        <v>1288</v>
      </c>
      <c r="C1063" s="459">
        <v>123.82</v>
      </c>
      <c r="D1063" s="460">
        <f>ROUND(123.82,2)</f>
        <v>123.82</v>
      </c>
      <c r="E1063" s="162"/>
      <c r="F1063" s="162"/>
      <c r="G1063" s="162"/>
      <c r="H1063" s="162"/>
      <c r="I1063" s="161"/>
    </row>
    <row r="1064" spans="1:9" ht="15" customHeight="1" x14ac:dyDescent="0.25">
      <c r="A1064" s="166"/>
      <c r="B1064" s="124"/>
      <c r="C1064" s="459"/>
      <c r="D1064" s="460"/>
      <c r="E1064" s="162"/>
      <c r="F1064" s="162"/>
      <c r="G1064" s="162"/>
      <c r="H1064" s="162"/>
      <c r="I1064" s="161"/>
    </row>
    <row r="1065" spans="1:9" ht="9.9499999999999993" customHeight="1" x14ac:dyDescent="0.25">
      <c r="A1065" s="164"/>
      <c r="B1065" s="121"/>
      <c r="C1065" s="122"/>
      <c r="D1065" s="123">
        <f>ROUND(SUM(D1063:D1064),2)</f>
        <v>123.82</v>
      </c>
      <c r="E1065" s="162"/>
      <c r="F1065" s="162"/>
      <c r="G1065" s="162"/>
      <c r="H1065" s="162"/>
      <c r="I1065" s="161"/>
    </row>
    <row r="1066" spans="1:9" ht="12" customHeight="1" x14ac:dyDescent="0.25">
      <c r="A1066" s="452"/>
      <c r="B1066" s="453"/>
      <c r="C1066" s="453"/>
      <c r="D1066" s="162"/>
      <c r="E1066" s="162"/>
      <c r="F1066" s="162"/>
      <c r="G1066" s="162"/>
      <c r="H1066" s="162"/>
      <c r="I1066" s="161"/>
    </row>
    <row r="1067" spans="1:9" ht="12" customHeight="1" x14ac:dyDescent="0.25">
      <c r="A1067" s="461" t="s">
        <v>4299</v>
      </c>
      <c r="B1067" s="462"/>
      <c r="C1067" s="462"/>
      <c r="D1067" s="458" t="str">
        <f>"TOTAL DA MEMÓRIA DE CÁLCULO: "&amp;TEXT(ROUND(SUM(D1065),2),"0,00")</f>
        <v>TOTAL DA MEMÓRIA DE CÁLCULO: 123,82</v>
      </c>
      <c r="E1067" s="458"/>
      <c r="F1067" s="458"/>
      <c r="G1067" s="458"/>
      <c r="H1067" s="458"/>
      <c r="I1067" s="161"/>
    </row>
    <row r="1068" spans="1:9" ht="9.9499999999999993" customHeight="1" x14ac:dyDescent="0.25">
      <c r="A1068" s="461"/>
      <c r="B1068" s="462"/>
      <c r="C1068" s="462"/>
      <c r="D1068" s="162"/>
      <c r="E1068" s="162"/>
      <c r="F1068" s="162"/>
      <c r="G1068" s="162"/>
      <c r="H1068" s="162"/>
      <c r="I1068" s="161"/>
    </row>
    <row r="1069" spans="1:9" ht="42.95" customHeight="1" x14ac:dyDescent="0.25">
      <c r="A1069" s="452"/>
      <c r="B1069" s="453"/>
      <c r="C1069" s="453"/>
      <c r="D1069" s="453"/>
      <c r="E1069" s="162"/>
      <c r="F1069" s="162"/>
      <c r="G1069" s="162"/>
      <c r="H1069" s="162"/>
      <c r="I1069" s="161"/>
    </row>
    <row r="1070" spans="1:9" ht="15" customHeight="1" x14ac:dyDescent="0.25">
      <c r="A1070" s="456" t="s">
        <v>4396</v>
      </c>
      <c r="B1070" s="457"/>
      <c r="C1070" s="457"/>
      <c r="D1070" s="457"/>
      <c r="E1070" s="457"/>
      <c r="F1070" s="457"/>
      <c r="G1070" s="457"/>
      <c r="H1070" s="457"/>
      <c r="I1070" s="161"/>
    </row>
    <row r="1071" spans="1:9" ht="12.95" customHeight="1" x14ac:dyDescent="0.25">
      <c r="A1071" s="450"/>
      <c r="B1071" s="451"/>
      <c r="C1071" s="119"/>
      <c r="D1071" s="119" t="s">
        <v>984</v>
      </c>
      <c r="E1071" s="162"/>
      <c r="F1071" s="162"/>
      <c r="G1071" s="162"/>
      <c r="H1071" s="162"/>
      <c r="I1071" s="161"/>
    </row>
    <row r="1072" spans="1:9" ht="15" customHeight="1" x14ac:dyDescent="0.25">
      <c r="A1072" s="163" t="s">
        <v>319</v>
      </c>
      <c r="B1072" s="120" t="s">
        <v>1289</v>
      </c>
      <c r="C1072" s="227">
        <v>27.18</v>
      </c>
      <c r="D1072" s="228">
        <f>ROUND(27.18,2)</f>
        <v>27.18</v>
      </c>
      <c r="E1072" s="162"/>
      <c r="F1072" s="162"/>
      <c r="G1072" s="162"/>
      <c r="H1072" s="162"/>
      <c r="I1072" s="161"/>
    </row>
    <row r="1073" spans="1:9" ht="9.9499999999999993" customHeight="1" x14ac:dyDescent="0.25">
      <c r="A1073" s="164"/>
      <c r="B1073" s="121"/>
      <c r="C1073" s="122"/>
      <c r="D1073" s="123">
        <f>ROUND(SUM(D1072:D1072),2)</f>
        <v>27.18</v>
      </c>
      <c r="E1073" s="162"/>
      <c r="F1073" s="162"/>
      <c r="G1073" s="162"/>
      <c r="H1073" s="162"/>
      <c r="I1073" s="161"/>
    </row>
    <row r="1074" spans="1:9" ht="12" customHeight="1" x14ac:dyDescent="0.25">
      <c r="A1074" s="452"/>
      <c r="B1074" s="453"/>
      <c r="C1074" s="453"/>
      <c r="D1074" s="162"/>
      <c r="E1074" s="162"/>
      <c r="F1074" s="162"/>
      <c r="G1074" s="162"/>
      <c r="H1074" s="162"/>
      <c r="I1074" s="161"/>
    </row>
    <row r="1075" spans="1:9" ht="12" customHeight="1" x14ac:dyDescent="0.25">
      <c r="A1075" s="461" t="s">
        <v>4299</v>
      </c>
      <c r="B1075" s="462"/>
      <c r="C1075" s="462"/>
      <c r="D1075" s="458" t="str">
        <f>"TOTAL DA MEMÓRIA DE CÁLCULO: "&amp;TEXT(ROUND(SUM(D1073),2),"0,00")</f>
        <v>TOTAL DA MEMÓRIA DE CÁLCULO: 27,18</v>
      </c>
      <c r="E1075" s="458"/>
      <c r="F1075" s="458"/>
      <c r="G1075" s="458"/>
      <c r="H1075" s="458"/>
      <c r="I1075" s="161"/>
    </row>
    <row r="1076" spans="1:9" ht="9.9499999999999993" customHeight="1" x14ac:dyDescent="0.25">
      <c r="A1076" s="461"/>
      <c r="B1076" s="462"/>
      <c r="C1076" s="462"/>
      <c r="D1076" s="162"/>
      <c r="E1076" s="162"/>
      <c r="F1076" s="162"/>
      <c r="G1076" s="162"/>
      <c r="H1076" s="162"/>
      <c r="I1076" s="161"/>
    </row>
    <row r="1077" spans="1:9" ht="30.95" customHeight="1" x14ac:dyDescent="0.25">
      <c r="A1077" s="452"/>
      <c r="B1077" s="453"/>
      <c r="C1077" s="453"/>
      <c r="D1077" s="453"/>
      <c r="E1077" s="162"/>
      <c r="F1077" s="162"/>
      <c r="G1077" s="162"/>
      <c r="H1077" s="162"/>
      <c r="I1077" s="161"/>
    </row>
    <row r="1078" spans="1:9" ht="15" customHeight="1" x14ac:dyDescent="0.25">
      <c r="A1078" s="456" t="s">
        <v>4395</v>
      </c>
      <c r="B1078" s="457"/>
      <c r="C1078" s="457"/>
      <c r="D1078" s="457"/>
      <c r="E1078" s="457"/>
      <c r="F1078" s="457"/>
      <c r="G1078" s="457"/>
      <c r="H1078" s="457"/>
      <c r="I1078" s="161"/>
    </row>
    <row r="1079" spans="1:9" ht="12.95" customHeight="1" x14ac:dyDescent="0.25">
      <c r="A1079" s="450" t="s">
        <v>319</v>
      </c>
      <c r="B1079" s="451"/>
      <c r="C1079" s="119" t="s">
        <v>1059</v>
      </c>
      <c r="D1079" s="119" t="s">
        <v>1006</v>
      </c>
      <c r="E1079" s="119" t="s">
        <v>984</v>
      </c>
      <c r="F1079" s="162"/>
      <c r="G1079" s="162"/>
      <c r="H1079" s="162"/>
      <c r="I1079" s="161"/>
    </row>
    <row r="1080" spans="1:9" ht="15" customHeight="1" x14ac:dyDescent="0.25">
      <c r="A1080" s="163" t="s">
        <v>1290</v>
      </c>
      <c r="B1080" s="120" t="s">
        <v>1099</v>
      </c>
      <c r="C1080" s="227">
        <v>14.4</v>
      </c>
      <c r="D1080" s="227">
        <v>1</v>
      </c>
      <c r="E1080" s="228">
        <f>ROUND(C1080*D1080,2)</f>
        <v>14.4</v>
      </c>
      <c r="F1080" s="162"/>
      <c r="G1080" s="162"/>
      <c r="H1080" s="162"/>
      <c r="I1080" s="161"/>
    </row>
    <row r="1081" spans="1:9" ht="9.9499999999999993" customHeight="1" x14ac:dyDescent="0.25">
      <c r="A1081" s="164" t="s">
        <v>319</v>
      </c>
      <c r="B1081" s="121"/>
      <c r="C1081" s="122"/>
      <c r="D1081" s="122"/>
      <c r="E1081" s="123">
        <f>ROUND(SUM(E1080:E1080),2)</f>
        <v>14.4</v>
      </c>
      <c r="F1081" s="162"/>
      <c r="G1081" s="162"/>
      <c r="H1081" s="162"/>
      <c r="I1081" s="161"/>
    </row>
    <row r="1082" spans="1:9" ht="12" customHeight="1" x14ac:dyDescent="0.25">
      <c r="A1082" s="452"/>
      <c r="B1082" s="453"/>
      <c r="C1082" s="453"/>
      <c r="D1082" s="162"/>
      <c r="E1082" s="162"/>
      <c r="F1082" s="162"/>
      <c r="G1082" s="162"/>
      <c r="H1082" s="162"/>
      <c r="I1082" s="161"/>
    </row>
    <row r="1083" spans="1:9" ht="12" customHeight="1" x14ac:dyDescent="0.25">
      <c r="A1083" s="461" t="s">
        <v>4299</v>
      </c>
      <c r="B1083" s="462"/>
      <c r="C1083" s="462"/>
      <c r="D1083" s="458" t="str">
        <f>"TOTAL DA MEMÓRIA DE CÁLCULO: "&amp;TEXT(ROUND(SUM(E1081),2),"0,00")</f>
        <v>TOTAL DA MEMÓRIA DE CÁLCULO: 14,40</v>
      </c>
      <c r="E1083" s="458"/>
      <c r="F1083" s="458"/>
      <c r="G1083" s="458"/>
      <c r="H1083" s="458"/>
      <c r="I1083" s="161"/>
    </row>
    <row r="1084" spans="1:9" ht="9.9499999999999993" customHeight="1" x14ac:dyDescent="0.25">
      <c r="A1084" s="461"/>
      <c r="B1084" s="462"/>
      <c r="C1084" s="462"/>
      <c r="D1084" s="162"/>
      <c r="E1084" s="162"/>
      <c r="F1084" s="162"/>
      <c r="G1084" s="162"/>
      <c r="H1084" s="162"/>
      <c r="I1084" s="161"/>
    </row>
    <row r="1085" spans="1:9" ht="20.100000000000001" customHeight="1" x14ac:dyDescent="0.25">
      <c r="A1085" s="452"/>
      <c r="B1085" s="453"/>
      <c r="C1085" s="453"/>
      <c r="D1085" s="453"/>
      <c r="E1085" s="162"/>
      <c r="F1085" s="162"/>
      <c r="G1085" s="162"/>
      <c r="H1085" s="162"/>
      <c r="I1085" s="161"/>
    </row>
    <row r="1086" spans="1:9" ht="15" customHeight="1" x14ac:dyDescent="0.25">
      <c r="A1086" s="456" t="s">
        <v>4394</v>
      </c>
      <c r="B1086" s="457"/>
      <c r="C1086" s="457"/>
      <c r="D1086" s="457"/>
      <c r="E1086" s="457"/>
      <c r="F1086" s="457"/>
      <c r="G1086" s="457"/>
      <c r="H1086" s="457"/>
      <c r="I1086" s="161"/>
    </row>
    <row r="1087" spans="1:9" ht="12.95" customHeight="1" x14ac:dyDescent="0.25">
      <c r="A1087" s="450" t="s">
        <v>319</v>
      </c>
      <c r="B1087" s="451"/>
      <c r="C1087" s="119" t="s">
        <v>1059</v>
      </c>
      <c r="D1087" s="119" t="s">
        <v>1006</v>
      </c>
      <c r="E1087" s="119" t="s">
        <v>984</v>
      </c>
      <c r="F1087" s="162"/>
      <c r="G1087" s="162"/>
      <c r="H1087" s="162"/>
      <c r="I1087" s="161"/>
    </row>
    <row r="1088" spans="1:9" ht="15" customHeight="1" x14ac:dyDescent="0.25">
      <c r="A1088" s="163" t="s">
        <v>1291</v>
      </c>
      <c r="B1088" s="120" t="s">
        <v>1099</v>
      </c>
      <c r="C1088" s="227">
        <v>14.4</v>
      </c>
      <c r="D1088" s="227">
        <v>1</v>
      </c>
      <c r="E1088" s="228">
        <f>ROUND(C1088*D1088,2)</f>
        <v>14.4</v>
      </c>
      <c r="F1088" s="162"/>
      <c r="G1088" s="162"/>
      <c r="H1088" s="162"/>
      <c r="I1088" s="161"/>
    </row>
    <row r="1089" spans="1:9" ht="9.9499999999999993" customHeight="1" x14ac:dyDescent="0.25">
      <c r="A1089" s="164" t="s">
        <v>319</v>
      </c>
      <c r="B1089" s="121"/>
      <c r="C1089" s="122"/>
      <c r="D1089" s="122"/>
      <c r="E1089" s="123">
        <f>ROUND(SUM(E1088:E1088),2)</f>
        <v>14.4</v>
      </c>
      <c r="F1089" s="162"/>
      <c r="G1089" s="162"/>
      <c r="H1089" s="162"/>
      <c r="I1089" s="161"/>
    </row>
    <row r="1090" spans="1:9" ht="12" customHeight="1" x14ac:dyDescent="0.25">
      <c r="A1090" s="452"/>
      <c r="B1090" s="453"/>
      <c r="C1090" s="453"/>
      <c r="D1090" s="162"/>
      <c r="E1090" s="162"/>
      <c r="F1090" s="162"/>
      <c r="G1090" s="162"/>
      <c r="H1090" s="162"/>
      <c r="I1090" s="161"/>
    </row>
    <row r="1091" spans="1:9" ht="12" customHeight="1" x14ac:dyDescent="0.25">
      <c r="A1091" s="461" t="s">
        <v>4299</v>
      </c>
      <c r="B1091" s="462"/>
      <c r="C1091" s="462"/>
      <c r="D1091" s="458" t="str">
        <f>"TOTAL DA MEMÓRIA DE CÁLCULO: "&amp;TEXT(ROUND(SUM(E1089),2),"0,00")</f>
        <v>TOTAL DA MEMÓRIA DE CÁLCULO: 14,40</v>
      </c>
      <c r="E1091" s="458"/>
      <c r="F1091" s="458"/>
      <c r="G1091" s="458"/>
      <c r="H1091" s="458"/>
      <c r="I1091" s="161"/>
    </row>
    <row r="1092" spans="1:9" ht="9.9499999999999993" customHeight="1" x14ac:dyDescent="0.25">
      <c r="A1092" s="461"/>
      <c r="B1092" s="462"/>
      <c r="C1092" s="462"/>
      <c r="D1092" s="162"/>
      <c r="E1092" s="162"/>
      <c r="F1092" s="162"/>
      <c r="G1092" s="162"/>
      <c r="H1092" s="162"/>
      <c r="I1092" s="161"/>
    </row>
    <row r="1093" spans="1:9" ht="20.100000000000001" customHeight="1" x14ac:dyDescent="0.25">
      <c r="A1093" s="452"/>
      <c r="B1093" s="453"/>
      <c r="C1093" s="453"/>
      <c r="D1093" s="453"/>
      <c r="E1093" s="162"/>
      <c r="F1093" s="162"/>
      <c r="G1093" s="162"/>
      <c r="H1093" s="162"/>
      <c r="I1093" s="161"/>
    </row>
    <row r="1094" spans="1:9" ht="9.9499999999999993" customHeight="1" x14ac:dyDescent="0.25">
      <c r="A1094" s="456" t="s">
        <v>1292</v>
      </c>
      <c r="B1094" s="457"/>
      <c r="C1094" s="457"/>
      <c r="D1094" s="457"/>
      <c r="E1094" s="457"/>
      <c r="F1094" s="457"/>
      <c r="G1094" s="457"/>
      <c r="H1094" s="457"/>
      <c r="I1094" s="161"/>
    </row>
    <row r="1095" spans="1:9" ht="30.95" customHeight="1" x14ac:dyDescent="0.25">
      <c r="A1095" s="452"/>
      <c r="B1095" s="453"/>
      <c r="C1095" s="453"/>
      <c r="D1095" s="162"/>
      <c r="E1095" s="162"/>
      <c r="F1095" s="162"/>
      <c r="G1095" s="162"/>
      <c r="H1095" s="162"/>
      <c r="I1095" s="161"/>
    </row>
    <row r="1096" spans="1:9" ht="15" customHeight="1" x14ac:dyDescent="0.25">
      <c r="A1096" s="456" t="s">
        <v>1293</v>
      </c>
      <c r="B1096" s="457"/>
      <c r="C1096" s="457"/>
      <c r="D1096" s="457"/>
      <c r="E1096" s="457"/>
      <c r="F1096" s="457"/>
      <c r="G1096" s="457"/>
      <c r="H1096" s="457"/>
      <c r="I1096" s="161"/>
    </row>
    <row r="1097" spans="1:9" ht="18.95" customHeight="1" x14ac:dyDescent="0.25">
      <c r="A1097" s="450" t="s">
        <v>348</v>
      </c>
      <c r="B1097" s="451"/>
      <c r="C1097" s="119"/>
      <c r="D1097" s="119" t="s">
        <v>984</v>
      </c>
      <c r="E1097" s="162"/>
      <c r="F1097" s="162"/>
      <c r="G1097" s="162"/>
      <c r="H1097" s="162"/>
      <c r="I1097" s="161"/>
    </row>
    <row r="1098" spans="1:9" ht="15" customHeight="1" x14ac:dyDescent="0.25">
      <c r="A1098" s="163" t="s">
        <v>1294</v>
      </c>
      <c r="B1098" s="120" t="s">
        <v>1295</v>
      </c>
      <c r="C1098" s="227">
        <v>13.09</v>
      </c>
      <c r="D1098" s="228">
        <f>ROUND(13.09,2)</f>
        <v>13.09</v>
      </c>
      <c r="E1098" s="162"/>
      <c r="F1098" s="162"/>
      <c r="G1098" s="162"/>
      <c r="H1098" s="162"/>
      <c r="I1098" s="161"/>
    </row>
    <row r="1099" spans="1:9" ht="9.9499999999999993" customHeight="1" x14ac:dyDescent="0.25">
      <c r="A1099" s="164" t="s">
        <v>348</v>
      </c>
      <c r="B1099" s="121"/>
      <c r="C1099" s="122"/>
      <c r="D1099" s="123">
        <f>ROUND(SUM(D1098:D1098),2)</f>
        <v>13.09</v>
      </c>
      <c r="E1099" s="162"/>
      <c r="F1099" s="162"/>
      <c r="G1099" s="162"/>
      <c r="H1099" s="162"/>
      <c r="I1099" s="161"/>
    </row>
    <row r="1100" spans="1:9" ht="12" customHeight="1" x14ac:dyDescent="0.25">
      <c r="A1100" s="452"/>
      <c r="B1100" s="453"/>
      <c r="C1100" s="453"/>
      <c r="D1100" s="162"/>
      <c r="E1100" s="162"/>
      <c r="F1100" s="162"/>
      <c r="G1100" s="162"/>
      <c r="H1100" s="162"/>
      <c r="I1100" s="161"/>
    </row>
    <row r="1101" spans="1:9" ht="12" customHeight="1" x14ac:dyDescent="0.25">
      <c r="A1101" s="461" t="s">
        <v>4299</v>
      </c>
      <c r="B1101" s="462"/>
      <c r="C1101" s="462"/>
      <c r="D1101" s="458" t="str">
        <f>"TOTAL DA MEMÓRIA DE CÁLCULO: "&amp;TEXT(ROUND(SUM(D1099),2),"0,00")</f>
        <v>TOTAL DA MEMÓRIA DE CÁLCULO: 13,09</v>
      </c>
      <c r="E1101" s="458"/>
      <c r="F1101" s="458"/>
      <c r="G1101" s="458"/>
      <c r="H1101" s="458"/>
      <c r="I1101" s="161"/>
    </row>
    <row r="1102" spans="1:9" ht="9.9499999999999993" customHeight="1" x14ac:dyDescent="0.25">
      <c r="A1102" s="461"/>
      <c r="B1102" s="462"/>
      <c r="C1102" s="462"/>
      <c r="D1102" s="162"/>
      <c r="E1102" s="162"/>
      <c r="F1102" s="162"/>
      <c r="G1102" s="162"/>
      <c r="H1102" s="162"/>
      <c r="I1102" s="161"/>
    </row>
    <row r="1103" spans="1:9" ht="42.95" customHeight="1" x14ac:dyDescent="0.25">
      <c r="A1103" s="452"/>
      <c r="B1103" s="453"/>
      <c r="C1103" s="453"/>
      <c r="D1103" s="453"/>
      <c r="E1103" s="162"/>
      <c r="F1103" s="162"/>
      <c r="G1103" s="162"/>
      <c r="H1103" s="162"/>
      <c r="I1103" s="161"/>
    </row>
    <row r="1104" spans="1:9" ht="15" customHeight="1" x14ac:dyDescent="0.25">
      <c r="A1104" s="456" t="s">
        <v>1296</v>
      </c>
      <c r="B1104" s="457"/>
      <c r="C1104" s="457"/>
      <c r="D1104" s="457"/>
      <c r="E1104" s="457"/>
      <c r="F1104" s="457"/>
      <c r="G1104" s="457"/>
      <c r="H1104" s="457"/>
      <c r="I1104" s="161"/>
    </row>
    <row r="1105" spans="1:9" ht="18.95" customHeight="1" x14ac:dyDescent="0.25">
      <c r="A1105" s="450" t="s">
        <v>348</v>
      </c>
      <c r="B1105" s="451"/>
      <c r="C1105" s="119"/>
      <c r="D1105" s="119" t="s">
        <v>984</v>
      </c>
      <c r="E1105" s="162"/>
      <c r="F1105" s="162"/>
      <c r="G1105" s="162"/>
      <c r="H1105" s="162"/>
      <c r="I1105" s="161"/>
    </row>
    <row r="1106" spans="1:9" ht="15" customHeight="1" x14ac:dyDescent="0.25">
      <c r="A1106" s="163" t="s">
        <v>1297</v>
      </c>
      <c r="B1106" s="120" t="s">
        <v>1295</v>
      </c>
      <c r="C1106" s="227">
        <v>13.09</v>
      </c>
      <c r="D1106" s="228">
        <f>ROUND(13.09,2)</f>
        <v>13.09</v>
      </c>
      <c r="E1106" s="162"/>
      <c r="F1106" s="162"/>
      <c r="G1106" s="162"/>
      <c r="H1106" s="162"/>
      <c r="I1106" s="161"/>
    </row>
    <row r="1107" spans="1:9" ht="9.9499999999999993" customHeight="1" x14ac:dyDescent="0.25">
      <c r="A1107" s="164" t="s">
        <v>348</v>
      </c>
      <c r="B1107" s="121"/>
      <c r="C1107" s="122"/>
      <c r="D1107" s="123">
        <f>ROUND(SUM(D1106:D1106),2)</f>
        <v>13.09</v>
      </c>
      <c r="E1107" s="162"/>
      <c r="F1107" s="162"/>
      <c r="G1107" s="162"/>
      <c r="H1107" s="162"/>
      <c r="I1107" s="161"/>
    </row>
    <row r="1108" spans="1:9" ht="12" customHeight="1" x14ac:dyDescent="0.25">
      <c r="A1108" s="452"/>
      <c r="B1108" s="453"/>
      <c r="C1108" s="453"/>
      <c r="D1108" s="162"/>
      <c r="E1108" s="162"/>
      <c r="F1108" s="162"/>
      <c r="G1108" s="162"/>
      <c r="H1108" s="162"/>
      <c r="I1108" s="161"/>
    </row>
    <row r="1109" spans="1:9" ht="12" customHeight="1" x14ac:dyDescent="0.25">
      <c r="A1109" s="461" t="s">
        <v>4299</v>
      </c>
      <c r="B1109" s="462"/>
      <c r="C1109" s="462"/>
      <c r="D1109" s="458" t="str">
        <f>"TOTAL DA MEMÓRIA DE CÁLCULO: "&amp;TEXT(ROUND(SUM(D1107),2),"0,00")</f>
        <v>TOTAL DA MEMÓRIA DE CÁLCULO: 13,09</v>
      </c>
      <c r="E1109" s="458"/>
      <c r="F1109" s="458"/>
      <c r="G1109" s="458"/>
      <c r="H1109" s="458"/>
      <c r="I1109" s="161"/>
    </row>
    <row r="1110" spans="1:9" ht="9.9499999999999993" customHeight="1" x14ac:dyDescent="0.25">
      <c r="A1110" s="461"/>
      <c r="B1110" s="462"/>
      <c r="C1110" s="462"/>
      <c r="D1110" s="162"/>
      <c r="E1110" s="162"/>
      <c r="F1110" s="162"/>
      <c r="G1110" s="162"/>
      <c r="H1110" s="162"/>
      <c r="I1110" s="161"/>
    </row>
    <row r="1111" spans="1:9" ht="42.95" customHeight="1" x14ac:dyDescent="0.25">
      <c r="A1111" s="452"/>
      <c r="B1111" s="453"/>
      <c r="C1111" s="453"/>
      <c r="D1111" s="453"/>
      <c r="E1111" s="162"/>
      <c r="F1111" s="162"/>
      <c r="G1111" s="162"/>
      <c r="H1111" s="162"/>
      <c r="I1111" s="161"/>
    </row>
    <row r="1112" spans="1:9" ht="15" customHeight="1" x14ac:dyDescent="0.25">
      <c r="A1112" s="456" t="s">
        <v>1298</v>
      </c>
      <c r="B1112" s="457"/>
      <c r="C1112" s="457"/>
      <c r="D1112" s="457"/>
      <c r="E1112" s="457"/>
      <c r="F1112" s="457"/>
      <c r="G1112" s="457"/>
      <c r="H1112" s="457"/>
      <c r="I1112" s="161"/>
    </row>
    <row r="1113" spans="1:9" ht="18.95" customHeight="1" x14ac:dyDescent="0.25">
      <c r="A1113" s="450" t="s">
        <v>348</v>
      </c>
      <c r="B1113" s="451"/>
      <c r="C1113" s="119"/>
      <c r="D1113" s="119" t="s">
        <v>984</v>
      </c>
      <c r="E1113" s="162"/>
      <c r="F1113" s="162"/>
      <c r="G1113" s="162"/>
      <c r="H1113" s="162"/>
      <c r="I1113" s="161"/>
    </row>
    <row r="1114" spans="1:9" ht="15" customHeight="1" x14ac:dyDescent="0.25">
      <c r="A1114" s="163" t="s">
        <v>1299</v>
      </c>
      <c r="B1114" s="120" t="s">
        <v>1300</v>
      </c>
      <c r="C1114" s="227">
        <v>0.26</v>
      </c>
      <c r="D1114" s="228">
        <f>ROUND(13.09*0.02,2)</f>
        <v>0.26</v>
      </c>
      <c r="E1114" s="162"/>
      <c r="F1114" s="162"/>
      <c r="G1114" s="162"/>
      <c r="H1114" s="162"/>
      <c r="I1114" s="161"/>
    </row>
    <row r="1115" spans="1:9" ht="9.9499999999999993" customHeight="1" x14ac:dyDescent="0.25">
      <c r="A1115" s="164" t="s">
        <v>348</v>
      </c>
      <c r="B1115" s="121"/>
      <c r="C1115" s="122"/>
      <c r="D1115" s="123">
        <f>ROUND(SUM(D1114:D1114),2)</f>
        <v>0.26</v>
      </c>
      <c r="E1115" s="162"/>
      <c r="F1115" s="162"/>
      <c r="G1115" s="162"/>
      <c r="H1115" s="162"/>
      <c r="I1115" s="161"/>
    </row>
    <row r="1116" spans="1:9" ht="12" customHeight="1" x14ac:dyDescent="0.25">
      <c r="A1116" s="452"/>
      <c r="B1116" s="453"/>
      <c r="C1116" s="453"/>
      <c r="D1116" s="162"/>
      <c r="E1116" s="162"/>
      <c r="F1116" s="162"/>
      <c r="G1116" s="162"/>
      <c r="H1116" s="162"/>
      <c r="I1116" s="161"/>
    </row>
    <row r="1117" spans="1:9" ht="12" customHeight="1" x14ac:dyDescent="0.25">
      <c r="A1117" s="461" t="s">
        <v>4299</v>
      </c>
      <c r="B1117" s="462"/>
      <c r="C1117" s="462"/>
      <c r="D1117" s="458" t="str">
        <f>"TOTAL DA MEMÓRIA DE CÁLCULO: "&amp;TEXT(ROUND(SUM(D1115),2),"0,00")</f>
        <v>TOTAL DA MEMÓRIA DE CÁLCULO: 0,26</v>
      </c>
      <c r="E1117" s="458"/>
      <c r="F1117" s="458"/>
      <c r="G1117" s="458"/>
      <c r="H1117" s="458"/>
      <c r="I1117" s="161"/>
    </row>
    <row r="1118" spans="1:9" ht="9.9499999999999993" customHeight="1" x14ac:dyDescent="0.25">
      <c r="A1118" s="461"/>
      <c r="B1118" s="462"/>
      <c r="C1118" s="462"/>
      <c r="D1118" s="162"/>
      <c r="E1118" s="162"/>
      <c r="F1118" s="162"/>
      <c r="G1118" s="162"/>
      <c r="H1118" s="162"/>
      <c r="I1118" s="161"/>
    </row>
    <row r="1119" spans="1:9" ht="20.100000000000001" customHeight="1" x14ac:dyDescent="0.25">
      <c r="A1119" s="452"/>
      <c r="B1119" s="453"/>
      <c r="C1119" s="453"/>
      <c r="D1119" s="453"/>
      <c r="E1119" s="162"/>
      <c r="F1119" s="162"/>
      <c r="G1119" s="162"/>
      <c r="H1119" s="162"/>
      <c r="I1119" s="161"/>
    </row>
    <row r="1120" spans="1:9" ht="9.9499999999999993" customHeight="1" x14ac:dyDescent="0.25">
      <c r="A1120" s="456" t="s">
        <v>1301</v>
      </c>
      <c r="B1120" s="457"/>
      <c r="C1120" s="457"/>
      <c r="D1120" s="457"/>
      <c r="E1120" s="457"/>
      <c r="F1120" s="457"/>
      <c r="G1120" s="457"/>
      <c r="H1120" s="457"/>
      <c r="I1120" s="161"/>
    </row>
    <row r="1121" spans="1:9" ht="42.95" customHeight="1" x14ac:dyDescent="0.25">
      <c r="A1121" s="452"/>
      <c r="B1121" s="453"/>
      <c r="C1121" s="453"/>
      <c r="D1121" s="162"/>
      <c r="E1121" s="162"/>
      <c r="F1121" s="162"/>
      <c r="G1121" s="162"/>
      <c r="H1121" s="162"/>
      <c r="I1121" s="161"/>
    </row>
    <row r="1122" spans="1:9" ht="15" customHeight="1" x14ac:dyDescent="0.25">
      <c r="A1122" s="456" t="s">
        <v>1302</v>
      </c>
      <c r="B1122" s="457"/>
      <c r="C1122" s="457"/>
      <c r="D1122" s="457"/>
      <c r="E1122" s="457"/>
      <c r="F1122" s="457"/>
      <c r="G1122" s="457"/>
      <c r="H1122" s="457"/>
      <c r="I1122" s="161"/>
    </row>
    <row r="1123" spans="1:9" ht="12.95" customHeight="1" x14ac:dyDescent="0.25">
      <c r="A1123" s="450" t="s">
        <v>1303</v>
      </c>
      <c r="B1123" s="451"/>
      <c r="C1123" s="119"/>
      <c r="D1123" s="119" t="s">
        <v>984</v>
      </c>
      <c r="E1123" s="162"/>
      <c r="F1123" s="162"/>
      <c r="G1123" s="162"/>
      <c r="H1123" s="162"/>
      <c r="I1123" s="161"/>
    </row>
    <row r="1124" spans="1:9" ht="12.95" customHeight="1" x14ac:dyDescent="0.25">
      <c r="A1124" s="163" t="s">
        <v>1056</v>
      </c>
      <c r="B1124" s="120" t="s">
        <v>1304</v>
      </c>
      <c r="C1124" s="227">
        <v>18</v>
      </c>
      <c r="D1124" s="228">
        <f>ROUND(18,2)</f>
        <v>18</v>
      </c>
      <c r="E1124" s="162"/>
      <c r="F1124" s="162"/>
      <c r="G1124" s="162"/>
      <c r="H1124" s="162"/>
      <c r="I1124" s="161"/>
    </row>
    <row r="1125" spans="1:9" ht="12.95" customHeight="1" x14ac:dyDescent="0.25">
      <c r="A1125" s="163" t="s">
        <v>1305</v>
      </c>
      <c r="B1125" s="120" t="s">
        <v>1306</v>
      </c>
      <c r="C1125" s="227">
        <v>0.56000000000000005</v>
      </c>
      <c r="D1125" s="228">
        <f>ROUND((1.41*2)*(0.2),2)</f>
        <v>0.56000000000000005</v>
      </c>
      <c r="E1125" s="162"/>
      <c r="F1125" s="162"/>
      <c r="G1125" s="162"/>
      <c r="H1125" s="162"/>
      <c r="I1125" s="161"/>
    </row>
    <row r="1126" spans="1:9" ht="15" customHeight="1" x14ac:dyDescent="0.25">
      <c r="A1126" s="163" t="s">
        <v>1307</v>
      </c>
      <c r="B1126" s="120" t="s">
        <v>1308</v>
      </c>
      <c r="C1126" s="227">
        <v>31.28</v>
      </c>
      <c r="D1126" s="228">
        <f>ROUND(31.28,2)</f>
        <v>31.28</v>
      </c>
      <c r="E1126" s="162"/>
      <c r="F1126" s="162"/>
      <c r="G1126" s="162"/>
      <c r="H1126" s="162"/>
      <c r="I1126" s="161"/>
    </row>
    <row r="1127" spans="1:9" ht="9.9499999999999993" customHeight="1" x14ac:dyDescent="0.25">
      <c r="A1127" s="164" t="s">
        <v>1303</v>
      </c>
      <c r="B1127" s="121"/>
      <c r="C1127" s="122"/>
      <c r="D1127" s="123">
        <f>ROUND(SUM(D1124:D1126),2)</f>
        <v>49.84</v>
      </c>
      <c r="E1127" s="162"/>
      <c r="F1127" s="162"/>
      <c r="G1127" s="162"/>
      <c r="H1127" s="162"/>
      <c r="I1127" s="161"/>
    </row>
    <row r="1128" spans="1:9" ht="12" customHeight="1" x14ac:dyDescent="0.25">
      <c r="A1128" s="452"/>
      <c r="B1128" s="453"/>
      <c r="C1128" s="453"/>
      <c r="D1128" s="162"/>
      <c r="E1128" s="162"/>
      <c r="F1128" s="162"/>
      <c r="G1128" s="162"/>
      <c r="H1128" s="162"/>
      <c r="I1128" s="161"/>
    </row>
    <row r="1129" spans="1:9" ht="12" customHeight="1" x14ac:dyDescent="0.25">
      <c r="A1129" s="461" t="s">
        <v>4299</v>
      </c>
      <c r="B1129" s="462"/>
      <c r="C1129" s="462"/>
      <c r="D1129" s="458" t="str">
        <f>"TOTAL DA MEMÓRIA DE CÁLCULO: "&amp;TEXT(ROUND(SUM(D1127),2),"0,00")</f>
        <v>TOTAL DA MEMÓRIA DE CÁLCULO: 49,84</v>
      </c>
      <c r="E1129" s="458"/>
      <c r="F1129" s="458"/>
      <c r="G1129" s="458"/>
      <c r="H1129" s="458"/>
      <c r="I1129" s="161"/>
    </row>
    <row r="1130" spans="1:9" ht="9.9499999999999993" customHeight="1" x14ac:dyDescent="0.25">
      <c r="A1130" s="461"/>
      <c r="B1130" s="462"/>
      <c r="C1130" s="462"/>
      <c r="D1130" s="162"/>
      <c r="E1130" s="162"/>
      <c r="F1130" s="162"/>
      <c r="G1130" s="162"/>
      <c r="H1130" s="162"/>
      <c r="I1130" s="161"/>
    </row>
    <row r="1131" spans="1:9" ht="20.100000000000001" customHeight="1" x14ac:dyDescent="0.25">
      <c r="A1131" s="452"/>
      <c r="B1131" s="453"/>
      <c r="C1131" s="453"/>
      <c r="D1131" s="453"/>
      <c r="E1131" s="162"/>
      <c r="F1131" s="162"/>
      <c r="G1131" s="162"/>
      <c r="H1131" s="162"/>
      <c r="I1131" s="161"/>
    </row>
    <row r="1132" spans="1:9" ht="15" customHeight="1" x14ac:dyDescent="0.25">
      <c r="A1132" s="456" t="s">
        <v>1309</v>
      </c>
      <c r="B1132" s="457"/>
      <c r="C1132" s="457"/>
      <c r="D1132" s="457"/>
      <c r="E1132" s="457"/>
      <c r="F1132" s="457"/>
      <c r="G1132" s="457"/>
      <c r="H1132" s="457"/>
      <c r="I1132" s="161"/>
    </row>
    <row r="1133" spans="1:9" ht="18.95" customHeight="1" x14ac:dyDescent="0.25">
      <c r="A1133" s="450" t="s">
        <v>1303</v>
      </c>
      <c r="B1133" s="451"/>
      <c r="C1133" s="119"/>
      <c r="D1133" s="119" t="s">
        <v>984</v>
      </c>
      <c r="E1133" s="162"/>
      <c r="F1133" s="162"/>
      <c r="G1133" s="162"/>
      <c r="H1133" s="162"/>
      <c r="I1133" s="161"/>
    </row>
    <row r="1134" spans="1:9" ht="15" customHeight="1" x14ac:dyDescent="0.25">
      <c r="A1134" s="163" t="s">
        <v>1310</v>
      </c>
      <c r="B1134" s="120" t="s">
        <v>1311</v>
      </c>
      <c r="C1134" s="227">
        <v>13.24</v>
      </c>
      <c r="D1134" s="228">
        <f>ROUND(13.24,2)</f>
        <v>13.24</v>
      </c>
      <c r="E1134" s="162"/>
      <c r="F1134" s="162"/>
      <c r="G1134" s="162"/>
      <c r="H1134" s="162"/>
      <c r="I1134" s="161"/>
    </row>
    <row r="1135" spans="1:9" ht="9.9499999999999993" customHeight="1" x14ac:dyDescent="0.25">
      <c r="A1135" s="164" t="s">
        <v>1303</v>
      </c>
      <c r="B1135" s="121"/>
      <c r="C1135" s="122"/>
      <c r="D1135" s="123">
        <f>ROUND(SUM(D1134:D1134),2)</f>
        <v>13.24</v>
      </c>
      <c r="E1135" s="162"/>
      <c r="F1135" s="162"/>
      <c r="G1135" s="162"/>
      <c r="H1135" s="162"/>
      <c r="I1135" s="161"/>
    </row>
    <row r="1136" spans="1:9" ht="12" customHeight="1" x14ac:dyDescent="0.25">
      <c r="A1136" s="452"/>
      <c r="B1136" s="453"/>
      <c r="C1136" s="453"/>
      <c r="D1136" s="162"/>
      <c r="E1136" s="162"/>
      <c r="F1136" s="162"/>
      <c r="G1136" s="162"/>
      <c r="H1136" s="162"/>
      <c r="I1136" s="161"/>
    </row>
    <row r="1137" spans="1:9" ht="12" customHeight="1" x14ac:dyDescent="0.25">
      <c r="A1137" s="461" t="s">
        <v>4299</v>
      </c>
      <c r="B1137" s="462"/>
      <c r="C1137" s="462"/>
      <c r="D1137" s="458" t="str">
        <f>"TOTAL DA MEMÓRIA DE CÁLCULO: "&amp;TEXT(ROUND(SUM(D1135),2),"0,00")</f>
        <v>TOTAL DA MEMÓRIA DE CÁLCULO: 13,24</v>
      </c>
      <c r="E1137" s="458"/>
      <c r="F1137" s="458"/>
      <c r="G1137" s="458"/>
      <c r="H1137" s="458"/>
      <c r="I1137" s="161"/>
    </row>
    <row r="1138" spans="1:9" ht="9.9499999999999993" customHeight="1" x14ac:dyDescent="0.25">
      <c r="A1138" s="461"/>
      <c r="B1138" s="462"/>
      <c r="C1138" s="462"/>
      <c r="D1138" s="162"/>
      <c r="E1138" s="162"/>
      <c r="F1138" s="162"/>
      <c r="G1138" s="162"/>
      <c r="H1138" s="162"/>
      <c r="I1138" s="161"/>
    </row>
    <row r="1139" spans="1:9" ht="20.100000000000001" customHeight="1" x14ac:dyDescent="0.25">
      <c r="A1139" s="452"/>
      <c r="B1139" s="453"/>
      <c r="C1139" s="453"/>
      <c r="D1139" s="453"/>
      <c r="E1139" s="162"/>
      <c r="F1139" s="162"/>
      <c r="G1139" s="162"/>
      <c r="H1139" s="162"/>
      <c r="I1139" s="161"/>
    </row>
    <row r="1140" spans="1:9" ht="9.9499999999999993" customHeight="1" x14ac:dyDescent="0.25">
      <c r="A1140" s="456" t="s">
        <v>1312</v>
      </c>
      <c r="B1140" s="457"/>
      <c r="C1140" s="457"/>
      <c r="D1140" s="457"/>
      <c r="E1140" s="457"/>
      <c r="F1140" s="457"/>
      <c r="G1140" s="457"/>
      <c r="H1140" s="457"/>
      <c r="I1140" s="161"/>
    </row>
    <row r="1141" spans="1:9" ht="42.95" customHeight="1" x14ac:dyDescent="0.25">
      <c r="A1141" s="452"/>
      <c r="B1141" s="453"/>
      <c r="C1141" s="453"/>
      <c r="D1141" s="162"/>
      <c r="E1141" s="162"/>
      <c r="F1141" s="162"/>
      <c r="G1141" s="162"/>
      <c r="H1141" s="162"/>
      <c r="I1141" s="161"/>
    </row>
    <row r="1142" spans="1:9" ht="15" customHeight="1" x14ac:dyDescent="0.25">
      <c r="A1142" s="456" t="s">
        <v>1313</v>
      </c>
      <c r="B1142" s="457"/>
      <c r="C1142" s="457"/>
      <c r="D1142" s="457"/>
      <c r="E1142" s="457"/>
      <c r="F1142" s="457"/>
      <c r="G1142" s="457"/>
      <c r="H1142" s="457"/>
      <c r="I1142" s="161"/>
    </row>
    <row r="1143" spans="1:9" ht="18.95" customHeight="1" x14ac:dyDescent="0.25">
      <c r="A1143" s="450" t="s">
        <v>1303</v>
      </c>
      <c r="B1143" s="451"/>
      <c r="C1143" s="119"/>
      <c r="D1143" s="119" t="s">
        <v>984</v>
      </c>
      <c r="E1143" s="162"/>
      <c r="F1143" s="162"/>
      <c r="G1143" s="162"/>
      <c r="H1143" s="162"/>
      <c r="I1143" s="161"/>
    </row>
    <row r="1144" spans="1:9" ht="18.95" customHeight="1" x14ac:dyDescent="0.25">
      <c r="A1144" s="163" t="s">
        <v>1314</v>
      </c>
      <c r="B1144" s="120" t="s">
        <v>1315</v>
      </c>
      <c r="C1144" s="227">
        <v>2.06</v>
      </c>
      <c r="D1144" s="228">
        <f>ROUND(2.06,2)</f>
        <v>2.06</v>
      </c>
      <c r="E1144" s="162"/>
      <c r="F1144" s="162"/>
      <c r="G1144" s="162"/>
      <c r="H1144" s="162"/>
      <c r="I1144" s="161"/>
    </row>
    <row r="1145" spans="1:9" ht="12.95" customHeight="1" x14ac:dyDescent="0.25">
      <c r="A1145" s="163" t="s">
        <v>1316</v>
      </c>
      <c r="B1145" s="120" t="s">
        <v>1317</v>
      </c>
      <c r="C1145" s="227">
        <v>2.16</v>
      </c>
      <c r="D1145" s="228">
        <f>ROUND(2.16,2)</f>
        <v>2.16</v>
      </c>
      <c r="E1145" s="162"/>
      <c r="F1145" s="162"/>
      <c r="G1145" s="162"/>
      <c r="H1145" s="162"/>
      <c r="I1145" s="161"/>
    </row>
    <row r="1146" spans="1:9" ht="12.95" customHeight="1" x14ac:dyDescent="0.25">
      <c r="A1146" s="163" t="s">
        <v>1318</v>
      </c>
      <c r="B1146" s="120" t="s">
        <v>1319</v>
      </c>
      <c r="C1146" s="227">
        <v>2.29</v>
      </c>
      <c r="D1146" s="228">
        <f>ROUND(2.29,2)</f>
        <v>2.29</v>
      </c>
      <c r="E1146" s="162"/>
      <c r="F1146" s="162"/>
      <c r="G1146" s="162"/>
      <c r="H1146" s="162"/>
      <c r="I1146" s="161"/>
    </row>
    <row r="1147" spans="1:9" ht="15" customHeight="1" x14ac:dyDescent="0.25">
      <c r="A1147" s="163" t="s">
        <v>1320</v>
      </c>
      <c r="B1147" s="120" t="s">
        <v>1321</v>
      </c>
      <c r="C1147" s="227">
        <v>6.6</v>
      </c>
      <c r="D1147" s="228">
        <f>ROUND(6.6,2)</f>
        <v>6.6</v>
      </c>
      <c r="E1147" s="162"/>
      <c r="F1147" s="162"/>
      <c r="G1147" s="162"/>
      <c r="H1147" s="162"/>
      <c r="I1147" s="161"/>
    </row>
    <row r="1148" spans="1:9" ht="9.9499999999999993" customHeight="1" x14ac:dyDescent="0.25">
      <c r="A1148" s="164" t="s">
        <v>1303</v>
      </c>
      <c r="B1148" s="121"/>
      <c r="C1148" s="122"/>
      <c r="D1148" s="123">
        <f>ROUND(SUM(D1144:D1147),2)</f>
        <v>13.11</v>
      </c>
      <c r="E1148" s="162"/>
      <c r="F1148" s="162"/>
      <c r="G1148" s="162"/>
      <c r="H1148" s="162"/>
      <c r="I1148" s="161"/>
    </row>
    <row r="1149" spans="1:9" ht="12" customHeight="1" x14ac:dyDescent="0.25">
      <c r="A1149" s="452"/>
      <c r="B1149" s="453"/>
      <c r="C1149" s="453"/>
      <c r="D1149" s="162"/>
      <c r="E1149" s="162"/>
      <c r="F1149" s="162"/>
      <c r="G1149" s="162"/>
      <c r="H1149" s="162"/>
      <c r="I1149" s="161"/>
    </row>
    <row r="1150" spans="1:9" ht="12" customHeight="1" x14ac:dyDescent="0.25">
      <c r="A1150" s="461" t="s">
        <v>4299</v>
      </c>
      <c r="B1150" s="462"/>
      <c r="C1150" s="462"/>
      <c r="D1150" s="458" t="str">
        <f>"TOTAL DA MEMÓRIA DE CÁLCULO: "&amp;TEXT(ROUND(SUM(D1148),2),"0,00")</f>
        <v>TOTAL DA MEMÓRIA DE CÁLCULO: 13,11</v>
      </c>
      <c r="E1150" s="458"/>
      <c r="F1150" s="458"/>
      <c r="G1150" s="458"/>
      <c r="H1150" s="458"/>
      <c r="I1150" s="161"/>
    </row>
    <row r="1151" spans="1:9" ht="9.9499999999999993" customHeight="1" x14ac:dyDescent="0.25">
      <c r="A1151" s="461"/>
      <c r="B1151" s="462"/>
      <c r="C1151" s="462"/>
      <c r="D1151" s="162"/>
      <c r="E1151" s="162"/>
      <c r="F1151" s="162"/>
      <c r="G1151" s="162"/>
      <c r="H1151" s="162"/>
      <c r="I1151" s="161"/>
    </row>
    <row r="1152" spans="1:9" ht="20.100000000000001" customHeight="1" x14ac:dyDescent="0.25">
      <c r="A1152" s="452"/>
      <c r="B1152" s="453"/>
      <c r="C1152" s="453"/>
      <c r="D1152" s="453"/>
      <c r="E1152" s="162"/>
      <c r="F1152" s="162"/>
      <c r="G1152" s="162"/>
      <c r="H1152" s="162"/>
      <c r="I1152" s="161"/>
    </row>
    <row r="1153" spans="1:9" ht="15" customHeight="1" x14ac:dyDescent="0.25">
      <c r="A1153" s="456" t="s">
        <v>1322</v>
      </c>
      <c r="B1153" s="457"/>
      <c r="C1153" s="457"/>
      <c r="D1153" s="457"/>
      <c r="E1153" s="457"/>
      <c r="F1153" s="457"/>
      <c r="G1153" s="457"/>
      <c r="H1153" s="457"/>
      <c r="I1153" s="161"/>
    </row>
    <row r="1154" spans="1:9" ht="18.95" customHeight="1" x14ac:dyDescent="0.25">
      <c r="A1154" s="450"/>
      <c r="B1154" s="451"/>
      <c r="C1154" s="119"/>
      <c r="D1154" s="119" t="s">
        <v>984</v>
      </c>
      <c r="E1154" s="162"/>
      <c r="F1154" s="162"/>
      <c r="G1154" s="162"/>
      <c r="H1154" s="162"/>
      <c r="I1154" s="161"/>
    </row>
    <row r="1155" spans="1:9" ht="15" customHeight="1" x14ac:dyDescent="0.25">
      <c r="A1155" s="163" t="s">
        <v>1323</v>
      </c>
      <c r="B1155" s="120" t="s">
        <v>1324</v>
      </c>
      <c r="C1155" s="227">
        <v>9.6999999999999993</v>
      </c>
      <c r="D1155" s="228">
        <f>ROUND(9.7,2)</f>
        <v>9.6999999999999993</v>
      </c>
      <c r="E1155" s="162"/>
      <c r="F1155" s="162"/>
      <c r="G1155" s="162"/>
      <c r="H1155" s="162"/>
      <c r="I1155" s="161"/>
    </row>
    <row r="1156" spans="1:9" ht="9.9499999999999993" customHeight="1" x14ac:dyDescent="0.25">
      <c r="A1156" s="164"/>
      <c r="B1156" s="121"/>
      <c r="C1156" s="122"/>
      <c r="D1156" s="123">
        <f>ROUND(SUM(D1155:D1155),2)</f>
        <v>9.6999999999999993</v>
      </c>
      <c r="E1156" s="162"/>
      <c r="F1156" s="162"/>
      <c r="G1156" s="162"/>
      <c r="H1156" s="162"/>
      <c r="I1156" s="161"/>
    </row>
    <row r="1157" spans="1:9" ht="12" customHeight="1" x14ac:dyDescent="0.25">
      <c r="A1157" s="452"/>
      <c r="B1157" s="453"/>
      <c r="C1157" s="453"/>
      <c r="D1157" s="162"/>
      <c r="E1157" s="162"/>
      <c r="F1157" s="162"/>
      <c r="G1157" s="162"/>
      <c r="H1157" s="162"/>
      <c r="I1157" s="161"/>
    </row>
    <row r="1158" spans="1:9" ht="12" customHeight="1" x14ac:dyDescent="0.25">
      <c r="A1158" s="461" t="s">
        <v>4299</v>
      </c>
      <c r="B1158" s="462"/>
      <c r="C1158" s="462"/>
      <c r="D1158" s="458" t="str">
        <f>"TOTAL DA MEMÓRIA DE CÁLCULO: "&amp;TEXT(ROUND(SUM(D1156),2),"0,00")</f>
        <v>TOTAL DA MEMÓRIA DE CÁLCULO: 9,70</v>
      </c>
      <c r="E1158" s="458"/>
      <c r="F1158" s="458"/>
      <c r="G1158" s="458"/>
      <c r="H1158" s="458"/>
      <c r="I1158" s="161"/>
    </row>
    <row r="1159" spans="1:9" ht="9.9499999999999993" customHeight="1" x14ac:dyDescent="0.25">
      <c r="A1159" s="461"/>
      <c r="B1159" s="462"/>
      <c r="C1159" s="462"/>
      <c r="D1159" s="162"/>
      <c r="E1159" s="162"/>
      <c r="F1159" s="162"/>
      <c r="G1159" s="162"/>
      <c r="H1159" s="162"/>
      <c r="I1159" s="161"/>
    </row>
    <row r="1160" spans="1:9" ht="30.95" customHeight="1" x14ac:dyDescent="0.25">
      <c r="A1160" s="452"/>
      <c r="B1160" s="453"/>
      <c r="C1160" s="453"/>
      <c r="D1160" s="453"/>
      <c r="E1160" s="162"/>
      <c r="F1160" s="162"/>
      <c r="G1160" s="162"/>
      <c r="H1160" s="162"/>
      <c r="I1160" s="161"/>
    </row>
    <row r="1161" spans="1:9" ht="15" customHeight="1" x14ac:dyDescent="0.25">
      <c r="A1161" s="456" t="s">
        <v>1325</v>
      </c>
      <c r="B1161" s="457"/>
      <c r="C1161" s="457"/>
      <c r="D1161" s="457"/>
      <c r="E1161" s="457"/>
      <c r="F1161" s="457"/>
      <c r="G1161" s="457"/>
      <c r="H1161" s="457"/>
      <c r="I1161" s="161"/>
    </row>
    <row r="1162" spans="1:9" ht="18.95" customHeight="1" x14ac:dyDescent="0.25">
      <c r="A1162" s="450"/>
      <c r="B1162" s="451"/>
      <c r="C1162" s="119"/>
      <c r="D1162" s="119" t="s">
        <v>984</v>
      </c>
      <c r="E1162" s="162"/>
      <c r="F1162" s="162"/>
      <c r="G1162" s="162"/>
      <c r="H1162" s="162"/>
      <c r="I1162" s="161"/>
    </row>
    <row r="1163" spans="1:9" ht="15" customHeight="1" x14ac:dyDescent="0.25">
      <c r="A1163" s="163" t="s">
        <v>1323</v>
      </c>
      <c r="B1163" s="120" t="s">
        <v>1324</v>
      </c>
      <c r="C1163" s="227">
        <v>9.6999999999999993</v>
      </c>
      <c r="D1163" s="228">
        <f>ROUND(9.7,2)</f>
        <v>9.6999999999999993</v>
      </c>
      <c r="E1163" s="162"/>
      <c r="F1163" s="162"/>
      <c r="G1163" s="162"/>
      <c r="H1163" s="162"/>
      <c r="I1163" s="161"/>
    </row>
    <row r="1164" spans="1:9" ht="9.9499999999999993" customHeight="1" x14ac:dyDescent="0.25">
      <c r="A1164" s="164"/>
      <c r="B1164" s="121"/>
      <c r="C1164" s="122"/>
      <c r="D1164" s="123">
        <f>ROUND(SUM(D1163:D1163),2)</f>
        <v>9.6999999999999993</v>
      </c>
      <c r="E1164" s="162"/>
      <c r="F1164" s="162"/>
      <c r="G1164" s="162"/>
      <c r="H1164" s="162"/>
      <c r="I1164" s="161"/>
    </row>
    <row r="1165" spans="1:9" ht="12" customHeight="1" x14ac:dyDescent="0.25">
      <c r="A1165" s="452"/>
      <c r="B1165" s="453"/>
      <c r="C1165" s="453"/>
      <c r="D1165" s="162"/>
      <c r="E1165" s="162"/>
      <c r="F1165" s="162"/>
      <c r="G1165" s="162"/>
      <c r="H1165" s="162"/>
      <c r="I1165" s="161"/>
    </row>
    <row r="1166" spans="1:9" ht="12" customHeight="1" x14ac:dyDescent="0.25">
      <c r="A1166" s="461" t="s">
        <v>4299</v>
      </c>
      <c r="B1166" s="462"/>
      <c r="C1166" s="462"/>
      <c r="D1166" s="458" t="str">
        <f>"TOTAL DA MEMÓRIA DE CÁLCULO: "&amp;TEXT(ROUND(SUM(D1164),2),"0,00")</f>
        <v>TOTAL DA MEMÓRIA DE CÁLCULO: 9,70</v>
      </c>
      <c r="E1166" s="458"/>
      <c r="F1166" s="458"/>
      <c r="G1166" s="458"/>
      <c r="H1166" s="458"/>
      <c r="I1166" s="161"/>
    </row>
    <row r="1167" spans="1:9" ht="9.9499999999999993" customHeight="1" x14ac:dyDescent="0.25">
      <c r="A1167" s="461"/>
      <c r="B1167" s="462"/>
      <c r="C1167" s="462"/>
      <c r="D1167" s="162"/>
      <c r="E1167" s="162"/>
      <c r="F1167" s="162"/>
      <c r="G1167" s="162"/>
      <c r="H1167" s="162"/>
      <c r="I1167" s="161"/>
    </row>
    <row r="1168" spans="1:9" ht="30.95" customHeight="1" x14ac:dyDescent="0.25">
      <c r="A1168" s="452"/>
      <c r="B1168" s="453"/>
      <c r="C1168" s="453"/>
      <c r="D1168" s="453"/>
      <c r="E1168" s="162"/>
      <c r="F1168" s="162"/>
      <c r="G1168" s="162"/>
      <c r="H1168" s="162"/>
      <c r="I1168" s="161"/>
    </row>
    <row r="1169" spans="1:9" ht="15" customHeight="1" x14ac:dyDescent="0.25">
      <c r="A1169" s="456" t="s">
        <v>1326</v>
      </c>
      <c r="B1169" s="457"/>
      <c r="C1169" s="457"/>
      <c r="D1169" s="457"/>
      <c r="E1169" s="457"/>
      <c r="F1169" s="457"/>
      <c r="G1169" s="457"/>
      <c r="H1169" s="457"/>
      <c r="I1169" s="161"/>
    </row>
    <row r="1170" spans="1:9" ht="18.95" customHeight="1" x14ac:dyDescent="0.25">
      <c r="A1170" s="450" t="s">
        <v>1327</v>
      </c>
      <c r="B1170" s="451"/>
      <c r="C1170" s="119"/>
      <c r="D1170" s="119" t="s">
        <v>984</v>
      </c>
      <c r="E1170" s="162"/>
      <c r="F1170" s="162"/>
      <c r="G1170" s="162"/>
      <c r="H1170" s="162"/>
      <c r="I1170" s="161"/>
    </row>
    <row r="1171" spans="1:9" ht="15" customHeight="1" x14ac:dyDescent="0.25">
      <c r="A1171" s="163" t="s">
        <v>1328</v>
      </c>
      <c r="B1171" s="120" t="s">
        <v>1329</v>
      </c>
      <c r="C1171" s="227">
        <v>4.3</v>
      </c>
      <c r="D1171" s="228">
        <f>ROUND(4.3,2)</f>
        <v>4.3</v>
      </c>
      <c r="E1171" s="162"/>
      <c r="F1171" s="162"/>
      <c r="G1171" s="162"/>
      <c r="H1171" s="162"/>
      <c r="I1171" s="161"/>
    </row>
    <row r="1172" spans="1:9" ht="9.9499999999999993" customHeight="1" x14ac:dyDescent="0.25">
      <c r="A1172" s="164" t="s">
        <v>1327</v>
      </c>
      <c r="B1172" s="121"/>
      <c r="C1172" s="122"/>
      <c r="D1172" s="123">
        <f>ROUND(SUM(D1171:D1171),2)</f>
        <v>4.3</v>
      </c>
      <c r="E1172" s="162"/>
      <c r="F1172" s="162"/>
      <c r="G1172" s="162"/>
      <c r="H1172" s="162"/>
      <c r="I1172" s="161"/>
    </row>
    <row r="1173" spans="1:9" ht="12" customHeight="1" x14ac:dyDescent="0.25">
      <c r="A1173" s="452"/>
      <c r="B1173" s="453"/>
      <c r="C1173" s="453"/>
      <c r="D1173" s="162"/>
      <c r="E1173" s="162"/>
      <c r="F1173" s="162"/>
      <c r="G1173" s="162"/>
      <c r="H1173" s="162"/>
      <c r="I1173" s="161"/>
    </row>
    <row r="1174" spans="1:9" ht="12" customHeight="1" x14ac:dyDescent="0.25">
      <c r="A1174" s="461" t="s">
        <v>4299</v>
      </c>
      <c r="B1174" s="462"/>
      <c r="C1174" s="462"/>
      <c r="D1174" s="458" t="str">
        <f>"TOTAL DA MEMÓRIA DE CÁLCULO: "&amp;TEXT(ROUND(SUM(D1172),2),"0,00")</f>
        <v>TOTAL DA MEMÓRIA DE CÁLCULO: 4,30</v>
      </c>
      <c r="E1174" s="458"/>
      <c r="F1174" s="458"/>
      <c r="G1174" s="458"/>
      <c r="H1174" s="458"/>
      <c r="I1174" s="161"/>
    </row>
    <row r="1175" spans="1:9" ht="9.9499999999999993" customHeight="1" x14ac:dyDescent="0.25">
      <c r="A1175" s="461"/>
      <c r="B1175" s="462"/>
      <c r="C1175" s="462"/>
      <c r="D1175" s="162"/>
      <c r="E1175" s="162"/>
      <c r="F1175" s="162"/>
      <c r="G1175" s="162"/>
      <c r="H1175" s="162"/>
      <c r="I1175" s="161"/>
    </row>
    <row r="1176" spans="1:9" ht="30.95" customHeight="1" x14ac:dyDescent="0.25">
      <c r="A1176" s="452"/>
      <c r="B1176" s="453"/>
      <c r="C1176" s="453"/>
      <c r="D1176" s="453"/>
      <c r="E1176" s="162"/>
      <c r="F1176" s="162"/>
      <c r="G1176" s="162"/>
      <c r="H1176" s="162"/>
      <c r="I1176" s="161"/>
    </row>
    <row r="1177" spans="1:9" ht="15" customHeight="1" x14ac:dyDescent="0.25">
      <c r="A1177" s="456" t="s">
        <v>1330</v>
      </c>
      <c r="B1177" s="457"/>
      <c r="C1177" s="457"/>
      <c r="D1177" s="457"/>
      <c r="E1177" s="457"/>
      <c r="F1177" s="457"/>
      <c r="G1177" s="457"/>
      <c r="H1177" s="457"/>
      <c r="I1177" s="161"/>
    </row>
    <row r="1178" spans="1:9" ht="12.95" customHeight="1" x14ac:dyDescent="0.25">
      <c r="A1178" s="450" t="s">
        <v>1327</v>
      </c>
      <c r="B1178" s="451"/>
      <c r="C1178" s="119" t="s">
        <v>1024</v>
      </c>
      <c r="D1178" s="119" t="s">
        <v>1007</v>
      </c>
      <c r="E1178" s="119" t="s">
        <v>984</v>
      </c>
      <c r="F1178" s="162"/>
      <c r="G1178" s="162"/>
      <c r="H1178" s="162"/>
      <c r="I1178" s="161"/>
    </row>
    <row r="1179" spans="1:9" ht="12.95" customHeight="1" x14ac:dyDescent="0.25">
      <c r="A1179" s="163" t="s">
        <v>0</v>
      </c>
      <c r="B1179" s="120" t="s">
        <v>1331</v>
      </c>
      <c r="C1179" s="227">
        <v>0.2</v>
      </c>
      <c r="D1179" s="227">
        <v>0.44</v>
      </c>
      <c r="E1179" s="228">
        <f>ROUND(C1179*D1179,2)</f>
        <v>0.09</v>
      </c>
      <c r="F1179" s="162"/>
      <c r="G1179" s="162"/>
      <c r="H1179" s="162"/>
      <c r="I1179" s="161"/>
    </row>
    <row r="1180" spans="1:9" ht="12.95" customHeight="1" x14ac:dyDescent="0.25">
      <c r="A1180" s="163" t="s">
        <v>2</v>
      </c>
      <c r="B1180" s="120" t="s">
        <v>1331</v>
      </c>
      <c r="C1180" s="227">
        <v>0.2</v>
      </c>
      <c r="D1180" s="227">
        <v>0.85</v>
      </c>
      <c r="E1180" s="228">
        <f>ROUND(C1180*D1180,2)</f>
        <v>0.17</v>
      </c>
      <c r="F1180" s="162"/>
      <c r="G1180" s="162"/>
      <c r="H1180" s="162"/>
      <c r="I1180" s="161"/>
    </row>
    <row r="1181" spans="1:9" ht="12.95" customHeight="1" x14ac:dyDescent="0.25">
      <c r="A1181" s="163" t="s">
        <v>4</v>
      </c>
      <c r="B1181" s="120" t="s">
        <v>1331</v>
      </c>
      <c r="C1181" s="227">
        <v>0.2</v>
      </c>
      <c r="D1181" s="227">
        <v>1.4</v>
      </c>
      <c r="E1181" s="228">
        <f>ROUND(C1181*D1181,2)</f>
        <v>0.28000000000000003</v>
      </c>
      <c r="F1181" s="162"/>
      <c r="G1181" s="162"/>
      <c r="H1181" s="162"/>
      <c r="I1181" s="161"/>
    </row>
    <row r="1182" spans="1:9" ht="15" customHeight="1" x14ac:dyDescent="0.25">
      <c r="A1182" s="163" t="s">
        <v>5</v>
      </c>
      <c r="B1182" s="120" t="s">
        <v>1331</v>
      </c>
      <c r="C1182" s="227">
        <v>0.2</v>
      </c>
      <c r="D1182" s="227">
        <v>2.0499999999999998</v>
      </c>
      <c r="E1182" s="228">
        <f>ROUND(C1182*D1182,2)</f>
        <v>0.41</v>
      </c>
      <c r="F1182" s="162"/>
      <c r="G1182" s="162"/>
      <c r="H1182" s="162"/>
      <c r="I1182" s="161"/>
    </row>
    <row r="1183" spans="1:9" ht="9.9499999999999993" customHeight="1" x14ac:dyDescent="0.25">
      <c r="A1183" s="164" t="s">
        <v>1327</v>
      </c>
      <c r="B1183" s="121"/>
      <c r="C1183" s="122"/>
      <c r="D1183" s="122"/>
      <c r="E1183" s="123">
        <f>ROUND(SUM(E1179:E1182),2)</f>
        <v>0.95</v>
      </c>
      <c r="F1183" s="162"/>
      <c r="G1183" s="162"/>
      <c r="H1183" s="162"/>
      <c r="I1183" s="161"/>
    </row>
    <row r="1184" spans="1:9" ht="12" customHeight="1" x14ac:dyDescent="0.25">
      <c r="A1184" s="452"/>
      <c r="B1184" s="453"/>
      <c r="C1184" s="453"/>
      <c r="D1184" s="162"/>
      <c r="E1184" s="162"/>
      <c r="F1184" s="162"/>
      <c r="G1184" s="162"/>
      <c r="H1184" s="162"/>
      <c r="I1184" s="161"/>
    </row>
    <row r="1185" spans="1:9" ht="12" customHeight="1" x14ac:dyDescent="0.25">
      <c r="A1185" s="461" t="s">
        <v>4299</v>
      </c>
      <c r="B1185" s="462"/>
      <c r="C1185" s="462"/>
      <c r="D1185" s="458" t="str">
        <f>"TOTAL DA MEMÓRIA DE CÁLCULO: "&amp;TEXT(ROUND(SUM(E1183),2),"0,00")</f>
        <v>TOTAL DA MEMÓRIA DE CÁLCULO: 0,95</v>
      </c>
      <c r="E1185" s="458"/>
      <c r="F1185" s="458"/>
      <c r="G1185" s="458"/>
      <c r="H1185" s="458"/>
      <c r="I1185" s="161"/>
    </row>
    <row r="1186" spans="1:9" ht="9.9499999999999993" customHeight="1" x14ac:dyDescent="0.25">
      <c r="A1186" s="461"/>
      <c r="B1186" s="462"/>
      <c r="C1186" s="462"/>
      <c r="D1186" s="162"/>
      <c r="E1186" s="162"/>
      <c r="F1186" s="162"/>
      <c r="G1186" s="162"/>
      <c r="H1186" s="162"/>
      <c r="I1186" s="161"/>
    </row>
    <row r="1187" spans="1:9" ht="42.95" customHeight="1" x14ac:dyDescent="0.25">
      <c r="A1187" s="452"/>
      <c r="B1187" s="453"/>
      <c r="C1187" s="453"/>
      <c r="D1187" s="453"/>
      <c r="E1187" s="162"/>
      <c r="F1187" s="162"/>
      <c r="G1187" s="162"/>
      <c r="H1187" s="162"/>
      <c r="I1187" s="161"/>
    </row>
    <row r="1188" spans="1:9" ht="15" customHeight="1" x14ac:dyDescent="0.25">
      <c r="A1188" s="456" t="s">
        <v>1332</v>
      </c>
      <c r="B1188" s="457"/>
      <c r="C1188" s="457"/>
      <c r="D1188" s="457"/>
      <c r="E1188" s="457"/>
      <c r="F1188" s="457"/>
      <c r="G1188" s="457"/>
      <c r="H1188" s="457"/>
      <c r="I1188" s="161"/>
    </row>
    <row r="1189" spans="1:9" ht="18.95" customHeight="1" x14ac:dyDescent="0.25">
      <c r="A1189" s="450" t="s">
        <v>1327</v>
      </c>
      <c r="B1189" s="451"/>
      <c r="C1189" s="119"/>
      <c r="D1189" s="119" t="s">
        <v>984</v>
      </c>
      <c r="E1189" s="162"/>
      <c r="F1189" s="162"/>
      <c r="G1189" s="162"/>
      <c r="H1189" s="162"/>
      <c r="I1189" s="161"/>
    </row>
    <row r="1190" spans="1:9" ht="15" customHeight="1" x14ac:dyDescent="0.25">
      <c r="A1190" s="163" t="s">
        <v>1328</v>
      </c>
      <c r="B1190" s="120" t="s">
        <v>1333</v>
      </c>
      <c r="C1190" s="227">
        <v>0.06</v>
      </c>
      <c r="D1190" s="228">
        <f>ROUND(4.3*0.015,2)</f>
        <v>0.06</v>
      </c>
      <c r="E1190" s="162"/>
      <c r="F1190" s="162"/>
      <c r="G1190" s="162"/>
      <c r="H1190" s="162"/>
      <c r="I1190" s="161"/>
    </row>
    <row r="1191" spans="1:9" ht="9.9499999999999993" customHeight="1" x14ac:dyDescent="0.25">
      <c r="A1191" s="164" t="s">
        <v>1327</v>
      </c>
      <c r="B1191" s="121"/>
      <c r="C1191" s="122"/>
      <c r="D1191" s="123">
        <f>ROUND(SUM(D1190:D1190),2)</f>
        <v>0.06</v>
      </c>
      <c r="E1191" s="162"/>
      <c r="F1191" s="162"/>
      <c r="G1191" s="162"/>
      <c r="H1191" s="162"/>
      <c r="I1191" s="161"/>
    </row>
    <row r="1192" spans="1:9" ht="12" customHeight="1" x14ac:dyDescent="0.25">
      <c r="A1192" s="452"/>
      <c r="B1192" s="453"/>
      <c r="C1192" s="453"/>
      <c r="D1192" s="162"/>
      <c r="E1192" s="162"/>
      <c r="F1192" s="162"/>
      <c r="G1192" s="162"/>
      <c r="H1192" s="162"/>
      <c r="I1192" s="161"/>
    </row>
    <row r="1193" spans="1:9" ht="12" customHeight="1" x14ac:dyDescent="0.25">
      <c r="A1193" s="461" t="s">
        <v>4299</v>
      </c>
      <c r="B1193" s="462"/>
      <c r="C1193" s="462"/>
      <c r="D1193" s="458" t="str">
        <f>"TOTAL DA MEMÓRIA DE CÁLCULO: "&amp;TEXT(ROUND(SUM(D1191),2),"0,00")</f>
        <v>TOTAL DA MEMÓRIA DE CÁLCULO: 0,06</v>
      </c>
      <c r="E1193" s="458"/>
      <c r="F1193" s="458"/>
      <c r="G1193" s="458"/>
      <c r="H1193" s="458"/>
      <c r="I1193" s="161"/>
    </row>
    <row r="1194" spans="1:9" ht="9.9499999999999993" customHeight="1" x14ac:dyDescent="0.25">
      <c r="A1194" s="461"/>
      <c r="B1194" s="462"/>
      <c r="C1194" s="462"/>
      <c r="D1194" s="162"/>
      <c r="E1194" s="162"/>
      <c r="F1194" s="162"/>
      <c r="G1194" s="162"/>
      <c r="H1194" s="162"/>
      <c r="I1194" s="161"/>
    </row>
    <row r="1195" spans="1:9" ht="20.100000000000001" customHeight="1" x14ac:dyDescent="0.25">
      <c r="A1195" s="452"/>
      <c r="B1195" s="453"/>
      <c r="C1195" s="453"/>
      <c r="D1195" s="453"/>
      <c r="E1195" s="162"/>
      <c r="F1195" s="162"/>
      <c r="G1195" s="162"/>
      <c r="H1195" s="162"/>
      <c r="I1195" s="161"/>
    </row>
    <row r="1196" spans="1:9" ht="9.9499999999999993" customHeight="1" x14ac:dyDescent="0.25">
      <c r="A1196" s="456" t="s">
        <v>1334</v>
      </c>
      <c r="B1196" s="457"/>
      <c r="C1196" s="457"/>
      <c r="D1196" s="457"/>
      <c r="E1196" s="457"/>
      <c r="F1196" s="457"/>
      <c r="G1196" s="457"/>
      <c r="H1196" s="457"/>
      <c r="I1196" s="161"/>
    </row>
    <row r="1197" spans="1:9" ht="20.100000000000001" customHeight="1" x14ac:dyDescent="0.25">
      <c r="A1197" s="452"/>
      <c r="B1197" s="453"/>
      <c r="C1197" s="453"/>
      <c r="D1197" s="162"/>
      <c r="E1197" s="162"/>
      <c r="F1197" s="162"/>
      <c r="G1197" s="162"/>
      <c r="H1197" s="162"/>
      <c r="I1197" s="161"/>
    </row>
    <row r="1198" spans="1:9" ht="15" customHeight="1" x14ac:dyDescent="0.25">
      <c r="A1198" s="456" t="s">
        <v>1335</v>
      </c>
      <c r="B1198" s="457"/>
      <c r="C1198" s="457"/>
      <c r="D1198" s="457"/>
      <c r="E1198" s="457"/>
      <c r="F1198" s="457"/>
      <c r="G1198" s="457"/>
      <c r="H1198" s="457"/>
      <c r="I1198" s="161"/>
    </row>
    <row r="1199" spans="1:9" ht="12.95" customHeight="1" x14ac:dyDescent="0.25">
      <c r="A1199" s="450" t="s">
        <v>377</v>
      </c>
      <c r="B1199" s="451"/>
      <c r="C1199" s="119" t="s">
        <v>1024</v>
      </c>
      <c r="D1199" s="119" t="s">
        <v>1059</v>
      </c>
      <c r="E1199" s="119" t="s">
        <v>1078</v>
      </c>
      <c r="F1199" s="119" t="s">
        <v>984</v>
      </c>
      <c r="G1199" s="162"/>
      <c r="H1199" s="162"/>
      <c r="I1199" s="161"/>
    </row>
    <row r="1200" spans="1:9" ht="18.95" customHeight="1" x14ac:dyDescent="0.25">
      <c r="A1200" s="163" t="s">
        <v>153</v>
      </c>
      <c r="B1200" s="120" t="s">
        <v>1200</v>
      </c>
      <c r="C1200" s="227">
        <v>8.2200000000000006</v>
      </c>
      <c r="D1200" s="227">
        <v>13.9</v>
      </c>
      <c r="E1200" s="227">
        <v>0</v>
      </c>
      <c r="F1200" s="228">
        <f>ROUND(C1200*D1200,2)</f>
        <v>114.26</v>
      </c>
      <c r="G1200" s="162"/>
      <c r="H1200" s="162"/>
      <c r="I1200" s="161"/>
    </row>
    <row r="1201" spans="1:9" ht="12.95" customHeight="1" x14ac:dyDescent="0.25">
      <c r="A1201" s="163" t="s">
        <v>1336</v>
      </c>
      <c r="B1201" s="120" t="s">
        <v>1203</v>
      </c>
      <c r="C1201" s="227">
        <v>0.8</v>
      </c>
      <c r="D1201" s="227">
        <v>7.2</v>
      </c>
      <c r="E1201" s="227">
        <v>0</v>
      </c>
      <c r="F1201" s="228">
        <f>ROUND(C1201*D1201*2,2)</f>
        <v>11.52</v>
      </c>
      <c r="G1201" s="162"/>
      <c r="H1201" s="162"/>
      <c r="I1201" s="161"/>
    </row>
    <row r="1202" spans="1:9" ht="12.95" customHeight="1" x14ac:dyDescent="0.25">
      <c r="A1202" s="163" t="s">
        <v>1337</v>
      </c>
      <c r="B1202" s="120" t="s">
        <v>1338</v>
      </c>
      <c r="C1202" s="227">
        <v>2.79</v>
      </c>
      <c r="D1202" s="227">
        <v>1.34</v>
      </c>
      <c r="E1202" s="227">
        <v>1</v>
      </c>
      <c r="F1202" s="228">
        <f>ROUND(-E1202*C1202*D1202,2)</f>
        <v>-3.74</v>
      </c>
      <c r="G1202" s="162"/>
      <c r="H1202" s="162"/>
      <c r="I1202" s="161"/>
    </row>
    <row r="1203" spans="1:9" ht="12.95" customHeight="1" x14ac:dyDescent="0.25">
      <c r="A1203" s="163" t="s">
        <v>1339</v>
      </c>
      <c r="B1203" s="120" t="s">
        <v>1338</v>
      </c>
      <c r="C1203" s="227">
        <v>1.69</v>
      </c>
      <c r="D1203" s="227">
        <v>0.96</v>
      </c>
      <c r="E1203" s="227">
        <v>3</v>
      </c>
      <c r="F1203" s="228">
        <f>ROUND(-E1203*C1203*D1203,2)</f>
        <v>-4.87</v>
      </c>
      <c r="G1203" s="162"/>
      <c r="H1203" s="162"/>
      <c r="I1203" s="161"/>
    </row>
    <row r="1204" spans="1:9" ht="12.95" customHeight="1" x14ac:dyDescent="0.25">
      <c r="A1204" s="163" t="s">
        <v>1340</v>
      </c>
      <c r="B1204" s="120" t="s">
        <v>1338</v>
      </c>
      <c r="C1204" s="227">
        <v>1.92</v>
      </c>
      <c r="D1204" s="227">
        <v>0.98</v>
      </c>
      <c r="E1204" s="227">
        <v>3</v>
      </c>
      <c r="F1204" s="228">
        <f>ROUND(-E1204*C1204*D1204,2)</f>
        <v>-5.64</v>
      </c>
      <c r="G1204" s="162"/>
      <c r="H1204" s="162"/>
      <c r="I1204" s="161"/>
    </row>
    <row r="1205" spans="1:9" ht="15" customHeight="1" x14ac:dyDescent="0.25">
      <c r="A1205" s="163" t="s">
        <v>1341</v>
      </c>
      <c r="B1205" s="120" t="s">
        <v>1338</v>
      </c>
      <c r="C1205" s="227">
        <v>2.0099999999999998</v>
      </c>
      <c r="D1205" s="227">
        <v>1.2</v>
      </c>
      <c r="E1205" s="227">
        <v>1</v>
      </c>
      <c r="F1205" s="228">
        <f>ROUND(-E1205*C1205*D1205,2)</f>
        <v>-2.41</v>
      </c>
      <c r="G1205" s="162"/>
      <c r="H1205" s="162"/>
      <c r="I1205" s="161"/>
    </row>
    <row r="1206" spans="1:9" ht="9.9499999999999993" customHeight="1" x14ac:dyDescent="0.25">
      <c r="A1206" s="164" t="s">
        <v>377</v>
      </c>
      <c r="B1206" s="121"/>
      <c r="C1206" s="122"/>
      <c r="D1206" s="122"/>
      <c r="E1206" s="122"/>
      <c r="F1206" s="123">
        <f>ROUND(SUM(F1200:F1205),2)</f>
        <v>109.12</v>
      </c>
      <c r="G1206" s="162"/>
      <c r="H1206" s="162"/>
      <c r="I1206" s="161"/>
    </row>
    <row r="1207" spans="1:9" ht="12" customHeight="1" x14ac:dyDescent="0.25">
      <c r="A1207" s="452"/>
      <c r="B1207" s="453"/>
      <c r="C1207" s="453"/>
      <c r="D1207" s="162"/>
      <c r="E1207" s="162"/>
      <c r="F1207" s="162"/>
      <c r="G1207" s="162"/>
      <c r="H1207" s="162"/>
      <c r="I1207" s="161"/>
    </row>
    <row r="1208" spans="1:9" ht="12" customHeight="1" x14ac:dyDescent="0.25">
      <c r="A1208" s="461" t="s">
        <v>4299</v>
      </c>
      <c r="B1208" s="462"/>
      <c r="C1208" s="462"/>
      <c r="D1208" s="458" t="str">
        <f>"TOTAL DA MEMÓRIA DE CÁLCULO: "&amp;TEXT(ROUND(SUM(F1206),2),"0,00")</f>
        <v>TOTAL DA MEMÓRIA DE CÁLCULO: 109,12</v>
      </c>
      <c r="E1208" s="458"/>
      <c r="F1208" s="458"/>
      <c r="G1208" s="458"/>
      <c r="H1208" s="458"/>
      <c r="I1208" s="161"/>
    </row>
    <row r="1209" spans="1:9" ht="9.9499999999999993" customHeight="1" x14ac:dyDescent="0.25">
      <c r="A1209" s="461"/>
      <c r="B1209" s="462"/>
      <c r="C1209" s="462"/>
      <c r="D1209" s="162"/>
      <c r="E1209" s="162"/>
      <c r="F1209" s="162"/>
      <c r="G1209" s="162"/>
      <c r="H1209" s="162"/>
      <c r="I1209" s="161"/>
    </row>
    <row r="1210" spans="1:9" ht="30.95" customHeight="1" x14ac:dyDescent="0.25">
      <c r="A1210" s="452"/>
      <c r="B1210" s="453"/>
      <c r="C1210" s="453"/>
      <c r="D1210" s="453"/>
      <c r="E1210" s="162"/>
      <c r="F1210" s="162"/>
      <c r="G1210" s="162"/>
      <c r="H1210" s="162"/>
      <c r="I1210" s="161"/>
    </row>
    <row r="1211" spans="1:9" ht="15" customHeight="1" x14ac:dyDescent="0.25">
      <c r="A1211" s="456" t="s">
        <v>1342</v>
      </c>
      <c r="B1211" s="457"/>
      <c r="C1211" s="457"/>
      <c r="D1211" s="457"/>
      <c r="E1211" s="457"/>
      <c r="F1211" s="457"/>
      <c r="G1211" s="457"/>
      <c r="H1211" s="457"/>
      <c r="I1211" s="161"/>
    </row>
    <row r="1212" spans="1:9" ht="12.95" customHeight="1" x14ac:dyDescent="0.25">
      <c r="A1212" s="450" t="s">
        <v>377</v>
      </c>
      <c r="B1212" s="451"/>
      <c r="C1212" s="119" t="s">
        <v>1024</v>
      </c>
      <c r="D1212" s="119" t="s">
        <v>1059</v>
      </c>
      <c r="E1212" s="119" t="s">
        <v>1078</v>
      </c>
      <c r="F1212" s="119" t="s">
        <v>984</v>
      </c>
      <c r="G1212" s="162"/>
      <c r="H1212" s="162"/>
      <c r="I1212" s="161"/>
    </row>
    <row r="1213" spans="1:9" ht="18.95" customHeight="1" x14ac:dyDescent="0.25">
      <c r="A1213" s="163" t="s">
        <v>153</v>
      </c>
      <c r="B1213" s="120" t="s">
        <v>1200</v>
      </c>
      <c r="C1213" s="227">
        <v>8.2200000000000006</v>
      </c>
      <c r="D1213" s="227">
        <v>13.9</v>
      </c>
      <c r="E1213" s="227">
        <v>0</v>
      </c>
      <c r="F1213" s="228">
        <f>ROUND(C1213*D1213,2)</f>
        <v>114.26</v>
      </c>
      <c r="G1213" s="162"/>
      <c r="H1213" s="162"/>
      <c r="I1213" s="161"/>
    </row>
    <row r="1214" spans="1:9" ht="12.95" customHeight="1" x14ac:dyDescent="0.25">
      <c r="A1214" s="163" t="s">
        <v>1336</v>
      </c>
      <c r="B1214" s="120" t="s">
        <v>1203</v>
      </c>
      <c r="C1214" s="227">
        <v>0.8</v>
      </c>
      <c r="D1214" s="227">
        <v>7.2</v>
      </c>
      <c r="E1214" s="227">
        <v>0</v>
      </c>
      <c r="F1214" s="228">
        <f>ROUND(C1214*D1214*2,2)</f>
        <v>11.52</v>
      </c>
      <c r="G1214" s="162"/>
      <c r="H1214" s="162"/>
      <c r="I1214" s="161"/>
    </row>
    <row r="1215" spans="1:9" ht="12.95" customHeight="1" x14ac:dyDescent="0.25">
      <c r="A1215" s="163" t="s">
        <v>1337</v>
      </c>
      <c r="B1215" s="120" t="s">
        <v>1338</v>
      </c>
      <c r="C1215" s="227">
        <v>2.79</v>
      </c>
      <c r="D1215" s="227">
        <v>1.34</v>
      </c>
      <c r="E1215" s="227">
        <v>1</v>
      </c>
      <c r="F1215" s="228">
        <f>ROUND(-E1215*C1215*D1215,2)</f>
        <v>-3.74</v>
      </c>
      <c r="G1215" s="162"/>
      <c r="H1215" s="162"/>
      <c r="I1215" s="161"/>
    </row>
    <row r="1216" spans="1:9" ht="12.95" customHeight="1" x14ac:dyDescent="0.25">
      <c r="A1216" s="163" t="s">
        <v>1339</v>
      </c>
      <c r="B1216" s="120" t="s">
        <v>1338</v>
      </c>
      <c r="C1216" s="227">
        <v>1.69</v>
      </c>
      <c r="D1216" s="227">
        <v>0.96</v>
      </c>
      <c r="E1216" s="227">
        <v>3</v>
      </c>
      <c r="F1216" s="228">
        <f>ROUND(-E1216*C1216*D1216,2)</f>
        <v>-4.87</v>
      </c>
      <c r="G1216" s="162"/>
      <c r="H1216" s="162"/>
      <c r="I1216" s="161"/>
    </row>
    <row r="1217" spans="1:9" ht="12.95" customHeight="1" x14ac:dyDescent="0.25">
      <c r="A1217" s="163" t="s">
        <v>1340</v>
      </c>
      <c r="B1217" s="120" t="s">
        <v>1338</v>
      </c>
      <c r="C1217" s="227">
        <v>1.92</v>
      </c>
      <c r="D1217" s="227">
        <v>0.98</v>
      </c>
      <c r="E1217" s="227">
        <v>3</v>
      </c>
      <c r="F1217" s="228">
        <f>ROUND(-E1217*C1217*D1217,2)</f>
        <v>-5.64</v>
      </c>
      <c r="G1217" s="162"/>
      <c r="H1217" s="162"/>
      <c r="I1217" s="161"/>
    </row>
    <row r="1218" spans="1:9" ht="15" customHeight="1" x14ac:dyDescent="0.25">
      <c r="A1218" s="163" t="s">
        <v>1341</v>
      </c>
      <c r="B1218" s="120" t="s">
        <v>1338</v>
      </c>
      <c r="C1218" s="227">
        <v>2.0099999999999998</v>
      </c>
      <c r="D1218" s="227">
        <v>1.2</v>
      </c>
      <c r="E1218" s="227">
        <v>1</v>
      </c>
      <c r="F1218" s="228">
        <f>ROUND(-E1218*C1218*D1218,2)</f>
        <v>-2.41</v>
      </c>
      <c r="G1218" s="162"/>
      <c r="H1218" s="162"/>
      <c r="I1218" s="161"/>
    </row>
    <row r="1219" spans="1:9" ht="9.9499999999999993" customHeight="1" x14ac:dyDescent="0.25">
      <c r="A1219" s="164" t="s">
        <v>377</v>
      </c>
      <c r="B1219" s="121"/>
      <c r="C1219" s="122"/>
      <c r="D1219" s="122"/>
      <c r="E1219" s="122"/>
      <c r="F1219" s="123">
        <f>ROUND(SUM(F1213:F1218),2)</f>
        <v>109.12</v>
      </c>
      <c r="G1219" s="162"/>
      <c r="H1219" s="162"/>
      <c r="I1219" s="161"/>
    </row>
    <row r="1220" spans="1:9" ht="12" customHeight="1" x14ac:dyDescent="0.25">
      <c r="A1220" s="452"/>
      <c r="B1220" s="453"/>
      <c r="C1220" s="453"/>
      <c r="D1220" s="162"/>
      <c r="E1220" s="162"/>
      <c r="F1220" s="162"/>
      <c r="G1220" s="162"/>
      <c r="H1220" s="162"/>
      <c r="I1220" s="161"/>
    </row>
    <row r="1221" spans="1:9" ht="12" customHeight="1" x14ac:dyDescent="0.25">
      <c r="A1221" s="461" t="s">
        <v>4299</v>
      </c>
      <c r="B1221" s="462"/>
      <c r="C1221" s="462"/>
      <c r="D1221" s="458" t="str">
        <f>"TOTAL DA MEMÓRIA DE CÁLCULO: "&amp;TEXT(ROUND(SUM(F1219),2),"0,00")</f>
        <v>TOTAL DA MEMÓRIA DE CÁLCULO: 109,12</v>
      </c>
      <c r="E1221" s="458"/>
      <c r="F1221" s="458"/>
      <c r="G1221" s="458"/>
      <c r="H1221" s="458"/>
      <c r="I1221" s="161"/>
    </row>
    <row r="1222" spans="1:9" ht="9.9499999999999993" customHeight="1" x14ac:dyDescent="0.25">
      <c r="A1222" s="461"/>
      <c r="B1222" s="462"/>
      <c r="C1222" s="462"/>
      <c r="D1222" s="162"/>
      <c r="E1222" s="162"/>
      <c r="F1222" s="162"/>
      <c r="G1222" s="162"/>
      <c r="H1222" s="162"/>
      <c r="I1222" s="161"/>
    </row>
    <row r="1223" spans="1:9" ht="30.95" customHeight="1" x14ac:dyDescent="0.25">
      <c r="A1223" s="452"/>
      <c r="B1223" s="453"/>
      <c r="C1223" s="453"/>
      <c r="D1223" s="453"/>
      <c r="E1223" s="162"/>
      <c r="F1223" s="162"/>
      <c r="G1223" s="162"/>
      <c r="H1223" s="162"/>
      <c r="I1223" s="161"/>
    </row>
    <row r="1224" spans="1:9" ht="15" customHeight="1" x14ac:dyDescent="0.25">
      <c r="A1224" s="456" t="s">
        <v>1343</v>
      </c>
      <c r="B1224" s="457"/>
      <c r="C1224" s="457"/>
      <c r="D1224" s="457"/>
      <c r="E1224" s="457"/>
      <c r="F1224" s="457"/>
      <c r="G1224" s="457"/>
      <c r="H1224" s="457"/>
      <c r="I1224" s="161"/>
    </row>
    <row r="1225" spans="1:9" ht="18.95" customHeight="1" x14ac:dyDescent="0.25">
      <c r="A1225" s="450" t="s">
        <v>377</v>
      </c>
      <c r="B1225" s="451"/>
      <c r="C1225" s="119" t="s">
        <v>1007</v>
      </c>
      <c r="D1225" s="119" t="s">
        <v>1078</v>
      </c>
      <c r="E1225" s="119" t="s">
        <v>1024</v>
      </c>
      <c r="F1225" s="119" t="s">
        <v>1059</v>
      </c>
      <c r="G1225" s="119" t="s">
        <v>984</v>
      </c>
      <c r="H1225" s="162"/>
      <c r="I1225" s="161"/>
    </row>
    <row r="1226" spans="1:9" ht="12.95" customHeight="1" x14ac:dyDescent="0.25">
      <c r="A1226" s="163" t="s">
        <v>1344</v>
      </c>
      <c r="B1226" s="120" t="s">
        <v>1345</v>
      </c>
      <c r="C1226" s="227">
        <v>9.1</v>
      </c>
      <c r="D1226" s="227">
        <v>2</v>
      </c>
      <c r="E1226" s="227">
        <v>0</v>
      </c>
      <c r="F1226" s="227">
        <v>0</v>
      </c>
      <c r="G1226" s="228">
        <f>ROUND(C1226*D1226,2)</f>
        <v>18.2</v>
      </c>
      <c r="H1226" s="162"/>
      <c r="I1226" s="161"/>
    </row>
    <row r="1227" spans="1:9" ht="15" customHeight="1" x14ac:dyDescent="0.25">
      <c r="A1227" s="163" t="s">
        <v>1346</v>
      </c>
      <c r="B1227" s="120" t="s">
        <v>1347</v>
      </c>
      <c r="C1227" s="227">
        <v>0</v>
      </c>
      <c r="D1227" s="227">
        <v>31</v>
      </c>
      <c r="E1227" s="227">
        <v>0.2</v>
      </c>
      <c r="F1227" s="227">
        <v>0.8</v>
      </c>
      <c r="G1227" s="228">
        <f>ROUND(E1227*F1227*D1227,2)</f>
        <v>4.96</v>
      </c>
      <c r="H1227" s="162"/>
      <c r="I1227" s="161"/>
    </row>
    <row r="1228" spans="1:9" ht="9.9499999999999993" customHeight="1" x14ac:dyDescent="0.25">
      <c r="A1228" s="164" t="s">
        <v>377</v>
      </c>
      <c r="B1228" s="121"/>
      <c r="C1228" s="122"/>
      <c r="D1228" s="122"/>
      <c r="E1228" s="122"/>
      <c r="F1228" s="122"/>
      <c r="G1228" s="123">
        <f>ROUND(SUM(G1226:G1227),2)</f>
        <v>23.16</v>
      </c>
      <c r="H1228" s="162"/>
      <c r="I1228" s="161"/>
    </row>
    <row r="1229" spans="1:9" ht="12" customHeight="1" x14ac:dyDescent="0.25">
      <c r="A1229" s="452"/>
      <c r="B1229" s="453"/>
      <c r="C1229" s="453"/>
      <c r="D1229" s="162"/>
      <c r="E1229" s="162"/>
      <c r="F1229" s="162"/>
      <c r="G1229" s="162"/>
      <c r="H1229" s="162"/>
      <c r="I1229" s="161"/>
    </row>
    <row r="1230" spans="1:9" ht="12" customHeight="1" x14ac:dyDescent="0.25">
      <c r="A1230" s="461" t="s">
        <v>4299</v>
      </c>
      <c r="B1230" s="462"/>
      <c r="C1230" s="462"/>
      <c r="D1230" s="458" t="str">
        <f>"TOTAL DA MEMÓRIA DE CÁLCULO: "&amp;TEXT(ROUND(SUM(G1228),2),"0,00")</f>
        <v>TOTAL DA MEMÓRIA DE CÁLCULO: 23,16</v>
      </c>
      <c r="E1230" s="458"/>
      <c r="F1230" s="458"/>
      <c r="G1230" s="458"/>
      <c r="H1230" s="458"/>
      <c r="I1230" s="161"/>
    </row>
    <row r="1231" spans="1:9" ht="9.9499999999999993" customHeight="1" x14ac:dyDescent="0.25">
      <c r="A1231" s="461"/>
      <c r="B1231" s="462"/>
      <c r="C1231" s="462"/>
      <c r="D1231" s="162"/>
      <c r="E1231" s="162"/>
      <c r="F1231" s="162"/>
      <c r="G1231" s="162"/>
      <c r="H1231" s="162"/>
      <c r="I1231" s="161"/>
    </row>
    <row r="1232" spans="1:9" ht="30.95" customHeight="1" x14ac:dyDescent="0.25">
      <c r="A1232" s="452"/>
      <c r="B1232" s="453"/>
      <c r="C1232" s="453"/>
      <c r="D1232" s="453"/>
      <c r="E1232" s="162"/>
      <c r="F1232" s="162"/>
      <c r="G1232" s="162"/>
      <c r="H1232" s="162"/>
      <c r="I1232" s="161"/>
    </row>
    <row r="1233" spans="1:9" ht="15" customHeight="1" x14ac:dyDescent="0.25">
      <c r="A1233" s="456" t="s">
        <v>1348</v>
      </c>
      <c r="B1233" s="457"/>
      <c r="C1233" s="457"/>
      <c r="D1233" s="457"/>
      <c r="E1233" s="457"/>
      <c r="F1233" s="457"/>
      <c r="G1233" s="457"/>
      <c r="H1233" s="457"/>
      <c r="I1233" s="161"/>
    </row>
    <row r="1234" spans="1:9" ht="12.95" customHeight="1" x14ac:dyDescent="0.25">
      <c r="A1234" s="450" t="s">
        <v>377</v>
      </c>
      <c r="B1234" s="451"/>
      <c r="C1234" s="119" t="s">
        <v>1024</v>
      </c>
      <c r="D1234" s="119" t="s">
        <v>1059</v>
      </c>
      <c r="E1234" s="119" t="s">
        <v>1078</v>
      </c>
      <c r="F1234" s="119" t="s">
        <v>984</v>
      </c>
      <c r="G1234" s="162"/>
      <c r="H1234" s="162"/>
      <c r="I1234" s="161"/>
    </row>
    <row r="1235" spans="1:9" ht="18.95" customHeight="1" x14ac:dyDescent="0.25">
      <c r="A1235" s="163" t="s">
        <v>153</v>
      </c>
      <c r="B1235" s="120" t="s">
        <v>1200</v>
      </c>
      <c r="C1235" s="227">
        <v>8.2200000000000006</v>
      </c>
      <c r="D1235" s="227">
        <v>13.9</v>
      </c>
      <c r="E1235" s="227">
        <v>0</v>
      </c>
      <c r="F1235" s="228">
        <f>ROUND(C1235*D1235,2)</f>
        <v>114.26</v>
      </c>
      <c r="G1235" s="162"/>
      <c r="H1235" s="162"/>
      <c r="I1235" s="161"/>
    </row>
    <row r="1236" spans="1:9" ht="12.95" customHeight="1" x14ac:dyDescent="0.25">
      <c r="A1236" s="163" t="s">
        <v>1336</v>
      </c>
      <c r="B1236" s="120" t="s">
        <v>1203</v>
      </c>
      <c r="C1236" s="227">
        <v>0.8</v>
      </c>
      <c r="D1236" s="227">
        <v>7.2</v>
      </c>
      <c r="E1236" s="227">
        <v>0</v>
      </c>
      <c r="F1236" s="228">
        <f>ROUND(C1236*D1236*2,2)</f>
        <v>11.52</v>
      </c>
      <c r="G1236" s="162"/>
      <c r="H1236" s="162"/>
      <c r="I1236" s="161"/>
    </row>
    <row r="1237" spans="1:9" ht="12.95" customHeight="1" x14ac:dyDescent="0.25">
      <c r="A1237" s="163" t="s">
        <v>1337</v>
      </c>
      <c r="B1237" s="120" t="s">
        <v>1338</v>
      </c>
      <c r="C1237" s="227">
        <v>2.79</v>
      </c>
      <c r="D1237" s="227">
        <v>1.34</v>
      </c>
      <c r="E1237" s="227">
        <v>1</v>
      </c>
      <c r="F1237" s="228">
        <f>ROUND(-E1237*C1237*D1237,2)</f>
        <v>-3.74</v>
      </c>
      <c r="G1237" s="162"/>
      <c r="H1237" s="162"/>
      <c r="I1237" s="161"/>
    </row>
    <row r="1238" spans="1:9" ht="12.95" customHeight="1" x14ac:dyDescent="0.25">
      <c r="A1238" s="163" t="s">
        <v>1339</v>
      </c>
      <c r="B1238" s="120" t="s">
        <v>1338</v>
      </c>
      <c r="C1238" s="227">
        <v>1.69</v>
      </c>
      <c r="D1238" s="227">
        <v>0.96</v>
      </c>
      <c r="E1238" s="227">
        <v>3</v>
      </c>
      <c r="F1238" s="228">
        <f>ROUND(-E1238*C1238*D1238,2)</f>
        <v>-4.87</v>
      </c>
      <c r="G1238" s="162"/>
      <c r="H1238" s="162"/>
      <c r="I1238" s="161"/>
    </row>
    <row r="1239" spans="1:9" ht="12.95" customHeight="1" x14ac:dyDescent="0.25">
      <c r="A1239" s="163" t="s">
        <v>1340</v>
      </c>
      <c r="B1239" s="120" t="s">
        <v>1338</v>
      </c>
      <c r="C1239" s="227">
        <v>1.92</v>
      </c>
      <c r="D1239" s="227">
        <v>0.98</v>
      </c>
      <c r="E1239" s="227">
        <v>3</v>
      </c>
      <c r="F1239" s="228">
        <f>ROUND(-E1239*C1239*D1239,2)</f>
        <v>-5.64</v>
      </c>
      <c r="G1239" s="162"/>
      <c r="H1239" s="162"/>
      <c r="I1239" s="161"/>
    </row>
    <row r="1240" spans="1:9" ht="15" customHeight="1" x14ac:dyDescent="0.25">
      <c r="A1240" s="163" t="s">
        <v>1341</v>
      </c>
      <c r="B1240" s="120" t="s">
        <v>1338</v>
      </c>
      <c r="C1240" s="227">
        <v>2.0099999999999998</v>
      </c>
      <c r="D1240" s="227">
        <v>1.2</v>
      </c>
      <c r="E1240" s="227">
        <v>1</v>
      </c>
      <c r="F1240" s="228">
        <f>ROUND(-E1240*C1240*D1240,2)</f>
        <v>-2.41</v>
      </c>
      <c r="G1240" s="162"/>
      <c r="H1240" s="162"/>
      <c r="I1240" s="161"/>
    </row>
    <row r="1241" spans="1:9" ht="9.9499999999999993" customHeight="1" x14ac:dyDescent="0.25">
      <c r="A1241" s="164" t="s">
        <v>377</v>
      </c>
      <c r="B1241" s="121"/>
      <c r="C1241" s="122"/>
      <c r="D1241" s="122"/>
      <c r="E1241" s="122"/>
      <c r="F1241" s="123">
        <f>ROUND(SUM(F1235:F1240),2)</f>
        <v>109.12</v>
      </c>
      <c r="G1241" s="162"/>
      <c r="H1241" s="162"/>
      <c r="I1241" s="161"/>
    </row>
    <row r="1242" spans="1:9" ht="12" customHeight="1" x14ac:dyDescent="0.25">
      <c r="A1242" s="452"/>
      <c r="B1242" s="453"/>
      <c r="C1242" s="453"/>
      <c r="D1242" s="162"/>
      <c r="E1242" s="162"/>
      <c r="F1242" s="162"/>
      <c r="G1242" s="162"/>
      <c r="H1242" s="162"/>
      <c r="I1242" s="161"/>
    </row>
    <row r="1243" spans="1:9" ht="12" customHeight="1" x14ac:dyDescent="0.25">
      <c r="A1243" s="461" t="s">
        <v>4299</v>
      </c>
      <c r="B1243" s="462"/>
      <c r="C1243" s="462"/>
      <c r="D1243" s="458" t="str">
        <f>"TOTAL DA MEMÓRIA DE CÁLCULO: "&amp;TEXT(ROUND(SUM(F1241),2),"0,00")</f>
        <v>TOTAL DA MEMÓRIA DE CÁLCULO: 109,12</v>
      </c>
      <c r="E1243" s="458"/>
      <c r="F1243" s="458"/>
      <c r="G1243" s="458"/>
      <c r="H1243" s="458"/>
      <c r="I1243" s="161"/>
    </row>
    <row r="1244" spans="1:9" ht="9.9499999999999993" customHeight="1" x14ac:dyDescent="0.25">
      <c r="A1244" s="461"/>
      <c r="B1244" s="462"/>
      <c r="C1244" s="462"/>
      <c r="D1244" s="162"/>
      <c r="E1244" s="162"/>
      <c r="F1244" s="162"/>
      <c r="G1244" s="162"/>
      <c r="H1244" s="162"/>
      <c r="I1244" s="161"/>
    </row>
    <row r="1245" spans="1:9" ht="30.95" customHeight="1" x14ac:dyDescent="0.25">
      <c r="A1245" s="452"/>
      <c r="B1245" s="453"/>
      <c r="C1245" s="453"/>
      <c r="D1245" s="453"/>
      <c r="E1245" s="162"/>
      <c r="F1245" s="162"/>
      <c r="G1245" s="162"/>
      <c r="H1245" s="162"/>
      <c r="I1245" s="161"/>
    </row>
    <row r="1246" spans="1:9" ht="15" customHeight="1" x14ac:dyDescent="0.25">
      <c r="A1246" s="456" t="s">
        <v>1349</v>
      </c>
      <c r="B1246" s="457"/>
      <c r="C1246" s="457"/>
      <c r="D1246" s="457"/>
      <c r="E1246" s="457"/>
      <c r="F1246" s="457"/>
      <c r="G1246" s="457"/>
      <c r="H1246" s="457"/>
      <c r="I1246" s="161"/>
    </row>
    <row r="1247" spans="1:9" ht="12.95" customHeight="1" x14ac:dyDescent="0.25">
      <c r="A1247" s="450" t="s">
        <v>377</v>
      </c>
      <c r="B1247" s="451"/>
      <c r="C1247" s="119" t="s">
        <v>1024</v>
      </c>
      <c r="D1247" s="119" t="s">
        <v>1059</v>
      </c>
      <c r="E1247" s="119" t="s">
        <v>984</v>
      </c>
      <c r="F1247" s="162"/>
      <c r="G1247" s="162"/>
      <c r="H1247" s="162"/>
      <c r="I1247" s="161"/>
    </row>
    <row r="1248" spans="1:9" ht="18.95" customHeight="1" x14ac:dyDescent="0.25">
      <c r="A1248" s="163" t="s">
        <v>153</v>
      </c>
      <c r="B1248" s="120" t="s">
        <v>1200</v>
      </c>
      <c r="C1248" s="227">
        <v>8.2200000000000006</v>
      </c>
      <c r="D1248" s="227">
        <v>13.9</v>
      </c>
      <c r="E1248" s="228">
        <f>ROUND(C1248*D1248,2)</f>
        <v>114.26</v>
      </c>
      <c r="F1248" s="162"/>
      <c r="G1248" s="162"/>
      <c r="H1248" s="162"/>
      <c r="I1248" s="161"/>
    </row>
    <row r="1249" spans="1:9" ht="15" customHeight="1" x14ac:dyDescent="0.25">
      <c r="A1249" s="163" t="s">
        <v>1336</v>
      </c>
      <c r="B1249" s="120" t="s">
        <v>1203</v>
      </c>
      <c r="C1249" s="227">
        <v>0.8</v>
      </c>
      <c r="D1249" s="227">
        <v>7.2</v>
      </c>
      <c r="E1249" s="228">
        <f>ROUND(C1249*D1249*2,2)</f>
        <v>11.52</v>
      </c>
      <c r="F1249" s="162"/>
      <c r="G1249" s="162"/>
      <c r="H1249" s="162"/>
      <c r="I1249" s="161"/>
    </row>
    <row r="1250" spans="1:9" ht="9.9499999999999993" customHeight="1" x14ac:dyDescent="0.25">
      <c r="A1250" s="164" t="s">
        <v>377</v>
      </c>
      <c r="B1250" s="121"/>
      <c r="C1250" s="122"/>
      <c r="D1250" s="122"/>
      <c r="E1250" s="123">
        <f>ROUND(SUM(E1248:E1249),2)</f>
        <v>125.78</v>
      </c>
      <c r="F1250" s="162"/>
      <c r="G1250" s="162"/>
      <c r="H1250" s="162"/>
      <c r="I1250" s="161"/>
    </row>
    <row r="1251" spans="1:9" ht="15" customHeight="1" x14ac:dyDescent="0.25">
      <c r="A1251" s="452"/>
      <c r="B1251" s="453"/>
      <c r="C1251" s="453"/>
      <c r="D1251" s="162"/>
      <c r="E1251" s="162"/>
      <c r="F1251" s="162"/>
      <c r="G1251" s="162"/>
      <c r="H1251" s="162"/>
      <c r="I1251" s="161"/>
    </row>
    <row r="1252" spans="1:9" ht="12.95" customHeight="1" x14ac:dyDescent="0.25">
      <c r="A1252" s="450" t="s">
        <v>377</v>
      </c>
      <c r="B1252" s="451"/>
      <c r="C1252" s="119" t="s">
        <v>1078</v>
      </c>
      <c r="D1252" s="119" t="s">
        <v>1024</v>
      </c>
      <c r="E1252" s="119" t="s">
        <v>1059</v>
      </c>
      <c r="F1252" s="119" t="s">
        <v>984</v>
      </c>
      <c r="G1252" s="162"/>
      <c r="H1252" s="162"/>
      <c r="I1252" s="161"/>
    </row>
    <row r="1253" spans="1:9" ht="12.95" customHeight="1" x14ac:dyDescent="0.25">
      <c r="A1253" s="163" t="s">
        <v>1206</v>
      </c>
      <c r="B1253" s="120" t="s">
        <v>1338</v>
      </c>
      <c r="C1253" s="227">
        <v>1</v>
      </c>
      <c r="D1253" s="227">
        <v>2.79</v>
      </c>
      <c r="E1253" s="227">
        <v>1.34</v>
      </c>
      <c r="F1253" s="228">
        <f>ROUND(-C1253*D1253*E1253,2)</f>
        <v>-3.74</v>
      </c>
      <c r="G1253" s="162"/>
      <c r="H1253" s="162"/>
      <c r="I1253" s="161"/>
    </row>
    <row r="1254" spans="1:9" ht="12.95" customHeight="1" x14ac:dyDescent="0.25">
      <c r="A1254" s="163" t="s">
        <v>1237</v>
      </c>
      <c r="B1254" s="120" t="s">
        <v>1338</v>
      </c>
      <c r="C1254" s="227">
        <v>3</v>
      </c>
      <c r="D1254" s="227">
        <v>1.69</v>
      </c>
      <c r="E1254" s="227">
        <v>0.96</v>
      </c>
      <c r="F1254" s="228">
        <f>ROUND(-C1254*D1254*E1254,2)</f>
        <v>-4.87</v>
      </c>
      <c r="G1254" s="162"/>
      <c r="H1254" s="162"/>
      <c r="I1254" s="161"/>
    </row>
    <row r="1255" spans="1:9" ht="12.95" customHeight="1" x14ac:dyDescent="0.25">
      <c r="A1255" s="163" t="s">
        <v>1350</v>
      </c>
      <c r="B1255" s="120" t="s">
        <v>1338</v>
      </c>
      <c r="C1255" s="227">
        <v>3</v>
      </c>
      <c r="D1255" s="227">
        <v>1.92</v>
      </c>
      <c r="E1255" s="227">
        <v>0.98</v>
      </c>
      <c r="F1255" s="228">
        <f>ROUND(-C1255*D1255*E1255,2)</f>
        <v>-5.64</v>
      </c>
      <c r="G1255" s="162"/>
      <c r="H1255" s="162"/>
      <c r="I1255" s="161"/>
    </row>
    <row r="1256" spans="1:9" ht="15" customHeight="1" x14ac:dyDescent="0.25">
      <c r="A1256" s="163" t="s">
        <v>1351</v>
      </c>
      <c r="B1256" s="120" t="s">
        <v>1338</v>
      </c>
      <c r="C1256" s="227">
        <v>1</v>
      </c>
      <c r="D1256" s="227">
        <v>2.0099999999999998</v>
      </c>
      <c r="E1256" s="227">
        <v>1.2</v>
      </c>
      <c r="F1256" s="228">
        <f>ROUND(-C1256*D1256*E1256,2)</f>
        <v>-2.41</v>
      </c>
      <c r="G1256" s="162"/>
      <c r="H1256" s="162"/>
      <c r="I1256" s="161"/>
    </row>
    <row r="1257" spans="1:9" ht="9.9499999999999993" customHeight="1" x14ac:dyDescent="0.25">
      <c r="A1257" s="164" t="s">
        <v>377</v>
      </c>
      <c r="B1257" s="121"/>
      <c r="C1257" s="122"/>
      <c r="D1257" s="122"/>
      <c r="E1257" s="122"/>
      <c r="F1257" s="123">
        <f>ROUND(SUM(F1253:F1256),2)</f>
        <v>-16.66</v>
      </c>
      <c r="G1257" s="162"/>
      <c r="H1257" s="162"/>
      <c r="I1257" s="161"/>
    </row>
    <row r="1258" spans="1:9" ht="12" customHeight="1" x14ac:dyDescent="0.25">
      <c r="A1258" s="452"/>
      <c r="B1258" s="453"/>
      <c r="C1258" s="453"/>
      <c r="D1258" s="162"/>
      <c r="E1258" s="162"/>
      <c r="F1258" s="162"/>
      <c r="G1258" s="162"/>
      <c r="H1258" s="162"/>
      <c r="I1258" s="161"/>
    </row>
    <row r="1259" spans="1:9" ht="12" customHeight="1" x14ac:dyDescent="0.25">
      <c r="A1259" s="461" t="s">
        <v>4299</v>
      </c>
      <c r="B1259" s="462"/>
      <c r="C1259" s="462"/>
      <c r="D1259" s="458" t="str">
        <f>"TOTAL DA MEMÓRIA DE CÁLCULO: "&amp;TEXT(ROUND(SUM(E1250,F1257),2),"0,00")</f>
        <v>TOTAL DA MEMÓRIA DE CÁLCULO: 109,12</v>
      </c>
      <c r="E1259" s="458"/>
      <c r="F1259" s="458"/>
      <c r="G1259" s="458"/>
      <c r="H1259" s="458"/>
      <c r="I1259" s="161"/>
    </row>
    <row r="1260" spans="1:9" ht="9.9499999999999993" customHeight="1" x14ac:dyDescent="0.25">
      <c r="A1260" s="461"/>
      <c r="B1260" s="462"/>
      <c r="C1260" s="462"/>
      <c r="D1260" s="162"/>
      <c r="E1260" s="162"/>
      <c r="F1260" s="162"/>
      <c r="G1260" s="162"/>
      <c r="H1260" s="162"/>
      <c r="I1260" s="161"/>
    </row>
    <row r="1261" spans="1:9" ht="42.95" customHeight="1" x14ac:dyDescent="0.25">
      <c r="A1261" s="452"/>
      <c r="B1261" s="453"/>
      <c r="C1261" s="453"/>
      <c r="D1261" s="453"/>
      <c r="E1261" s="162"/>
      <c r="F1261" s="162"/>
      <c r="G1261" s="162"/>
      <c r="H1261" s="162"/>
      <c r="I1261" s="161"/>
    </row>
    <row r="1262" spans="1:9" ht="15" customHeight="1" x14ac:dyDescent="0.25">
      <c r="A1262" s="456" t="s">
        <v>1352</v>
      </c>
      <c r="B1262" s="457"/>
      <c r="C1262" s="457"/>
      <c r="D1262" s="457"/>
      <c r="E1262" s="457"/>
      <c r="F1262" s="457"/>
      <c r="G1262" s="457"/>
      <c r="H1262" s="457"/>
      <c r="I1262" s="161"/>
    </row>
    <row r="1263" spans="1:9" ht="12.95" customHeight="1" x14ac:dyDescent="0.25">
      <c r="A1263" s="450" t="s">
        <v>377</v>
      </c>
      <c r="B1263" s="451"/>
      <c r="C1263" s="119" t="s">
        <v>1007</v>
      </c>
      <c r="D1263" s="119" t="s">
        <v>1078</v>
      </c>
      <c r="E1263" s="119" t="s">
        <v>984</v>
      </c>
      <c r="F1263" s="162"/>
      <c r="G1263" s="162"/>
      <c r="H1263" s="162"/>
      <c r="I1263" s="161"/>
    </row>
    <row r="1264" spans="1:9" ht="12.95" customHeight="1" x14ac:dyDescent="0.25">
      <c r="A1264" s="163" t="s">
        <v>1353</v>
      </c>
      <c r="B1264" s="120" t="s">
        <v>1345</v>
      </c>
      <c r="C1264" s="227">
        <v>9.15</v>
      </c>
      <c r="D1264" s="227">
        <v>2</v>
      </c>
      <c r="E1264" s="228">
        <f>ROUND(C1264*D1264,2)</f>
        <v>18.3</v>
      </c>
      <c r="F1264" s="162"/>
      <c r="G1264" s="162"/>
      <c r="H1264" s="162"/>
      <c r="I1264" s="161"/>
    </row>
    <row r="1265" spans="1:9" ht="18.95" customHeight="1" x14ac:dyDescent="0.25">
      <c r="A1265" s="163" t="s">
        <v>1354</v>
      </c>
      <c r="B1265" s="120" t="s">
        <v>1345</v>
      </c>
      <c r="C1265" s="227">
        <v>4.3</v>
      </c>
      <c r="D1265" s="227">
        <v>2</v>
      </c>
      <c r="E1265" s="228">
        <f>ROUND(C1265*D1265,2)</f>
        <v>8.6</v>
      </c>
      <c r="F1265" s="162"/>
      <c r="G1265" s="162"/>
      <c r="H1265" s="162"/>
      <c r="I1265" s="161"/>
    </row>
    <row r="1266" spans="1:9" ht="15" customHeight="1" x14ac:dyDescent="0.25">
      <c r="A1266" s="163" t="s">
        <v>1355</v>
      </c>
      <c r="B1266" s="120" t="s">
        <v>1356</v>
      </c>
      <c r="C1266" s="227">
        <v>1.5</v>
      </c>
      <c r="D1266" s="227">
        <v>1</v>
      </c>
      <c r="E1266" s="228">
        <f>ROUND(-C1266*D1266,2)</f>
        <v>-1.5</v>
      </c>
      <c r="F1266" s="162"/>
      <c r="G1266" s="162"/>
      <c r="H1266" s="162"/>
      <c r="I1266" s="161"/>
    </row>
    <row r="1267" spans="1:9" ht="9.9499999999999993" customHeight="1" x14ac:dyDescent="0.25">
      <c r="A1267" s="164" t="s">
        <v>377</v>
      </c>
      <c r="B1267" s="121"/>
      <c r="C1267" s="122"/>
      <c r="D1267" s="122"/>
      <c r="E1267" s="123">
        <f>ROUND(SUM(E1264:E1266),2)</f>
        <v>25.4</v>
      </c>
      <c r="F1267" s="162"/>
      <c r="G1267" s="162"/>
      <c r="H1267" s="162"/>
      <c r="I1267" s="161"/>
    </row>
    <row r="1268" spans="1:9" ht="12" customHeight="1" x14ac:dyDescent="0.25">
      <c r="A1268" s="452"/>
      <c r="B1268" s="453"/>
      <c r="C1268" s="453"/>
      <c r="D1268" s="162"/>
      <c r="E1268" s="162"/>
      <c r="F1268" s="162"/>
      <c r="G1268" s="162"/>
      <c r="H1268" s="162"/>
      <c r="I1268" s="161"/>
    </row>
    <row r="1269" spans="1:9" ht="12" customHeight="1" x14ac:dyDescent="0.25">
      <c r="A1269" s="461" t="s">
        <v>4299</v>
      </c>
      <c r="B1269" s="462"/>
      <c r="C1269" s="462"/>
      <c r="D1269" s="458" t="str">
        <f>"TOTAL DA MEMÓRIA DE CÁLCULO: "&amp;TEXT(ROUND(SUM(E1267),2),"0,00")</f>
        <v>TOTAL DA MEMÓRIA DE CÁLCULO: 25,40</v>
      </c>
      <c r="E1269" s="458"/>
      <c r="F1269" s="458"/>
      <c r="G1269" s="458"/>
      <c r="H1269" s="458"/>
      <c r="I1269" s="161"/>
    </row>
    <row r="1270" spans="1:9" ht="9.9499999999999993" customHeight="1" x14ac:dyDescent="0.25">
      <c r="A1270" s="461"/>
      <c r="B1270" s="462"/>
      <c r="C1270" s="462"/>
      <c r="D1270" s="162"/>
      <c r="E1270" s="162"/>
      <c r="F1270" s="162"/>
      <c r="G1270" s="162"/>
      <c r="H1270" s="162"/>
      <c r="I1270" s="161"/>
    </row>
    <row r="1271" spans="1:9" ht="42.95" customHeight="1" x14ac:dyDescent="0.25">
      <c r="A1271" s="452"/>
      <c r="B1271" s="453"/>
      <c r="C1271" s="453"/>
      <c r="D1271" s="453"/>
      <c r="E1271" s="162"/>
      <c r="F1271" s="162"/>
      <c r="G1271" s="162"/>
      <c r="H1271" s="162"/>
      <c r="I1271" s="161"/>
    </row>
    <row r="1272" spans="1:9" ht="15" customHeight="1" x14ac:dyDescent="0.25">
      <c r="A1272" s="456" t="s">
        <v>1357</v>
      </c>
      <c r="B1272" s="457"/>
      <c r="C1272" s="457"/>
      <c r="D1272" s="457"/>
      <c r="E1272" s="457"/>
      <c r="F1272" s="457"/>
      <c r="G1272" s="457"/>
      <c r="H1272" s="457"/>
      <c r="I1272" s="161"/>
    </row>
    <row r="1273" spans="1:9" ht="12.95" customHeight="1" x14ac:dyDescent="0.25">
      <c r="A1273" s="450" t="s">
        <v>377</v>
      </c>
      <c r="B1273" s="451"/>
      <c r="C1273" s="119" t="s">
        <v>1007</v>
      </c>
      <c r="D1273" s="119" t="s">
        <v>1358</v>
      </c>
      <c r="E1273" s="119" t="s">
        <v>984</v>
      </c>
      <c r="F1273" s="162"/>
      <c r="G1273" s="162"/>
      <c r="H1273" s="162"/>
      <c r="I1273" s="161"/>
    </row>
    <row r="1274" spans="1:9" ht="6" customHeight="1" x14ac:dyDescent="0.25">
      <c r="A1274" s="163" t="s">
        <v>1359</v>
      </c>
      <c r="B1274" s="120" t="s">
        <v>1360</v>
      </c>
      <c r="C1274" s="459">
        <v>117.17</v>
      </c>
      <c r="D1274" s="459">
        <v>2.5000000000000001E-2</v>
      </c>
      <c r="E1274" s="460">
        <f>ROUND(C1274*D1274,2)</f>
        <v>2.93</v>
      </c>
      <c r="F1274" s="162"/>
      <c r="G1274" s="162"/>
      <c r="H1274" s="162"/>
      <c r="I1274" s="161"/>
    </row>
    <row r="1275" spans="1:9" ht="15" customHeight="1" x14ac:dyDescent="0.25">
      <c r="A1275" s="166"/>
      <c r="B1275" s="124"/>
      <c r="C1275" s="459"/>
      <c r="D1275" s="459"/>
      <c r="E1275" s="460"/>
      <c r="F1275" s="162"/>
      <c r="G1275" s="162"/>
      <c r="H1275" s="162"/>
      <c r="I1275" s="161"/>
    </row>
    <row r="1276" spans="1:9" ht="9.9499999999999993" customHeight="1" x14ac:dyDescent="0.25">
      <c r="A1276" s="164" t="s">
        <v>377</v>
      </c>
      <c r="B1276" s="121"/>
      <c r="C1276" s="122"/>
      <c r="D1276" s="122"/>
      <c r="E1276" s="123">
        <f>ROUND(SUM(E1274:E1275),2)</f>
        <v>2.93</v>
      </c>
      <c r="F1276" s="162"/>
      <c r="G1276" s="162"/>
      <c r="H1276" s="162"/>
      <c r="I1276" s="161"/>
    </row>
    <row r="1277" spans="1:9" ht="12" customHeight="1" x14ac:dyDescent="0.25">
      <c r="A1277" s="452"/>
      <c r="B1277" s="453"/>
      <c r="C1277" s="453"/>
      <c r="D1277" s="162"/>
      <c r="E1277" s="162"/>
      <c r="F1277" s="162"/>
      <c r="G1277" s="162"/>
      <c r="H1277" s="162"/>
      <c r="I1277" s="161"/>
    </row>
    <row r="1278" spans="1:9" ht="12" customHeight="1" x14ac:dyDescent="0.25">
      <c r="A1278" s="461" t="s">
        <v>4299</v>
      </c>
      <c r="B1278" s="462"/>
      <c r="C1278" s="462"/>
      <c r="D1278" s="458" t="str">
        <f>"TOTAL DA MEMÓRIA DE CÁLCULO: "&amp;TEXT(ROUND(SUM(E1276),2),"0,00")</f>
        <v>TOTAL DA MEMÓRIA DE CÁLCULO: 2,93</v>
      </c>
      <c r="E1278" s="458"/>
      <c r="F1278" s="458"/>
      <c r="G1278" s="458"/>
      <c r="H1278" s="458"/>
      <c r="I1278" s="161"/>
    </row>
    <row r="1279" spans="1:9" ht="9.9499999999999993" customHeight="1" x14ac:dyDescent="0.25">
      <c r="A1279" s="461"/>
      <c r="B1279" s="462"/>
      <c r="C1279" s="462"/>
      <c r="D1279" s="162"/>
      <c r="E1279" s="162"/>
      <c r="F1279" s="162"/>
      <c r="G1279" s="162"/>
      <c r="H1279" s="162"/>
      <c r="I1279" s="161"/>
    </row>
    <row r="1280" spans="1:9" ht="20.100000000000001" customHeight="1" x14ac:dyDescent="0.25">
      <c r="A1280" s="452"/>
      <c r="B1280" s="453"/>
      <c r="C1280" s="453"/>
      <c r="D1280" s="453"/>
      <c r="E1280" s="162"/>
      <c r="F1280" s="162"/>
      <c r="G1280" s="162"/>
      <c r="H1280" s="162"/>
      <c r="I1280" s="161"/>
    </row>
    <row r="1281" spans="1:9" ht="9.9499999999999993" customHeight="1" x14ac:dyDescent="0.25">
      <c r="A1281" s="456" t="s">
        <v>1361</v>
      </c>
      <c r="B1281" s="457"/>
      <c r="C1281" s="457"/>
      <c r="D1281" s="457"/>
      <c r="E1281" s="457"/>
      <c r="F1281" s="457"/>
      <c r="G1281" s="457"/>
      <c r="H1281" s="457"/>
      <c r="I1281" s="161"/>
    </row>
    <row r="1282" spans="1:9" ht="20.100000000000001" customHeight="1" x14ac:dyDescent="0.25">
      <c r="A1282" s="452"/>
      <c r="B1282" s="453"/>
      <c r="C1282" s="453"/>
      <c r="D1282" s="162"/>
      <c r="E1282" s="162"/>
      <c r="F1282" s="162"/>
      <c r="G1282" s="162"/>
      <c r="H1282" s="162"/>
      <c r="I1282" s="161"/>
    </row>
    <row r="1283" spans="1:9" ht="15" customHeight="1" x14ac:dyDescent="0.25">
      <c r="A1283" s="456" t="s">
        <v>1362</v>
      </c>
      <c r="B1283" s="457"/>
      <c r="C1283" s="457"/>
      <c r="D1283" s="457"/>
      <c r="E1283" s="457"/>
      <c r="F1283" s="457"/>
      <c r="G1283" s="457"/>
      <c r="H1283" s="457"/>
      <c r="I1283" s="161"/>
    </row>
    <row r="1284" spans="1:9" ht="12.95" customHeight="1" x14ac:dyDescent="0.25">
      <c r="A1284" s="450" t="s">
        <v>387</v>
      </c>
      <c r="B1284" s="451"/>
      <c r="C1284" s="119" t="s">
        <v>1024</v>
      </c>
      <c r="D1284" s="119" t="s">
        <v>1059</v>
      </c>
      <c r="E1284" s="119" t="s">
        <v>984</v>
      </c>
      <c r="F1284" s="162"/>
      <c r="G1284" s="162"/>
      <c r="H1284" s="162"/>
      <c r="I1284" s="161"/>
    </row>
    <row r="1285" spans="1:9" ht="18.95" customHeight="1" x14ac:dyDescent="0.25">
      <c r="A1285" s="163" t="s">
        <v>153</v>
      </c>
      <c r="B1285" s="120" t="s">
        <v>1200</v>
      </c>
      <c r="C1285" s="227">
        <v>4.1100000000000003</v>
      </c>
      <c r="D1285" s="227">
        <v>10.92</v>
      </c>
      <c r="E1285" s="228">
        <f>ROUND(C1285*D1285,2)</f>
        <v>44.88</v>
      </c>
      <c r="F1285" s="162"/>
      <c r="G1285" s="162"/>
      <c r="H1285" s="162"/>
      <c r="I1285" s="161"/>
    </row>
    <row r="1286" spans="1:9" ht="15" customHeight="1" x14ac:dyDescent="0.25">
      <c r="A1286" s="163" t="s">
        <v>1336</v>
      </c>
      <c r="B1286" s="120" t="s">
        <v>1203</v>
      </c>
      <c r="C1286" s="227">
        <v>0.8</v>
      </c>
      <c r="D1286" s="227">
        <v>5.22</v>
      </c>
      <c r="E1286" s="228">
        <f>ROUND(C1286*D1286*2,2)</f>
        <v>8.35</v>
      </c>
      <c r="F1286" s="162"/>
      <c r="G1286" s="162"/>
      <c r="H1286" s="162"/>
      <c r="I1286" s="161"/>
    </row>
    <row r="1287" spans="1:9" ht="9.9499999999999993" customHeight="1" x14ac:dyDescent="0.25">
      <c r="A1287" s="164" t="s">
        <v>387</v>
      </c>
      <c r="B1287" s="121"/>
      <c r="C1287" s="122"/>
      <c r="D1287" s="122"/>
      <c r="E1287" s="123">
        <f>ROUND(SUM(E1285:E1286),2)</f>
        <v>53.23</v>
      </c>
      <c r="F1287" s="162"/>
      <c r="G1287" s="162"/>
      <c r="H1287" s="162"/>
      <c r="I1287" s="161"/>
    </row>
    <row r="1288" spans="1:9" ht="15" customHeight="1" x14ac:dyDescent="0.25">
      <c r="A1288" s="452"/>
      <c r="B1288" s="453"/>
      <c r="C1288" s="453"/>
      <c r="D1288" s="162"/>
      <c r="E1288" s="162"/>
      <c r="F1288" s="162"/>
      <c r="G1288" s="162"/>
      <c r="H1288" s="162"/>
      <c r="I1288" s="161"/>
    </row>
    <row r="1289" spans="1:9" ht="12.95" customHeight="1" x14ac:dyDescent="0.25">
      <c r="A1289" s="450" t="s">
        <v>377</v>
      </c>
      <c r="B1289" s="451"/>
      <c r="C1289" s="119" t="s">
        <v>1078</v>
      </c>
      <c r="D1289" s="119" t="s">
        <v>1024</v>
      </c>
      <c r="E1289" s="119" t="s">
        <v>1059</v>
      </c>
      <c r="F1289" s="119" t="s">
        <v>984</v>
      </c>
      <c r="G1289" s="162"/>
      <c r="H1289" s="162"/>
      <c r="I1289" s="161"/>
    </row>
    <row r="1290" spans="1:9" ht="12.95" customHeight="1" x14ac:dyDescent="0.25">
      <c r="A1290" s="163" t="s">
        <v>1215</v>
      </c>
      <c r="B1290" s="120" t="s">
        <v>1338</v>
      </c>
      <c r="C1290" s="227">
        <v>1</v>
      </c>
      <c r="D1290" s="227">
        <v>2.85</v>
      </c>
      <c r="E1290" s="227">
        <v>1.39</v>
      </c>
      <c r="F1290" s="228">
        <f>ROUND(-C1290*D1290*E1290,2)</f>
        <v>-3.96</v>
      </c>
      <c r="G1290" s="162"/>
      <c r="H1290" s="162"/>
      <c r="I1290" s="161"/>
    </row>
    <row r="1291" spans="1:9" ht="15" customHeight="1" x14ac:dyDescent="0.25">
      <c r="A1291" s="163" t="s">
        <v>1350</v>
      </c>
      <c r="B1291" s="120" t="s">
        <v>1338</v>
      </c>
      <c r="C1291" s="227">
        <v>3</v>
      </c>
      <c r="D1291" s="227">
        <v>1.92</v>
      </c>
      <c r="E1291" s="227">
        <v>0.98</v>
      </c>
      <c r="F1291" s="228">
        <f>ROUND(-C1291*D1291*E1291,2)</f>
        <v>-5.64</v>
      </c>
      <c r="G1291" s="162"/>
      <c r="H1291" s="162"/>
      <c r="I1291" s="161"/>
    </row>
    <row r="1292" spans="1:9" ht="9.9499999999999993" customHeight="1" x14ac:dyDescent="0.25">
      <c r="A1292" s="164" t="s">
        <v>377</v>
      </c>
      <c r="B1292" s="121"/>
      <c r="C1292" s="122"/>
      <c r="D1292" s="122"/>
      <c r="E1292" s="122"/>
      <c r="F1292" s="123">
        <f>ROUND(SUM(F1290:F1291),2)</f>
        <v>-9.6</v>
      </c>
      <c r="G1292" s="162"/>
      <c r="H1292" s="162"/>
      <c r="I1292" s="161"/>
    </row>
    <row r="1293" spans="1:9" ht="12" customHeight="1" x14ac:dyDescent="0.25">
      <c r="A1293" s="452"/>
      <c r="B1293" s="453"/>
      <c r="C1293" s="453"/>
      <c r="D1293" s="162"/>
      <c r="E1293" s="162"/>
      <c r="F1293" s="162"/>
      <c r="G1293" s="162"/>
      <c r="H1293" s="162"/>
      <c r="I1293" s="161"/>
    </row>
    <row r="1294" spans="1:9" ht="12" customHeight="1" x14ac:dyDescent="0.25">
      <c r="A1294" s="461" t="s">
        <v>4299</v>
      </c>
      <c r="B1294" s="462"/>
      <c r="C1294" s="462"/>
      <c r="D1294" s="458" t="str">
        <f>"TOTAL DA MEMÓRIA DE CÁLCULO: "&amp;TEXT(ROUND(SUM(E1287,F1292),2),"0,00")</f>
        <v>TOTAL DA MEMÓRIA DE CÁLCULO: 43,63</v>
      </c>
      <c r="E1294" s="458"/>
      <c r="F1294" s="458"/>
      <c r="G1294" s="458"/>
      <c r="H1294" s="458"/>
      <c r="I1294" s="161"/>
    </row>
    <row r="1295" spans="1:9" ht="9.9499999999999993" customHeight="1" x14ac:dyDescent="0.25">
      <c r="A1295" s="461"/>
      <c r="B1295" s="462"/>
      <c r="C1295" s="462"/>
      <c r="D1295" s="162"/>
      <c r="E1295" s="162"/>
      <c r="F1295" s="162"/>
      <c r="G1295" s="162"/>
      <c r="H1295" s="162"/>
      <c r="I1295" s="161"/>
    </row>
    <row r="1296" spans="1:9" ht="30.95" customHeight="1" x14ac:dyDescent="0.25">
      <c r="A1296" s="452"/>
      <c r="B1296" s="453"/>
      <c r="C1296" s="453"/>
      <c r="D1296" s="453"/>
      <c r="E1296" s="162"/>
      <c r="F1296" s="162"/>
      <c r="G1296" s="162"/>
      <c r="H1296" s="162"/>
      <c r="I1296" s="161"/>
    </row>
    <row r="1297" spans="1:9" ht="15" customHeight="1" x14ac:dyDescent="0.25">
      <c r="A1297" s="456" t="s">
        <v>1363</v>
      </c>
      <c r="B1297" s="457"/>
      <c r="C1297" s="457"/>
      <c r="D1297" s="457"/>
      <c r="E1297" s="457"/>
      <c r="F1297" s="457"/>
      <c r="G1297" s="457"/>
      <c r="H1297" s="457"/>
      <c r="I1297" s="161"/>
    </row>
    <row r="1298" spans="1:9" ht="12.95" customHeight="1" x14ac:dyDescent="0.25">
      <c r="A1298" s="450" t="s">
        <v>387</v>
      </c>
      <c r="B1298" s="451"/>
      <c r="C1298" s="119" t="s">
        <v>1078</v>
      </c>
      <c r="D1298" s="119" t="s">
        <v>1024</v>
      </c>
      <c r="E1298" s="119" t="s">
        <v>1059</v>
      </c>
      <c r="F1298" s="119" t="s">
        <v>984</v>
      </c>
      <c r="G1298" s="162"/>
      <c r="H1298" s="162"/>
      <c r="I1298" s="161"/>
    </row>
    <row r="1299" spans="1:9" ht="18.95" customHeight="1" x14ac:dyDescent="0.25">
      <c r="A1299" s="163" t="s">
        <v>153</v>
      </c>
      <c r="B1299" s="120" t="s">
        <v>1200</v>
      </c>
      <c r="C1299" s="227">
        <v>0</v>
      </c>
      <c r="D1299" s="227">
        <v>4.1100000000000003</v>
      </c>
      <c r="E1299" s="227">
        <v>10.92</v>
      </c>
      <c r="F1299" s="228">
        <f>ROUND(D1299*E1299,2)</f>
        <v>44.88</v>
      </c>
      <c r="G1299" s="162"/>
      <c r="H1299" s="162"/>
      <c r="I1299" s="161"/>
    </row>
    <row r="1300" spans="1:9" ht="12.95" customHeight="1" x14ac:dyDescent="0.25">
      <c r="A1300" s="163" t="s">
        <v>1336</v>
      </c>
      <c r="B1300" s="120" t="s">
        <v>1203</v>
      </c>
      <c r="C1300" s="227">
        <v>0</v>
      </c>
      <c r="D1300" s="227">
        <v>0.8</v>
      </c>
      <c r="E1300" s="227">
        <v>5.22</v>
      </c>
      <c r="F1300" s="228">
        <f>ROUND(D1300*E1300*2,2)</f>
        <v>8.35</v>
      </c>
      <c r="G1300" s="162"/>
      <c r="H1300" s="162"/>
      <c r="I1300" s="161"/>
    </row>
    <row r="1301" spans="1:9" ht="12.95" customHeight="1" x14ac:dyDescent="0.25">
      <c r="A1301" s="163" t="s">
        <v>1215</v>
      </c>
      <c r="B1301" s="120" t="s">
        <v>1338</v>
      </c>
      <c r="C1301" s="227">
        <v>1</v>
      </c>
      <c r="D1301" s="227">
        <v>2.85</v>
      </c>
      <c r="E1301" s="227">
        <v>1.39</v>
      </c>
      <c r="F1301" s="228">
        <f>ROUND(-C1301*D1301*E1301,2)</f>
        <v>-3.96</v>
      </c>
      <c r="G1301" s="162"/>
      <c r="H1301" s="162"/>
      <c r="I1301" s="161"/>
    </row>
    <row r="1302" spans="1:9" ht="15" customHeight="1" x14ac:dyDescent="0.25">
      <c r="A1302" s="163" t="s">
        <v>1350</v>
      </c>
      <c r="B1302" s="120" t="s">
        <v>1338</v>
      </c>
      <c r="C1302" s="227">
        <v>3</v>
      </c>
      <c r="D1302" s="227">
        <v>1.92</v>
      </c>
      <c r="E1302" s="227">
        <v>0.98</v>
      </c>
      <c r="F1302" s="228">
        <f>ROUND(-C1302*D1302*E1302,2)</f>
        <v>-5.64</v>
      </c>
      <c r="G1302" s="162"/>
      <c r="H1302" s="162"/>
      <c r="I1302" s="161"/>
    </row>
    <row r="1303" spans="1:9" ht="9.9499999999999993" customHeight="1" x14ac:dyDescent="0.25">
      <c r="A1303" s="164" t="s">
        <v>387</v>
      </c>
      <c r="B1303" s="121"/>
      <c r="C1303" s="122"/>
      <c r="D1303" s="122"/>
      <c r="E1303" s="122"/>
      <c r="F1303" s="123">
        <f>ROUND(SUM(F1299:F1302),2)</f>
        <v>43.63</v>
      </c>
      <c r="G1303" s="162"/>
      <c r="H1303" s="162"/>
      <c r="I1303" s="161"/>
    </row>
    <row r="1304" spans="1:9" ht="12" customHeight="1" x14ac:dyDescent="0.25">
      <c r="A1304" s="452"/>
      <c r="B1304" s="453"/>
      <c r="C1304" s="453"/>
      <c r="D1304" s="162"/>
      <c r="E1304" s="162"/>
      <c r="F1304" s="162"/>
      <c r="G1304" s="162"/>
      <c r="H1304" s="162"/>
      <c r="I1304" s="161"/>
    </row>
    <row r="1305" spans="1:9" ht="12" customHeight="1" x14ac:dyDescent="0.25">
      <c r="A1305" s="461" t="s">
        <v>4299</v>
      </c>
      <c r="B1305" s="462"/>
      <c r="C1305" s="462"/>
      <c r="D1305" s="458" t="str">
        <f>"TOTAL DA MEMÓRIA DE CÁLCULO: "&amp;TEXT(ROUND(SUM(F1303),2),"0,00")</f>
        <v>TOTAL DA MEMÓRIA DE CÁLCULO: 43,63</v>
      </c>
      <c r="E1305" s="458"/>
      <c r="F1305" s="458"/>
      <c r="G1305" s="458"/>
      <c r="H1305" s="458"/>
      <c r="I1305" s="161"/>
    </row>
    <row r="1306" spans="1:9" ht="9.9499999999999993" customHeight="1" x14ac:dyDescent="0.25">
      <c r="A1306" s="461"/>
      <c r="B1306" s="462"/>
      <c r="C1306" s="462"/>
      <c r="D1306" s="162"/>
      <c r="E1306" s="162"/>
      <c r="F1306" s="162"/>
      <c r="G1306" s="162"/>
      <c r="H1306" s="162"/>
      <c r="I1306" s="161"/>
    </row>
    <row r="1307" spans="1:9" ht="30.95" customHeight="1" x14ac:dyDescent="0.25">
      <c r="A1307" s="452"/>
      <c r="B1307" s="453"/>
      <c r="C1307" s="453"/>
      <c r="D1307" s="453"/>
      <c r="E1307" s="162"/>
      <c r="F1307" s="162"/>
      <c r="G1307" s="162"/>
      <c r="H1307" s="162"/>
      <c r="I1307" s="161"/>
    </row>
    <row r="1308" spans="1:9" ht="15" customHeight="1" x14ac:dyDescent="0.25">
      <c r="A1308" s="456" t="s">
        <v>1364</v>
      </c>
      <c r="B1308" s="457"/>
      <c r="C1308" s="457"/>
      <c r="D1308" s="457"/>
      <c r="E1308" s="457"/>
      <c r="F1308" s="457"/>
      <c r="G1308" s="457"/>
      <c r="H1308" s="457"/>
      <c r="I1308" s="161"/>
    </row>
    <row r="1309" spans="1:9" ht="12.95" customHeight="1" x14ac:dyDescent="0.25">
      <c r="A1309" s="450" t="s">
        <v>387</v>
      </c>
      <c r="B1309" s="451"/>
      <c r="C1309" s="119" t="s">
        <v>1007</v>
      </c>
      <c r="D1309" s="119" t="s">
        <v>1078</v>
      </c>
      <c r="E1309" s="119" t="s">
        <v>1024</v>
      </c>
      <c r="F1309" s="119" t="s">
        <v>1059</v>
      </c>
      <c r="G1309" s="119" t="s">
        <v>984</v>
      </c>
      <c r="H1309" s="162"/>
      <c r="I1309" s="161"/>
    </row>
    <row r="1310" spans="1:9" ht="12.95" customHeight="1" x14ac:dyDescent="0.25">
      <c r="A1310" s="163" t="s">
        <v>1365</v>
      </c>
      <c r="B1310" s="120" t="s">
        <v>1345</v>
      </c>
      <c r="C1310" s="227">
        <v>8.65</v>
      </c>
      <c r="D1310" s="227">
        <v>2</v>
      </c>
      <c r="E1310" s="227">
        <v>0</v>
      </c>
      <c r="F1310" s="227">
        <v>0</v>
      </c>
      <c r="G1310" s="228">
        <f>ROUND(C1310*D1310,2)</f>
        <v>17.3</v>
      </c>
      <c r="H1310" s="162"/>
      <c r="I1310" s="161"/>
    </row>
    <row r="1311" spans="1:9" ht="15" customHeight="1" x14ac:dyDescent="0.25">
      <c r="A1311" s="163" t="s">
        <v>1346</v>
      </c>
      <c r="B1311" s="120" t="s">
        <v>1347</v>
      </c>
      <c r="C1311" s="227">
        <v>0</v>
      </c>
      <c r="D1311" s="227">
        <v>10</v>
      </c>
      <c r="E1311" s="227">
        <v>0.2</v>
      </c>
      <c r="F1311" s="227">
        <v>0.8</v>
      </c>
      <c r="G1311" s="228">
        <f>ROUND(E1311*F1311*D1311,2)</f>
        <v>1.6</v>
      </c>
      <c r="H1311" s="162"/>
      <c r="I1311" s="161"/>
    </row>
    <row r="1312" spans="1:9" ht="9.9499999999999993" customHeight="1" x14ac:dyDescent="0.25">
      <c r="A1312" s="164" t="s">
        <v>387</v>
      </c>
      <c r="B1312" s="121"/>
      <c r="C1312" s="122"/>
      <c r="D1312" s="122"/>
      <c r="E1312" s="122"/>
      <c r="F1312" s="122"/>
      <c r="G1312" s="123">
        <f>ROUND(SUM(G1310:G1311),2)</f>
        <v>18.899999999999999</v>
      </c>
      <c r="H1312" s="162"/>
      <c r="I1312" s="161"/>
    </row>
    <row r="1313" spans="1:9" ht="12" customHeight="1" x14ac:dyDescent="0.25">
      <c r="A1313" s="452"/>
      <c r="B1313" s="453"/>
      <c r="C1313" s="453"/>
      <c r="D1313" s="162"/>
      <c r="E1313" s="162"/>
      <c r="F1313" s="162"/>
      <c r="G1313" s="162"/>
      <c r="H1313" s="162"/>
      <c r="I1313" s="161"/>
    </row>
    <row r="1314" spans="1:9" ht="12" customHeight="1" x14ac:dyDescent="0.25">
      <c r="A1314" s="461" t="s">
        <v>4299</v>
      </c>
      <c r="B1314" s="462"/>
      <c r="C1314" s="462"/>
      <c r="D1314" s="458" t="str">
        <f>"TOTAL DA MEMÓRIA DE CÁLCULO: "&amp;TEXT(ROUND(SUM(G1312),2),"0,00")</f>
        <v>TOTAL DA MEMÓRIA DE CÁLCULO: 18,90</v>
      </c>
      <c r="E1314" s="458"/>
      <c r="F1314" s="458"/>
      <c r="G1314" s="458"/>
      <c r="H1314" s="458"/>
      <c r="I1314" s="161"/>
    </row>
    <row r="1315" spans="1:9" ht="9.9499999999999993" customHeight="1" x14ac:dyDescent="0.25">
      <c r="A1315" s="461"/>
      <c r="B1315" s="462"/>
      <c r="C1315" s="462"/>
      <c r="D1315" s="162"/>
      <c r="E1315" s="162"/>
      <c r="F1315" s="162"/>
      <c r="G1315" s="162"/>
      <c r="H1315" s="162"/>
      <c r="I1315" s="161"/>
    </row>
    <row r="1316" spans="1:9" ht="30.95" customHeight="1" x14ac:dyDescent="0.25">
      <c r="A1316" s="452"/>
      <c r="B1316" s="453"/>
      <c r="C1316" s="453"/>
      <c r="D1316" s="453"/>
      <c r="E1316" s="162"/>
      <c r="F1316" s="162"/>
      <c r="G1316" s="162"/>
      <c r="H1316" s="162"/>
      <c r="I1316" s="161"/>
    </row>
    <row r="1317" spans="1:9" ht="15" customHeight="1" x14ac:dyDescent="0.25">
      <c r="A1317" s="456" t="s">
        <v>1366</v>
      </c>
      <c r="B1317" s="457"/>
      <c r="C1317" s="457"/>
      <c r="D1317" s="457"/>
      <c r="E1317" s="457"/>
      <c r="F1317" s="457"/>
      <c r="G1317" s="457"/>
      <c r="H1317" s="457"/>
      <c r="I1317" s="161"/>
    </row>
    <row r="1318" spans="1:9" ht="12.95" customHeight="1" x14ac:dyDescent="0.25">
      <c r="A1318" s="450" t="s">
        <v>387</v>
      </c>
      <c r="B1318" s="451"/>
      <c r="C1318" s="119" t="s">
        <v>1078</v>
      </c>
      <c r="D1318" s="119" t="s">
        <v>1024</v>
      </c>
      <c r="E1318" s="119" t="s">
        <v>1059</v>
      </c>
      <c r="F1318" s="119" t="s">
        <v>984</v>
      </c>
      <c r="G1318" s="162"/>
      <c r="H1318" s="162"/>
      <c r="I1318" s="161"/>
    </row>
    <row r="1319" spans="1:9" ht="18.95" customHeight="1" x14ac:dyDescent="0.25">
      <c r="A1319" s="163" t="s">
        <v>153</v>
      </c>
      <c r="B1319" s="120" t="s">
        <v>1200</v>
      </c>
      <c r="C1319" s="227">
        <v>0</v>
      </c>
      <c r="D1319" s="227">
        <v>4.1100000000000003</v>
      </c>
      <c r="E1319" s="227">
        <v>10.92</v>
      </c>
      <c r="F1319" s="228">
        <f>ROUND(D1319*E1319,2)</f>
        <v>44.88</v>
      </c>
      <c r="G1319" s="162"/>
      <c r="H1319" s="162"/>
      <c r="I1319" s="161"/>
    </row>
    <row r="1320" spans="1:9" ht="12.95" customHeight="1" x14ac:dyDescent="0.25">
      <c r="A1320" s="163" t="s">
        <v>1336</v>
      </c>
      <c r="B1320" s="120" t="s">
        <v>1203</v>
      </c>
      <c r="C1320" s="227">
        <v>0</v>
      </c>
      <c r="D1320" s="227">
        <v>0.8</v>
      </c>
      <c r="E1320" s="227">
        <v>5.22</v>
      </c>
      <c r="F1320" s="228">
        <f>ROUND(D1320*E1320*2,2)</f>
        <v>8.35</v>
      </c>
      <c r="G1320" s="162"/>
      <c r="H1320" s="162"/>
      <c r="I1320" s="161"/>
    </row>
    <row r="1321" spans="1:9" ht="12.95" customHeight="1" x14ac:dyDescent="0.25">
      <c r="A1321" s="163" t="s">
        <v>1215</v>
      </c>
      <c r="B1321" s="120" t="s">
        <v>1338</v>
      </c>
      <c r="C1321" s="227">
        <v>1</v>
      </c>
      <c r="D1321" s="227">
        <v>2.85</v>
      </c>
      <c r="E1321" s="227">
        <v>1.39</v>
      </c>
      <c r="F1321" s="228">
        <f>ROUND(-C1321*D1321*E1321,2)</f>
        <v>-3.96</v>
      </c>
      <c r="G1321" s="162"/>
      <c r="H1321" s="162"/>
      <c r="I1321" s="161"/>
    </row>
    <row r="1322" spans="1:9" ht="15" customHeight="1" x14ac:dyDescent="0.25">
      <c r="A1322" s="163" t="s">
        <v>1350</v>
      </c>
      <c r="B1322" s="120" t="s">
        <v>1338</v>
      </c>
      <c r="C1322" s="227">
        <v>3</v>
      </c>
      <c r="D1322" s="227">
        <v>1.92</v>
      </c>
      <c r="E1322" s="227">
        <v>0.98</v>
      </c>
      <c r="F1322" s="228">
        <f>ROUND(-C1322*D1322*E1322,2)</f>
        <v>-5.64</v>
      </c>
      <c r="G1322" s="162"/>
      <c r="H1322" s="162"/>
      <c r="I1322" s="161"/>
    </row>
    <row r="1323" spans="1:9" ht="9.9499999999999993" customHeight="1" x14ac:dyDescent="0.25">
      <c r="A1323" s="164" t="s">
        <v>387</v>
      </c>
      <c r="B1323" s="121"/>
      <c r="C1323" s="122"/>
      <c r="D1323" s="122"/>
      <c r="E1323" s="122"/>
      <c r="F1323" s="123">
        <f>ROUND(SUM(F1319:F1322),2)</f>
        <v>43.63</v>
      </c>
      <c r="G1323" s="162"/>
      <c r="H1323" s="162"/>
      <c r="I1323" s="161"/>
    </row>
    <row r="1324" spans="1:9" ht="12" customHeight="1" x14ac:dyDescent="0.25">
      <c r="A1324" s="452"/>
      <c r="B1324" s="453"/>
      <c r="C1324" s="453"/>
      <c r="D1324" s="162"/>
      <c r="E1324" s="162"/>
      <c r="F1324" s="162"/>
      <c r="G1324" s="162"/>
      <c r="H1324" s="162"/>
      <c r="I1324" s="161"/>
    </row>
    <row r="1325" spans="1:9" ht="12" customHeight="1" x14ac:dyDescent="0.25">
      <c r="A1325" s="461" t="s">
        <v>4299</v>
      </c>
      <c r="B1325" s="462"/>
      <c r="C1325" s="462"/>
      <c r="D1325" s="458" t="str">
        <f>"TOTAL DA MEMÓRIA DE CÁLCULO: "&amp;TEXT(ROUND(SUM(F1323),2),"0,00")</f>
        <v>TOTAL DA MEMÓRIA DE CÁLCULO: 43,63</v>
      </c>
      <c r="E1325" s="458"/>
      <c r="F1325" s="458"/>
      <c r="G1325" s="458"/>
      <c r="H1325" s="458"/>
      <c r="I1325" s="161"/>
    </row>
    <row r="1326" spans="1:9" ht="9.9499999999999993" customHeight="1" x14ac:dyDescent="0.25">
      <c r="A1326" s="461"/>
      <c r="B1326" s="462"/>
      <c r="C1326" s="462"/>
      <c r="D1326" s="162"/>
      <c r="E1326" s="162"/>
      <c r="F1326" s="162"/>
      <c r="G1326" s="162"/>
      <c r="H1326" s="162"/>
      <c r="I1326" s="161"/>
    </row>
    <row r="1327" spans="1:9" ht="30.95" customHeight="1" x14ac:dyDescent="0.25">
      <c r="A1327" s="452"/>
      <c r="B1327" s="453"/>
      <c r="C1327" s="453"/>
      <c r="D1327" s="453"/>
      <c r="E1327" s="162"/>
      <c r="F1327" s="162"/>
      <c r="G1327" s="162"/>
      <c r="H1327" s="162"/>
      <c r="I1327" s="161"/>
    </row>
    <row r="1328" spans="1:9" ht="15" customHeight="1" x14ac:dyDescent="0.25">
      <c r="A1328" s="456" t="s">
        <v>1367</v>
      </c>
      <c r="B1328" s="457"/>
      <c r="C1328" s="457"/>
      <c r="D1328" s="457"/>
      <c r="E1328" s="457"/>
      <c r="F1328" s="457"/>
      <c r="G1328" s="457"/>
      <c r="H1328" s="457"/>
      <c r="I1328" s="161"/>
    </row>
    <row r="1329" spans="1:9" ht="12.95" customHeight="1" x14ac:dyDescent="0.25">
      <c r="A1329" s="450" t="s">
        <v>387</v>
      </c>
      <c r="B1329" s="451"/>
      <c r="C1329" s="119" t="s">
        <v>1024</v>
      </c>
      <c r="D1329" s="119" t="s">
        <v>1059</v>
      </c>
      <c r="E1329" s="119" t="s">
        <v>984</v>
      </c>
      <c r="F1329" s="162"/>
      <c r="G1329" s="162"/>
      <c r="H1329" s="162"/>
      <c r="I1329" s="161"/>
    </row>
    <row r="1330" spans="1:9" ht="18.95" customHeight="1" x14ac:dyDescent="0.25">
      <c r="A1330" s="163" t="s">
        <v>153</v>
      </c>
      <c r="B1330" s="120" t="s">
        <v>1200</v>
      </c>
      <c r="C1330" s="227">
        <v>4.1100000000000003</v>
      </c>
      <c r="D1330" s="227">
        <v>10.92</v>
      </c>
      <c r="E1330" s="228">
        <f>ROUND(C1330*D1330,2)</f>
        <v>44.88</v>
      </c>
      <c r="F1330" s="162"/>
      <c r="G1330" s="162"/>
      <c r="H1330" s="162"/>
      <c r="I1330" s="161"/>
    </row>
    <row r="1331" spans="1:9" ht="15" customHeight="1" x14ac:dyDescent="0.25">
      <c r="A1331" s="163" t="s">
        <v>1336</v>
      </c>
      <c r="B1331" s="120" t="s">
        <v>1203</v>
      </c>
      <c r="C1331" s="227">
        <v>0.8</v>
      </c>
      <c r="D1331" s="227">
        <v>5.22</v>
      </c>
      <c r="E1331" s="228">
        <f>ROUND(C1331*D1331*2,2)</f>
        <v>8.35</v>
      </c>
      <c r="F1331" s="162"/>
      <c r="G1331" s="162"/>
      <c r="H1331" s="162"/>
      <c r="I1331" s="161"/>
    </row>
    <row r="1332" spans="1:9" ht="9.9499999999999993" customHeight="1" x14ac:dyDescent="0.25">
      <c r="A1332" s="164" t="s">
        <v>387</v>
      </c>
      <c r="B1332" s="121"/>
      <c r="C1332" s="122"/>
      <c r="D1332" s="122"/>
      <c r="E1332" s="123">
        <f>ROUND(SUM(E1330:E1331),2)</f>
        <v>53.23</v>
      </c>
      <c r="F1332" s="162"/>
      <c r="G1332" s="162"/>
      <c r="H1332" s="162"/>
      <c r="I1332" s="161"/>
    </row>
    <row r="1333" spans="1:9" ht="15" customHeight="1" x14ac:dyDescent="0.25">
      <c r="A1333" s="452"/>
      <c r="B1333" s="453"/>
      <c r="C1333" s="453"/>
      <c r="D1333" s="162"/>
      <c r="E1333" s="162"/>
      <c r="F1333" s="162"/>
      <c r="G1333" s="162"/>
      <c r="H1333" s="162"/>
      <c r="I1333" s="161"/>
    </row>
    <row r="1334" spans="1:9" ht="12.95" customHeight="1" x14ac:dyDescent="0.25">
      <c r="A1334" s="450" t="s">
        <v>377</v>
      </c>
      <c r="B1334" s="451"/>
      <c r="C1334" s="119" t="s">
        <v>1078</v>
      </c>
      <c r="D1334" s="119" t="s">
        <v>1024</v>
      </c>
      <c r="E1334" s="119" t="s">
        <v>1059</v>
      </c>
      <c r="F1334" s="119" t="s">
        <v>984</v>
      </c>
      <c r="G1334" s="162"/>
      <c r="H1334" s="162"/>
      <c r="I1334" s="161"/>
    </row>
    <row r="1335" spans="1:9" ht="12.95" customHeight="1" x14ac:dyDescent="0.25">
      <c r="A1335" s="163" t="s">
        <v>1215</v>
      </c>
      <c r="B1335" s="120" t="s">
        <v>1338</v>
      </c>
      <c r="C1335" s="227">
        <v>1</v>
      </c>
      <c r="D1335" s="227">
        <v>2.85</v>
      </c>
      <c r="E1335" s="227">
        <v>1.39</v>
      </c>
      <c r="F1335" s="228">
        <f>ROUND(-C1335*D1335*E1335,2)</f>
        <v>-3.96</v>
      </c>
      <c r="G1335" s="162"/>
      <c r="H1335" s="162"/>
      <c r="I1335" s="161"/>
    </row>
    <row r="1336" spans="1:9" ht="15" customHeight="1" x14ac:dyDescent="0.25">
      <c r="A1336" s="163" t="s">
        <v>1350</v>
      </c>
      <c r="B1336" s="120" t="s">
        <v>1338</v>
      </c>
      <c r="C1336" s="227">
        <v>3</v>
      </c>
      <c r="D1336" s="227">
        <v>1.92</v>
      </c>
      <c r="E1336" s="227">
        <v>0.98</v>
      </c>
      <c r="F1336" s="228">
        <f>ROUND(-C1336*D1336*E1336,2)</f>
        <v>-5.64</v>
      </c>
      <c r="G1336" s="162"/>
      <c r="H1336" s="162"/>
      <c r="I1336" s="161"/>
    </row>
    <row r="1337" spans="1:9" ht="9.9499999999999993" customHeight="1" x14ac:dyDescent="0.25">
      <c r="A1337" s="164" t="s">
        <v>377</v>
      </c>
      <c r="B1337" s="121"/>
      <c r="C1337" s="122"/>
      <c r="D1337" s="122"/>
      <c r="E1337" s="122"/>
      <c r="F1337" s="123">
        <f>ROUND(SUM(F1335:F1336),2)</f>
        <v>-9.6</v>
      </c>
      <c r="G1337" s="162"/>
      <c r="H1337" s="162"/>
      <c r="I1337" s="161"/>
    </row>
    <row r="1338" spans="1:9" ht="12" customHeight="1" x14ac:dyDescent="0.25">
      <c r="A1338" s="452"/>
      <c r="B1338" s="453"/>
      <c r="C1338" s="453"/>
      <c r="D1338" s="162"/>
      <c r="E1338" s="162"/>
      <c r="F1338" s="162"/>
      <c r="G1338" s="162"/>
      <c r="H1338" s="162"/>
      <c r="I1338" s="161"/>
    </row>
    <row r="1339" spans="1:9" ht="12" customHeight="1" x14ac:dyDescent="0.25">
      <c r="A1339" s="461" t="s">
        <v>4299</v>
      </c>
      <c r="B1339" s="462"/>
      <c r="C1339" s="462"/>
      <c r="D1339" s="458" t="str">
        <f>"TOTAL DA MEMÓRIA DE CÁLCULO: "&amp;TEXT(ROUND(SUM(E1332,F1337),2),"0,00")</f>
        <v>TOTAL DA MEMÓRIA DE CÁLCULO: 43,63</v>
      </c>
      <c r="E1339" s="458"/>
      <c r="F1339" s="458"/>
      <c r="G1339" s="458"/>
      <c r="H1339" s="458"/>
      <c r="I1339" s="161"/>
    </row>
    <row r="1340" spans="1:9" ht="9.9499999999999993" customHeight="1" x14ac:dyDescent="0.25">
      <c r="A1340" s="461"/>
      <c r="B1340" s="462"/>
      <c r="C1340" s="462"/>
      <c r="D1340" s="162"/>
      <c r="E1340" s="162"/>
      <c r="F1340" s="162"/>
      <c r="G1340" s="162"/>
      <c r="H1340" s="162"/>
      <c r="I1340" s="161"/>
    </row>
    <row r="1341" spans="1:9" ht="42.95" customHeight="1" x14ac:dyDescent="0.25">
      <c r="A1341" s="452"/>
      <c r="B1341" s="453"/>
      <c r="C1341" s="453"/>
      <c r="D1341" s="453"/>
      <c r="E1341" s="162"/>
      <c r="F1341" s="162"/>
      <c r="G1341" s="162"/>
      <c r="H1341" s="162"/>
      <c r="I1341" s="161"/>
    </row>
    <row r="1342" spans="1:9" ht="15" customHeight="1" x14ac:dyDescent="0.25">
      <c r="A1342" s="456" t="s">
        <v>1368</v>
      </c>
      <c r="B1342" s="457"/>
      <c r="C1342" s="457"/>
      <c r="D1342" s="457"/>
      <c r="E1342" s="457"/>
      <c r="F1342" s="457"/>
      <c r="G1342" s="457"/>
      <c r="H1342" s="457"/>
      <c r="I1342" s="161"/>
    </row>
    <row r="1343" spans="1:9" ht="12.95" customHeight="1" x14ac:dyDescent="0.25">
      <c r="A1343" s="450" t="s">
        <v>377</v>
      </c>
      <c r="B1343" s="451"/>
      <c r="C1343" s="119" t="s">
        <v>1007</v>
      </c>
      <c r="D1343" s="119" t="s">
        <v>1078</v>
      </c>
      <c r="E1343" s="119" t="s">
        <v>984</v>
      </c>
      <c r="F1343" s="162"/>
      <c r="G1343" s="162"/>
      <c r="H1343" s="162"/>
      <c r="I1343" s="161"/>
    </row>
    <row r="1344" spans="1:9" ht="12.95" customHeight="1" x14ac:dyDescent="0.25">
      <c r="A1344" s="163" t="s">
        <v>1353</v>
      </c>
      <c r="B1344" s="120" t="s">
        <v>1345</v>
      </c>
      <c r="C1344" s="227">
        <v>8.65</v>
      </c>
      <c r="D1344" s="227">
        <v>2</v>
      </c>
      <c r="E1344" s="228">
        <f>ROUND(C1344*D1344,2)</f>
        <v>17.3</v>
      </c>
      <c r="F1344" s="162"/>
      <c r="G1344" s="162"/>
      <c r="H1344" s="162"/>
      <c r="I1344" s="161"/>
    </row>
    <row r="1345" spans="1:9" ht="18.95" customHeight="1" x14ac:dyDescent="0.25">
      <c r="A1345" s="163" t="s">
        <v>1354</v>
      </c>
      <c r="B1345" s="120" t="s">
        <v>1345</v>
      </c>
      <c r="C1345" s="227">
        <v>4.3</v>
      </c>
      <c r="D1345" s="227">
        <v>1</v>
      </c>
      <c r="E1345" s="228">
        <f>ROUND(C1345*D1345,2)</f>
        <v>4.3</v>
      </c>
      <c r="F1345" s="162"/>
      <c r="G1345" s="162"/>
      <c r="H1345" s="162"/>
      <c r="I1345" s="161"/>
    </row>
    <row r="1346" spans="1:9" ht="15" customHeight="1" x14ac:dyDescent="0.25">
      <c r="A1346" s="163" t="s">
        <v>1355</v>
      </c>
      <c r="B1346" s="120" t="s">
        <v>1356</v>
      </c>
      <c r="C1346" s="227">
        <v>1.5</v>
      </c>
      <c r="D1346" s="227">
        <v>1</v>
      </c>
      <c r="E1346" s="228">
        <f>ROUND(-C1346*D1346,2)</f>
        <v>-1.5</v>
      </c>
      <c r="F1346" s="162"/>
      <c r="G1346" s="162"/>
      <c r="H1346" s="162"/>
      <c r="I1346" s="161"/>
    </row>
    <row r="1347" spans="1:9" ht="9.9499999999999993" customHeight="1" x14ac:dyDescent="0.25">
      <c r="A1347" s="164" t="s">
        <v>377</v>
      </c>
      <c r="B1347" s="121"/>
      <c r="C1347" s="122"/>
      <c r="D1347" s="122"/>
      <c r="E1347" s="123">
        <f>ROUND(SUM(E1344:E1346),2)</f>
        <v>20.100000000000001</v>
      </c>
      <c r="F1347" s="162"/>
      <c r="G1347" s="162"/>
      <c r="H1347" s="162"/>
      <c r="I1347" s="161"/>
    </row>
    <row r="1348" spans="1:9" ht="12" customHeight="1" x14ac:dyDescent="0.25">
      <c r="A1348" s="452"/>
      <c r="B1348" s="453"/>
      <c r="C1348" s="453"/>
      <c r="D1348" s="162"/>
      <c r="E1348" s="162"/>
      <c r="F1348" s="162"/>
      <c r="G1348" s="162"/>
      <c r="H1348" s="162"/>
      <c r="I1348" s="161"/>
    </row>
    <row r="1349" spans="1:9" ht="12" customHeight="1" x14ac:dyDescent="0.25">
      <c r="A1349" s="461" t="s">
        <v>4299</v>
      </c>
      <c r="B1349" s="462"/>
      <c r="C1349" s="462"/>
      <c r="D1349" s="458" t="str">
        <f>"TOTAL DA MEMÓRIA DE CÁLCULO: "&amp;TEXT(ROUND(SUM(E1347),2),"0,00")</f>
        <v>TOTAL DA MEMÓRIA DE CÁLCULO: 20,10</v>
      </c>
      <c r="E1349" s="458"/>
      <c r="F1349" s="458"/>
      <c r="G1349" s="458"/>
      <c r="H1349" s="458"/>
      <c r="I1349" s="161"/>
    </row>
    <row r="1350" spans="1:9" ht="9.9499999999999993" customHeight="1" x14ac:dyDescent="0.25">
      <c r="A1350" s="461"/>
      <c r="B1350" s="462"/>
      <c r="C1350" s="462"/>
      <c r="D1350" s="162"/>
      <c r="E1350" s="162"/>
      <c r="F1350" s="162"/>
      <c r="G1350" s="162"/>
      <c r="H1350" s="162"/>
      <c r="I1350" s="161"/>
    </row>
    <row r="1351" spans="1:9" ht="42.95" customHeight="1" x14ac:dyDescent="0.25">
      <c r="A1351" s="452"/>
      <c r="B1351" s="453"/>
      <c r="C1351" s="453"/>
      <c r="D1351" s="453"/>
      <c r="E1351" s="162"/>
      <c r="F1351" s="162"/>
      <c r="G1351" s="162"/>
      <c r="H1351" s="162"/>
      <c r="I1351" s="161"/>
    </row>
    <row r="1352" spans="1:9" ht="15" customHeight="1" x14ac:dyDescent="0.25">
      <c r="A1352" s="456" t="s">
        <v>1369</v>
      </c>
      <c r="B1352" s="457"/>
      <c r="C1352" s="457"/>
      <c r="D1352" s="457"/>
      <c r="E1352" s="457"/>
      <c r="F1352" s="457"/>
      <c r="G1352" s="457"/>
      <c r="H1352" s="457"/>
      <c r="I1352" s="161"/>
    </row>
    <row r="1353" spans="1:9" ht="12.95" customHeight="1" x14ac:dyDescent="0.25">
      <c r="A1353" s="450" t="s">
        <v>377</v>
      </c>
      <c r="B1353" s="451"/>
      <c r="C1353" s="119" t="s">
        <v>1007</v>
      </c>
      <c r="D1353" s="119" t="s">
        <v>1358</v>
      </c>
      <c r="E1353" s="119" t="s">
        <v>984</v>
      </c>
      <c r="F1353" s="162"/>
      <c r="G1353" s="162"/>
      <c r="H1353" s="162"/>
      <c r="I1353" s="161"/>
    </row>
    <row r="1354" spans="1:9" ht="15" customHeight="1" x14ac:dyDescent="0.25">
      <c r="A1354" s="163" t="s">
        <v>1359</v>
      </c>
      <c r="B1354" s="120" t="s">
        <v>1360</v>
      </c>
      <c r="C1354" s="227">
        <v>43.63</v>
      </c>
      <c r="D1354" s="227">
        <v>2.5000000000000001E-2</v>
      </c>
      <c r="E1354" s="228">
        <f>ROUND(C1354*D1354,2)</f>
        <v>1.0900000000000001</v>
      </c>
      <c r="F1354" s="162"/>
      <c r="G1354" s="162"/>
      <c r="H1354" s="162"/>
      <c r="I1354" s="161"/>
    </row>
    <row r="1355" spans="1:9" ht="9.9499999999999993" customHeight="1" x14ac:dyDescent="0.25">
      <c r="A1355" s="164" t="s">
        <v>377</v>
      </c>
      <c r="B1355" s="121"/>
      <c r="C1355" s="122"/>
      <c r="D1355" s="122"/>
      <c r="E1355" s="123">
        <f>ROUND(SUM(E1354:E1354),2)</f>
        <v>1.0900000000000001</v>
      </c>
      <c r="F1355" s="162"/>
      <c r="G1355" s="162"/>
      <c r="H1355" s="162"/>
      <c r="I1355" s="161"/>
    </row>
    <row r="1356" spans="1:9" ht="12" customHeight="1" x14ac:dyDescent="0.25">
      <c r="A1356" s="452"/>
      <c r="B1356" s="453"/>
      <c r="C1356" s="453"/>
      <c r="D1356" s="162"/>
      <c r="E1356" s="162"/>
      <c r="F1356" s="162"/>
      <c r="G1356" s="162"/>
      <c r="H1356" s="162"/>
      <c r="I1356" s="161"/>
    </row>
    <row r="1357" spans="1:9" ht="12" customHeight="1" x14ac:dyDescent="0.25">
      <c r="A1357" s="461" t="s">
        <v>4299</v>
      </c>
      <c r="B1357" s="462"/>
      <c r="C1357" s="462"/>
      <c r="D1357" s="458" t="str">
        <f>"TOTAL DA MEMÓRIA DE CÁLCULO: "&amp;TEXT(ROUND(SUM(E1355),2),"0,00")</f>
        <v>TOTAL DA MEMÓRIA DE CÁLCULO: 1,09</v>
      </c>
      <c r="E1357" s="458"/>
      <c r="F1357" s="458"/>
      <c r="G1357" s="458"/>
      <c r="H1357" s="458"/>
      <c r="I1357" s="161"/>
    </row>
    <row r="1358" spans="1:9" ht="9.9499999999999993" customHeight="1" x14ac:dyDescent="0.25">
      <c r="A1358" s="461"/>
      <c r="B1358" s="462"/>
      <c r="C1358" s="462"/>
      <c r="D1358" s="162"/>
      <c r="E1358" s="162"/>
      <c r="F1358" s="162"/>
      <c r="G1358" s="162"/>
      <c r="H1358" s="162"/>
      <c r="I1358" s="161"/>
    </row>
    <row r="1359" spans="1:9" ht="30.95" customHeight="1" x14ac:dyDescent="0.25">
      <c r="A1359" s="452"/>
      <c r="B1359" s="453"/>
      <c r="C1359" s="453"/>
      <c r="D1359" s="453"/>
      <c r="E1359" s="162"/>
      <c r="F1359" s="162"/>
      <c r="G1359" s="162"/>
      <c r="H1359" s="162"/>
      <c r="I1359" s="161"/>
    </row>
    <row r="1360" spans="1:9" ht="15" customHeight="1" x14ac:dyDescent="0.25">
      <c r="A1360" s="456" t="s">
        <v>1370</v>
      </c>
      <c r="B1360" s="457"/>
      <c r="C1360" s="457"/>
      <c r="D1360" s="457"/>
      <c r="E1360" s="457"/>
      <c r="F1360" s="457"/>
      <c r="G1360" s="457"/>
      <c r="H1360" s="457"/>
      <c r="I1360" s="161"/>
    </row>
    <row r="1361" spans="1:9" ht="18.95" customHeight="1" x14ac:dyDescent="0.25">
      <c r="A1361" s="450" t="s">
        <v>387</v>
      </c>
      <c r="B1361" s="451"/>
      <c r="C1361" s="119" t="s">
        <v>1059</v>
      </c>
      <c r="D1361" s="119" t="s">
        <v>1024</v>
      </c>
      <c r="E1361" s="119" t="s">
        <v>984</v>
      </c>
      <c r="F1361" s="162"/>
      <c r="G1361" s="162"/>
      <c r="H1361" s="162"/>
      <c r="I1361" s="161"/>
    </row>
    <row r="1362" spans="1:9" ht="15" customHeight="1" x14ac:dyDescent="0.25">
      <c r="A1362" s="163" t="s">
        <v>1371</v>
      </c>
      <c r="B1362" s="120" t="s">
        <v>1107</v>
      </c>
      <c r="C1362" s="227">
        <v>10.95</v>
      </c>
      <c r="D1362" s="227">
        <v>4.1100000000000003</v>
      </c>
      <c r="E1362" s="228">
        <f>ROUND(C1362*D1362,2)</f>
        <v>45</v>
      </c>
      <c r="F1362" s="162"/>
      <c r="G1362" s="162"/>
      <c r="H1362" s="162"/>
      <c r="I1362" s="161"/>
    </row>
    <row r="1363" spans="1:9" ht="9.9499999999999993" customHeight="1" x14ac:dyDescent="0.25">
      <c r="A1363" s="164" t="s">
        <v>387</v>
      </c>
      <c r="B1363" s="121"/>
      <c r="C1363" s="122"/>
      <c r="D1363" s="122"/>
      <c r="E1363" s="123">
        <f>ROUND(SUM(E1362:E1362),2)</f>
        <v>45</v>
      </c>
      <c r="F1363" s="162"/>
      <c r="G1363" s="162"/>
      <c r="H1363" s="162"/>
      <c r="I1363" s="161"/>
    </row>
    <row r="1364" spans="1:9" ht="15" customHeight="1" x14ac:dyDescent="0.25">
      <c r="A1364" s="452"/>
      <c r="B1364" s="453"/>
      <c r="C1364" s="453"/>
      <c r="D1364" s="162"/>
      <c r="E1364" s="162"/>
      <c r="F1364" s="162"/>
      <c r="G1364" s="162"/>
      <c r="H1364" s="162"/>
      <c r="I1364" s="161"/>
    </row>
    <row r="1365" spans="1:9" ht="18.95" customHeight="1" x14ac:dyDescent="0.25">
      <c r="A1365" s="450" t="s">
        <v>387</v>
      </c>
      <c r="B1365" s="451"/>
      <c r="C1365" s="119" t="s">
        <v>1059</v>
      </c>
      <c r="D1365" s="119" t="s">
        <v>1024</v>
      </c>
      <c r="E1365" s="119" t="s">
        <v>984</v>
      </c>
      <c r="F1365" s="162"/>
      <c r="G1365" s="162"/>
      <c r="H1365" s="162"/>
      <c r="I1365" s="161"/>
    </row>
    <row r="1366" spans="1:9" ht="15" customHeight="1" x14ac:dyDescent="0.25">
      <c r="A1366" s="163" t="s">
        <v>1372</v>
      </c>
      <c r="B1366" s="120" t="s">
        <v>1373</v>
      </c>
      <c r="C1366" s="227">
        <v>0.98</v>
      </c>
      <c r="D1366" s="227">
        <v>1.92</v>
      </c>
      <c r="E1366" s="228">
        <f>ROUND(-C1366*D1366*3,2)</f>
        <v>-5.64</v>
      </c>
      <c r="F1366" s="162"/>
      <c r="G1366" s="162"/>
      <c r="H1366" s="162"/>
      <c r="I1366" s="161"/>
    </row>
    <row r="1367" spans="1:9" ht="9.9499999999999993" customHeight="1" x14ac:dyDescent="0.25">
      <c r="A1367" s="164" t="s">
        <v>387</v>
      </c>
      <c r="B1367" s="121"/>
      <c r="C1367" s="122"/>
      <c r="D1367" s="122"/>
      <c r="E1367" s="123">
        <f>ROUND(SUM(E1366:E1366),2)</f>
        <v>-5.64</v>
      </c>
      <c r="F1367" s="162"/>
      <c r="G1367" s="162"/>
      <c r="H1367" s="162"/>
      <c r="I1367" s="161"/>
    </row>
    <row r="1368" spans="1:9" ht="12" customHeight="1" x14ac:dyDescent="0.25">
      <c r="A1368" s="452"/>
      <c r="B1368" s="453"/>
      <c r="C1368" s="453"/>
      <c r="D1368" s="162"/>
      <c r="E1368" s="162"/>
      <c r="F1368" s="162"/>
      <c r="G1368" s="162"/>
      <c r="H1368" s="162"/>
      <c r="I1368" s="161"/>
    </row>
    <row r="1369" spans="1:9" ht="9.9499999999999993" customHeight="1" x14ac:dyDescent="0.25">
      <c r="A1369" s="165"/>
      <c r="B1369" s="162"/>
      <c r="C1369" s="162"/>
      <c r="D1369" s="458" t="str">
        <f>"TOTAL DA MEMÓRIA DE CÁLCULO: "&amp;TEXT(ROUND(SUM(E1363,E1367),2),"0,00")</f>
        <v>TOTAL DA MEMÓRIA DE CÁLCULO: 39,36</v>
      </c>
      <c r="E1369" s="458"/>
      <c r="F1369" s="458"/>
      <c r="G1369" s="458"/>
      <c r="H1369" s="458"/>
      <c r="I1369" s="161"/>
    </row>
    <row r="1370" spans="1:9" ht="20.100000000000001" customHeight="1" x14ac:dyDescent="0.25">
      <c r="A1370" s="452"/>
      <c r="B1370" s="453"/>
      <c r="C1370" s="453"/>
      <c r="D1370" s="453"/>
      <c r="E1370" s="162"/>
      <c r="F1370" s="162"/>
      <c r="G1370" s="162"/>
      <c r="H1370" s="162"/>
      <c r="I1370" s="161"/>
    </row>
    <row r="1371" spans="1:9" ht="15" customHeight="1" x14ac:dyDescent="0.25">
      <c r="A1371" s="456" t="s">
        <v>1374</v>
      </c>
      <c r="B1371" s="457"/>
      <c r="C1371" s="457"/>
      <c r="D1371" s="457"/>
      <c r="E1371" s="457"/>
      <c r="F1371" s="457"/>
      <c r="G1371" s="457"/>
      <c r="H1371" s="457"/>
      <c r="I1371" s="161"/>
    </row>
    <row r="1372" spans="1:9" ht="18.95" customHeight="1" x14ac:dyDescent="0.25">
      <c r="A1372" s="450" t="s">
        <v>387</v>
      </c>
      <c r="B1372" s="451"/>
      <c r="C1372" s="119" t="s">
        <v>1059</v>
      </c>
      <c r="D1372" s="119" t="s">
        <v>1024</v>
      </c>
      <c r="E1372" s="119" t="s">
        <v>984</v>
      </c>
      <c r="F1372" s="162"/>
      <c r="G1372" s="162"/>
      <c r="H1372" s="162"/>
      <c r="I1372" s="161"/>
    </row>
    <row r="1373" spans="1:9" ht="15" customHeight="1" x14ac:dyDescent="0.25">
      <c r="A1373" s="163" t="s">
        <v>1371</v>
      </c>
      <c r="B1373" s="120" t="s">
        <v>1107</v>
      </c>
      <c r="C1373" s="227">
        <v>10.95</v>
      </c>
      <c r="D1373" s="227">
        <v>4.1100000000000003</v>
      </c>
      <c r="E1373" s="228">
        <f>ROUND(C1373*D1373,2)</f>
        <v>45</v>
      </c>
      <c r="F1373" s="162"/>
      <c r="G1373" s="162"/>
      <c r="H1373" s="162"/>
      <c r="I1373" s="161"/>
    </row>
    <row r="1374" spans="1:9" ht="9.9499999999999993" customHeight="1" x14ac:dyDescent="0.25">
      <c r="A1374" s="164" t="s">
        <v>387</v>
      </c>
      <c r="B1374" s="121"/>
      <c r="C1374" s="122"/>
      <c r="D1374" s="122"/>
      <c r="E1374" s="123">
        <f>ROUND(SUM(E1373:E1373),2)</f>
        <v>45</v>
      </c>
      <c r="F1374" s="162"/>
      <c r="G1374" s="162"/>
      <c r="H1374" s="162"/>
      <c r="I1374" s="161"/>
    </row>
    <row r="1375" spans="1:9" ht="15" customHeight="1" x14ac:dyDescent="0.25">
      <c r="A1375" s="452"/>
      <c r="B1375" s="453"/>
      <c r="C1375" s="453"/>
      <c r="D1375" s="162"/>
      <c r="E1375" s="162"/>
      <c r="F1375" s="162"/>
      <c r="G1375" s="162"/>
      <c r="H1375" s="162"/>
      <c r="I1375" s="161"/>
    </row>
    <row r="1376" spans="1:9" ht="18.95" customHeight="1" x14ac:dyDescent="0.25">
      <c r="A1376" s="450" t="s">
        <v>387</v>
      </c>
      <c r="B1376" s="451"/>
      <c r="C1376" s="119" t="s">
        <v>1059</v>
      </c>
      <c r="D1376" s="119" t="s">
        <v>1024</v>
      </c>
      <c r="E1376" s="119" t="s">
        <v>984</v>
      </c>
      <c r="F1376" s="162"/>
      <c r="G1376" s="162"/>
      <c r="H1376" s="162"/>
      <c r="I1376" s="161"/>
    </row>
    <row r="1377" spans="1:9" ht="15" customHeight="1" x14ac:dyDescent="0.25">
      <c r="A1377" s="163" t="s">
        <v>1372</v>
      </c>
      <c r="B1377" s="120" t="s">
        <v>1373</v>
      </c>
      <c r="C1377" s="227">
        <v>0.98</v>
      </c>
      <c r="D1377" s="227">
        <v>1.92</v>
      </c>
      <c r="E1377" s="228">
        <f>ROUND(-C1377*D1377*3,2)</f>
        <v>-5.64</v>
      </c>
      <c r="F1377" s="162"/>
      <c r="G1377" s="162"/>
      <c r="H1377" s="162"/>
      <c r="I1377" s="161"/>
    </row>
    <row r="1378" spans="1:9" ht="9.9499999999999993" customHeight="1" x14ac:dyDescent="0.25">
      <c r="A1378" s="164" t="s">
        <v>387</v>
      </c>
      <c r="B1378" s="121"/>
      <c r="C1378" s="122"/>
      <c r="D1378" s="122"/>
      <c r="E1378" s="123">
        <f>ROUND(SUM(E1377:E1377),2)</f>
        <v>-5.64</v>
      </c>
      <c r="F1378" s="162"/>
      <c r="G1378" s="162"/>
      <c r="H1378" s="162"/>
      <c r="I1378" s="161"/>
    </row>
    <row r="1379" spans="1:9" ht="12" customHeight="1" x14ac:dyDescent="0.25">
      <c r="A1379" s="452"/>
      <c r="B1379" s="453"/>
      <c r="C1379" s="453"/>
      <c r="D1379" s="162"/>
      <c r="E1379" s="162"/>
      <c r="F1379" s="162"/>
      <c r="G1379" s="162"/>
      <c r="H1379" s="162"/>
      <c r="I1379" s="161"/>
    </row>
    <row r="1380" spans="1:9" ht="9.9499999999999993" customHeight="1" x14ac:dyDescent="0.25">
      <c r="A1380" s="165"/>
      <c r="B1380" s="162"/>
      <c r="C1380" s="162"/>
      <c r="D1380" s="458" t="str">
        <f>"TOTAL DA MEMÓRIA DE CÁLCULO: "&amp;TEXT(ROUND(SUM(E1374,E1378),2),"0,00")</f>
        <v>TOTAL DA MEMÓRIA DE CÁLCULO: 39,36</v>
      </c>
      <c r="E1380" s="458"/>
      <c r="F1380" s="458"/>
      <c r="G1380" s="458"/>
      <c r="H1380" s="458"/>
      <c r="I1380" s="161"/>
    </row>
    <row r="1381" spans="1:9" ht="20.100000000000001" customHeight="1" x14ac:dyDescent="0.25">
      <c r="A1381" s="452"/>
      <c r="B1381" s="453"/>
      <c r="C1381" s="453"/>
      <c r="D1381" s="453"/>
      <c r="E1381" s="162"/>
      <c r="F1381" s="162"/>
      <c r="G1381" s="162"/>
      <c r="H1381" s="162"/>
      <c r="I1381" s="161"/>
    </row>
    <row r="1382" spans="1:9" ht="9.9499999999999993" customHeight="1" x14ac:dyDescent="0.25">
      <c r="A1382" s="456" t="s">
        <v>1375</v>
      </c>
      <c r="B1382" s="457"/>
      <c r="C1382" s="457"/>
      <c r="D1382" s="457"/>
      <c r="E1382" s="457"/>
      <c r="F1382" s="457"/>
      <c r="G1382" s="457"/>
      <c r="H1382" s="457"/>
      <c r="I1382" s="161"/>
    </row>
    <row r="1383" spans="1:9" ht="20.100000000000001" customHeight="1" x14ac:dyDescent="0.25">
      <c r="A1383" s="452"/>
      <c r="B1383" s="453"/>
      <c r="C1383" s="453"/>
      <c r="D1383" s="162"/>
      <c r="E1383" s="162"/>
      <c r="F1383" s="162"/>
      <c r="G1383" s="162"/>
      <c r="H1383" s="162"/>
      <c r="I1383" s="161"/>
    </row>
    <row r="1384" spans="1:9" ht="15" customHeight="1" x14ac:dyDescent="0.25">
      <c r="A1384" s="456" t="s">
        <v>1376</v>
      </c>
      <c r="B1384" s="457"/>
      <c r="C1384" s="457"/>
      <c r="D1384" s="457"/>
      <c r="E1384" s="457"/>
      <c r="F1384" s="457"/>
      <c r="G1384" s="457"/>
      <c r="H1384" s="457"/>
      <c r="I1384" s="161"/>
    </row>
    <row r="1385" spans="1:9" ht="12.95" customHeight="1" x14ac:dyDescent="0.25">
      <c r="A1385" s="450" t="s">
        <v>397</v>
      </c>
      <c r="B1385" s="451"/>
      <c r="C1385" s="119" t="s">
        <v>1059</v>
      </c>
      <c r="D1385" s="119" t="s">
        <v>1024</v>
      </c>
      <c r="E1385" s="119" t="s">
        <v>1377</v>
      </c>
      <c r="F1385" s="119" t="s">
        <v>1378</v>
      </c>
      <c r="G1385" s="119" t="s">
        <v>984</v>
      </c>
      <c r="H1385" s="162"/>
      <c r="I1385" s="161"/>
    </row>
    <row r="1386" spans="1:9" ht="12.95" customHeight="1" x14ac:dyDescent="0.25">
      <c r="A1386" s="163" t="s">
        <v>153</v>
      </c>
      <c r="B1386" s="120" t="s">
        <v>1200</v>
      </c>
      <c r="C1386" s="227">
        <v>14.85</v>
      </c>
      <c r="D1386" s="227">
        <v>3.5</v>
      </c>
      <c r="E1386" s="227">
        <v>0</v>
      </c>
      <c r="F1386" s="227">
        <v>0</v>
      </c>
      <c r="G1386" s="228">
        <f>ROUND(D1386*C1386,2)</f>
        <v>51.98</v>
      </c>
      <c r="H1386" s="162"/>
      <c r="I1386" s="161"/>
    </row>
    <row r="1387" spans="1:9" ht="15" customHeight="1" x14ac:dyDescent="0.25">
      <c r="A1387" s="163" t="s">
        <v>1379</v>
      </c>
      <c r="B1387" s="120" t="s">
        <v>1380</v>
      </c>
      <c r="C1387" s="227">
        <v>0</v>
      </c>
      <c r="D1387" s="227">
        <v>0</v>
      </c>
      <c r="E1387" s="227">
        <v>6.4</v>
      </c>
      <c r="F1387" s="227">
        <v>4.9000000000000004</v>
      </c>
      <c r="G1387" s="228">
        <f>ROUND(E1387*F1387,2)</f>
        <v>31.36</v>
      </c>
      <c r="H1387" s="162"/>
      <c r="I1387" s="161"/>
    </row>
    <row r="1388" spans="1:9" ht="9.9499999999999993" customHeight="1" x14ac:dyDescent="0.25">
      <c r="A1388" s="164" t="s">
        <v>397</v>
      </c>
      <c r="B1388" s="121"/>
      <c r="C1388" s="122"/>
      <c r="D1388" s="122"/>
      <c r="E1388" s="122"/>
      <c r="F1388" s="122"/>
      <c r="G1388" s="123">
        <f>ROUND(SUM(G1386:G1387),2)</f>
        <v>83.34</v>
      </c>
      <c r="H1388" s="162"/>
      <c r="I1388" s="161"/>
    </row>
    <row r="1389" spans="1:9" ht="15" customHeight="1" x14ac:dyDescent="0.25">
      <c r="A1389" s="452"/>
      <c r="B1389" s="453"/>
      <c r="C1389" s="453"/>
      <c r="D1389" s="162"/>
      <c r="E1389" s="162"/>
      <c r="F1389" s="162"/>
      <c r="G1389" s="162"/>
      <c r="H1389" s="162"/>
      <c r="I1389" s="161"/>
    </row>
    <row r="1390" spans="1:9" ht="12.95" customHeight="1" x14ac:dyDescent="0.25">
      <c r="A1390" s="450" t="s">
        <v>397</v>
      </c>
      <c r="B1390" s="451"/>
      <c r="C1390" s="119" t="s">
        <v>1059</v>
      </c>
      <c r="D1390" s="119" t="s">
        <v>1024</v>
      </c>
      <c r="E1390" s="119" t="s">
        <v>984</v>
      </c>
      <c r="F1390" s="162"/>
      <c r="G1390" s="162"/>
      <c r="H1390" s="162"/>
      <c r="I1390" s="161"/>
    </row>
    <row r="1391" spans="1:9" ht="12.95" customHeight="1" x14ac:dyDescent="0.25">
      <c r="A1391" s="163" t="s">
        <v>1381</v>
      </c>
      <c r="B1391" s="120" t="s">
        <v>1382</v>
      </c>
      <c r="C1391" s="227">
        <v>1.1200000000000001</v>
      </c>
      <c r="D1391" s="227">
        <v>2.67</v>
      </c>
      <c r="E1391" s="228">
        <f>ROUND(-D1391*C1391,2)</f>
        <v>-2.99</v>
      </c>
      <c r="F1391" s="162"/>
      <c r="G1391" s="162"/>
      <c r="H1391" s="162"/>
      <c r="I1391" s="161"/>
    </row>
    <row r="1392" spans="1:9" ht="15" customHeight="1" x14ac:dyDescent="0.25">
      <c r="A1392" s="163" t="s">
        <v>1383</v>
      </c>
      <c r="B1392" s="120" t="s">
        <v>1384</v>
      </c>
      <c r="C1392" s="227">
        <v>1.64</v>
      </c>
      <c r="D1392" s="227">
        <v>2.2999999999999998</v>
      </c>
      <c r="E1392" s="228">
        <f>ROUND(-D1392*C1392*2,2)</f>
        <v>-7.54</v>
      </c>
      <c r="F1392" s="162"/>
      <c r="G1392" s="162"/>
      <c r="H1392" s="162"/>
      <c r="I1392" s="161"/>
    </row>
    <row r="1393" spans="1:9" ht="9.9499999999999993" customHeight="1" x14ac:dyDescent="0.25">
      <c r="A1393" s="164" t="s">
        <v>397</v>
      </c>
      <c r="B1393" s="121"/>
      <c r="C1393" s="122"/>
      <c r="D1393" s="122"/>
      <c r="E1393" s="123">
        <f>ROUND(SUM(E1391:E1392),2)</f>
        <v>-10.53</v>
      </c>
      <c r="F1393" s="162"/>
      <c r="G1393" s="162"/>
      <c r="H1393" s="162"/>
      <c r="I1393" s="161"/>
    </row>
    <row r="1394" spans="1:9" ht="12" customHeight="1" x14ac:dyDescent="0.25">
      <c r="A1394" s="452"/>
      <c r="B1394" s="453"/>
      <c r="C1394" s="453"/>
      <c r="D1394" s="162"/>
      <c r="E1394" s="162"/>
      <c r="F1394" s="162"/>
      <c r="G1394" s="162"/>
      <c r="H1394" s="162"/>
      <c r="I1394" s="161"/>
    </row>
    <row r="1395" spans="1:9" ht="12" customHeight="1" x14ac:dyDescent="0.25">
      <c r="A1395" s="461" t="s">
        <v>4299</v>
      </c>
      <c r="B1395" s="462"/>
      <c r="C1395" s="462"/>
      <c r="D1395" s="458" t="str">
        <f>"TOTAL DA MEMÓRIA DE CÁLCULO: "&amp;TEXT(ROUND(SUM(G1388,E1393),2),"0,00")</f>
        <v>TOTAL DA MEMÓRIA DE CÁLCULO: 72,81</v>
      </c>
      <c r="E1395" s="458"/>
      <c r="F1395" s="458"/>
      <c r="G1395" s="458"/>
      <c r="H1395" s="458"/>
      <c r="I1395" s="161"/>
    </row>
    <row r="1396" spans="1:9" ht="9.9499999999999993" customHeight="1" x14ac:dyDescent="0.25">
      <c r="A1396" s="461"/>
      <c r="B1396" s="462"/>
      <c r="C1396" s="462"/>
      <c r="D1396" s="162"/>
      <c r="E1396" s="162"/>
      <c r="F1396" s="162"/>
      <c r="G1396" s="162"/>
      <c r="H1396" s="162"/>
      <c r="I1396" s="161"/>
    </row>
    <row r="1397" spans="1:9" ht="30.95" customHeight="1" x14ac:dyDescent="0.25">
      <c r="A1397" s="452"/>
      <c r="B1397" s="453"/>
      <c r="C1397" s="453"/>
      <c r="D1397" s="453"/>
      <c r="E1397" s="162"/>
      <c r="F1397" s="162"/>
      <c r="G1397" s="162"/>
      <c r="H1397" s="162"/>
      <c r="I1397" s="161"/>
    </row>
    <row r="1398" spans="1:9" ht="15" customHeight="1" x14ac:dyDescent="0.25">
      <c r="A1398" s="456" t="s">
        <v>1385</v>
      </c>
      <c r="B1398" s="457"/>
      <c r="C1398" s="457"/>
      <c r="D1398" s="457"/>
      <c r="E1398" s="457"/>
      <c r="F1398" s="457"/>
      <c r="G1398" s="457"/>
      <c r="H1398" s="457"/>
      <c r="I1398" s="161"/>
    </row>
    <row r="1399" spans="1:9" ht="12.95" customHeight="1" x14ac:dyDescent="0.25">
      <c r="A1399" s="450" t="s">
        <v>397</v>
      </c>
      <c r="B1399" s="451"/>
      <c r="C1399" s="119" t="s">
        <v>1059</v>
      </c>
      <c r="D1399" s="119" t="s">
        <v>1024</v>
      </c>
      <c r="E1399" s="119" t="s">
        <v>984</v>
      </c>
      <c r="F1399" s="162"/>
      <c r="G1399" s="162"/>
      <c r="H1399" s="162"/>
      <c r="I1399" s="161"/>
    </row>
    <row r="1400" spans="1:9" ht="15" customHeight="1" x14ac:dyDescent="0.25">
      <c r="A1400" s="163" t="s">
        <v>153</v>
      </c>
      <c r="B1400" s="120" t="s">
        <v>1200</v>
      </c>
      <c r="C1400" s="227">
        <v>14.85</v>
      </c>
      <c r="D1400" s="227">
        <v>3.5</v>
      </c>
      <c r="E1400" s="228">
        <f>ROUND(D1400*C1400,2)</f>
        <v>51.98</v>
      </c>
      <c r="F1400" s="162"/>
      <c r="G1400" s="162"/>
      <c r="H1400" s="162"/>
      <c r="I1400" s="161"/>
    </row>
    <row r="1401" spans="1:9" ht="9.9499999999999993" customHeight="1" x14ac:dyDescent="0.25">
      <c r="A1401" s="164" t="s">
        <v>397</v>
      </c>
      <c r="B1401" s="121"/>
      <c r="C1401" s="122"/>
      <c r="D1401" s="122"/>
      <c r="E1401" s="123">
        <f>ROUND(SUM(E1400:E1400),2)</f>
        <v>51.98</v>
      </c>
      <c r="F1401" s="162"/>
      <c r="G1401" s="162"/>
      <c r="H1401" s="162"/>
      <c r="I1401" s="161"/>
    </row>
    <row r="1402" spans="1:9" ht="15" customHeight="1" x14ac:dyDescent="0.25">
      <c r="A1402" s="452"/>
      <c r="B1402" s="453"/>
      <c r="C1402" s="453"/>
      <c r="D1402" s="162"/>
      <c r="E1402" s="162"/>
      <c r="F1402" s="162"/>
      <c r="G1402" s="162"/>
      <c r="H1402" s="162"/>
      <c r="I1402" s="161"/>
    </row>
    <row r="1403" spans="1:9" ht="12.95" customHeight="1" x14ac:dyDescent="0.25">
      <c r="A1403" s="450" t="s">
        <v>397</v>
      </c>
      <c r="B1403" s="451"/>
      <c r="C1403" s="119" t="s">
        <v>1059</v>
      </c>
      <c r="D1403" s="119" t="s">
        <v>1024</v>
      </c>
      <c r="E1403" s="119" t="s">
        <v>984</v>
      </c>
      <c r="F1403" s="162"/>
      <c r="G1403" s="162"/>
      <c r="H1403" s="162"/>
      <c r="I1403" s="161"/>
    </row>
    <row r="1404" spans="1:9" ht="12.95" customHeight="1" x14ac:dyDescent="0.25">
      <c r="A1404" s="163" t="s">
        <v>1381</v>
      </c>
      <c r="B1404" s="120" t="s">
        <v>1382</v>
      </c>
      <c r="C1404" s="227">
        <v>1.1200000000000001</v>
      </c>
      <c r="D1404" s="227">
        <v>2.67</v>
      </c>
      <c r="E1404" s="228">
        <f>ROUND(-D1404*C1404,2)</f>
        <v>-2.99</v>
      </c>
      <c r="F1404" s="162"/>
      <c r="G1404" s="162"/>
      <c r="H1404" s="162"/>
      <c r="I1404" s="161"/>
    </row>
    <row r="1405" spans="1:9" ht="15" customHeight="1" x14ac:dyDescent="0.25">
      <c r="A1405" s="163" t="s">
        <v>1383</v>
      </c>
      <c r="B1405" s="120" t="s">
        <v>1384</v>
      </c>
      <c r="C1405" s="227">
        <v>1.64</v>
      </c>
      <c r="D1405" s="227">
        <v>2.2999999999999998</v>
      </c>
      <c r="E1405" s="228">
        <f>ROUND(-D1405*C1405*2,2)</f>
        <v>-7.54</v>
      </c>
      <c r="F1405" s="162"/>
      <c r="G1405" s="162"/>
      <c r="H1405" s="162"/>
      <c r="I1405" s="161"/>
    </row>
    <row r="1406" spans="1:9" ht="9.9499999999999993" customHeight="1" x14ac:dyDescent="0.25">
      <c r="A1406" s="164" t="s">
        <v>397</v>
      </c>
      <c r="B1406" s="121"/>
      <c r="C1406" s="122"/>
      <c r="D1406" s="122"/>
      <c r="E1406" s="123">
        <f>ROUND(SUM(E1404:E1405),2)</f>
        <v>-10.53</v>
      </c>
      <c r="F1406" s="162"/>
      <c r="G1406" s="162"/>
      <c r="H1406" s="162"/>
      <c r="I1406" s="161"/>
    </row>
    <row r="1407" spans="1:9" ht="12" customHeight="1" x14ac:dyDescent="0.25">
      <c r="A1407" s="452"/>
      <c r="B1407" s="453"/>
      <c r="C1407" s="453"/>
      <c r="D1407" s="162"/>
      <c r="E1407" s="162"/>
      <c r="F1407" s="162"/>
      <c r="G1407" s="162"/>
      <c r="H1407" s="162"/>
      <c r="I1407" s="161"/>
    </row>
    <row r="1408" spans="1:9" ht="12" customHeight="1" x14ac:dyDescent="0.25">
      <c r="A1408" s="461" t="s">
        <v>4299</v>
      </c>
      <c r="B1408" s="462"/>
      <c r="C1408" s="462"/>
      <c r="D1408" s="458" t="str">
        <f>"TOTAL DA MEMÓRIA DE CÁLCULO: "&amp;TEXT(ROUND(SUM(E1401,E1406),2),"0,00")</f>
        <v>TOTAL DA MEMÓRIA DE CÁLCULO: 41,45</v>
      </c>
      <c r="E1408" s="458"/>
      <c r="F1408" s="458"/>
      <c r="G1408" s="458"/>
      <c r="H1408" s="458"/>
      <c r="I1408" s="161"/>
    </row>
    <row r="1409" spans="1:9" ht="9.9499999999999993" customHeight="1" x14ac:dyDescent="0.25">
      <c r="A1409" s="461"/>
      <c r="B1409" s="462"/>
      <c r="C1409" s="462"/>
      <c r="D1409" s="162"/>
      <c r="E1409" s="162"/>
      <c r="F1409" s="162"/>
      <c r="G1409" s="162"/>
      <c r="H1409" s="162"/>
      <c r="I1409" s="161"/>
    </row>
    <row r="1410" spans="1:9" ht="30.95" customHeight="1" x14ac:dyDescent="0.25">
      <c r="A1410" s="452"/>
      <c r="B1410" s="453"/>
      <c r="C1410" s="453"/>
      <c r="D1410" s="453"/>
      <c r="E1410" s="162"/>
      <c r="F1410" s="162"/>
      <c r="G1410" s="162"/>
      <c r="H1410" s="162"/>
      <c r="I1410" s="161"/>
    </row>
    <row r="1411" spans="1:9" ht="15" customHeight="1" x14ac:dyDescent="0.25">
      <c r="A1411" s="456" t="s">
        <v>1386</v>
      </c>
      <c r="B1411" s="457"/>
      <c r="C1411" s="457"/>
      <c r="D1411" s="457"/>
      <c r="E1411" s="457"/>
      <c r="F1411" s="457"/>
      <c r="G1411" s="457"/>
      <c r="H1411" s="457"/>
      <c r="I1411" s="161"/>
    </row>
    <row r="1412" spans="1:9" ht="12.95" customHeight="1" x14ac:dyDescent="0.25">
      <c r="A1412" s="450" t="s">
        <v>397</v>
      </c>
      <c r="B1412" s="451"/>
      <c r="C1412" s="119" t="s">
        <v>1059</v>
      </c>
      <c r="D1412" s="119" t="s">
        <v>1024</v>
      </c>
      <c r="E1412" s="119" t="s">
        <v>984</v>
      </c>
      <c r="F1412" s="162"/>
      <c r="G1412" s="162"/>
      <c r="H1412" s="162"/>
      <c r="I1412" s="161"/>
    </row>
    <row r="1413" spans="1:9" ht="15" customHeight="1" x14ac:dyDescent="0.25">
      <c r="A1413" s="163" t="s">
        <v>153</v>
      </c>
      <c r="B1413" s="120" t="s">
        <v>1200</v>
      </c>
      <c r="C1413" s="227">
        <v>14.85</v>
      </c>
      <c r="D1413" s="227">
        <v>3.5</v>
      </c>
      <c r="E1413" s="228">
        <f>ROUND(D1413*C1413,2)</f>
        <v>51.98</v>
      </c>
      <c r="F1413" s="162"/>
      <c r="G1413" s="162"/>
      <c r="H1413" s="162"/>
      <c r="I1413" s="161"/>
    </row>
    <row r="1414" spans="1:9" ht="9.9499999999999993" customHeight="1" x14ac:dyDescent="0.25">
      <c r="A1414" s="164" t="s">
        <v>397</v>
      </c>
      <c r="B1414" s="121"/>
      <c r="C1414" s="122"/>
      <c r="D1414" s="122"/>
      <c r="E1414" s="123">
        <f>ROUND(SUM(E1413:E1413),2)</f>
        <v>51.98</v>
      </c>
      <c r="F1414" s="162"/>
      <c r="G1414" s="162"/>
      <c r="H1414" s="162"/>
      <c r="I1414" s="161"/>
    </row>
    <row r="1415" spans="1:9" ht="15" customHeight="1" x14ac:dyDescent="0.25">
      <c r="A1415" s="452"/>
      <c r="B1415" s="453"/>
      <c r="C1415" s="453"/>
      <c r="D1415" s="162"/>
      <c r="E1415" s="162"/>
      <c r="F1415" s="162"/>
      <c r="G1415" s="162"/>
      <c r="H1415" s="162"/>
      <c r="I1415" s="161"/>
    </row>
    <row r="1416" spans="1:9" ht="12.95" customHeight="1" x14ac:dyDescent="0.25">
      <c r="A1416" s="450" t="s">
        <v>397</v>
      </c>
      <c r="B1416" s="451"/>
      <c r="C1416" s="119" t="s">
        <v>1059</v>
      </c>
      <c r="D1416" s="119" t="s">
        <v>1024</v>
      </c>
      <c r="E1416" s="119" t="s">
        <v>984</v>
      </c>
      <c r="F1416" s="162"/>
      <c r="G1416" s="162"/>
      <c r="H1416" s="162"/>
      <c r="I1416" s="161"/>
    </row>
    <row r="1417" spans="1:9" ht="12.95" customHeight="1" x14ac:dyDescent="0.25">
      <c r="A1417" s="163" t="s">
        <v>1381</v>
      </c>
      <c r="B1417" s="120" t="s">
        <v>1382</v>
      </c>
      <c r="C1417" s="227">
        <v>1.1200000000000001</v>
      </c>
      <c r="D1417" s="227">
        <v>2.67</v>
      </c>
      <c r="E1417" s="228">
        <f>ROUND(-D1417*C1417,2)</f>
        <v>-2.99</v>
      </c>
      <c r="F1417" s="162"/>
      <c r="G1417" s="162"/>
      <c r="H1417" s="162"/>
      <c r="I1417" s="161"/>
    </row>
    <row r="1418" spans="1:9" ht="15" customHeight="1" x14ac:dyDescent="0.25">
      <c r="A1418" s="163" t="s">
        <v>1383</v>
      </c>
      <c r="B1418" s="120" t="s">
        <v>1384</v>
      </c>
      <c r="C1418" s="227">
        <v>1.64</v>
      </c>
      <c r="D1418" s="227">
        <v>2.2999999999999998</v>
      </c>
      <c r="E1418" s="228">
        <f>ROUND(-D1418*C1418*2,2)</f>
        <v>-7.54</v>
      </c>
      <c r="F1418" s="162"/>
      <c r="G1418" s="162"/>
      <c r="H1418" s="162"/>
      <c r="I1418" s="161"/>
    </row>
    <row r="1419" spans="1:9" ht="9.9499999999999993" customHeight="1" x14ac:dyDescent="0.25">
      <c r="A1419" s="164" t="s">
        <v>397</v>
      </c>
      <c r="B1419" s="121"/>
      <c r="C1419" s="122"/>
      <c r="D1419" s="122"/>
      <c r="E1419" s="123">
        <f>ROUND(SUM(E1417:E1418),2)</f>
        <v>-10.53</v>
      </c>
      <c r="F1419" s="162"/>
      <c r="G1419" s="162"/>
      <c r="H1419" s="162"/>
      <c r="I1419" s="161"/>
    </row>
    <row r="1420" spans="1:9" ht="12" customHeight="1" x14ac:dyDescent="0.25">
      <c r="A1420" s="452"/>
      <c r="B1420" s="453"/>
      <c r="C1420" s="453"/>
      <c r="D1420" s="162"/>
      <c r="E1420" s="162"/>
      <c r="F1420" s="162"/>
      <c r="G1420" s="162"/>
      <c r="H1420" s="162"/>
      <c r="I1420" s="161"/>
    </row>
    <row r="1421" spans="1:9" ht="12" customHeight="1" x14ac:dyDescent="0.25">
      <c r="A1421" s="461" t="s">
        <v>4299</v>
      </c>
      <c r="B1421" s="462"/>
      <c r="C1421" s="462"/>
      <c r="D1421" s="458" t="str">
        <f>"TOTAL DA MEMÓRIA DE CÁLCULO: "&amp;TEXT(ROUND(SUM(E1414,E1419),2),"0,00")</f>
        <v>TOTAL DA MEMÓRIA DE CÁLCULO: 41,45</v>
      </c>
      <c r="E1421" s="458"/>
      <c r="F1421" s="458"/>
      <c r="G1421" s="458"/>
      <c r="H1421" s="458"/>
      <c r="I1421" s="161"/>
    </row>
    <row r="1422" spans="1:9" ht="9.9499999999999993" customHeight="1" x14ac:dyDescent="0.25">
      <c r="A1422" s="461"/>
      <c r="B1422" s="462"/>
      <c r="C1422" s="462"/>
      <c r="D1422" s="162"/>
      <c r="E1422" s="162"/>
      <c r="F1422" s="162"/>
      <c r="G1422" s="162"/>
      <c r="H1422" s="162"/>
      <c r="I1422" s="161"/>
    </row>
    <row r="1423" spans="1:9" ht="30.95" customHeight="1" x14ac:dyDescent="0.25">
      <c r="A1423" s="452"/>
      <c r="B1423" s="453"/>
      <c r="C1423" s="453"/>
      <c r="D1423" s="453"/>
      <c r="E1423" s="162"/>
      <c r="F1423" s="162"/>
      <c r="G1423" s="162"/>
      <c r="H1423" s="162"/>
      <c r="I1423" s="161"/>
    </row>
    <row r="1424" spans="1:9" ht="15" customHeight="1" x14ac:dyDescent="0.25">
      <c r="A1424" s="456" t="s">
        <v>1387</v>
      </c>
      <c r="B1424" s="457"/>
      <c r="C1424" s="457"/>
      <c r="D1424" s="457"/>
      <c r="E1424" s="457"/>
      <c r="F1424" s="457"/>
      <c r="G1424" s="457"/>
      <c r="H1424" s="457"/>
      <c r="I1424" s="161"/>
    </row>
    <row r="1425" spans="1:9" ht="12.95" customHeight="1" x14ac:dyDescent="0.25">
      <c r="A1425" s="450" t="s">
        <v>397</v>
      </c>
      <c r="B1425" s="451"/>
      <c r="C1425" s="119" t="s">
        <v>1059</v>
      </c>
      <c r="D1425" s="119" t="s">
        <v>1024</v>
      </c>
      <c r="E1425" s="119" t="s">
        <v>984</v>
      </c>
      <c r="F1425" s="162"/>
      <c r="G1425" s="162"/>
      <c r="H1425" s="162"/>
      <c r="I1425" s="161"/>
    </row>
    <row r="1426" spans="1:9" ht="15" customHeight="1" x14ac:dyDescent="0.25">
      <c r="A1426" s="163" t="s">
        <v>153</v>
      </c>
      <c r="B1426" s="120" t="s">
        <v>1200</v>
      </c>
      <c r="C1426" s="227">
        <v>14.85</v>
      </c>
      <c r="D1426" s="227">
        <v>3.5</v>
      </c>
      <c r="E1426" s="228">
        <f>ROUND(D1426*C1426,2)</f>
        <v>51.98</v>
      </c>
      <c r="F1426" s="162"/>
      <c r="G1426" s="162"/>
      <c r="H1426" s="162"/>
      <c r="I1426" s="161"/>
    </row>
    <row r="1427" spans="1:9" ht="9.9499999999999993" customHeight="1" x14ac:dyDescent="0.25">
      <c r="A1427" s="164" t="s">
        <v>397</v>
      </c>
      <c r="B1427" s="121"/>
      <c r="C1427" s="122"/>
      <c r="D1427" s="122"/>
      <c r="E1427" s="123">
        <f>ROUND(SUM(E1426:E1426),2)</f>
        <v>51.98</v>
      </c>
      <c r="F1427" s="162"/>
      <c r="G1427" s="162"/>
      <c r="H1427" s="162"/>
      <c r="I1427" s="161"/>
    </row>
    <row r="1428" spans="1:9" ht="15" customHeight="1" x14ac:dyDescent="0.25">
      <c r="A1428" s="452"/>
      <c r="B1428" s="453"/>
      <c r="C1428" s="453"/>
      <c r="D1428" s="162"/>
      <c r="E1428" s="162"/>
      <c r="F1428" s="162"/>
      <c r="G1428" s="162"/>
      <c r="H1428" s="162"/>
      <c r="I1428" s="161"/>
    </row>
    <row r="1429" spans="1:9" ht="12.95" customHeight="1" x14ac:dyDescent="0.25">
      <c r="A1429" s="450" t="s">
        <v>397</v>
      </c>
      <c r="B1429" s="451"/>
      <c r="C1429" s="119" t="s">
        <v>1059</v>
      </c>
      <c r="D1429" s="119" t="s">
        <v>1024</v>
      </c>
      <c r="E1429" s="119" t="s">
        <v>984</v>
      </c>
      <c r="F1429" s="162"/>
      <c r="G1429" s="162"/>
      <c r="H1429" s="162"/>
      <c r="I1429" s="161"/>
    </row>
    <row r="1430" spans="1:9" ht="12.95" customHeight="1" x14ac:dyDescent="0.25">
      <c r="A1430" s="163" t="s">
        <v>1381</v>
      </c>
      <c r="B1430" s="120" t="s">
        <v>1382</v>
      </c>
      <c r="C1430" s="227">
        <v>1.1200000000000001</v>
      </c>
      <c r="D1430" s="227">
        <v>2.67</v>
      </c>
      <c r="E1430" s="228">
        <f>ROUND(-D1430*C1430,2)</f>
        <v>-2.99</v>
      </c>
      <c r="F1430" s="162"/>
      <c r="G1430" s="162"/>
      <c r="H1430" s="162"/>
      <c r="I1430" s="161"/>
    </row>
    <row r="1431" spans="1:9" ht="15" customHeight="1" x14ac:dyDescent="0.25">
      <c r="A1431" s="163" t="s">
        <v>1383</v>
      </c>
      <c r="B1431" s="120" t="s">
        <v>1384</v>
      </c>
      <c r="C1431" s="227">
        <v>1.64</v>
      </c>
      <c r="D1431" s="227">
        <v>2.2999999999999998</v>
      </c>
      <c r="E1431" s="228">
        <f>ROUND(-D1431*C1431*2,2)</f>
        <v>-7.54</v>
      </c>
      <c r="F1431" s="162"/>
      <c r="G1431" s="162"/>
      <c r="H1431" s="162"/>
      <c r="I1431" s="161"/>
    </row>
    <row r="1432" spans="1:9" ht="9.9499999999999993" customHeight="1" x14ac:dyDescent="0.25">
      <c r="A1432" s="164" t="s">
        <v>397</v>
      </c>
      <c r="B1432" s="121"/>
      <c r="C1432" s="122"/>
      <c r="D1432" s="122"/>
      <c r="E1432" s="123">
        <f>ROUND(SUM(E1430:E1431),2)</f>
        <v>-10.53</v>
      </c>
      <c r="F1432" s="162"/>
      <c r="G1432" s="162"/>
      <c r="H1432" s="162"/>
      <c r="I1432" s="161"/>
    </row>
    <row r="1433" spans="1:9" ht="12" customHeight="1" x14ac:dyDescent="0.25">
      <c r="A1433" s="452"/>
      <c r="B1433" s="453"/>
      <c r="C1433" s="453"/>
      <c r="D1433" s="162"/>
      <c r="E1433" s="162"/>
      <c r="F1433" s="162"/>
      <c r="G1433" s="162"/>
      <c r="H1433" s="162"/>
      <c r="I1433" s="161"/>
    </row>
    <row r="1434" spans="1:9" ht="12" customHeight="1" x14ac:dyDescent="0.25">
      <c r="A1434" s="461" t="s">
        <v>4299</v>
      </c>
      <c r="B1434" s="462"/>
      <c r="C1434" s="462"/>
      <c r="D1434" s="458" t="str">
        <f>"TOTAL DA MEMÓRIA DE CÁLCULO: "&amp;TEXT(ROUND(SUM(E1427,E1432),2),"0,00")</f>
        <v>TOTAL DA MEMÓRIA DE CÁLCULO: 41,45</v>
      </c>
      <c r="E1434" s="458"/>
      <c r="F1434" s="458"/>
      <c r="G1434" s="458"/>
      <c r="H1434" s="458"/>
      <c r="I1434" s="161"/>
    </row>
    <row r="1435" spans="1:9" ht="9.9499999999999993" customHeight="1" x14ac:dyDescent="0.25">
      <c r="A1435" s="461"/>
      <c r="B1435" s="462"/>
      <c r="C1435" s="462"/>
      <c r="D1435" s="162"/>
      <c r="E1435" s="162"/>
      <c r="F1435" s="162"/>
      <c r="G1435" s="162"/>
      <c r="H1435" s="162"/>
      <c r="I1435" s="161"/>
    </row>
    <row r="1436" spans="1:9" ht="20.100000000000001" customHeight="1" x14ac:dyDescent="0.25">
      <c r="A1436" s="452"/>
      <c r="B1436" s="453"/>
      <c r="C1436" s="453"/>
      <c r="D1436" s="453"/>
      <c r="E1436" s="162"/>
      <c r="F1436" s="162"/>
      <c r="G1436" s="162"/>
      <c r="H1436" s="162"/>
      <c r="I1436" s="161"/>
    </row>
    <row r="1437" spans="1:9" ht="15" customHeight="1" x14ac:dyDescent="0.25">
      <c r="A1437" s="456" t="s">
        <v>1388</v>
      </c>
      <c r="B1437" s="457"/>
      <c r="C1437" s="457"/>
      <c r="D1437" s="457"/>
      <c r="E1437" s="457"/>
      <c r="F1437" s="457"/>
      <c r="G1437" s="457"/>
      <c r="H1437" s="457"/>
      <c r="I1437" s="161"/>
    </row>
    <row r="1438" spans="1:9" ht="18.95" customHeight="1" x14ac:dyDescent="0.25">
      <c r="A1438" s="450" t="s">
        <v>397</v>
      </c>
      <c r="B1438" s="451"/>
      <c r="C1438" s="119"/>
      <c r="D1438" s="119" t="s">
        <v>984</v>
      </c>
      <c r="E1438" s="162"/>
      <c r="F1438" s="162"/>
      <c r="G1438" s="162"/>
      <c r="H1438" s="162"/>
      <c r="I1438" s="161"/>
    </row>
    <row r="1439" spans="1:9" ht="15" customHeight="1" x14ac:dyDescent="0.25">
      <c r="A1439" s="163" t="s">
        <v>1389</v>
      </c>
      <c r="B1439" s="120" t="s">
        <v>1390</v>
      </c>
      <c r="C1439" s="227">
        <v>9.7799999999999994</v>
      </c>
      <c r="D1439" s="228">
        <f>ROUND(4.89*2,2)</f>
        <v>9.7799999999999994</v>
      </c>
      <c r="E1439" s="162"/>
      <c r="F1439" s="162"/>
      <c r="G1439" s="162"/>
      <c r="H1439" s="162"/>
      <c r="I1439" s="161"/>
    </row>
    <row r="1440" spans="1:9" ht="9.9499999999999993" customHeight="1" x14ac:dyDescent="0.25">
      <c r="A1440" s="164" t="s">
        <v>397</v>
      </c>
      <c r="B1440" s="121"/>
      <c r="C1440" s="122"/>
      <c r="D1440" s="123">
        <f>ROUND(SUM(D1439:D1439),2)</f>
        <v>9.7799999999999994</v>
      </c>
      <c r="E1440" s="162"/>
      <c r="F1440" s="162"/>
      <c r="G1440" s="162"/>
      <c r="H1440" s="162"/>
      <c r="I1440" s="161"/>
    </row>
    <row r="1441" spans="1:9" ht="12" customHeight="1" x14ac:dyDescent="0.25">
      <c r="A1441" s="452"/>
      <c r="B1441" s="453"/>
      <c r="C1441" s="453"/>
      <c r="D1441" s="162"/>
      <c r="E1441" s="162"/>
      <c r="F1441" s="162"/>
      <c r="G1441" s="162"/>
      <c r="H1441" s="162"/>
      <c r="I1441" s="161"/>
    </row>
    <row r="1442" spans="1:9" ht="12" customHeight="1" x14ac:dyDescent="0.25">
      <c r="A1442" s="461" t="s">
        <v>4299</v>
      </c>
      <c r="B1442" s="462"/>
      <c r="C1442" s="462"/>
      <c r="D1442" s="458" t="str">
        <f>"TOTAL DA MEMÓRIA DE CÁLCULO: "&amp;TEXT(ROUND(SUM(D1440),2),"0,00")</f>
        <v>TOTAL DA MEMÓRIA DE CÁLCULO: 9,78</v>
      </c>
      <c r="E1442" s="458"/>
      <c r="F1442" s="458"/>
      <c r="G1442" s="458"/>
      <c r="H1442" s="458"/>
      <c r="I1442" s="161"/>
    </row>
    <row r="1443" spans="1:9" ht="9.9499999999999993" customHeight="1" x14ac:dyDescent="0.25">
      <c r="A1443" s="461"/>
      <c r="B1443" s="462"/>
      <c r="C1443" s="462"/>
      <c r="D1443" s="162"/>
      <c r="E1443" s="162"/>
      <c r="F1443" s="162"/>
      <c r="G1443" s="162"/>
      <c r="H1443" s="162"/>
      <c r="I1443" s="161"/>
    </row>
    <row r="1444" spans="1:9" ht="42.95" customHeight="1" x14ac:dyDescent="0.25">
      <c r="A1444" s="452"/>
      <c r="B1444" s="453"/>
      <c r="C1444" s="453"/>
      <c r="D1444" s="453"/>
      <c r="E1444" s="162"/>
      <c r="F1444" s="162"/>
      <c r="G1444" s="162"/>
      <c r="H1444" s="162"/>
      <c r="I1444" s="161"/>
    </row>
    <row r="1445" spans="1:9" ht="15" customHeight="1" x14ac:dyDescent="0.25">
      <c r="A1445" s="456" t="s">
        <v>1391</v>
      </c>
      <c r="B1445" s="457"/>
      <c r="C1445" s="457"/>
      <c r="D1445" s="457"/>
      <c r="E1445" s="457"/>
      <c r="F1445" s="457"/>
      <c r="G1445" s="457"/>
      <c r="H1445" s="457"/>
      <c r="I1445" s="161"/>
    </row>
    <row r="1446" spans="1:9" ht="12.95" customHeight="1" x14ac:dyDescent="0.25">
      <c r="A1446" s="450" t="s">
        <v>397</v>
      </c>
      <c r="B1446" s="451"/>
      <c r="C1446" s="119" t="s">
        <v>1377</v>
      </c>
      <c r="D1446" s="119" t="s">
        <v>1378</v>
      </c>
      <c r="E1446" s="119" t="s">
        <v>984</v>
      </c>
      <c r="F1446" s="162"/>
      <c r="G1446" s="162"/>
      <c r="H1446" s="162"/>
      <c r="I1446" s="161"/>
    </row>
    <row r="1447" spans="1:9" ht="15" customHeight="1" x14ac:dyDescent="0.25">
      <c r="A1447" s="163" t="s">
        <v>1379</v>
      </c>
      <c r="B1447" s="120" t="s">
        <v>1380</v>
      </c>
      <c r="C1447" s="227">
        <v>6.4</v>
      </c>
      <c r="D1447" s="227">
        <v>4.9000000000000004</v>
      </c>
      <c r="E1447" s="228">
        <f>ROUND(C1447*D1447,2)</f>
        <v>31.36</v>
      </c>
      <c r="F1447" s="162"/>
      <c r="G1447" s="162"/>
      <c r="H1447" s="162"/>
      <c r="I1447" s="161"/>
    </row>
    <row r="1448" spans="1:9" ht="9.9499999999999993" customHeight="1" x14ac:dyDescent="0.25">
      <c r="A1448" s="164" t="s">
        <v>397</v>
      </c>
      <c r="B1448" s="121"/>
      <c r="C1448" s="122"/>
      <c r="D1448" s="122"/>
      <c r="E1448" s="123">
        <f>ROUND(SUM(E1447:E1447),2)</f>
        <v>31.36</v>
      </c>
      <c r="F1448" s="162"/>
      <c r="G1448" s="162"/>
      <c r="H1448" s="162"/>
      <c r="I1448" s="161"/>
    </row>
    <row r="1449" spans="1:9" ht="12" customHeight="1" x14ac:dyDescent="0.25">
      <c r="A1449" s="452"/>
      <c r="B1449" s="453"/>
      <c r="C1449" s="453"/>
      <c r="D1449" s="162"/>
      <c r="E1449" s="162"/>
      <c r="F1449" s="162"/>
      <c r="G1449" s="162"/>
      <c r="H1449" s="162"/>
      <c r="I1449" s="161"/>
    </row>
    <row r="1450" spans="1:9" ht="12" customHeight="1" x14ac:dyDescent="0.25">
      <c r="A1450" s="461" t="s">
        <v>4299</v>
      </c>
      <c r="B1450" s="462"/>
      <c r="C1450" s="462"/>
      <c r="D1450" s="458" t="str">
        <f>"TOTAL DA MEMÓRIA DE CÁLCULO: "&amp;TEXT(ROUND(SUM(E1448),2),"0,00")</f>
        <v>TOTAL DA MEMÓRIA DE CÁLCULO: 31,36</v>
      </c>
      <c r="E1450" s="458"/>
      <c r="F1450" s="458"/>
      <c r="G1450" s="458"/>
      <c r="H1450" s="458"/>
      <c r="I1450" s="161"/>
    </row>
    <row r="1451" spans="1:9" ht="9.9499999999999993" customHeight="1" x14ac:dyDescent="0.25">
      <c r="A1451" s="461"/>
      <c r="B1451" s="462"/>
      <c r="C1451" s="462"/>
      <c r="D1451" s="162"/>
      <c r="E1451" s="162"/>
      <c r="F1451" s="162"/>
      <c r="G1451" s="162"/>
      <c r="H1451" s="162"/>
      <c r="I1451" s="161"/>
    </row>
    <row r="1452" spans="1:9" ht="30.95" customHeight="1" x14ac:dyDescent="0.25">
      <c r="A1452" s="452"/>
      <c r="B1452" s="453"/>
      <c r="C1452" s="453"/>
      <c r="D1452" s="453"/>
      <c r="E1452" s="162"/>
      <c r="F1452" s="162"/>
      <c r="G1452" s="162"/>
      <c r="H1452" s="162"/>
      <c r="I1452" s="161"/>
    </row>
    <row r="1453" spans="1:9" ht="15" customHeight="1" x14ac:dyDescent="0.25">
      <c r="A1453" s="456" t="s">
        <v>1392</v>
      </c>
      <c r="B1453" s="457"/>
      <c r="C1453" s="457"/>
      <c r="D1453" s="457"/>
      <c r="E1453" s="457"/>
      <c r="F1453" s="457"/>
      <c r="G1453" s="457"/>
      <c r="H1453" s="457"/>
      <c r="I1453" s="161"/>
    </row>
    <row r="1454" spans="1:9" ht="27" customHeight="1" x14ac:dyDescent="0.25">
      <c r="A1454" s="450"/>
      <c r="B1454" s="451"/>
      <c r="C1454" s="119" t="s">
        <v>1393</v>
      </c>
      <c r="D1454" s="119" t="s">
        <v>1007</v>
      </c>
      <c r="E1454" s="119" t="s">
        <v>984</v>
      </c>
      <c r="F1454" s="162"/>
      <c r="G1454" s="162"/>
      <c r="H1454" s="162"/>
      <c r="I1454" s="161"/>
    </row>
    <row r="1455" spans="1:9" ht="15" customHeight="1" x14ac:dyDescent="0.25">
      <c r="A1455" s="163" t="s">
        <v>1394</v>
      </c>
      <c r="B1455" s="120" t="s">
        <v>1395</v>
      </c>
      <c r="C1455" s="227">
        <v>5</v>
      </c>
      <c r="D1455" s="227">
        <v>19.260000000000002</v>
      </c>
      <c r="E1455" s="228">
        <f>ROUND(D1455*C1455/100,2)</f>
        <v>0.96</v>
      </c>
      <c r="F1455" s="162"/>
      <c r="G1455" s="162"/>
      <c r="H1455" s="162"/>
      <c r="I1455" s="161"/>
    </row>
    <row r="1456" spans="1:9" ht="9.9499999999999993" customHeight="1" x14ac:dyDescent="0.25">
      <c r="A1456" s="164"/>
      <c r="B1456" s="121"/>
      <c r="C1456" s="122"/>
      <c r="D1456" s="122"/>
      <c r="E1456" s="123">
        <f>ROUND(SUM(E1455:E1455),2)</f>
        <v>0.96</v>
      </c>
      <c r="F1456" s="162"/>
      <c r="G1456" s="162"/>
      <c r="H1456" s="162"/>
      <c r="I1456" s="161"/>
    </row>
    <row r="1457" spans="1:9" ht="17.100000000000001" customHeight="1" x14ac:dyDescent="0.25">
      <c r="A1457" s="452"/>
      <c r="B1457" s="453"/>
      <c r="C1457" s="453"/>
      <c r="D1457" s="162"/>
      <c r="E1457" s="162"/>
      <c r="F1457" s="162"/>
      <c r="G1457" s="162"/>
      <c r="H1457" s="162"/>
      <c r="I1457" s="161"/>
    </row>
    <row r="1458" spans="1:9" ht="12" customHeight="1" x14ac:dyDescent="0.25">
      <c r="A1458" s="461" t="s">
        <v>4302</v>
      </c>
      <c r="B1458" s="462"/>
      <c r="C1458" s="462"/>
      <c r="D1458" s="458" t="str">
        <f>"TOTAL DA MEMÓRIA DE CÁLCULO: "&amp;TEXT(ROUND(SUM(E1456),2),"0,00")</f>
        <v>TOTAL DA MEMÓRIA DE CÁLCULO: 0,96</v>
      </c>
      <c r="E1458" s="458"/>
      <c r="F1458" s="458"/>
      <c r="G1458" s="458"/>
      <c r="H1458" s="458"/>
      <c r="I1458" s="161"/>
    </row>
    <row r="1459" spans="1:9" ht="9.9499999999999993" customHeight="1" x14ac:dyDescent="0.25">
      <c r="A1459" s="461"/>
      <c r="B1459" s="462"/>
      <c r="C1459" s="462"/>
      <c r="D1459" s="162"/>
      <c r="E1459" s="162"/>
      <c r="F1459" s="162"/>
      <c r="G1459" s="162"/>
      <c r="H1459" s="162"/>
      <c r="I1459" s="161"/>
    </row>
    <row r="1460" spans="1:9" ht="20.100000000000001" customHeight="1" x14ac:dyDescent="0.25">
      <c r="A1460" s="452"/>
      <c r="B1460" s="453"/>
      <c r="C1460" s="453"/>
      <c r="D1460" s="453"/>
      <c r="E1460" s="162"/>
      <c r="F1460" s="162"/>
      <c r="G1460" s="162"/>
      <c r="H1460" s="162"/>
      <c r="I1460" s="161"/>
    </row>
    <row r="1461" spans="1:9" ht="9.9499999999999993" customHeight="1" x14ac:dyDescent="0.25">
      <c r="A1461" s="456" t="s">
        <v>1396</v>
      </c>
      <c r="B1461" s="457"/>
      <c r="C1461" s="457"/>
      <c r="D1461" s="457"/>
      <c r="E1461" s="457"/>
      <c r="F1461" s="457"/>
      <c r="G1461" s="457"/>
      <c r="H1461" s="457"/>
      <c r="I1461" s="161"/>
    </row>
    <row r="1462" spans="1:9" ht="20.100000000000001" customHeight="1" x14ac:dyDescent="0.25">
      <c r="A1462" s="452"/>
      <c r="B1462" s="453"/>
      <c r="C1462" s="453"/>
      <c r="D1462" s="162"/>
      <c r="E1462" s="162"/>
      <c r="F1462" s="162"/>
      <c r="G1462" s="162"/>
      <c r="H1462" s="162"/>
      <c r="I1462" s="161"/>
    </row>
    <row r="1463" spans="1:9" ht="15" customHeight="1" x14ac:dyDescent="0.25">
      <c r="A1463" s="456" t="s">
        <v>1397</v>
      </c>
      <c r="B1463" s="457"/>
      <c r="C1463" s="457"/>
      <c r="D1463" s="457"/>
      <c r="E1463" s="457"/>
      <c r="F1463" s="457"/>
      <c r="G1463" s="457"/>
      <c r="H1463" s="457"/>
      <c r="I1463" s="161"/>
    </row>
    <row r="1464" spans="1:9" ht="12.95" customHeight="1" x14ac:dyDescent="0.25">
      <c r="A1464" s="450"/>
      <c r="B1464" s="451"/>
      <c r="C1464" s="119" t="s">
        <v>1059</v>
      </c>
      <c r="D1464" s="119" t="s">
        <v>1024</v>
      </c>
      <c r="E1464" s="119" t="s">
        <v>984</v>
      </c>
      <c r="F1464" s="162"/>
      <c r="G1464" s="162"/>
      <c r="H1464" s="162"/>
      <c r="I1464" s="161"/>
    </row>
    <row r="1465" spans="1:9" ht="12.95" customHeight="1" x14ac:dyDescent="0.25">
      <c r="A1465" s="163" t="s">
        <v>1398</v>
      </c>
      <c r="B1465" s="120" t="s">
        <v>1399</v>
      </c>
      <c r="C1465" s="227">
        <v>18.5</v>
      </c>
      <c r="D1465" s="227">
        <v>3</v>
      </c>
      <c r="E1465" s="228">
        <f>ROUND(D1465*C1465/2,2)</f>
        <v>27.75</v>
      </c>
      <c r="F1465" s="162"/>
      <c r="G1465" s="162"/>
      <c r="H1465" s="162"/>
      <c r="I1465" s="161"/>
    </row>
    <row r="1466" spans="1:9" ht="12.95" customHeight="1" x14ac:dyDescent="0.25">
      <c r="A1466" s="163" t="s">
        <v>1400</v>
      </c>
      <c r="B1466" s="120" t="s">
        <v>1401</v>
      </c>
      <c r="C1466" s="227">
        <v>1.64</v>
      </c>
      <c r="D1466" s="227">
        <v>2.2999999999999998</v>
      </c>
      <c r="E1466" s="228">
        <f>ROUND(-C1466*D1466/2,2)</f>
        <v>-1.89</v>
      </c>
      <c r="F1466" s="162"/>
      <c r="G1466" s="162"/>
      <c r="H1466" s="162"/>
      <c r="I1466" s="161"/>
    </row>
    <row r="1467" spans="1:9" ht="12.95" customHeight="1" x14ac:dyDescent="0.25">
      <c r="A1467" s="163" t="s">
        <v>1402</v>
      </c>
      <c r="B1467" s="120" t="s">
        <v>1401</v>
      </c>
      <c r="C1467" s="227">
        <v>1.19</v>
      </c>
      <c r="D1467" s="227">
        <v>2.4900000000000002</v>
      </c>
      <c r="E1467" s="228">
        <f>ROUND(-C1467*D1467/2,2)</f>
        <v>-1.48</v>
      </c>
      <c r="F1467" s="162"/>
      <c r="G1467" s="162"/>
      <c r="H1467" s="162"/>
      <c r="I1467" s="161"/>
    </row>
    <row r="1468" spans="1:9" ht="15" customHeight="1" x14ac:dyDescent="0.25">
      <c r="A1468" s="163" t="s">
        <v>1403</v>
      </c>
      <c r="B1468" s="120" t="s">
        <v>1401</v>
      </c>
      <c r="C1468" s="227">
        <v>1.02</v>
      </c>
      <c r="D1468" s="227">
        <v>1.54</v>
      </c>
      <c r="E1468" s="228">
        <f>ROUND(-C1468*D1468/2,2)</f>
        <v>-0.79</v>
      </c>
      <c r="F1468" s="162"/>
      <c r="G1468" s="162"/>
      <c r="H1468" s="162"/>
      <c r="I1468" s="161"/>
    </row>
    <row r="1469" spans="1:9" ht="9.9499999999999993" customHeight="1" x14ac:dyDescent="0.25">
      <c r="A1469" s="164"/>
      <c r="B1469" s="121"/>
      <c r="C1469" s="122"/>
      <c r="D1469" s="122"/>
      <c r="E1469" s="123">
        <f>ROUND(SUM(E1465:E1468),2)</f>
        <v>23.59</v>
      </c>
      <c r="F1469" s="162"/>
      <c r="G1469" s="162"/>
      <c r="H1469" s="162"/>
      <c r="I1469" s="161"/>
    </row>
    <row r="1470" spans="1:9" ht="12" customHeight="1" x14ac:dyDescent="0.25">
      <c r="A1470" s="452"/>
      <c r="B1470" s="453"/>
      <c r="C1470" s="453"/>
      <c r="D1470" s="162"/>
      <c r="E1470" s="162"/>
      <c r="F1470" s="162"/>
      <c r="G1470" s="162"/>
      <c r="H1470" s="162"/>
      <c r="I1470" s="161"/>
    </row>
    <row r="1471" spans="1:9" ht="12" customHeight="1" x14ac:dyDescent="0.25">
      <c r="A1471" s="461" t="s">
        <v>4299</v>
      </c>
      <c r="B1471" s="462"/>
      <c r="C1471" s="462"/>
      <c r="D1471" s="458" t="str">
        <f>"TOTAL DA MEMÓRIA DE CÁLCULO: "&amp;TEXT(ROUND(SUM(E1469),2),"0,00")</f>
        <v>TOTAL DA MEMÓRIA DE CÁLCULO: 23,59</v>
      </c>
      <c r="E1471" s="458"/>
      <c r="F1471" s="458"/>
      <c r="G1471" s="458"/>
      <c r="H1471" s="458"/>
      <c r="I1471" s="161"/>
    </row>
    <row r="1472" spans="1:9" ht="9.9499999999999993" customHeight="1" x14ac:dyDescent="0.25">
      <c r="A1472" s="461"/>
      <c r="B1472" s="462"/>
      <c r="C1472" s="462"/>
      <c r="D1472" s="162"/>
      <c r="E1472" s="162"/>
      <c r="F1472" s="162"/>
      <c r="G1472" s="162"/>
      <c r="H1472" s="162"/>
      <c r="I1472" s="161"/>
    </row>
    <row r="1473" spans="1:9" ht="30.95" customHeight="1" x14ac:dyDescent="0.25">
      <c r="A1473" s="452"/>
      <c r="B1473" s="453"/>
      <c r="C1473" s="453"/>
      <c r="D1473" s="453"/>
      <c r="E1473" s="162"/>
      <c r="F1473" s="162"/>
      <c r="G1473" s="162"/>
      <c r="H1473" s="162"/>
      <c r="I1473" s="161"/>
    </row>
    <row r="1474" spans="1:9" ht="15" customHeight="1" x14ac:dyDescent="0.25">
      <c r="A1474" s="456" t="s">
        <v>1404</v>
      </c>
      <c r="B1474" s="457"/>
      <c r="C1474" s="457"/>
      <c r="D1474" s="457"/>
      <c r="E1474" s="457"/>
      <c r="F1474" s="457"/>
      <c r="G1474" s="457"/>
      <c r="H1474" s="457"/>
      <c r="I1474" s="161"/>
    </row>
    <row r="1475" spans="1:9" ht="12.95" customHeight="1" x14ac:dyDescent="0.25">
      <c r="A1475" s="450"/>
      <c r="B1475" s="451"/>
      <c r="C1475" s="119" t="s">
        <v>1059</v>
      </c>
      <c r="D1475" s="119" t="s">
        <v>1024</v>
      </c>
      <c r="E1475" s="119" t="s">
        <v>984</v>
      </c>
      <c r="F1475" s="162"/>
      <c r="G1475" s="162"/>
      <c r="H1475" s="162"/>
      <c r="I1475" s="161"/>
    </row>
    <row r="1476" spans="1:9" ht="12.95" customHeight="1" x14ac:dyDescent="0.25">
      <c r="A1476" s="163" t="s">
        <v>1398</v>
      </c>
      <c r="B1476" s="120" t="s">
        <v>1399</v>
      </c>
      <c r="C1476" s="227">
        <v>18.5</v>
      </c>
      <c r="D1476" s="227">
        <v>3</v>
      </c>
      <c r="E1476" s="228">
        <f>ROUND(D1476*C1476/2,2)</f>
        <v>27.75</v>
      </c>
      <c r="F1476" s="162"/>
      <c r="G1476" s="162"/>
      <c r="H1476" s="162"/>
      <c r="I1476" s="161"/>
    </row>
    <row r="1477" spans="1:9" ht="12.95" customHeight="1" x14ac:dyDescent="0.25">
      <c r="A1477" s="163" t="s">
        <v>1400</v>
      </c>
      <c r="B1477" s="120" t="s">
        <v>1401</v>
      </c>
      <c r="C1477" s="227">
        <v>1.64</v>
      </c>
      <c r="D1477" s="227">
        <v>2.2999999999999998</v>
      </c>
      <c r="E1477" s="228">
        <f>ROUND(-C1477*D1477/2,2)</f>
        <v>-1.89</v>
      </c>
      <c r="F1477" s="162"/>
      <c r="G1477" s="162"/>
      <c r="H1477" s="162"/>
      <c r="I1477" s="161"/>
    </row>
    <row r="1478" spans="1:9" ht="12.95" customHeight="1" x14ac:dyDescent="0.25">
      <c r="A1478" s="163" t="s">
        <v>1402</v>
      </c>
      <c r="B1478" s="120" t="s">
        <v>1401</v>
      </c>
      <c r="C1478" s="227">
        <v>1.19</v>
      </c>
      <c r="D1478" s="227">
        <v>2.4900000000000002</v>
      </c>
      <c r="E1478" s="228">
        <f>ROUND(-C1478*D1478/2,2)</f>
        <v>-1.48</v>
      </c>
      <c r="F1478" s="162"/>
      <c r="G1478" s="162"/>
      <c r="H1478" s="162"/>
      <c r="I1478" s="161"/>
    </row>
    <row r="1479" spans="1:9" ht="12.95" customHeight="1" x14ac:dyDescent="0.25">
      <c r="A1479" s="163" t="s">
        <v>1403</v>
      </c>
      <c r="B1479" s="120" t="s">
        <v>1401</v>
      </c>
      <c r="C1479" s="227">
        <v>1.02</v>
      </c>
      <c r="D1479" s="227">
        <v>1.54</v>
      </c>
      <c r="E1479" s="228">
        <f>ROUND(-C1479*D1479/2,2)</f>
        <v>-0.79</v>
      </c>
      <c r="F1479" s="162"/>
      <c r="G1479" s="162"/>
      <c r="H1479" s="162"/>
      <c r="I1479" s="161"/>
    </row>
    <row r="1480" spans="1:9" ht="15" customHeight="1" x14ac:dyDescent="0.25">
      <c r="A1480" s="163" t="s">
        <v>1012</v>
      </c>
      <c r="B1480" s="120" t="s">
        <v>1200</v>
      </c>
      <c r="C1480" s="227">
        <v>2.75</v>
      </c>
      <c r="D1480" s="227">
        <v>3</v>
      </c>
      <c r="E1480" s="228">
        <f>ROUND(D1480*C1480,2)</f>
        <v>8.25</v>
      </c>
      <c r="F1480" s="162"/>
      <c r="G1480" s="162"/>
      <c r="H1480" s="162"/>
      <c r="I1480" s="161"/>
    </row>
    <row r="1481" spans="1:9" ht="9.9499999999999993" customHeight="1" x14ac:dyDescent="0.25">
      <c r="A1481" s="164"/>
      <c r="B1481" s="121"/>
      <c r="C1481" s="122"/>
      <c r="D1481" s="122"/>
      <c r="E1481" s="123">
        <f>ROUND(SUM(E1476:E1480),2)</f>
        <v>31.84</v>
      </c>
      <c r="F1481" s="162"/>
      <c r="G1481" s="162"/>
      <c r="H1481" s="162"/>
      <c r="I1481" s="161"/>
    </row>
    <row r="1482" spans="1:9" ht="12" customHeight="1" x14ac:dyDescent="0.25">
      <c r="A1482" s="452"/>
      <c r="B1482" s="453"/>
      <c r="C1482" s="453"/>
      <c r="D1482" s="162"/>
      <c r="E1482" s="162"/>
      <c r="F1482" s="162"/>
      <c r="G1482" s="162"/>
      <c r="H1482" s="162"/>
      <c r="I1482" s="161"/>
    </row>
    <row r="1483" spans="1:9" ht="12" customHeight="1" x14ac:dyDescent="0.25">
      <c r="A1483" s="461" t="s">
        <v>4299</v>
      </c>
      <c r="B1483" s="462"/>
      <c r="C1483" s="462"/>
      <c r="D1483" s="458" t="str">
        <f>"TOTAL DA MEMÓRIA DE CÁLCULO: "&amp;TEXT(ROUND(SUM(E1481),2),"0,00")</f>
        <v>TOTAL DA MEMÓRIA DE CÁLCULO: 31,84</v>
      </c>
      <c r="E1483" s="458"/>
      <c r="F1483" s="458"/>
      <c r="G1483" s="458"/>
      <c r="H1483" s="458"/>
      <c r="I1483" s="161"/>
    </row>
    <row r="1484" spans="1:9" ht="9.9499999999999993" customHeight="1" x14ac:dyDescent="0.25">
      <c r="A1484" s="461"/>
      <c r="B1484" s="462"/>
      <c r="C1484" s="462"/>
      <c r="D1484" s="162"/>
      <c r="E1484" s="162"/>
      <c r="F1484" s="162"/>
      <c r="G1484" s="162"/>
      <c r="H1484" s="162"/>
      <c r="I1484" s="161"/>
    </row>
    <row r="1485" spans="1:9" ht="30.95" customHeight="1" x14ac:dyDescent="0.25">
      <c r="A1485" s="452"/>
      <c r="B1485" s="453"/>
      <c r="C1485" s="453"/>
      <c r="D1485" s="453"/>
      <c r="E1485" s="162"/>
      <c r="F1485" s="162"/>
      <c r="G1485" s="162"/>
      <c r="H1485" s="162"/>
      <c r="I1485" s="161"/>
    </row>
    <row r="1486" spans="1:9" ht="15" customHeight="1" x14ac:dyDescent="0.25">
      <c r="A1486" s="456" t="s">
        <v>1405</v>
      </c>
      <c r="B1486" s="457"/>
      <c r="C1486" s="457"/>
      <c r="D1486" s="457"/>
      <c r="E1486" s="457"/>
      <c r="F1486" s="457"/>
      <c r="G1486" s="457"/>
      <c r="H1486" s="457"/>
      <c r="I1486" s="161"/>
    </row>
    <row r="1487" spans="1:9" ht="12.95" customHeight="1" x14ac:dyDescent="0.25">
      <c r="A1487" s="450"/>
      <c r="B1487" s="451"/>
      <c r="C1487" s="119" t="s">
        <v>1059</v>
      </c>
      <c r="D1487" s="119" t="s">
        <v>1024</v>
      </c>
      <c r="E1487" s="119" t="s">
        <v>984</v>
      </c>
      <c r="F1487" s="162"/>
      <c r="G1487" s="162"/>
      <c r="H1487" s="162"/>
      <c r="I1487" s="161"/>
    </row>
    <row r="1488" spans="1:9" ht="12.95" customHeight="1" x14ac:dyDescent="0.25">
      <c r="A1488" s="163" t="s">
        <v>1398</v>
      </c>
      <c r="B1488" s="120" t="s">
        <v>1399</v>
      </c>
      <c r="C1488" s="227">
        <v>18.5</v>
      </c>
      <c r="D1488" s="227">
        <v>3</v>
      </c>
      <c r="E1488" s="228">
        <f>ROUND(D1488*C1488/2,2)</f>
        <v>27.75</v>
      </c>
      <c r="F1488" s="162"/>
      <c r="G1488" s="162"/>
      <c r="H1488" s="162"/>
      <c r="I1488" s="161"/>
    </row>
    <row r="1489" spans="1:9" ht="12.95" customHeight="1" x14ac:dyDescent="0.25">
      <c r="A1489" s="163" t="s">
        <v>1400</v>
      </c>
      <c r="B1489" s="120" t="s">
        <v>1401</v>
      </c>
      <c r="C1489" s="227">
        <v>1.64</v>
      </c>
      <c r="D1489" s="227">
        <v>2.2999999999999998</v>
      </c>
      <c r="E1489" s="228">
        <f>ROUND(-C1489*D1489/2,2)</f>
        <v>-1.89</v>
      </c>
      <c r="F1489" s="162"/>
      <c r="G1489" s="162"/>
      <c r="H1489" s="162"/>
      <c r="I1489" s="161"/>
    </row>
    <row r="1490" spans="1:9" ht="12.95" customHeight="1" x14ac:dyDescent="0.25">
      <c r="A1490" s="163" t="s">
        <v>1402</v>
      </c>
      <c r="B1490" s="120" t="s">
        <v>1401</v>
      </c>
      <c r="C1490" s="227">
        <v>1.19</v>
      </c>
      <c r="D1490" s="227">
        <v>2.4900000000000002</v>
      </c>
      <c r="E1490" s="228">
        <f>ROUND(-C1490*D1490/2,2)</f>
        <v>-1.48</v>
      </c>
      <c r="F1490" s="162"/>
      <c r="G1490" s="162"/>
      <c r="H1490" s="162"/>
      <c r="I1490" s="161"/>
    </row>
    <row r="1491" spans="1:9" ht="12.95" customHeight="1" x14ac:dyDescent="0.25">
      <c r="A1491" s="163" t="s">
        <v>1403</v>
      </c>
      <c r="B1491" s="120" t="s">
        <v>1401</v>
      </c>
      <c r="C1491" s="227">
        <v>1.02</v>
      </c>
      <c r="D1491" s="227">
        <v>1.54</v>
      </c>
      <c r="E1491" s="228">
        <f>ROUND(-C1491*D1491/2,2)</f>
        <v>-0.79</v>
      </c>
      <c r="F1491" s="162"/>
      <c r="G1491" s="162"/>
      <c r="H1491" s="162"/>
      <c r="I1491" s="161"/>
    </row>
    <row r="1492" spans="1:9" ht="12.95" customHeight="1" x14ac:dyDescent="0.25">
      <c r="A1492" s="163" t="s">
        <v>1398</v>
      </c>
      <c r="B1492" s="120" t="s">
        <v>1399</v>
      </c>
      <c r="C1492" s="227">
        <v>18.5</v>
      </c>
      <c r="D1492" s="227">
        <v>3</v>
      </c>
      <c r="E1492" s="228">
        <f>ROUND(D1492*C1492/2,2)</f>
        <v>27.75</v>
      </c>
      <c r="F1492" s="162"/>
      <c r="G1492" s="162"/>
      <c r="H1492" s="162"/>
      <c r="I1492" s="161"/>
    </row>
    <row r="1493" spans="1:9" ht="12.95" customHeight="1" x14ac:dyDescent="0.25">
      <c r="A1493" s="163" t="s">
        <v>1400</v>
      </c>
      <c r="B1493" s="120" t="s">
        <v>1401</v>
      </c>
      <c r="C1493" s="227">
        <v>1.64</v>
      </c>
      <c r="D1493" s="227">
        <v>2.2999999999999998</v>
      </c>
      <c r="E1493" s="228">
        <f>ROUND(-C1493*D1493/2,2)</f>
        <v>-1.89</v>
      </c>
      <c r="F1493" s="162"/>
      <c r="G1493" s="162"/>
      <c r="H1493" s="162"/>
      <c r="I1493" s="161"/>
    </row>
    <row r="1494" spans="1:9" ht="12.95" customHeight="1" x14ac:dyDescent="0.25">
      <c r="A1494" s="163" t="s">
        <v>1402</v>
      </c>
      <c r="B1494" s="120" t="s">
        <v>1401</v>
      </c>
      <c r="C1494" s="227">
        <v>1.19</v>
      </c>
      <c r="D1494" s="227">
        <v>2.4900000000000002</v>
      </c>
      <c r="E1494" s="228">
        <f>ROUND(-C1494*D1494/2,2)</f>
        <v>-1.48</v>
      </c>
      <c r="F1494" s="162"/>
      <c r="G1494" s="162"/>
      <c r="H1494" s="162"/>
      <c r="I1494" s="161"/>
    </row>
    <row r="1495" spans="1:9" ht="12.95" customHeight="1" x14ac:dyDescent="0.25">
      <c r="A1495" s="163" t="s">
        <v>1403</v>
      </c>
      <c r="B1495" s="120" t="s">
        <v>1401</v>
      </c>
      <c r="C1495" s="227">
        <v>1.02</v>
      </c>
      <c r="D1495" s="227">
        <v>1.54</v>
      </c>
      <c r="E1495" s="228">
        <f>ROUND(-C1495*D1495/2,2)</f>
        <v>-0.79</v>
      </c>
      <c r="F1495" s="162"/>
      <c r="G1495" s="162"/>
      <c r="H1495" s="162"/>
      <c r="I1495" s="161"/>
    </row>
    <row r="1496" spans="1:9" ht="15" customHeight="1" x14ac:dyDescent="0.25">
      <c r="A1496" s="163" t="s">
        <v>1012</v>
      </c>
      <c r="B1496" s="120" t="s">
        <v>1200</v>
      </c>
      <c r="C1496" s="227">
        <v>2.75</v>
      </c>
      <c r="D1496" s="227">
        <v>3</v>
      </c>
      <c r="E1496" s="228">
        <f>ROUND(D1496*C1496,2)</f>
        <v>8.25</v>
      </c>
      <c r="F1496" s="162"/>
      <c r="G1496" s="162"/>
      <c r="H1496" s="162"/>
      <c r="I1496" s="161"/>
    </row>
    <row r="1497" spans="1:9" ht="9.9499999999999993" customHeight="1" x14ac:dyDescent="0.25">
      <c r="A1497" s="164"/>
      <c r="B1497" s="121"/>
      <c r="C1497" s="122"/>
      <c r="D1497" s="122"/>
      <c r="E1497" s="123">
        <f>ROUND(SUM(E1488:E1496),2)</f>
        <v>55.43</v>
      </c>
      <c r="F1497" s="162"/>
      <c r="G1497" s="162"/>
      <c r="H1497" s="162"/>
      <c r="I1497" s="161"/>
    </row>
    <row r="1498" spans="1:9" ht="12" customHeight="1" x14ac:dyDescent="0.25">
      <c r="A1498" s="452"/>
      <c r="B1498" s="453"/>
      <c r="C1498" s="453"/>
      <c r="D1498" s="162"/>
      <c r="E1498" s="162"/>
      <c r="F1498" s="162"/>
      <c r="G1498" s="162"/>
      <c r="H1498" s="162"/>
      <c r="I1498" s="161"/>
    </row>
    <row r="1499" spans="1:9" ht="12" customHeight="1" x14ac:dyDescent="0.25">
      <c r="A1499" s="461" t="s">
        <v>4299</v>
      </c>
      <c r="B1499" s="462"/>
      <c r="C1499" s="462"/>
      <c r="D1499" s="458" t="str">
        <f>"TOTAL DA MEMÓRIA DE CÁLCULO: "&amp;TEXT(ROUND(SUM(E1497),2),"0,00")</f>
        <v>TOTAL DA MEMÓRIA DE CÁLCULO: 55,43</v>
      </c>
      <c r="E1499" s="458"/>
      <c r="F1499" s="458"/>
      <c r="G1499" s="458"/>
      <c r="H1499" s="458"/>
      <c r="I1499" s="161"/>
    </row>
    <row r="1500" spans="1:9" ht="9.9499999999999993" customHeight="1" x14ac:dyDescent="0.25">
      <c r="A1500" s="461"/>
      <c r="B1500" s="462"/>
      <c r="C1500" s="462"/>
      <c r="D1500" s="162"/>
      <c r="E1500" s="162"/>
      <c r="F1500" s="162"/>
      <c r="G1500" s="162"/>
      <c r="H1500" s="162"/>
      <c r="I1500" s="161"/>
    </row>
    <row r="1501" spans="1:9" ht="30.95" customHeight="1" x14ac:dyDescent="0.25">
      <c r="A1501" s="452"/>
      <c r="B1501" s="453"/>
      <c r="C1501" s="453"/>
      <c r="D1501" s="453"/>
      <c r="E1501" s="162"/>
      <c r="F1501" s="162"/>
      <c r="G1501" s="162"/>
      <c r="H1501" s="162"/>
      <c r="I1501" s="161"/>
    </row>
    <row r="1502" spans="1:9" ht="15" customHeight="1" x14ac:dyDescent="0.25">
      <c r="A1502" s="456" t="s">
        <v>1406</v>
      </c>
      <c r="B1502" s="457"/>
      <c r="C1502" s="457"/>
      <c r="D1502" s="457"/>
      <c r="E1502" s="457"/>
      <c r="F1502" s="457"/>
      <c r="G1502" s="457"/>
      <c r="H1502" s="457"/>
      <c r="I1502" s="161"/>
    </row>
    <row r="1503" spans="1:9" ht="12.95" customHeight="1" x14ac:dyDescent="0.25">
      <c r="A1503" s="450"/>
      <c r="B1503" s="451"/>
      <c r="C1503" s="119"/>
      <c r="D1503" s="119" t="s">
        <v>984</v>
      </c>
      <c r="E1503" s="162"/>
      <c r="F1503" s="162"/>
      <c r="G1503" s="162"/>
      <c r="H1503" s="162"/>
      <c r="I1503" s="161"/>
    </row>
    <row r="1504" spans="1:9" ht="15" customHeight="1" x14ac:dyDescent="0.25">
      <c r="A1504" s="163" t="s">
        <v>1169</v>
      </c>
      <c r="B1504" s="120" t="s">
        <v>1407</v>
      </c>
      <c r="C1504" s="227">
        <v>21.43</v>
      </c>
      <c r="D1504" s="228">
        <f>ROUND(21.43,2)</f>
        <v>21.43</v>
      </c>
      <c r="E1504" s="162"/>
      <c r="F1504" s="162"/>
      <c r="G1504" s="162"/>
      <c r="H1504" s="162"/>
      <c r="I1504" s="161"/>
    </row>
    <row r="1505" spans="1:9" ht="9.9499999999999993" customHeight="1" x14ac:dyDescent="0.25">
      <c r="A1505" s="164"/>
      <c r="B1505" s="121"/>
      <c r="C1505" s="122"/>
      <c r="D1505" s="123">
        <f>ROUND(SUM(D1504:D1504),2)</f>
        <v>21.43</v>
      </c>
      <c r="E1505" s="162"/>
      <c r="F1505" s="162"/>
      <c r="G1505" s="162"/>
      <c r="H1505" s="162"/>
      <c r="I1505" s="161"/>
    </row>
    <row r="1506" spans="1:9" ht="12" customHeight="1" x14ac:dyDescent="0.25">
      <c r="A1506" s="452"/>
      <c r="B1506" s="453"/>
      <c r="C1506" s="453"/>
      <c r="D1506" s="162"/>
      <c r="E1506" s="162"/>
      <c r="F1506" s="162"/>
      <c r="G1506" s="162"/>
      <c r="H1506" s="162"/>
      <c r="I1506" s="161"/>
    </row>
    <row r="1507" spans="1:9" ht="9.9499999999999993" customHeight="1" x14ac:dyDescent="0.25">
      <c r="A1507" s="165"/>
      <c r="B1507" s="162"/>
      <c r="C1507" s="162"/>
      <c r="D1507" s="458" t="str">
        <f>"TOTAL DA MEMÓRIA DE CÁLCULO: "&amp;TEXT(ROUND(SUM(D1505),2),"0,00")</f>
        <v>TOTAL DA MEMÓRIA DE CÁLCULO: 21,43</v>
      </c>
      <c r="E1507" s="458"/>
      <c r="F1507" s="458"/>
      <c r="G1507" s="458"/>
      <c r="H1507" s="458"/>
      <c r="I1507" s="161"/>
    </row>
    <row r="1508" spans="1:9" ht="30.95" customHeight="1" x14ac:dyDescent="0.25">
      <c r="A1508" s="452"/>
      <c r="B1508" s="453"/>
      <c r="C1508" s="453"/>
      <c r="D1508" s="453"/>
      <c r="E1508" s="162"/>
      <c r="F1508" s="162"/>
      <c r="G1508" s="162"/>
      <c r="H1508" s="162"/>
      <c r="I1508" s="161"/>
    </row>
    <row r="1509" spans="1:9" ht="15" customHeight="1" x14ac:dyDescent="0.25">
      <c r="A1509" s="456" t="s">
        <v>1408</v>
      </c>
      <c r="B1509" s="457"/>
      <c r="C1509" s="457"/>
      <c r="D1509" s="457"/>
      <c r="E1509" s="457"/>
      <c r="F1509" s="457"/>
      <c r="G1509" s="457"/>
      <c r="H1509" s="457"/>
      <c r="I1509" s="161"/>
    </row>
    <row r="1510" spans="1:9" ht="12.95" customHeight="1" x14ac:dyDescent="0.25">
      <c r="A1510" s="450"/>
      <c r="B1510" s="451"/>
      <c r="C1510" s="119"/>
      <c r="D1510" s="119" t="s">
        <v>984</v>
      </c>
      <c r="E1510" s="162"/>
      <c r="F1510" s="162"/>
      <c r="G1510" s="162"/>
      <c r="H1510" s="162"/>
      <c r="I1510" s="161"/>
    </row>
    <row r="1511" spans="1:9" ht="15" customHeight="1" x14ac:dyDescent="0.25">
      <c r="A1511" s="163" t="s">
        <v>1169</v>
      </c>
      <c r="B1511" s="120" t="s">
        <v>1409</v>
      </c>
      <c r="C1511" s="227">
        <v>21.42</v>
      </c>
      <c r="D1511" s="228">
        <f>ROUND(21.42,2)</f>
        <v>21.42</v>
      </c>
      <c r="E1511" s="162"/>
      <c r="F1511" s="162"/>
      <c r="G1511" s="162"/>
      <c r="H1511" s="162"/>
      <c r="I1511" s="161"/>
    </row>
    <row r="1512" spans="1:9" ht="9.9499999999999993" customHeight="1" x14ac:dyDescent="0.25">
      <c r="A1512" s="164"/>
      <c r="B1512" s="121"/>
      <c r="C1512" s="122"/>
      <c r="D1512" s="123">
        <f>ROUND(SUM(D1511:D1511),2)</f>
        <v>21.42</v>
      </c>
      <c r="E1512" s="162"/>
      <c r="F1512" s="162"/>
      <c r="G1512" s="162"/>
      <c r="H1512" s="162"/>
      <c r="I1512" s="161"/>
    </row>
    <row r="1513" spans="1:9" ht="12" customHeight="1" x14ac:dyDescent="0.25">
      <c r="A1513" s="452"/>
      <c r="B1513" s="453"/>
      <c r="C1513" s="453"/>
      <c r="D1513" s="162"/>
      <c r="E1513" s="162"/>
      <c r="F1513" s="162"/>
      <c r="G1513" s="162"/>
      <c r="H1513" s="162"/>
      <c r="I1513" s="161"/>
    </row>
    <row r="1514" spans="1:9" ht="9.9499999999999993" customHeight="1" x14ac:dyDescent="0.25">
      <c r="A1514" s="165"/>
      <c r="B1514" s="162"/>
      <c r="C1514" s="162"/>
      <c r="D1514" s="458" t="str">
        <f>"TOTAL DA MEMÓRIA DE CÁLCULO: "&amp;TEXT(ROUND(SUM(D1512),2),"0,00")</f>
        <v>TOTAL DA MEMÓRIA DE CÁLCULO: 21,42</v>
      </c>
      <c r="E1514" s="458"/>
      <c r="F1514" s="458"/>
      <c r="G1514" s="458"/>
      <c r="H1514" s="458"/>
      <c r="I1514" s="161"/>
    </row>
    <row r="1515" spans="1:9" ht="30.95" customHeight="1" x14ac:dyDescent="0.25">
      <c r="A1515" s="452"/>
      <c r="B1515" s="453"/>
      <c r="C1515" s="453"/>
      <c r="D1515" s="453"/>
      <c r="E1515" s="162"/>
      <c r="F1515" s="162"/>
      <c r="G1515" s="162"/>
      <c r="H1515" s="162"/>
      <c r="I1515" s="161"/>
    </row>
    <row r="1516" spans="1:9" ht="15" customHeight="1" x14ac:dyDescent="0.25">
      <c r="A1516" s="456" t="s">
        <v>1410</v>
      </c>
      <c r="B1516" s="457"/>
      <c r="C1516" s="457"/>
      <c r="D1516" s="457"/>
      <c r="E1516" s="457"/>
      <c r="F1516" s="457"/>
      <c r="G1516" s="457"/>
      <c r="H1516" s="457"/>
      <c r="I1516" s="161"/>
    </row>
    <row r="1517" spans="1:9" ht="18.95" customHeight="1" x14ac:dyDescent="0.25">
      <c r="A1517" s="450"/>
      <c r="B1517" s="451"/>
      <c r="C1517" s="119"/>
      <c r="D1517" s="119" t="s">
        <v>984</v>
      </c>
      <c r="E1517" s="162"/>
      <c r="F1517" s="162"/>
      <c r="G1517" s="162"/>
      <c r="H1517" s="162"/>
      <c r="I1517" s="161"/>
    </row>
    <row r="1518" spans="1:9" ht="15" customHeight="1" x14ac:dyDescent="0.25">
      <c r="A1518" s="163" t="s">
        <v>1411</v>
      </c>
      <c r="B1518" s="120" t="s">
        <v>1412</v>
      </c>
      <c r="C1518" s="227">
        <v>55.43</v>
      </c>
      <c r="D1518" s="228">
        <f>ROUND(55.43,2)</f>
        <v>55.43</v>
      </c>
      <c r="E1518" s="162"/>
      <c r="F1518" s="162"/>
      <c r="G1518" s="162"/>
      <c r="H1518" s="162"/>
      <c r="I1518" s="161"/>
    </row>
    <row r="1519" spans="1:9" ht="9.9499999999999993" customHeight="1" x14ac:dyDescent="0.25">
      <c r="A1519" s="164"/>
      <c r="B1519" s="121"/>
      <c r="C1519" s="122"/>
      <c r="D1519" s="123">
        <f>ROUND(SUM(D1518:D1518),2)</f>
        <v>55.43</v>
      </c>
      <c r="E1519" s="162"/>
      <c r="F1519" s="162"/>
      <c r="G1519" s="162"/>
      <c r="H1519" s="162"/>
      <c r="I1519" s="161"/>
    </row>
    <row r="1520" spans="1:9" ht="12" customHeight="1" x14ac:dyDescent="0.25">
      <c r="A1520" s="452"/>
      <c r="B1520" s="453"/>
      <c r="C1520" s="453"/>
      <c r="D1520" s="162"/>
      <c r="E1520" s="162"/>
      <c r="F1520" s="162"/>
      <c r="G1520" s="162"/>
      <c r="H1520" s="162"/>
      <c r="I1520" s="161"/>
    </row>
    <row r="1521" spans="1:9" ht="9.9499999999999993" customHeight="1" x14ac:dyDescent="0.25">
      <c r="A1521" s="165"/>
      <c r="B1521" s="162"/>
      <c r="C1521" s="162"/>
      <c r="D1521" s="458" t="str">
        <f>"TOTAL DA MEMÓRIA DE CÁLCULO: "&amp;TEXT(ROUND(SUM(D1519),2),"0,00")</f>
        <v>TOTAL DA MEMÓRIA DE CÁLCULO: 55,43</v>
      </c>
      <c r="E1521" s="458"/>
      <c r="F1521" s="458"/>
      <c r="G1521" s="458"/>
      <c r="H1521" s="458"/>
      <c r="I1521" s="161"/>
    </row>
    <row r="1522" spans="1:9" ht="30.95" customHeight="1" x14ac:dyDescent="0.25">
      <c r="A1522" s="452"/>
      <c r="B1522" s="453"/>
      <c r="C1522" s="453"/>
      <c r="D1522" s="453"/>
      <c r="E1522" s="162"/>
      <c r="F1522" s="162"/>
      <c r="G1522" s="162"/>
      <c r="H1522" s="162"/>
      <c r="I1522" s="161"/>
    </row>
    <row r="1523" spans="1:9" ht="15" customHeight="1" x14ac:dyDescent="0.25">
      <c r="A1523" s="456" t="s">
        <v>1413</v>
      </c>
      <c r="B1523" s="457"/>
      <c r="C1523" s="457"/>
      <c r="D1523" s="457"/>
      <c r="E1523" s="457"/>
      <c r="F1523" s="457"/>
      <c r="G1523" s="457"/>
      <c r="H1523" s="457"/>
      <c r="I1523" s="161"/>
    </row>
    <row r="1524" spans="1:9" ht="12.95" customHeight="1" x14ac:dyDescent="0.25">
      <c r="A1524" s="450"/>
      <c r="B1524" s="451"/>
      <c r="C1524" s="119" t="s">
        <v>1059</v>
      </c>
      <c r="D1524" s="119" t="s">
        <v>1024</v>
      </c>
      <c r="E1524" s="119" t="s">
        <v>984</v>
      </c>
      <c r="F1524" s="162"/>
      <c r="G1524" s="162"/>
      <c r="H1524" s="162"/>
      <c r="I1524" s="161"/>
    </row>
    <row r="1525" spans="1:9" ht="12.95" customHeight="1" x14ac:dyDescent="0.25">
      <c r="A1525" s="163" t="s">
        <v>1398</v>
      </c>
      <c r="B1525" s="120" t="s">
        <v>1399</v>
      </c>
      <c r="C1525" s="227">
        <v>21.25</v>
      </c>
      <c r="D1525" s="227">
        <v>3</v>
      </c>
      <c r="E1525" s="228">
        <f>ROUND(D1525*C1525/2,2)</f>
        <v>31.88</v>
      </c>
      <c r="F1525" s="162"/>
      <c r="G1525" s="162"/>
      <c r="H1525" s="162"/>
      <c r="I1525" s="161"/>
    </row>
    <row r="1526" spans="1:9" ht="12.95" customHeight="1" x14ac:dyDescent="0.25">
      <c r="A1526" s="163" t="s">
        <v>1400</v>
      </c>
      <c r="B1526" s="120" t="s">
        <v>1401</v>
      </c>
      <c r="C1526" s="227">
        <v>1.64</v>
      </c>
      <c r="D1526" s="227">
        <v>2.2999999999999998</v>
      </c>
      <c r="E1526" s="228">
        <f>ROUND(-C1526*D1526/2,2)</f>
        <v>-1.89</v>
      </c>
      <c r="F1526" s="162"/>
      <c r="G1526" s="162"/>
      <c r="H1526" s="162"/>
      <c r="I1526" s="161"/>
    </row>
    <row r="1527" spans="1:9" ht="12.95" customHeight="1" x14ac:dyDescent="0.25">
      <c r="A1527" s="163" t="s">
        <v>1402</v>
      </c>
      <c r="B1527" s="120" t="s">
        <v>1401</v>
      </c>
      <c r="C1527" s="227">
        <v>1.19</v>
      </c>
      <c r="D1527" s="227">
        <v>2.4900000000000002</v>
      </c>
      <c r="E1527" s="228">
        <f>ROUND(-C1527*D1527/2,2)</f>
        <v>-1.48</v>
      </c>
      <c r="F1527" s="162"/>
      <c r="G1527" s="162"/>
      <c r="H1527" s="162"/>
      <c r="I1527" s="161"/>
    </row>
    <row r="1528" spans="1:9" ht="15" customHeight="1" x14ac:dyDescent="0.25">
      <c r="A1528" s="163" t="s">
        <v>1403</v>
      </c>
      <c r="B1528" s="120" t="s">
        <v>1401</v>
      </c>
      <c r="C1528" s="227">
        <v>1.02</v>
      </c>
      <c r="D1528" s="227">
        <v>1.54</v>
      </c>
      <c r="E1528" s="228">
        <f>ROUND(-C1528*D1528/2,2)</f>
        <v>-0.79</v>
      </c>
      <c r="F1528" s="162"/>
      <c r="G1528" s="162"/>
      <c r="H1528" s="162"/>
      <c r="I1528" s="161"/>
    </row>
    <row r="1529" spans="1:9" ht="9.9499999999999993" customHeight="1" x14ac:dyDescent="0.25">
      <c r="A1529" s="164"/>
      <c r="B1529" s="121"/>
      <c r="C1529" s="122"/>
      <c r="D1529" s="122"/>
      <c r="E1529" s="123">
        <f>ROUND(SUM(E1525:E1528),2)</f>
        <v>27.72</v>
      </c>
      <c r="F1529" s="162"/>
      <c r="G1529" s="162"/>
      <c r="H1529" s="162"/>
      <c r="I1529" s="161"/>
    </row>
    <row r="1530" spans="1:9" ht="12" customHeight="1" x14ac:dyDescent="0.25">
      <c r="A1530" s="452"/>
      <c r="B1530" s="453"/>
      <c r="C1530" s="453"/>
      <c r="D1530" s="162"/>
      <c r="E1530" s="162"/>
      <c r="F1530" s="162"/>
      <c r="G1530" s="162"/>
      <c r="H1530" s="162"/>
      <c r="I1530" s="161"/>
    </row>
    <row r="1531" spans="1:9" ht="12" customHeight="1" x14ac:dyDescent="0.25">
      <c r="A1531" s="461" t="s">
        <v>4299</v>
      </c>
      <c r="B1531" s="462"/>
      <c r="C1531" s="462"/>
      <c r="D1531" s="458" t="str">
        <f>"TOTAL DA MEMÓRIA DE CÁLCULO: "&amp;TEXT(ROUND(SUM(E1529),2),"0,00")</f>
        <v>TOTAL DA MEMÓRIA DE CÁLCULO: 27,72</v>
      </c>
      <c r="E1531" s="458"/>
      <c r="F1531" s="458"/>
      <c r="G1531" s="458"/>
      <c r="H1531" s="458"/>
      <c r="I1531" s="161"/>
    </row>
    <row r="1532" spans="1:9" ht="9.9499999999999993" customHeight="1" x14ac:dyDescent="0.25">
      <c r="A1532" s="461"/>
      <c r="B1532" s="462"/>
      <c r="C1532" s="462"/>
      <c r="D1532" s="162"/>
      <c r="E1532" s="162"/>
      <c r="F1532" s="162"/>
      <c r="G1532" s="162"/>
      <c r="H1532" s="162"/>
      <c r="I1532" s="161"/>
    </row>
    <row r="1533" spans="1:9" ht="30.95" customHeight="1" x14ac:dyDescent="0.25">
      <c r="A1533" s="452"/>
      <c r="B1533" s="453"/>
      <c r="C1533" s="453"/>
      <c r="D1533" s="453"/>
      <c r="E1533" s="162"/>
      <c r="F1533" s="162"/>
      <c r="G1533" s="162"/>
      <c r="H1533" s="162"/>
      <c r="I1533" s="161"/>
    </row>
    <row r="1534" spans="1:9" ht="15" customHeight="1" x14ac:dyDescent="0.25">
      <c r="A1534" s="456" t="s">
        <v>1414</v>
      </c>
      <c r="B1534" s="457"/>
      <c r="C1534" s="457"/>
      <c r="D1534" s="457"/>
      <c r="E1534" s="457"/>
      <c r="F1534" s="457"/>
      <c r="G1534" s="457"/>
      <c r="H1534" s="457"/>
      <c r="I1534" s="161"/>
    </row>
    <row r="1535" spans="1:9" ht="12.95" customHeight="1" x14ac:dyDescent="0.25">
      <c r="A1535" s="450"/>
      <c r="B1535" s="451"/>
      <c r="C1535" s="119" t="s">
        <v>1059</v>
      </c>
      <c r="D1535" s="119" t="s">
        <v>1024</v>
      </c>
      <c r="E1535" s="119" t="s">
        <v>984</v>
      </c>
      <c r="F1535" s="162"/>
      <c r="G1535" s="162"/>
      <c r="H1535" s="162"/>
      <c r="I1535" s="161"/>
    </row>
    <row r="1536" spans="1:9" ht="12.95" customHeight="1" x14ac:dyDescent="0.25">
      <c r="A1536" s="163" t="s">
        <v>1398</v>
      </c>
      <c r="B1536" s="120" t="s">
        <v>1399</v>
      </c>
      <c r="C1536" s="227">
        <v>21.25</v>
      </c>
      <c r="D1536" s="227">
        <v>3</v>
      </c>
      <c r="E1536" s="228">
        <f>ROUND(D1536*C1536/2,2)</f>
        <v>31.88</v>
      </c>
      <c r="F1536" s="162"/>
      <c r="G1536" s="162"/>
      <c r="H1536" s="162"/>
      <c r="I1536" s="161"/>
    </row>
    <row r="1537" spans="1:9" ht="12.95" customHeight="1" x14ac:dyDescent="0.25">
      <c r="A1537" s="163" t="s">
        <v>1400</v>
      </c>
      <c r="B1537" s="120" t="s">
        <v>1401</v>
      </c>
      <c r="C1537" s="227">
        <v>1.64</v>
      </c>
      <c r="D1537" s="227">
        <v>2.2999999999999998</v>
      </c>
      <c r="E1537" s="228">
        <f>ROUND(-C1537*D1537/2,2)</f>
        <v>-1.89</v>
      </c>
      <c r="F1537" s="162"/>
      <c r="G1537" s="162"/>
      <c r="H1537" s="162"/>
      <c r="I1537" s="161"/>
    </row>
    <row r="1538" spans="1:9" ht="12.95" customHeight="1" x14ac:dyDescent="0.25">
      <c r="A1538" s="163" t="s">
        <v>1402</v>
      </c>
      <c r="B1538" s="120" t="s">
        <v>1401</v>
      </c>
      <c r="C1538" s="227">
        <v>1.19</v>
      </c>
      <c r="D1538" s="227">
        <v>2.4900000000000002</v>
      </c>
      <c r="E1538" s="228">
        <f>ROUND(-C1538*D1538/2,2)</f>
        <v>-1.48</v>
      </c>
      <c r="F1538" s="162"/>
      <c r="G1538" s="162"/>
      <c r="H1538" s="162"/>
      <c r="I1538" s="161"/>
    </row>
    <row r="1539" spans="1:9" ht="15" customHeight="1" x14ac:dyDescent="0.25">
      <c r="A1539" s="163" t="s">
        <v>1403</v>
      </c>
      <c r="B1539" s="120" t="s">
        <v>1401</v>
      </c>
      <c r="C1539" s="227">
        <v>1.02</v>
      </c>
      <c r="D1539" s="227">
        <v>1.54</v>
      </c>
      <c r="E1539" s="228">
        <f>ROUND(-C1539*D1539/2,2)</f>
        <v>-0.79</v>
      </c>
      <c r="F1539" s="162"/>
      <c r="G1539" s="162"/>
      <c r="H1539" s="162"/>
      <c r="I1539" s="161"/>
    </row>
    <row r="1540" spans="1:9" ht="9.9499999999999993" customHeight="1" x14ac:dyDescent="0.25">
      <c r="A1540" s="164"/>
      <c r="B1540" s="121"/>
      <c r="C1540" s="122"/>
      <c r="D1540" s="122"/>
      <c r="E1540" s="123">
        <f>ROUND(SUM(E1536:E1539),2)</f>
        <v>27.72</v>
      </c>
      <c r="F1540" s="162"/>
      <c r="G1540" s="162"/>
      <c r="H1540" s="162"/>
      <c r="I1540" s="161"/>
    </row>
    <row r="1541" spans="1:9" ht="12" customHeight="1" x14ac:dyDescent="0.25">
      <c r="A1541" s="452"/>
      <c r="B1541" s="453"/>
      <c r="C1541" s="453"/>
      <c r="D1541" s="162"/>
      <c r="E1541" s="162"/>
      <c r="F1541" s="162"/>
      <c r="G1541" s="162"/>
      <c r="H1541" s="162"/>
      <c r="I1541" s="161"/>
    </row>
    <row r="1542" spans="1:9" ht="12" customHeight="1" x14ac:dyDescent="0.25">
      <c r="A1542" s="461" t="s">
        <v>4299</v>
      </c>
      <c r="B1542" s="462"/>
      <c r="C1542" s="462"/>
      <c r="D1542" s="458" t="str">
        <f>"TOTAL DA MEMÓRIA DE CÁLCULO: "&amp;TEXT(ROUND(SUM(E1540),2),"0,00")</f>
        <v>TOTAL DA MEMÓRIA DE CÁLCULO: 27,72</v>
      </c>
      <c r="E1542" s="458"/>
      <c r="F1542" s="458"/>
      <c r="G1542" s="458"/>
      <c r="H1542" s="458"/>
      <c r="I1542" s="161"/>
    </row>
    <row r="1543" spans="1:9" ht="9.9499999999999993" customHeight="1" x14ac:dyDescent="0.25">
      <c r="A1543" s="461"/>
      <c r="B1543" s="462"/>
      <c r="C1543" s="462"/>
      <c r="D1543" s="162"/>
      <c r="E1543" s="162"/>
      <c r="F1543" s="162"/>
      <c r="G1543" s="162"/>
      <c r="H1543" s="162"/>
      <c r="I1543" s="161"/>
    </row>
    <row r="1544" spans="1:9" ht="30.95" customHeight="1" x14ac:dyDescent="0.25">
      <c r="A1544" s="452"/>
      <c r="B1544" s="453"/>
      <c r="C1544" s="453"/>
      <c r="D1544" s="453"/>
      <c r="E1544" s="162"/>
      <c r="F1544" s="162"/>
      <c r="G1544" s="162"/>
      <c r="H1544" s="162"/>
      <c r="I1544" s="161"/>
    </row>
    <row r="1545" spans="1:9" ht="15" customHeight="1" x14ac:dyDescent="0.25">
      <c r="A1545" s="456" t="s">
        <v>1415</v>
      </c>
      <c r="B1545" s="457"/>
      <c r="C1545" s="457"/>
      <c r="D1545" s="457"/>
      <c r="E1545" s="457"/>
      <c r="F1545" s="457"/>
      <c r="G1545" s="457"/>
      <c r="H1545" s="457"/>
      <c r="I1545" s="161"/>
    </row>
    <row r="1546" spans="1:9" ht="12.95" customHeight="1" x14ac:dyDescent="0.25">
      <c r="A1546" s="450"/>
      <c r="B1546" s="451"/>
      <c r="C1546" s="119"/>
      <c r="D1546" s="119" t="s">
        <v>984</v>
      </c>
      <c r="E1546" s="162"/>
      <c r="F1546" s="162"/>
      <c r="G1546" s="162"/>
      <c r="H1546" s="162"/>
      <c r="I1546" s="161"/>
    </row>
    <row r="1547" spans="1:9" ht="15" customHeight="1" x14ac:dyDescent="0.25">
      <c r="A1547" s="163" t="s">
        <v>1169</v>
      </c>
      <c r="B1547" s="120" t="s">
        <v>1409</v>
      </c>
      <c r="C1547" s="227">
        <v>21.42</v>
      </c>
      <c r="D1547" s="228">
        <f>ROUND(21.42,2)</f>
        <v>21.42</v>
      </c>
      <c r="E1547" s="162"/>
      <c r="F1547" s="162"/>
      <c r="G1547" s="162"/>
      <c r="H1547" s="162"/>
      <c r="I1547" s="161"/>
    </row>
    <row r="1548" spans="1:9" ht="9.9499999999999993" customHeight="1" x14ac:dyDescent="0.25">
      <c r="A1548" s="164"/>
      <c r="B1548" s="121"/>
      <c r="C1548" s="122"/>
      <c r="D1548" s="123">
        <f>ROUND(SUM(D1547:D1547),2)</f>
        <v>21.42</v>
      </c>
      <c r="E1548" s="162"/>
      <c r="F1548" s="162"/>
      <c r="G1548" s="162"/>
      <c r="H1548" s="162"/>
      <c r="I1548" s="161"/>
    </row>
    <row r="1549" spans="1:9" ht="12" customHeight="1" x14ac:dyDescent="0.25">
      <c r="A1549" s="452"/>
      <c r="B1549" s="453"/>
      <c r="C1549" s="453"/>
      <c r="D1549" s="162"/>
      <c r="E1549" s="162"/>
      <c r="F1549" s="162"/>
      <c r="G1549" s="162"/>
      <c r="H1549" s="162"/>
      <c r="I1549" s="161"/>
    </row>
    <row r="1550" spans="1:9" ht="9.9499999999999993" customHeight="1" x14ac:dyDescent="0.25">
      <c r="A1550" s="165"/>
      <c r="B1550" s="162"/>
      <c r="C1550" s="162"/>
      <c r="D1550" s="458" t="str">
        <f>"TOTAL DA MEMÓRIA DE CÁLCULO: "&amp;TEXT(ROUND(SUM(D1548),2),"0,00")</f>
        <v>TOTAL DA MEMÓRIA DE CÁLCULO: 21,42</v>
      </c>
      <c r="E1550" s="458"/>
      <c r="F1550" s="458"/>
      <c r="G1550" s="458"/>
      <c r="H1550" s="458"/>
      <c r="I1550" s="161"/>
    </row>
    <row r="1551" spans="1:9" ht="42.95" customHeight="1" x14ac:dyDescent="0.25">
      <c r="A1551" s="452"/>
      <c r="B1551" s="453"/>
      <c r="C1551" s="453"/>
      <c r="D1551" s="453"/>
      <c r="E1551" s="162"/>
      <c r="F1551" s="162"/>
      <c r="G1551" s="162"/>
      <c r="H1551" s="162"/>
      <c r="I1551" s="161"/>
    </row>
    <row r="1552" spans="1:9" ht="15" customHeight="1" x14ac:dyDescent="0.25">
      <c r="A1552" s="456" t="s">
        <v>1416</v>
      </c>
      <c r="B1552" s="457"/>
      <c r="C1552" s="457"/>
      <c r="D1552" s="457"/>
      <c r="E1552" s="457"/>
      <c r="F1552" s="457"/>
      <c r="G1552" s="457"/>
      <c r="H1552" s="457"/>
      <c r="I1552" s="161"/>
    </row>
    <row r="1553" spans="1:9" ht="12.95" customHeight="1" x14ac:dyDescent="0.25">
      <c r="A1553" s="450"/>
      <c r="B1553" s="451"/>
      <c r="C1553" s="119"/>
      <c r="D1553" s="119" t="s">
        <v>984</v>
      </c>
      <c r="E1553" s="162"/>
      <c r="F1553" s="162"/>
      <c r="G1553" s="162"/>
      <c r="H1553" s="162"/>
      <c r="I1553" s="161"/>
    </row>
    <row r="1554" spans="1:9" ht="15" customHeight="1" x14ac:dyDescent="0.25">
      <c r="A1554" s="163" t="s">
        <v>1169</v>
      </c>
      <c r="B1554" s="120" t="s">
        <v>1409</v>
      </c>
      <c r="C1554" s="227">
        <v>21.42</v>
      </c>
      <c r="D1554" s="228">
        <f>ROUND(21.42,2)</f>
        <v>21.42</v>
      </c>
      <c r="E1554" s="162"/>
      <c r="F1554" s="162"/>
      <c r="G1554" s="162"/>
      <c r="H1554" s="162"/>
      <c r="I1554" s="161"/>
    </row>
    <row r="1555" spans="1:9" ht="9.9499999999999993" customHeight="1" x14ac:dyDescent="0.25">
      <c r="A1555" s="164"/>
      <c r="B1555" s="121"/>
      <c r="C1555" s="122"/>
      <c r="D1555" s="123">
        <f>ROUND(SUM(D1554:D1554),2)</f>
        <v>21.42</v>
      </c>
      <c r="E1555" s="162"/>
      <c r="F1555" s="162"/>
      <c r="G1555" s="162"/>
      <c r="H1555" s="162"/>
      <c r="I1555" s="161"/>
    </row>
    <row r="1556" spans="1:9" ht="12" customHeight="1" x14ac:dyDescent="0.25">
      <c r="A1556" s="452"/>
      <c r="B1556" s="453"/>
      <c r="C1556" s="453"/>
      <c r="D1556" s="162"/>
      <c r="E1556" s="162"/>
      <c r="F1556" s="162"/>
      <c r="G1556" s="162"/>
      <c r="H1556" s="162"/>
      <c r="I1556" s="161"/>
    </row>
    <row r="1557" spans="1:9" ht="9.9499999999999993" customHeight="1" x14ac:dyDescent="0.25">
      <c r="A1557" s="165"/>
      <c r="B1557" s="162"/>
      <c r="C1557" s="162"/>
      <c r="D1557" s="458" t="str">
        <f>"TOTAL DA MEMÓRIA DE CÁLCULO: "&amp;TEXT(ROUND(SUM(D1555),2),"0,00")</f>
        <v>TOTAL DA MEMÓRIA DE CÁLCULO: 21,42</v>
      </c>
      <c r="E1557" s="458"/>
      <c r="F1557" s="458"/>
      <c r="G1557" s="458"/>
      <c r="H1557" s="458"/>
      <c r="I1557" s="161"/>
    </row>
    <row r="1558" spans="1:9" ht="20.100000000000001" customHeight="1" x14ac:dyDescent="0.25">
      <c r="A1558" s="452"/>
      <c r="B1558" s="453"/>
      <c r="C1558" s="453"/>
      <c r="D1558" s="453"/>
      <c r="E1558" s="162"/>
      <c r="F1558" s="162"/>
      <c r="G1558" s="162"/>
      <c r="H1558" s="162"/>
      <c r="I1558" s="161"/>
    </row>
    <row r="1559" spans="1:9" ht="15" customHeight="1" x14ac:dyDescent="0.25">
      <c r="A1559" s="456" t="s">
        <v>1417</v>
      </c>
      <c r="B1559" s="457"/>
      <c r="C1559" s="457"/>
      <c r="D1559" s="457"/>
      <c r="E1559" s="457"/>
      <c r="F1559" s="457"/>
      <c r="G1559" s="457"/>
      <c r="H1559" s="457"/>
      <c r="I1559" s="161"/>
    </row>
    <row r="1560" spans="1:9" ht="12.95" customHeight="1" x14ac:dyDescent="0.25">
      <c r="A1560" s="450"/>
      <c r="B1560" s="451"/>
      <c r="C1560" s="119"/>
      <c r="D1560" s="119" t="s">
        <v>984</v>
      </c>
      <c r="E1560" s="162"/>
      <c r="F1560" s="162"/>
      <c r="G1560" s="162"/>
      <c r="H1560" s="162"/>
      <c r="I1560" s="161"/>
    </row>
    <row r="1561" spans="1:9" ht="15" customHeight="1" x14ac:dyDescent="0.25">
      <c r="A1561" s="163" t="s">
        <v>1418</v>
      </c>
      <c r="B1561" s="120" t="s">
        <v>1419</v>
      </c>
      <c r="C1561" s="227">
        <v>21.25</v>
      </c>
      <c r="D1561" s="228">
        <f>ROUND(21.25,2)</f>
        <v>21.25</v>
      </c>
      <c r="E1561" s="162"/>
      <c r="F1561" s="162"/>
      <c r="G1561" s="162"/>
      <c r="H1561" s="162"/>
      <c r="I1561" s="161"/>
    </row>
    <row r="1562" spans="1:9" ht="9.9499999999999993" customHeight="1" x14ac:dyDescent="0.25">
      <c r="A1562" s="164"/>
      <c r="B1562" s="121"/>
      <c r="C1562" s="122"/>
      <c r="D1562" s="123">
        <f>ROUND(SUM(D1561:D1561),2)</f>
        <v>21.25</v>
      </c>
      <c r="E1562" s="162"/>
      <c r="F1562" s="162"/>
      <c r="G1562" s="162"/>
      <c r="H1562" s="162"/>
      <c r="I1562" s="161"/>
    </row>
    <row r="1563" spans="1:9" ht="12" customHeight="1" x14ac:dyDescent="0.25">
      <c r="A1563" s="452"/>
      <c r="B1563" s="453"/>
      <c r="C1563" s="453"/>
      <c r="D1563" s="162"/>
      <c r="E1563" s="162"/>
      <c r="F1563" s="162"/>
      <c r="G1563" s="162"/>
      <c r="H1563" s="162"/>
      <c r="I1563" s="161"/>
    </row>
    <row r="1564" spans="1:9" ht="9.9499999999999993" customHeight="1" x14ac:dyDescent="0.25">
      <c r="A1564" s="165"/>
      <c r="B1564" s="162"/>
      <c r="C1564" s="162"/>
      <c r="D1564" s="458" t="str">
        <f>"TOTAL DA MEMÓRIA DE CÁLCULO: "&amp;TEXT(ROUND(SUM(D1562),2),"0,00")</f>
        <v>TOTAL DA MEMÓRIA DE CÁLCULO: 21,25</v>
      </c>
      <c r="E1564" s="458"/>
      <c r="F1564" s="458"/>
      <c r="G1564" s="458"/>
      <c r="H1564" s="458"/>
      <c r="I1564" s="161"/>
    </row>
    <row r="1565" spans="1:9" ht="42.95" customHeight="1" x14ac:dyDescent="0.25">
      <c r="A1565" s="452"/>
      <c r="B1565" s="453"/>
      <c r="C1565" s="453"/>
      <c r="D1565" s="453"/>
      <c r="E1565" s="162"/>
      <c r="F1565" s="162"/>
      <c r="G1565" s="162"/>
      <c r="H1565" s="162"/>
      <c r="I1565" s="161"/>
    </row>
    <row r="1566" spans="1:9" ht="15" customHeight="1" x14ac:dyDescent="0.25">
      <c r="A1566" s="456" t="s">
        <v>1420</v>
      </c>
      <c r="B1566" s="457"/>
      <c r="C1566" s="457"/>
      <c r="D1566" s="457"/>
      <c r="E1566" s="457"/>
      <c r="F1566" s="457"/>
      <c r="G1566" s="457"/>
      <c r="H1566" s="457"/>
      <c r="I1566" s="161"/>
    </row>
    <row r="1567" spans="1:9" ht="12.95" customHeight="1" x14ac:dyDescent="0.25">
      <c r="A1567" s="450"/>
      <c r="B1567" s="451"/>
      <c r="C1567" s="119" t="s">
        <v>1007</v>
      </c>
      <c r="D1567" s="119" t="s">
        <v>1358</v>
      </c>
      <c r="E1567" s="119" t="s">
        <v>984</v>
      </c>
      <c r="F1567" s="162"/>
      <c r="G1567" s="162"/>
      <c r="H1567" s="162"/>
      <c r="I1567" s="161"/>
    </row>
    <row r="1568" spans="1:9" ht="12.95" customHeight="1" x14ac:dyDescent="0.25">
      <c r="A1568" s="163" t="s">
        <v>1421</v>
      </c>
      <c r="B1568" s="120" t="s">
        <v>1360</v>
      </c>
      <c r="C1568" s="227">
        <v>31.84</v>
      </c>
      <c r="D1568" s="227">
        <v>1.4999999999999999E-2</v>
      </c>
      <c r="E1568" s="228">
        <f>ROUND(C1568*D1568,2)</f>
        <v>0.48</v>
      </c>
      <c r="F1568" s="162"/>
      <c r="G1568" s="162"/>
      <c r="H1568" s="162"/>
      <c r="I1568" s="161"/>
    </row>
    <row r="1569" spans="1:9" ht="12.95" customHeight="1" x14ac:dyDescent="0.25">
      <c r="A1569" s="163" t="s">
        <v>1359</v>
      </c>
      <c r="B1569" s="120" t="s">
        <v>1360</v>
      </c>
      <c r="C1569" s="227">
        <v>55.43</v>
      </c>
      <c r="D1569" s="227">
        <v>2.5000000000000001E-2</v>
      </c>
      <c r="E1569" s="228">
        <f>ROUND(C1569*D1569,2)</f>
        <v>1.39</v>
      </c>
      <c r="F1569" s="162"/>
      <c r="G1569" s="162"/>
      <c r="H1569" s="162"/>
      <c r="I1569" s="161"/>
    </row>
    <row r="1570" spans="1:9" ht="12.95" customHeight="1" x14ac:dyDescent="0.25">
      <c r="A1570" s="163" t="s">
        <v>1056</v>
      </c>
      <c r="B1570" s="120" t="s">
        <v>1360</v>
      </c>
      <c r="C1570" s="227">
        <v>21.42</v>
      </c>
      <c r="D1570" s="227">
        <v>1.4999999999999999E-2</v>
      </c>
      <c r="E1570" s="228">
        <f>ROUND(C1570*D1570,2)</f>
        <v>0.32</v>
      </c>
      <c r="F1570" s="162"/>
      <c r="G1570" s="162"/>
      <c r="H1570" s="162"/>
      <c r="I1570" s="161"/>
    </row>
    <row r="1571" spans="1:9" ht="15" customHeight="1" x14ac:dyDescent="0.25">
      <c r="A1571" s="163" t="s">
        <v>1307</v>
      </c>
      <c r="B1571" s="120" t="s">
        <v>1360</v>
      </c>
      <c r="C1571" s="227">
        <v>21.42</v>
      </c>
      <c r="D1571" s="227">
        <v>0.05</v>
      </c>
      <c r="E1571" s="228">
        <f>ROUND(C1571*D1571,2)</f>
        <v>1.07</v>
      </c>
      <c r="F1571" s="162"/>
      <c r="G1571" s="162"/>
      <c r="H1571" s="162"/>
      <c r="I1571" s="161"/>
    </row>
    <row r="1572" spans="1:9" ht="9.9499999999999993" customHeight="1" x14ac:dyDescent="0.25">
      <c r="A1572" s="164"/>
      <c r="B1572" s="121"/>
      <c r="C1572" s="122"/>
      <c r="D1572" s="122"/>
      <c r="E1572" s="123">
        <f>ROUND(SUM(E1568:E1571),2)</f>
        <v>3.26</v>
      </c>
      <c r="F1572" s="162"/>
      <c r="G1572" s="162"/>
      <c r="H1572" s="162"/>
      <c r="I1572" s="161"/>
    </row>
    <row r="1573" spans="1:9" ht="12" customHeight="1" x14ac:dyDescent="0.25">
      <c r="A1573" s="452"/>
      <c r="B1573" s="453"/>
      <c r="C1573" s="453"/>
      <c r="D1573" s="162"/>
      <c r="E1573" s="162"/>
      <c r="F1573" s="162"/>
      <c r="G1573" s="162"/>
      <c r="H1573" s="162"/>
      <c r="I1573" s="161"/>
    </row>
    <row r="1574" spans="1:9" ht="9.9499999999999993" customHeight="1" x14ac:dyDescent="0.25">
      <c r="A1574" s="165"/>
      <c r="B1574" s="162"/>
      <c r="C1574" s="162"/>
      <c r="D1574" s="458" t="str">
        <f>"TOTAL DA MEMÓRIA DE CÁLCULO: "&amp;TEXT(ROUND(SUM(E1572),2),"0,00")</f>
        <v>TOTAL DA MEMÓRIA DE CÁLCULO: 3,26</v>
      </c>
      <c r="E1574" s="458"/>
      <c r="F1574" s="458"/>
      <c r="G1574" s="458"/>
      <c r="H1574" s="458"/>
      <c r="I1574" s="161"/>
    </row>
    <row r="1575" spans="1:9" ht="20.100000000000001" customHeight="1" x14ac:dyDescent="0.25">
      <c r="A1575" s="452"/>
      <c r="B1575" s="453"/>
      <c r="C1575" s="453"/>
      <c r="D1575" s="453"/>
      <c r="E1575" s="162"/>
      <c r="F1575" s="162"/>
      <c r="G1575" s="162"/>
      <c r="H1575" s="162"/>
      <c r="I1575" s="161"/>
    </row>
    <row r="1576" spans="1:9" ht="9.9499999999999993" customHeight="1" x14ac:dyDescent="0.25">
      <c r="A1576" s="456" t="s">
        <v>1422</v>
      </c>
      <c r="B1576" s="457"/>
      <c r="C1576" s="457"/>
      <c r="D1576" s="457"/>
      <c r="E1576" s="457"/>
      <c r="F1576" s="457"/>
      <c r="G1576" s="457"/>
      <c r="H1576" s="457"/>
      <c r="I1576" s="161"/>
    </row>
    <row r="1577" spans="1:9" ht="30.95" customHeight="1" x14ac:dyDescent="0.25">
      <c r="A1577" s="452"/>
      <c r="B1577" s="453"/>
      <c r="C1577" s="453"/>
      <c r="D1577" s="162"/>
      <c r="E1577" s="162"/>
      <c r="F1577" s="162"/>
      <c r="G1577" s="162"/>
      <c r="H1577" s="162"/>
      <c r="I1577" s="161"/>
    </row>
    <row r="1578" spans="1:9" ht="15" customHeight="1" x14ac:dyDescent="0.25">
      <c r="A1578" s="456" t="s">
        <v>1423</v>
      </c>
      <c r="B1578" s="457"/>
      <c r="C1578" s="457"/>
      <c r="D1578" s="457"/>
      <c r="E1578" s="457"/>
      <c r="F1578" s="457"/>
      <c r="G1578" s="457"/>
      <c r="H1578" s="457"/>
      <c r="I1578" s="161"/>
    </row>
    <row r="1579" spans="1:9" ht="12.95" customHeight="1" x14ac:dyDescent="0.25">
      <c r="A1579" s="450"/>
      <c r="B1579" s="451"/>
      <c r="C1579" s="119"/>
      <c r="D1579" s="119" t="s">
        <v>984</v>
      </c>
      <c r="E1579" s="162"/>
      <c r="F1579" s="162"/>
      <c r="G1579" s="162"/>
      <c r="H1579" s="162"/>
      <c r="I1579" s="161"/>
    </row>
    <row r="1580" spans="1:9" ht="15" customHeight="1" x14ac:dyDescent="0.25">
      <c r="A1580" s="163" t="s">
        <v>1424</v>
      </c>
      <c r="B1580" s="120" t="s">
        <v>1425</v>
      </c>
      <c r="C1580" s="227">
        <v>12.15</v>
      </c>
      <c r="D1580" s="228">
        <f>ROUND(12.15,2)</f>
        <v>12.15</v>
      </c>
      <c r="E1580" s="162"/>
      <c r="F1580" s="162"/>
      <c r="G1580" s="162"/>
      <c r="H1580" s="162"/>
      <c r="I1580" s="161"/>
    </row>
    <row r="1581" spans="1:9" ht="9.9499999999999993" customHeight="1" x14ac:dyDescent="0.25">
      <c r="A1581" s="164"/>
      <c r="B1581" s="121"/>
      <c r="C1581" s="122"/>
      <c r="D1581" s="123">
        <f>ROUND(SUM(D1580:D1580),2)</f>
        <v>12.15</v>
      </c>
      <c r="E1581" s="162"/>
      <c r="F1581" s="162"/>
      <c r="G1581" s="162"/>
      <c r="H1581" s="162"/>
      <c r="I1581" s="161"/>
    </row>
    <row r="1582" spans="1:9" ht="12" customHeight="1" x14ac:dyDescent="0.25">
      <c r="A1582" s="452"/>
      <c r="B1582" s="453"/>
      <c r="C1582" s="453"/>
      <c r="D1582" s="162"/>
      <c r="E1582" s="162"/>
      <c r="F1582" s="162"/>
      <c r="G1582" s="162"/>
      <c r="H1582" s="162"/>
      <c r="I1582" s="161"/>
    </row>
    <row r="1583" spans="1:9" ht="9.9499999999999993" customHeight="1" x14ac:dyDescent="0.25">
      <c r="A1583" s="165"/>
      <c r="B1583" s="162"/>
      <c r="C1583" s="162"/>
      <c r="D1583" s="458" t="str">
        <f>"TOTAL DA MEMÓRIA DE CÁLCULO: "&amp;TEXT(ROUND(SUM(D1581),2),"0,00")</f>
        <v>TOTAL DA MEMÓRIA DE CÁLCULO: 12,15</v>
      </c>
      <c r="E1583" s="458"/>
      <c r="F1583" s="458"/>
      <c r="G1583" s="458"/>
      <c r="H1583" s="458"/>
      <c r="I1583" s="161"/>
    </row>
    <row r="1584" spans="1:9" ht="30.95" customHeight="1" x14ac:dyDescent="0.25">
      <c r="A1584" s="452"/>
      <c r="B1584" s="453"/>
      <c r="C1584" s="453"/>
      <c r="D1584" s="453"/>
      <c r="E1584" s="162"/>
      <c r="F1584" s="162"/>
      <c r="G1584" s="162"/>
      <c r="H1584" s="162"/>
      <c r="I1584" s="161"/>
    </row>
    <row r="1585" spans="1:9" ht="15" customHeight="1" x14ac:dyDescent="0.25">
      <c r="A1585" s="456" t="s">
        <v>1426</v>
      </c>
      <c r="B1585" s="457"/>
      <c r="C1585" s="457"/>
      <c r="D1585" s="457"/>
      <c r="E1585" s="457"/>
      <c r="F1585" s="457"/>
      <c r="G1585" s="457"/>
      <c r="H1585" s="457"/>
      <c r="I1585" s="161"/>
    </row>
    <row r="1586" spans="1:9" ht="12.95" customHeight="1" x14ac:dyDescent="0.25">
      <c r="A1586" s="450"/>
      <c r="B1586" s="451"/>
      <c r="C1586" s="119" t="s">
        <v>1059</v>
      </c>
      <c r="D1586" s="119" t="s">
        <v>1024</v>
      </c>
      <c r="E1586" s="119" t="s">
        <v>984</v>
      </c>
      <c r="F1586" s="162"/>
      <c r="G1586" s="162"/>
      <c r="H1586" s="162"/>
      <c r="I1586" s="161"/>
    </row>
    <row r="1587" spans="1:9" ht="12.95" customHeight="1" x14ac:dyDescent="0.25">
      <c r="A1587" s="163" t="s">
        <v>1427</v>
      </c>
      <c r="B1587" s="120" t="s">
        <v>1200</v>
      </c>
      <c r="C1587" s="227">
        <v>26.31</v>
      </c>
      <c r="D1587" s="227">
        <v>4.5</v>
      </c>
      <c r="E1587" s="228">
        <f>ROUND(D1587*C1587,2)</f>
        <v>118.4</v>
      </c>
      <c r="F1587" s="162"/>
      <c r="G1587" s="162"/>
      <c r="H1587" s="162"/>
      <c r="I1587" s="161"/>
    </row>
    <row r="1588" spans="1:9" ht="12.95" customHeight="1" x14ac:dyDescent="0.25">
      <c r="A1588" s="163" t="s">
        <v>1428</v>
      </c>
      <c r="B1588" s="120" t="s">
        <v>1382</v>
      </c>
      <c r="C1588" s="227">
        <v>1.5</v>
      </c>
      <c r="D1588" s="227">
        <v>2.7</v>
      </c>
      <c r="E1588" s="228">
        <f>ROUND(-D1588*C1588,2)</f>
        <v>-4.05</v>
      </c>
      <c r="F1588" s="162"/>
      <c r="G1588" s="162"/>
      <c r="H1588" s="162"/>
      <c r="I1588" s="161"/>
    </row>
    <row r="1589" spans="1:9" ht="15" customHeight="1" x14ac:dyDescent="0.25">
      <c r="A1589" s="163" t="s">
        <v>1429</v>
      </c>
      <c r="B1589" s="120" t="s">
        <v>1382</v>
      </c>
      <c r="C1589" s="227">
        <v>0.7</v>
      </c>
      <c r="D1589" s="227">
        <v>2.1</v>
      </c>
      <c r="E1589" s="228">
        <f>ROUND(-D1589*C1589,2)</f>
        <v>-1.47</v>
      </c>
      <c r="F1589" s="162"/>
      <c r="G1589" s="162"/>
      <c r="H1589" s="162"/>
      <c r="I1589" s="161"/>
    </row>
    <row r="1590" spans="1:9" ht="9.9499999999999993" customHeight="1" x14ac:dyDescent="0.25">
      <c r="A1590" s="164"/>
      <c r="B1590" s="121"/>
      <c r="C1590" s="122"/>
      <c r="D1590" s="122"/>
      <c r="E1590" s="123">
        <f>ROUND(SUM(E1587:E1589),2)</f>
        <v>112.88</v>
      </c>
      <c r="F1590" s="162"/>
      <c r="G1590" s="162"/>
      <c r="H1590" s="162"/>
      <c r="I1590" s="161"/>
    </row>
    <row r="1591" spans="1:9" ht="12" customHeight="1" x14ac:dyDescent="0.25">
      <c r="A1591" s="452"/>
      <c r="B1591" s="453"/>
      <c r="C1591" s="453"/>
      <c r="D1591" s="162"/>
      <c r="E1591" s="162"/>
      <c r="F1591" s="162"/>
      <c r="G1591" s="162"/>
      <c r="H1591" s="162"/>
      <c r="I1591" s="161"/>
    </row>
    <row r="1592" spans="1:9" ht="9.9499999999999993" customHeight="1" x14ac:dyDescent="0.25">
      <c r="A1592" s="165"/>
      <c r="B1592" s="162"/>
      <c r="C1592" s="162"/>
      <c r="D1592" s="458" t="str">
        <f>"TOTAL DA MEMÓRIA DE CÁLCULO: "&amp;TEXT(ROUND(SUM(E1590),2),"0,00")</f>
        <v>TOTAL DA MEMÓRIA DE CÁLCULO: 112,88</v>
      </c>
      <c r="E1592" s="458"/>
      <c r="F1592" s="458"/>
      <c r="G1592" s="458"/>
      <c r="H1592" s="458"/>
      <c r="I1592" s="161"/>
    </row>
    <row r="1593" spans="1:9" ht="20.100000000000001" customHeight="1" x14ac:dyDescent="0.25">
      <c r="A1593" s="452"/>
      <c r="B1593" s="453"/>
      <c r="C1593" s="453"/>
      <c r="D1593" s="453"/>
      <c r="E1593" s="162"/>
      <c r="F1593" s="162"/>
      <c r="G1593" s="162"/>
      <c r="H1593" s="162"/>
      <c r="I1593" s="161"/>
    </row>
    <row r="1594" spans="1:9" ht="9.9499999999999993" customHeight="1" x14ac:dyDescent="0.25">
      <c r="A1594" s="456" t="s">
        <v>1430</v>
      </c>
      <c r="B1594" s="457"/>
      <c r="C1594" s="457"/>
      <c r="D1594" s="457"/>
      <c r="E1594" s="457"/>
      <c r="F1594" s="457"/>
      <c r="G1594" s="457"/>
      <c r="H1594" s="457"/>
      <c r="I1594" s="161"/>
    </row>
    <row r="1595" spans="1:9" ht="20.100000000000001" customHeight="1" x14ac:dyDescent="0.25">
      <c r="A1595" s="452"/>
      <c r="B1595" s="453"/>
      <c r="C1595" s="453"/>
      <c r="D1595" s="162"/>
      <c r="E1595" s="162"/>
      <c r="F1595" s="162"/>
      <c r="G1595" s="162"/>
      <c r="H1595" s="162"/>
      <c r="I1595" s="161"/>
    </row>
    <row r="1596" spans="1:9" ht="15" customHeight="1" x14ac:dyDescent="0.25">
      <c r="A1596" s="456" t="s">
        <v>1431</v>
      </c>
      <c r="B1596" s="457"/>
      <c r="C1596" s="457"/>
      <c r="D1596" s="457"/>
      <c r="E1596" s="457"/>
      <c r="F1596" s="457"/>
      <c r="G1596" s="457"/>
      <c r="H1596" s="457"/>
      <c r="I1596" s="161"/>
    </row>
    <row r="1597" spans="1:9" ht="12.95" customHeight="1" x14ac:dyDescent="0.25">
      <c r="A1597" s="450"/>
      <c r="B1597" s="451"/>
      <c r="C1597" s="119" t="s">
        <v>1059</v>
      </c>
      <c r="D1597" s="119" t="s">
        <v>1024</v>
      </c>
      <c r="E1597" s="119" t="s">
        <v>984</v>
      </c>
      <c r="F1597" s="162"/>
      <c r="G1597" s="162"/>
      <c r="H1597" s="162"/>
      <c r="I1597" s="161"/>
    </row>
    <row r="1598" spans="1:9" ht="12.95" customHeight="1" x14ac:dyDescent="0.25">
      <c r="A1598" s="163" t="s">
        <v>153</v>
      </c>
      <c r="B1598" s="120" t="s">
        <v>1200</v>
      </c>
      <c r="C1598" s="227">
        <v>16</v>
      </c>
      <c r="D1598" s="227">
        <v>3</v>
      </c>
      <c r="E1598" s="228">
        <f>ROUND(D1598*C1598,2)</f>
        <v>48</v>
      </c>
      <c r="F1598" s="162"/>
      <c r="G1598" s="162"/>
      <c r="H1598" s="162"/>
      <c r="I1598" s="161"/>
    </row>
    <row r="1599" spans="1:9" ht="12.95" customHeight="1" x14ac:dyDescent="0.25">
      <c r="A1599" s="163" t="s">
        <v>1432</v>
      </c>
      <c r="B1599" s="120" t="s">
        <v>1382</v>
      </c>
      <c r="C1599" s="227">
        <v>1.05</v>
      </c>
      <c r="D1599" s="227">
        <v>2.2000000000000002</v>
      </c>
      <c r="E1599" s="228">
        <f>ROUND(-D1599*C1599,2)</f>
        <v>-2.31</v>
      </c>
      <c r="F1599" s="162"/>
      <c r="G1599" s="162"/>
      <c r="H1599" s="162"/>
      <c r="I1599" s="161"/>
    </row>
    <row r="1600" spans="1:9" ht="12.95" customHeight="1" x14ac:dyDescent="0.25">
      <c r="A1600" s="163" t="s">
        <v>1433</v>
      </c>
      <c r="B1600" s="120" t="s">
        <v>1382</v>
      </c>
      <c r="C1600" s="227">
        <v>0.93500000000000005</v>
      </c>
      <c r="D1600" s="227">
        <v>2.06</v>
      </c>
      <c r="E1600" s="228">
        <f>ROUND(-D1600*C1600,2)</f>
        <v>-1.93</v>
      </c>
      <c r="F1600" s="162"/>
      <c r="G1600" s="162"/>
      <c r="H1600" s="162"/>
      <c r="I1600" s="161"/>
    </row>
    <row r="1601" spans="1:9" ht="15" customHeight="1" x14ac:dyDescent="0.25">
      <c r="A1601" s="163" t="s">
        <v>1429</v>
      </c>
      <c r="B1601" s="120" t="s">
        <v>1382</v>
      </c>
      <c r="C1601" s="227">
        <v>0.67</v>
      </c>
      <c r="D1601" s="227">
        <v>2.0499999999999998</v>
      </c>
      <c r="E1601" s="228">
        <f>ROUND(-D1601*C1601,2)</f>
        <v>-1.37</v>
      </c>
      <c r="F1601" s="162"/>
      <c r="G1601" s="162"/>
      <c r="H1601" s="162"/>
      <c r="I1601" s="161"/>
    </row>
    <row r="1602" spans="1:9" ht="9.9499999999999993" customHeight="1" x14ac:dyDescent="0.25">
      <c r="A1602" s="164"/>
      <c r="B1602" s="121"/>
      <c r="C1602" s="122"/>
      <c r="D1602" s="122"/>
      <c r="E1602" s="123">
        <f>ROUND(SUM(E1598:E1601),2)</f>
        <v>42.39</v>
      </c>
      <c r="F1602" s="162"/>
      <c r="G1602" s="162"/>
      <c r="H1602" s="162"/>
      <c r="I1602" s="161"/>
    </row>
    <row r="1603" spans="1:9" ht="12" customHeight="1" x14ac:dyDescent="0.25">
      <c r="A1603" s="452"/>
      <c r="B1603" s="453"/>
      <c r="C1603" s="453"/>
      <c r="D1603" s="162"/>
      <c r="E1603" s="162"/>
      <c r="F1603" s="162"/>
      <c r="G1603" s="162"/>
      <c r="H1603" s="162"/>
      <c r="I1603" s="161"/>
    </row>
    <row r="1604" spans="1:9" ht="12" customHeight="1" x14ac:dyDescent="0.25">
      <c r="A1604" s="461" t="s">
        <v>4299</v>
      </c>
      <c r="B1604" s="462"/>
      <c r="C1604" s="462"/>
      <c r="D1604" s="458" t="str">
        <f>"TOTAL DA MEMÓRIA DE CÁLCULO: "&amp;TEXT(ROUND(SUM(E1602),2),"0,00")</f>
        <v>TOTAL DA MEMÓRIA DE CÁLCULO: 42,39</v>
      </c>
      <c r="E1604" s="458"/>
      <c r="F1604" s="458"/>
      <c r="G1604" s="458"/>
      <c r="H1604" s="458"/>
      <c r="I1604" s="161"/>
    </row>
    <row r="1605" spans="1:9" ht="9.9499999999999993" customHeight="1" x14ac:dyDescent="0.25">
      <c r="A1605" s="461"/>
      <c r="B1605" s="462"/>
      <c r="C1605" s="462"/>
      <c r="D1605" s="162"/>
      <c r="E1605" s="162"/>
      <c r="F1605" s="162"/>
      <c r="G1605" s="162"/>
      <c r="H1605" s="162"/>
      <c r="I1605" s="161"/>
    </row>
    <row r="1606" spans="1:9" ht="30.95" customHeight="1" x14ac:dyDescent="0.25">
      <c r="A1606" s="452"/>
      <c r="B1606" s="453"/>
      <c r="C1606" s="453"/>
      <c r="D1606" s="453"/>
      <c r="E1606" s="162"/>
      <c r="F1606" s="162"/>
      <c r="G1606" s="162"/>
      <c r="H1606" s="162"/>
      <c r="I1606" s="161"/>
    </row>
    <row r="1607" spans="1:9" ht="15" customHeight="1" x14ac:dyDescent="0.25">
      <c r="A1607" s="456" t="s">
        <v>1434</v>
      </c>
      <c r="B1607" s="457"/>
      <c r="C1607" s="457"/>
      <c r="D1607" s="457"/>
      <c r="E1607" s="457"/>
      <c r="F1607" s="457"/>
      <c r="G1607" s="457"/>
      <c r="H1607" s="457"/>
      <c r="I1607" s="161"/>
    </row>
    <row r="1608" spans="1:9" ht="12.95" customHeight="1" x14ac:dyDescent="0.25">
      <c r="A1608" s="450"/>
      <c r="B1608" s="451"/>
      <c r="C1608" s="119" t="s">
        <v>1059</v>
      </c>
      <c r="D1608" s="119" t="s">
        <v>1024</v>
      </c>
      <c r="E1608" s="119" t="s">
        <v>984</v>
      </c>
      <c r="F1608" s="162"/>
      <c r="G1608" s="162"/>
      <c r="H1608" s="162"/>
      <c r="I1608" s="161"/>
    </row>
    <row r="1609" spans="1:9" ht="12.95" customHeight="1" x14ac:dyDescent="0.25">
      <c r="A1609" s="163" t="s">
        <v>153</v>
      </c>
      <c r="B1609" s="120" t="s">
        <v>1200</v>
      </c>
      <c r="C1609" s="227">
        <v>16</v>
      </c>
      <c r="D1609" s="227">
        <v>3</v>
      </c>
      <c r="E1609" s="228">
        <f>ROUND(D1609*C1609,2)</f>
        <v>48</v>
      </c>
      <c r="F1609" s="162"/>
      <c r="G1609" s="162"/>
      <c r="H1609" s="162"/>
      <c r="I1609" s="161"/>
    </row>
    <row r="1610" spans="1:9" ht="12.95" customHeight="1" x14ac:dyDescent="0.25">
      <c r="A1610" s="163" t="s">
        <v>1432</v>
      </c>
      <c r="B1610" s="120" t="s">
        <v>1382</v>
      </c>
      <c r="C1610" s="227">
        <v>1.05</v>
      </c>
      <c r="D1610" s="227">
        <v>2.2000000000000002</v>
      </c>
      <c r="E1610" s="228">
        <f>ROUND(-D1610*C1610,2)</f>
        <v>-2.31</v>
      </c>
      <c r="F1610" s="162"/>
      <c r="G1610" s="162"/>
      <c r="H1610" s="162"/>
      <c r="I1610" s="161"/>
    </row>
    <row r="1611" spans="1:9" ht="12.95" customHeight="1" x14ac:dyDescent="0.25">
      <c r="A1611" s="163" t="s">
        <v>1433</v>
      </c>
      <c r="B1611" s="120" t="s">
        <v>1382</v>
      </c>
      <c r="C1611" s="227">
        <v>0.93500000000000005</v>
      </c>
      <c r="D1611" s="227">
        <v>2.06</v>
      </c>
      <c r="E1611" s="228">
        <f>ROUND(-D1611*C1611,2)</f>
        <v>-1.93</v>
      </c>
      <c r="F1611" s="162"/>
      <c r="G1611" s="162"/>
      <c r="H1611" s="162"/>
      <c r="I1611" s="161"/>
    </row>
    <row r="1612" spans="1:9" ht="15" customHeight="1" x14ac:dyDescent="0.25">
      <c r="A1612" s="163" t="s">
        <v>1429</v>
      </c>
      <c r="B1612" s="120" t="s">
        <v>1382</v>
      </c>
      <c r="C1612" s="227">
        <v>0.67</v>
      </c>
      <c r="D1612" s="227">
        <v>2.0499999999999998</v>
      </c>
      <c r="E1612" s="228">
        <f>ROUND(-D1612*C1612,2)</f>
        <v>-1.37</v>
      </c>
      <c r="F1612" s="162"/>
      <c r="G1612" s="162"/>
      <c r="H1612" s="162"/>
      <c r="I1612" s="161"/>
    </row>
    <row r="1613" spans="1:9" ht="9.9499999999999993" customHeight="1" x14ac:dyDescent="0.25">
      <c r="A1613" s="164"/>
      <c r="B1613" s="121"/>
      <c r="C1613" s="122"/>
      <c r="D1613" s="122"/>
      <c r="E1613" s="123">
        <f>ROUND(SUM(E1609:E1612),2)</f>
        <v>42.39</v>
      </c>
      <c r="F1613" s="162"/>
      <c r="G1613" s="162"/>
      <c r="H1613" s="162"/>
      <c r="I1613" s="161"/>
    </row>
    <row r="1614" spans="1:9" ht="12" customHeight="1" x14ac:dyDescent="0.25">
      <c r="A1614" s="452"/>
      <c r="B1614" s="453"/>
      <c r="C1614" s="453"/>
      <c r="D1614" s="162"/>
      <c r="E1614" s="162"/>
      <c r="F1614" s="162"/>
      <c r="G1614" s="162"/>
      <c r="H1614" s="162"/>
      <c r="I1614" s="161"/>
    </row>
    <row r="1615" spans="1:9" ht="12" customHeight="1" x14ac:dyDescent="0.25">
      <c r="A1615" s="461" t="s">
        <v>4299</v>
      </c>
      <c r="B1615" s="462"/>
      <c r="C1615" s="462"/>
      <c r="D1615" s="458" t="str">
        <f>"TOTAL DA MEMÓRIA DE CÁLCULO: "&amp;TEXT(ROUND(SUM(E1613),2),"0,00")</f>
        <v>TOTAL DA MEMÓRIA DE CÁLCULO: 42,39</v>
      </c>
      <c r="E1615" s="458"/>
      <c r="F1615" s="458"/>
      <c r="G1615" s="458"/>
      <c r="H1615" s="458"/>
      <c r="I1615" s="161"/>
    </row>
    <row r="1616" spans="1:9" ht="9.9499999999999993" customHeight="1" x14ac:dyDescent="0.25">
      <c r="A1616" s="461"/>
      <c r="B1616" s="462"/>
      <c r="C1616" s="462"/>
      <c r="D1616" s="162"/>
      <c r="E1616" s="162"/>
      <c r="F1616" s="162"/>
      <c r="G1616" s="162"/>
      <c r="H1616" s="162"/>
      <c r="I1616" s="161"/>
    </row>
    <row r="1617" spans="1:9" ht="30.95" customHeight="1" x14ac:dyDescent="0.25">
      <c r="A1617" s="452"/>
      <c r="B1617" s="453"/>
      <c r="C1617" s="453"/>
      <c r="D1617" s="453"/>
      <c r="E1617" s="162"/>
      <c r="F1617" s="162"/>
      <c r="G1617" s="162"/>
      <c r="H1617" s="162"/>
      <c r="I1617" s="161"/>
    </row>
    <row r="1618" spans="1:9" ht="15" customHeight="1" x14ac:dyDescent="0.25">
      <c r="A1618" s="456" t="s">
        <v>1435</v>
      </c>
      <c r="B1618" s="457"/>
      <c r="C1618" s="457"/>
      <c r="D1618" s="457"/>
      <c r="E1618" s="457"/>
      <c r="F1618" s="457"/>
      <c r="G1618" s="457"/>
      <c r="H1618" s="457"/>
      <c r="I1618" s="161"/>
    </row>
    <row r="1619" spans="1:9" ht="12.95" customHeight="1" x14ac:dyDescent="0.25">
      <c r="A1619" s="450"/>
      <c r="B1619" s="451"/>
      <c r="C1619" s="119"/>
      <c r="D1619" s="119" t="s">
        <v>984</v>
      </c>
      <c r="E1619" s="162"/>
      <c r="F1619" s="162"/>
      <c r="G1619" s="162"/>
      <c r="H1619" s="162"/>
      <c r="I1619" s="161"/>
    </row>
    <row r="1620" spans="1:9" ht="15" customHeight="1" x14ac:dyDescent="0.25">
      <c r="A1620" s="163" t="s">
        <v>1424</v>
      </c>
      <c r="B1620" s="120" t="s">
        <v>1436</v>
      </c>
      <c r="C1620" s="227">
        <v>15.36</v>
      </c>
      <c r="D1620" s="228">
        <f>ROUND(15.36,2)</f>
        <v>15.36</v>
      </c>
      <c r="E1620" s="162"/>
      <c r="F1620" s="162"/>
      <c r="G1620" s="162"/>
      <c r="H1620" s="162"/>
      <c r="I1620" s="161"/>
    </row>
    <row r="1621" spans="1:9" ht="9.9499999999999993" customHeight="1" x14ac:dyDescent="0.25">
      <c r="A1621" s="164"/>
      <c r="B1621" s="121"/>
      <c r="C1621" s="122"/>
      <c r="D1621" s="123">
        <f>ROUND(SUM(D1620:D1620),2)</f>
        <v>15.36</v>
      </c>
      <c r="E1621" s="162"/>
      <c r="F1621" s="162"/>
      <c r="G1621" s="162"/>
      <c r="H1621" s="162"/>
      <c r="I1621" s="161"/>
    </row>
    <row r="1622" spans="1:9" ht="12" customHeight="1" x14ac:dyDescent="0.25">
      <c r="A1622" s="452"/>
      <c r="B1622" s="453"/>
      <c r="C1622" s="453"/>
      <c r="D1622" s="162"/>
      <c r="E1622" s="162"/>
      <c r="F1622" s="162"/>
      <c r="G1622" s="162"/>
      <c r="H1622" s="162"/>
      <c r="I1622" s="161"/>
    </row>
    <row r="1623" spans="1:9" ht="9.9499999999999993" customHeight="1" x14ac:dyDescent="0.25">
      <c r="A1623" s="165"/>
      <c r="B1623" s="162"/>
      <c r="C1623" s="162"/>
      <c r="D1623" s="458" t="str">
        <f>"TOTAL DA MEMÓRIA DE CÁLCULO: "&amp;TEXT(ROUND(SUM(D1621),2),"0,00")</f>
        <v>TOTAL DA MEMÓRIA DE CÁLCULO: 15,36</v>
      </c>
      <c r="E1623" s="458"/>
      <c r="F1623" s="458"/>
      <c r="G1623" s="458"/>
      <c r="H1623" s="458"/>
      <c r="I1623" s="161"/>
    </row>
    <row r="1624" spans="1:9" ht="30.95" customHeight="1" x14ac:dyDescent="0.25">
      <c r="A1624" s="452"/>
      <c r="B1624" s="453"/>
      <c r="C1624" s="453"/>
      <c r="D1624" s="453"/>
      <c r="E1624" s="162"/>
      <c r="F1624" s="162"/>
      <c r="G1624" s="162"/>
      <c r="H1624" s="162"/>
      <c r="I1624" s="161"/>
    </row>
    <row r="1625" spans="1:9" ht="15" customHeight="1" x14ac:dyDescent="0.25">
      <c r="A1625" s="456" t="s">
        <v>1437</v>
      </c>
      <c r="B1625" s="457"/>
      <c r="C1625" s="457"/>
      <c r="D1625" s="457"/>
      <c r="E1625" s="457"/>
      <c r="F1625" s="457"/>
      <c r="G1625" s="457"/>
      <c r="H1625" s="457"/>
      <c r="I1625" s="161"/>
    </row>
    <row r="1626" spans="1:9" ht="12.95" customHeight="1" x14ac:dyDescent="0.25">
      <c r="A1626" s="450"/>
      <c r="B1626" s="451"/>
      <c r="C1626" s="119" t="s">
        <v>1059</v>
      </c>
      <c r="D1626" s="119" t="s">
        <v>1024</v>
      </c>
      <c r="E1626" s="119" t="s">
        <v>984</v>
      </c>
      <c r="F1626" s="162"/>
      <c r="G1626" s="162"/>
      <c r="H1626" s="162"/>
      <c r="I1626" s="161"/>
    </row>
    <row r="1627" spans="1:9" ht="15" customHeight="1" x14ac:dyDescent="0.25">
      <c r="A1627" s="163" t="s">
        <v>1438</v>
      </c>
      <c r="B1627" s="120" t="s">
        <v>1439</v>
      </c>
      <c r="C1627" s="227">
        <v>0.7</v>
      </c>
      <c r="D1627" s="227">
        <v>0.4</v>
      </c>
      <c r="E1627" s="228">
        <f>ROUND(D1627*C1627*3,2)</f>
        <v>0.84</v>
      </c>
      <c r="F1627" s="162"/>
      <c r="G1627" s="162"/>
      <c r="H1627" s="162"/>
      <c r="I1627" s="161"/>
    </row>
    <row r="1628" spans="1:9" ht="9.9499999999999993" customHeight="1" x14ac:dyDescent="0.25">
      <c r="A1628" s="164"/>
      <c r="B1628" s="121"/>
      <c r="C1628" s="122"/>
      <c r="D1628" s="122"/>
      <c r="E1628" s="123">
        <f>ROUND(SUM(E1627:E1627),2)</f>
        <v>0.84</v>
      </c>
      <c r="F1628" s="162"/>
      <c r="G1628" s="162"/>
      <c r="H1628" s="162"/>
      <c r="I1628" s="161"/>
    </row>
    <row r="1629" spans="1:9" ht="12" customHeight="1" x14ac:dyDescent="0.25">
      <c r="A1629" s="452"/>
      <c r="B1629" s="453"/>
      <c r="C1629" s="453"/>
      <c r="D1629" s="162"/>
      <c r="E1629" s="162"/>
      <c r="F1629" s="162"/>
      <c r="G1629" s="162"/>
      <c r="H1629" s="162"/>
      <c r="I1629" s="161"/>
    </row>
    <row r="1630" spans="1:9" ht="9.9499999999999993" customHeight="1" x14ac:dyDescent="0.25">
      <c r="A1630" s="165"/>
      <c r="B1630" s="162"/>
      <c r="C1630" s="162"/>
      <c r="D1630" s="458" t="str">
        <f>"TOTAL DA MEMÓRIA DE CÁLCULO: "&amp;TEXT(ROUND(SUM(E1628),2),"0,00")</f>
        <v>TOTAL DA MEMÓRIA DE CÁLCULO: 0,84</v>
      </c>
      <c r="E1630" s="458"/>
      <c r="F1630" s="458"/>
      <c r="G1630" s="458"/>
      <c r="H1630" s="458"/>
      <c r="I1630" s="161"/>
    </row>
    <row r="1631" spans="1:9" ht="30.95" customHeight="1" x14ac:dyDescent="0.25">
      <c r="A1631" s="452"/>
      <c r="B1631" s="453"/>
      <c r="C1631" s="453"/>
      <c r="D1631" s="453"/>
      <c r="E1631" s="162"/>
      <c r="F1631" s="162"/>
      <c r="G1631" s="162"/>
      <c r="H1631" s="162"/>
      <c r="I1631" s="161"/>
    </row>
    <row r="1632" spans="1:9" ht="15" customHeight="1" x14ac:dyDescent="0.25">
      <c r="A1632" s="456" t="s">
        <v>1440</v>
      </c>
      <c r="B1632" s="457"/>
      <c r="C1632" s="457"/>
      <c r="D1632" s="457"/>
      <c r="E1632" s="457"/>
      <c r="F1632" s="457"/>
      <c r="G1632" s="457"/>
      <c r="H1632" s="457"/>
      <c r="I1632" s="161"/>
    </row>
    <row r="1633" spans="1:9" ht="12.95" customHeight="1" x14ac:dyDescent="0.25">
      <c r="A1633" s="450"/>
      <c r="B1633" s="451"/>
      <c r="C1633" s="119"/>
      <c r="D1633" s="119" t="s">
        <v>984</v>
      </c>
      <c r="E1633" s="162"/>
      <c r="F1633" s="162"/>
      <c r="G1633" s="162"/>
      <c r="H1633" s="162"/>
      <c r="I1633" s="161"/>
    </row>
    <row r="1634" spans="1:9" ht="15" customHeight="1" x14ac:dyDescent="0.25">
      <c r="A1634" s="163" t="s">
        <v>1424</v>
      </c>
      <c r="B1634" s="120" t="s">
        <v>1436</v>
      </c>
      <c r="C1634" s="227">
        <v>15.36</v>
      </c>
      <c r="D1634" s="228">
        <f>ROUND(15.36,2)</f>
        <v>15.36</v>
      </c>
      <c r="E1634" s="162"/>
      <c r="F1634" s="162"/>
      <c r="G1634" s="162"/>
      <c r="H1634" s="162"/>
      <c r="I1634" s="161"/>
    </row>
    <row r="1635" spans="1:9" ht="9.9499999999999993" customHeight="1" x14ac:dyDescent="0.25">
      <c r="A1635" s="164"/>
      <c r="B1635" s="121"/>
      <c r="C1635" s="122"/>
      <c r="D1635" s="123">
        <f>ROUND(SUM(D1634:D1634),2)</f>
        <v>15.36</v>
      </c>
      <c r="E1635" s="162"/>
      <c r="F1635" s="162"/>
      <c r="G1635" s="162"/>
      <c r="H1635" s="162"/>
      <c r="I1635" s="161"/>
    </row>
    <row r="1636" spans="1:9" ht="12" customHeight="1" x14ac:dyDescent="0.25">
      <c r="A1636" s="452"/>
      <c r="B1636" s="453"/>
      <c r="C1636" s="453"/>
      <c r="D1636" s="162"/>
      <c r="E1636" s="162"/>
      <c r="F1636" s="162"/>
      <c r="G1636" s="162"/>
      <c r="H1636" s="162"/>
      <c r="I1636" s="161"/>
    </row>
    <row r="1637" spans="1:9" ht="9.9499999999999993" customHeight="1" x14ac:dyDescent="0.25">
      <c r="A1637" s="165"/>
      <c r="B1637" s="162"/>
      <c r="C1637" s="162"/>
      <c r="D1637" s="458" t="str">
        <f>"TOTAL DA MEMÓRIA DE CÁLCULO: "&amp;TEXT(ROUND(SUM(D1635),2),"0,00")</f>
        <v>TOTAL DA MEMÓRIA DE CÁLCULO: 15,36</v>
      </c>
      <c r="E1637" s="458"/>
      <c r="F1637" s="458"/>
      <c r="G1637" s="458"/>
      <c r="H1637" s="458"/>
      <c r="I1637" s="161"/>
    </row>
    <row r="1638" spans="1:9" ht="30.95" customHeight="1" x14ac:dyDescent="0.25">
      <c r="A1638" s="452"/>
      <c r="B1638" s="453"/>
      <c r="C1638" s="453"/>
      <c r="D1638" s="453"/>
      <c r="E1638" s="162"/>
      <c r="F1638" s="162"/>
      <c r="G1638" s="162"/>
      <c r="H1638" s="162"/>
      <c r="I1638" s="161"/>
    </row>
    <row r="1639" spans="1:9" ht="15" customHeight="1" x14ac:dyDescent="0.25">
      <c r="A1639" s="456" t="s">
        <v>1441</v>
      </c>
      <c r="B1639" s="457"/>
      <c r="C1639" s="457"/>
      <c r="D1639" s="457"/>
      <c r="E1639" s="457"/>
      <c r="F1639" s="457"/>
      <c r="G1639" s="457"/>
      <c r="H1639" s="457"/>
      <c r="I1639" s="161"/>
    </row>
    <row r="1640" spans="1:9" ht="12.95" customHeight="1" x14ac:dyDescent="0.25">
      <c r="A1640" s="450"/>
      <c r="B1640" s="451"/>
      <c r="C1640" s="119"/>
      <c r="D1640" s="119" t="s">
        <v>984</v>
      </c>
      <c r="E1640" s="162"/>
      <c r="F1640" s="162"/>
      <c r="G1640" s="162"/>
      <c r="H1640" s="162"/>
      <c r="I1640" s="161"/>
    </row>
    <row r="1641" spans="1:9" ht="15" customHeight="1" x14ac:dyDescent="0.25">
      <c r="A1641" s="163" t="s">
        <v>1424</v>
      </c>
      <c r="B1641" s="120" t="s">
        <v>1436</v>
      </c>
      <c r="C1641" s="227">
        <v>15.36</v>
      </c>
      <c r="D1641" s="228">
        <f>ROUND(15.36,2)</f>
        <v>15.36</v>
      </c>
      <c r="E1641" s="162"/>
      <c r="F1641" s="162"/>
      <c r="G1641" s="162"/>
      <c r="H1641" s="162"/>
      <c r="I1641" s="161"/>
    </row>
    <row r="1642" spans="1:9" ht="9.9499999999999993" customHeight="1" x14ac:dyDescent="0.25">
      <c r="A1642" s="164"/>
      <c r="B1642" s="121"/>
      <c r="C1642" s="122"/>
      <c r="D1642" s="123">
        <f>ROUND(SUM(D1641:D1641),2)</f>
        <v>15.36</v>
      </c>
      <c r="E1642" s="162"/>
      <c r="F1642" s="162"/>
      <c r="G1642" s="162"/>
      <c r="H1642" s="162"/>
      <c r="I1642" s="161"/>
    </row>
    <row r="1643" spans="1:9" ht="12" customHeight="1" x14ac:dyDescent="0.25">
      <c r="A1643" s="452"/>
      <c r="B1643" s="453"/>
      <c r="C1643" s="453"/>
      <c r="D1643" s="162"/>
      <c r="E1643" s="162"/>
      <c r="F1643" s="162"/>
      <c r="G1643" s="162"/>
      <c r="H1643" s="162"/>
      <c r="I1643" s="161"/>
    </row>
    <row r="1644" spans="1:9" ht="9.9499999999999993" customHeight="1" x14ac:dyDescent="0.25">
      <c r="A1644" s="165"/>
      <c r="B1644" s="162"/>
      <c r="C1644" s="162"/>
      <c r="D1644" s="458" t="str">
        <f>"TOTAL DA MEMÓRIA DE CÁLCULO: "&amp;TEXT(ROUND(SUM(D1642),2),"0,00")</f>
        <v>TOTAL DA MEMÓRIA DE CÁLCULO: 15,36</v>
      </c>
      <c r="E1644" s="458"/>
      <c r="F1644" s="458"/>
      <c r="G1644" s="458"/>
      <c r="H1644" s="458"/>
      <c r="I1644" s="161"/>
    </row>
    <row r="1645" spans="1:9" ht="30.95" customHeight="1" x14ac:dyDescent="0.25">
      <c r="A1645" s="452"/>
      <c r="B1645" s="453"/>
      <c r="C1645" s="453"/>
      <c r="D1645" s="453"/>
      <c r="E1645" s="162"/>
      <c r="F1645" s="162"/>
      <c r="G1645" s="162"/>
      <c r="H1645" s="162"/>
      <c r="I1645" s="161"/>
    </row>
    <row r="1646" spans="1:9" ht="15" customHeight="1" x14ac:dyDescent="0.25">
      <c r="A1646" s="456" t="s">
        <v>1442</v>
      </c>
      <c r="B1646" s="457"/>
      <c r="C1646" s="457"/>
      <c r="D1646" s="457"/>
      <c r="E1646" s="457"/>
      <c r="F1646" s="457"/>
      <c r="G1646" s="457"/>
      <c r="H1646" s="457"/>
      <c r="I1646" s="161"/>
    </row>
    <row r="1647" spans="1:9" ht="12.95" customHeight="1" x14ac:dyDescent="0.25">
      <c r="A1647" s="450"/>
      <c r="B1647" s="451"/>
      <c r="C1647" s="119" t="s">
        <v>1059</v>
      </c>
      <c r="D1647" s="119" t="s">
        <v>1024</v>
      </c>
      <c r="E1647" s="119" t="s">
        <v>984</v>
      </c>
      <c r="F1647" s="162"/>
      <c r="G1647" s="162"/>
      <c r="H1647" s="162"/>
      <c r="I1647" s="161"/>
    </row>
    <row r="1648" spans="1:9" ht="12.95" customHeight="1" x14ac:dyDescent="0.25">
      <c r="A1648" s="163" t="s">
        <v>153</v>
      </c>
      <c r="B1648" s="120" t="s">
        <v>1200</v>
      </c>
      <c r="C1648" s="227">
        <v>16</v>
      </c>
      <c r="D1648" s="227">
        <v>3</v>
      </c>
      <c r="E1648" s="228">
        <f>ROUND(D1648*C1648,2)</f>
        <v>48</v>
      </c>
      <c r="F1648" s="162"/>
      <c r="G1648" s="162"/>
      <c r="H1648" s="162"/>
      <c r="I1648" s="161"/>
    </row>
    <row r="1649" spans="1:9" ht="12.95" customHeight="1" x14ac:dyDescent="0.25">
      <c r="A1649" s="163" t="s">
        <v>1432</v>
      </c>
      <c r="B1649" s="120" t="s">
        <v>1382</v>
      </c>
      <c r="C1649" s="227">
        <v>1.05</v>
      </c>
      <c r="D1649" s="227">
        <v>2.2000000000000002</v>
      </c>
      <c r="E1649" s="228">
        <f>ROUND(-D1649*C1649,2)</f>
        <v>-2.31</v>
      </c>
      <c r="F1649" s="162"/>
      <c r="G1649" s="162"/>
      <c r="H1649" s="162"/>
      <c r="I1649" s="161"/>
    </row>
    <row r="1650" spans="1:9" ht="12.95" customHeight="1" x14ac:dyDescent="0.25">
      <c r="A1650" s="163" t="s">
        <v>1433</v>
      </c>
      <c r="B1650" s="120" t="s">
        <v>1382</v>
      </c>
      <c r="C1650" s="227">
        <v>0.93500000000000005</v>
      </c>
      <c r="D1650" s="227">
        <v>2.06</v>
      </c>
      <c r="E1650" s="228">
        <f>ROUND(-D1650*C1650,2)</f>
        <v>-1.93</v>
      </c>
      <c r="F1650" s="162"/>
      <c r="G1650" s="162"/>
      <c r="H1650" s="162"/>
      <c r="I1650" s="161"/>
    </row>
    <row r="1651" spans="1:9" ht="15" customHeight="1" x14ac:dyDescent="0.25">
      <c r="A1651" s="163" t="s">
        <v>1429</v>
      </c>
      <c r="B1651" s="120" t="s">
        <v>1382</v>
      </c>
      <c r="C1651" s="227">
        <v>0.67</v>
      </c>
      <c r="D1651" s="227">
        <v>2.0499999999999998</v>
      </c>
      <c r="E1651" s="228">
        <f>ROUND(-D1651*C1651,2)</f>
        <v>-1.37</v>
      </c>
      <c r="F1651" s="162"/>
      <c r="G1651" s="162"/>
      <c r="H1651" s="162"/>
      <c r="I1651" s="161"/>
    </row>
    <row r="1652" spans="1:9" ht="9.9499999999999993" customHeight="1" x14ac:dyDescent="0.25">
      <c r="A1652" s="164"/>
      <c r="B1652" s="121"/>
      <c r="C1652" s="122"/>
      <c r="D1652" s="122"/>
      <c r="E1652" s="123">
        <f>ROUND(SUM(E1648:E1651),2)</f>
        <v>42.39</v>
      </c>
      <c r="F1652" s="162"/>
      <c r="G1652" s="162"/>
      <c r="H1652" s="162"/>
      <c r="I1652" s="161"/>
    </row>
    <row r="1653" spans="1:9" ht="12" customHeight="1" x14ac:dyDescent="0.25">
      <c r="A1653" s="452"/>
      <c r="B1653" s="453"/>
      <c r="C1653" s="453"/>
      <c r="D1653" s="162"/>
      <c r="E1653" s="162"/>
      <c r="F1653" s="162"/>
      <c r="G1653" s="162"/>
      <c r="H1653" s="162"/>
      <c r="I1653" s="161"/>
    </row>
    <row r="1654" spans="1:9" ht="12" customHeight="1" x14ac:dyDescent="0.25">
      <c r="A1654" s="461" t="s">
        <v>4299</v>
      </c>
      <c r="B1654" s="462"/>
      <c r="C1654" s="462"/>
      <c r="D1654" s="458" t="str">
        <f>"TOTAL DA MEMÓRIA DE CÁLCULO: "&amp;TEXT(ROUND(SUM(E1652),2),"0,00")</f>
        <v>TOTAL DA MEMÓRIA DE CÁLCULO: 42,39</v>
      </c>
      <c r="E1654" s="458"/>
      <c r="F1654" s="458"/>
      <c r="G1654" s="458"/>
      <c r="H1654" s="458"/>
      <c r="I1654" s="161"/>
    </row>
    <row r="1655" spans="1:9" ht="9.9499999999999993" customHeight="1" x14ac:dyDescent="0.25">
      <c r="A1655" s="461"/>
      <c r="B1655" s="462"/>
      <c r="C1655" s="462"/>
      <c r="D1655" s="162"/>
      <c r="E1655" s="162"/>
      <c r="F1655" s="162"/>
      <c r="G1655" s="162"/>
      <c r="H1655" s="162"/>
      <c r="I1655" s="161"/>
    </row>
    <row r="1656" spans="1:9" ht="42.95" customHeight="1" x14ac:dyDescent="0.25">
      <c r="A1656" s="452"/>
      <c r="B1656" s="453"/>
      <c r="C1656" s="453"/>
      <c r="D1656" s="453"/>
      <c r="E1656" s="162"/>
      <c r="F1656" s="162"/>
      <c r="G1656" s="162"/>
      <c r="H1656" s="162"/>
      <c r="I1656" s="161"/>
    </row>
    <row r="1657" spans="1:9" ht="15" customHeight="1" x14ac:dyDescent="0.25">
      <c r="A1657" s="456" t="s">
        <v>1443</v>
      </c>
      <c r="B1657" s="457"/>
      <c r="C1657" s="457"/>
      <c r="D1657" s="457"/>
      <c r="E1657" s="457"/>
      <c r="F1657" s="457"/>
      <c r="G1657" s="457"/>
      <c r="H1657" s="457"/>
      <c r="I1657" s="161"/>
    </row>
    <row r="1658" spans="1:9" ht="12.95" customHeight="1" x14ac:dyDescent="0.25">
      <c r="A1658" s="450"/>
      <c r="B1658" s="451"/>
      <c r="C1658" s="119" t="s">
        <v>1059</v>
      </c>
      <c r="D1658" s="119" t="s">
        <v>1024</v>
      </c>
      <c r="E1658" s="119" t="s">
        <v>984</v>
      </c>
      <c r="F1658" s="162"/>
      <c r="G1658" s="162"/>
      <c r="H1658" s="162"/>
      <c r="I1658" s="161"/>
    </row>
    <row r="1659" spans="1:9" ht="12.95" customHeight="1" x14ac:dyDescent="0.25">
      <c r="A1659" s="163" t="s">
        <v>153</v>
      </c>
      <c r="B1659" s="120" t="s">
        <v>1200</v>
      </c>
      <c r="C1659" s="227">
        <v>16</v>
      </c>
      <c r="D1659" s="227">
        <v>1.5</v>
      </c>
      <c r="E1659" s="228">
        <f>ROUND(D1659*C1659,2)</f>
        <v>24</v>
      </c>
      <c r="F1659" s="162"/>
      <c r="G1659" s="162"/>
      <c r="H1659" s="162"/>
      <c r="I1659" s="161"/>
    </row>
    <row r="1660" spans="1:9" ht="12.95" customHeight="1" x14ac:dyDescent="0.25">
      <c r="A1660" s="163" t="s">
        <v>1432</v>
      </c>
      <c r="B1660" s="120" t="s">
        <v>1382</v>
      </c>
      <c r="C1660" s="227">
        <v>1.05</v>
      </c>
      <c r="D1660" s="227">
        <v>2.2000000000000002</v>
      </c>
      <c r="E1660" s="228">
        <f>ROUND(-D1660*C1660,2)</f>
        <v>-2.31</v>
      </c>
      <c r="F1660" s="162"/>
      <c r="G1660" s="162"/>
      <c r="H1660" s="162"/>
      <c r="I1660" s="161"/>
    </row>
    <row r="1661" spans="1:9" ht="12.95" customHeight="1" x14ac:dyDescent="0.25">
      <c r="A1661" s="163" t="s">
        <v>1433</v>
      </c>
      <c r="B1661" s="120" t="s">
        <v>1382</v>
      </c>
      <c r="C1661" s="227">
        <v>0.93500000000000005</v>
      </c>
      <c r="D1661" s="227">
        <v>2.06</v>
      </c>
      <c r="E1661" s="228">
        <f>ROUND(-D1661*C1661,2)</f>
        <v>-1.93</v>
      </c>
      <c r="F1661" s="162"/>
      <c r="G1661" s="162"/>
      <c r="H1661" s="162"/>
      <c r="I1661" s="161"/>
    </row>
    <row r="1662" spans="1:9" ht="15" customHeight="1" x14ac:dyDescent="0.25">
      <c r="A1662" s="163" t="s">
        <v>1429</v>
      </c>
      <c r="B1662" s="120" t="s">
        <v>1382</v>
      </c>
      <c r="C1662" s="227">
        <v>0.67</v>
      </c>
      <c r="D1662" s="227">
        <v>2.0499999999999998</v>
      </c>
      <c r="E1662" s="228">
        <f>ROUND(-D1662*C1662,2)</f>
        <v>-1.37</v>
      </c>
      <c r="F1662" s="162"/>
      <c r="G1662" s="162"/>
      <c r="H1662" s="162"/>
      <c r="I1662" s="161"/>
    </row>
    <row r="1663" spans="1:9" ht="9.9499999999999993" customHeight="1" x14ac:dyDescent="0.25">
      <c r="A1663" s="164"/>
      <c r="B1663" s="121"/>
      <c r="C1663" s="122"/>
      <c r="D1663" s="122"/>
      <c r="E1663" s="123">
        <f>ROUND(SUM(E1659:E1662),2)</f>
        <v>18.39</v>
      </c>
      <c r="F1663" s="162"/>
      <c r="G1663" s="162"/>
      <c r="H1663" s="162"/>
      <c r="I1663" s="161"/>
    </row>
    <row r="1664" spans="1:9" ht="12" customHeight="1" x14ac:dyDescent="0.25">
      <c r="A1664" s="452"/>
      <c r="B1664" s="453"/>
      <c r="C1664" s="453"/>
      <c r="D1664" s="162"/>
      <c r="E1664" s="162"/>
      <c r="F1664" s="162"/>
      <c r="G1664" s="162"/>
      <c r="H1664" s="162"/>
      <c r="I1664" s="161"/>
    </row>
    <row r="1665" spans="1:9" ht="12" customHeight="1" x14ac:dyDescent="0.25">
      <c r="A1665" s="461" t="s">
        <v>4299</v>
      </c>
      <c r="B1665" s="462"/>
      <c r="C1665" s="462"/>
      <c r="D1665" s="458" t="str">
        <f>"TOTAL DA MEMÓRIA DE CÁLCULO: "&amp;TEXT(ROUND(SUM(E1663),2),"0,00")</f>
        <v>TOTAL DA MEMÓRIA DE CÁLCULO: 18,39</v>
      </c>
      <c r="E1665" s="458"/>
      <c r="F1665" s="458"/>
      <c r="G1665" s="458"/>
      <c r="H1665" s="458"/>
      <c r="I1665" s="161"/>
    </row>
    <row r="1666" spans="1:9" ht="9.9499999999999993" customHeight="1" x14ac:dyDescent="0.25">
      <c r="A1666" s="461"/>
      <c r="B1666" s="462"/>
      <c r="C1666" s="462"/>
      <c r="D1666" s="162"/>
      <c r="E1666" s="162"/>
      <c r="F1666" s="162"/>
      <c r="G1666" s="162"/>
      <c r="H1666" s="162"/>
      <c r="I1666" s="161"/>
    </row>
    <row r="1667" spans="1:9" ht="30.95" customHeight="1" x14ac:dyDescent="0.25">
      <c r="A1667" s="452"/>
      <c r="B1667" s="453"/>
      <c r="C1667" s="453"/>
      <c r="D1667" s="453"/>
      <c r="E1667" s="162"/>
      <c r="F1667" s="162"/>
      <c r="G1667" s="162"/>
      <c r="H1667" s="162"/>
      <c r="I1667" s="161"/>
    </row>
    <row r="1668" spans="1:9" ht="15" customHeight="1" x14ac:dyDescent="0.25">
      <c r="A1668" s="456" t="s">
        <v>1444</v>
      </c>
      <c r="B1668" s="457"/>
      <c r="C1668" s="457"/>
      <c r="D1668" s="457"/>
      <c r="E1668" s="457"/>
      <c r="F1668" s="457"/>
      <c r="G1668" s="457"/>
      <c r="H1668" s="457"/>
      <c r="I1668" s="161"/>
    </row>
    <row r="1669" spans="1:9" ht="12.95" customHeight="1" x14ac:dyDescent="0.25">
      <c r="A1669" s="450"/>
      <c r="B1669" s="451"/>
      <c r="C1669" s="119" t="s">
        <v>1059</v>
      </c>
      <c r="D1669" s="119" t="s">
        <v>1024</v>
      </c>
      <c r="E1669" s="119" t="s">
        <v>984</v>
      </c>
      <c r="F1669" s="162"/>
      <c r="G1669" s="162"/>
      <c r="H1669" s="162"/>
      <c r="I1669" s="161"/>
    </row>
    <row r="1670" spans="1:9" ht="12.95" customHeight="1" x14ac:dyDescent="0.25">
      <c r="A1670" s="163" t="s">
        <v>153</v>
      </c>
      <c r="B1670" s="120" t="s">
        <v>1200</v>
      </c>
      <c r="C1670" s="227">
        <v>16</v>
      </c>
      <c r="D1670" s="227">
        <v>1.5</v>
      </c>
      <c r="E1670" s="228">
        <f>ROUND(D1670*C1670,2)</f>
        <v>24</v>
      </c>
      <c r="F1670" s="162"/>
      <c r="G1670" s="162"/>
      <c r="H1670" s="162"/>
      <c r="I1670" s="161"/>
    </row>
    <row r="1671" spans="1:9" ht="12.95" customHeight="1" x14ac:dyDescent="0.25">
      <c r="A1671" s="163" t="s">
        <v>1432</v>
      </c>
      <c r="B1671" s="120" t="s">
        <v>1382</v>
      </c>
      <c r="C1671" s="227">
        <v>1.05</v>
      </c>
      <c r="D1671" s="227">
        <v>2.2000000000000002</v>
      </c>
      <c r="E1671" s="228">
        <f>ROUND(-D1671*C1671,2)</f>
        <v>-2.31</v>
      </c>
      <c r="F1671" s="162"/>
      <c r="G1671" s="162"/>
      <c r="H1671" s="162"/>
      <c r="I1671" s="161"/>
    </row>
    <row r="1672" spans="1:9" ht="12.95" customHeight="1" x14ac:dyDescent="0.25">
      <c r="A1672" s="163" t="s">
        <v>1433</v>
      </c>
      <c r="B1672" s="120" t="s">
        <v>1382</v>
      </c>
      <c r="C1672" s="227">
        <v>0.93500000000000005</v>
      </c>
      <c r="D1672" s="227">
        <v>2.06</v>
      </c>
      <c r="E1672" s="228">
        <f>ROUND(-D1672*C1672,2)</f>
        <v>-1.93</v>
      </c>
      <c r="F1672" s="162"/>
      <c r="G1672" s="162"/>
      <c r="H1672" s="162"/>
      <c r="I1672" s="161"/>
    </row>
    <row r="1673" spans="1:9" ht="15" customHeight="1" x14ac:dyDescent="0.25">
      <c r="A1673" s="163" t="s">
        <v>1429</v>
      </c>
      <c r="B1673" s="120" t="s">
        <v>1382</v>
      </c>
      <c r="C1673" s="227">
        <v>0.67</v>
      </c>
      <c r="D1673" s="227">
        <v>2.0499999999999998</v>
      </c>
      <c r="E1673" s="228">
        <f>ROUND(-D1673*C1673,2)</f>
        <v>-1.37</v>
      </c>
      <c r="F1673" s="162"/>
      <c r="G1673" s="162"/>
      <c r="H1673" s="162"/>
      <c r="I1673" s="161"/>
    </row>
    <row r="1674" spans="1:9" ht="9.9499999999999993" customHeight="1" x14ac:dyDescent="0.25">
      <c r="A1674" s="164"/>
      <c r="B1674" s="121"/>
      <c r="C1674" s="122"/>
      <c r="D1674" s="122"/>
      <c r="E1674" s="123">
        <f>ROUND(SUM(E1670:E1673),2)</f>
        <v>18.39</v>
      </c>
      <c r="F1674" s="162"/>
      <c r="G1674" s="162"/>
      <c r="H1674" s="162"/>
      <c r="I1674" s="161"/>
    </row>
    <row r="1675" spans="1:9" ht="12" customHeight="1" x14ac:dyDescent="0.25">
      <c r="A1675" s="452"/>
      <c r="B1675" s="453"/>
      <c r="C1675" s="453"/>
      <c r="D1675" s="162"/>
      <c r="E1675" s="162"/>
      <c r="F1675" s="162"/>
      <c r="G1675" s="162"/>
      <c r="H1675" s="162"/>
      <c r="I1675" s="161"/>
    </row>
    <row r="1676" spans="1:9" ht="12" customHeight="1" x14ac:dyDescent="0.25">
      <c r="A1676" s="461" t="s">
        <v>4299</v>
      </c>
      <c r="B1676" s="462"/>
      <c r="C1676" s="462"/>
      <c r="D1676" s="458" t="str">
        <f>"TOTAL DA MEMÓRIA DE CÁLCULO: "&amp;TEXT(ROUND(SUM(E1674),2),"0,00")</f>
        <v>TOTAL DA MEMÓRIA DE CÁLCULO: 18,39</v>
      </c>
      <c r="E1676" s="458"/>
      <c r="F1676" s="458"/>
      <c r="G1676" s="458"/>
      <c r="H1676" s="458"/>
      <c r="I1676" s="161"/>
    </row>
    <row r="1677" spans="1:9" ht="9.9499999999999993" customHeight="1" x14ac:dyDescent="0.25">
      <c r="A1677" s="461"/>
      <c r="B1677" s="462"/>
      <c r="C1677" s="462"/>
      <c r="D1677" s="162"/>
      <c r="E1677" s="162"/>
      <c r="F1677" s="162"/>
      <c r="G1677" s="162"/>
      <c r="H1677" s="162"/>
      <c r="I1677" s="161"/>
    </row>
    <row r="1678" spans="1:9" ht="30.95" customHeight="1" x14ac:dyDescent="0.25">
      <c r="A1678" s="452"/>
      <c r="B1678" s="453"/>
      <c r="C1678" s="453"/>
      <c r="D1678" s="453"/>
      <c r="E1678" s="162"/>
      <c r="F1678" s="162"/>
      <c r="G1678" s="162"/>
      <c r="H1678" s="162"/>
      <c r="I1678" s="161"/>
    </row>
    <row r="1679" spans="1:9" ht="15" customHeight="1" x14ac:dyDescent="0.25">
      <c r="A1679" s="456" t="s">
        <v>1445</v>
      </c>
      <c r="B1679" s="457"/>
      <c r="C1679" s="457"/>
      <c r="D1679" s="457"/>
      <c r="E1679" s="457"/>
      <c r="F1679" s="457"/>
      <c r="G1679" s="457"/>
      <c r="H1679" s="457"/>
      <c r="I1679" s="161"/>
    </row>
    <row r="1680" spans="1:9" ht="12.95" customHeight="1" x14ac:dyDescent="0.25">
      <c r="A1680" s="450"/>
      <c r="B1680" s="451"/>
      <c r="C1680" s="119"/>
      <c r="D1680" s="119" t="s">
        <v>984</v>
      </c>
      <c r="E1680" s="162"/>
      <c r="F1680" s="162"/>
      <c r="G1680" s="162"/>
      <c r="H1680" s="162"/>
      <c r="I1680" s="161"/>
    </row>
    <row r="1681" spans="1:9" ht="15" customHeight="1" x14ac:dyDescent="0.25">
      <c r="A1681" s="163" t="s">
        <v>1424</v>
      </c>
      <c r="B1681" s="120" t="s">
        <v>1436</v>
      </c>
      <c r="C1681" s="227">
        <v>15.36</v>
      </c>
      <c r="D1681" s="228">
        <f>ROUND(15.36,2)</f>
        <v>15.36</v>
      </c>
      <c r="E1681" s="162"/>
      <c r="F1681" s="162"/>
      <c r="G1681" s="162"/>
      <c r="H1681" s="162"/>
      <c r="I1681" s="161"/>
    </row>
    <row r="1682" spans="1:9" ht="9.9499999999999993" customHeight="1" x14ac:dyDescent="0.25">
      <c r="A1682" s="164"/>
      <c r="B1682" s="121"/>
      <c r="C1682" s="122"/>
      <c r="D1682" s="123">
        <f>ROUND(SUM(D1681:D1681),2)</f>
        <v>15.36</v>
      </c>
      <c r="E1682" s="162"/>
      <c r="F1682" s="162"/>
      <c r="G1682" s="162"/>
      <c r="H1682" s="162"/>
      <c r="I1682" s="161"/>
    </row>
    <row r="1683" spans="1:9" ht="12" customHeight="1" x14ac:dyDescent="0.25">
      <c r="A1683" s="452"/>
      <c r="B1683" s="453"/>
      <c r="C1683" s="453"/>
      <c r="D1683" s="162"/>
      <c r="E1683" s="162"/>
      <c r="F1683" s="162"/>
      <c r="G1683" s="162"/>
      <c r="H1683" s="162"/>
      <c r="I1683" s="161"/>
    </row>
    <row r="1684" spans="1:9" ht="9.9499999999999993" customHeight="1" x14ac:dyDescent="0.25">
      <c r="A1684" s="165"/>
      <c r="B1684" s="162"/>
      <c r="C1684" s="162"/>
      <c r="D1684" s="458" t="str">
        <f>"TOTAL DA MEMÓRIA DE CÁLCULO: "&amp;TEXT(ROUND(SUM(D1682),2),"0,00")</f>
        <v>TOTAL DA MEMÓRIA DE CÁLCULO: 15,36</v>
      </c>
      <c r="E1684" s="458"/>
      <c r="F1684" s="458"/>
      <c r="G1684" s="458"/>
      <c r="H1684" s="458"/>
      <c r="I1684" s="161"/>
    </row>
    <row r="1685" spans="1:9" ht="42.95" customHeight="1" x14ac:dyDescent="0.25">
      <c r="A1685" s="452"/>
      <c r="B1685" s="453"/>
      <c r="C1685" s="453"/>
      <c r="D1685" s="453"/>
      <c r="E1685" s="162"/>
      <c r="F1685" s="162"/>
      <c r="G1685" s="162"/>
      <c r="H1685" s="162"/>
      <c r="I1685" s="161"/>
    </row>
    <row r="1686" spans="1:9" ht="15" customHeight="1" x14ac:dyDescent="0.25">
      <c r="A1686" s="456" t="s">
        <v>1446</v>
      </c>
      <c r="B1686" s="457"/>
      <c r="C1686" s="457"/>
      <c r="D1686" s="457"/>
      <c r="E1686" s="457"/>
      <c r="F1686" s="457"/>
      <c r="G1686" s="457"/>
      <c r="H1686" s="457"/>
      <c r="I1686" s="161"/>
    </row>
    <row r="1687" spans="1:9" ht="12.95" customHeight="1" x14ac:dyDescent="0.25">
      <c r="A1687" s="450"/>
      <c r="B1687" s="451"/>
      <c r="C1687" s="119"/>
      <c r="D1687" s="119" t="s">
        <v>984</v>
      </c>
      <c r="E1687" s="162"/>
      <c r="F1687" s="162"/>
      <c r="G1687" s="162"/>
      <c r="H1687" s="162"/>
      <c r="I1687" s="161"/>
    </row>
    <row r="1688" spans="1:9" ht="15" customHeight="1" x14ac:dyDescent="0.25">
      <c r="A1688" s="163" t="s">
        <v>1424</v>
      </c>
      <c r="B1688" s="120" t="s">
        <v>1436</v>
      </c>
      <c r="C1688" s="227">
        <v>15.36</v>
      </c>
      <c r="D1688" s="228">
        <f>ROUND(15.36,2)</f>
        <v>15.36</v>
      </c>
      <c r="E1688" s="162"/>
      <c r="F1688" s="162"/>
      <c r="G1688" s="162"/>
      <c r="H1688" s="162"/>
      <c r="I1688" s="161"/>
    </row>
    <row r="1689" spans="1:9" ht="9.9499999999999993" customHeight="1" x14ac:dyDescent="0.25">
      <c r="A1689" s="164"/>
      <c r="B1689" s="121"/>
      <c r="C1689" s="122"/>
      <c r="D1689" s="123">
        <f>ROUND(SUM(D1688:D1688),2)</f>
        <v>15.36</v>
      </c>
      <c r="E1689" s="162"/>
      <c r="F1689" s="162"/>
      <c r="G1689" s="162"/>
      <c r="H1689" s="162"/>
      <c r="I1689" s="161"/>
    </row>
    <row r="1690" spans="1:9" ht="12" customHeight="1" x14ac:dyDescent="0.25">
      <c r="A1690" s="452"/>
      <c r="B1690" s="453"/>
      <c r="C1690" s="453"/>
      <c r="D1690" s="162"/>
      <c r="E1690" s="162"/>
      <c r="F1690" s="162"/>
      <c r="G1690" s="162"/>
      <c r="H1690" s="162"/>
      <c r="I1690" s="161"/>
    </row>
    <row r="1691" spans="1:9" ht="9.9499999999999993" customHeight="1" x14ac:dyDescent="0.25">
      <c r="A1691" s="165"/>
      <c r="B1691" s="162"/>
      <c r="C1691" s="162"/>
      <c r="D1691" s="458" t="str">
        <f>"TOTAL DA MEMÓRIA DE CÁLCULO: "&amp;TEXT(ROUND(SUM(D1689),2),"0,00")</f>
        <v>TOTAL DA MEMÓRIA DE CÁLCULO: 15,36</v>
      </c>
      <c r="E1691" s="458"/>
      <c r="F1691" s="458"/>
      <c r="G1691" s="458"/>
      <c r="H1691" s="458"/>
      <c r="I1691" s="161"/>
    </row>
    <row r="1692" spans="1:9" ht="42.95" customHeight="1" x14ac:dyDescent="0.25">
      <c r="A1692" s="452"/>
      <c r="B1692" s="453"/>
      <c r="C1692" s="453"/>
      <c r="D1692" s="453"/>
      <c r="E1692" s="162"/>
      <c r="F1692" s="162"/>
      <c r="G1692" s="162"/>
      <c r="H1692" s="162"/>
      <c r="I1692" s="161"/>
    </row>
    <row r="1693" spans="1:9" ht="15" customHeight="1" x14ac:dyDescent="0.25">
      <c r="A1693" s="456" t="s">
        <v>1447</v>
      </c>
      <c r="B1693" s="457"/>
      <c r="C1693" s="457"/>
      <c r="D1693" s="457"/>
      <c r="E1693" s="457"/>
      <c r="F1693" s="457"/>
      <c r="G1693" s="457"/>
      <c r="H1693" s="457"/>
      <c r="I1693" s="161"/>
    </row>
    <row r="1694" spans="1:9" ht="12.95" customHeight="1" x14ac:dyDescent="0.25">
      <c r="A1694" s="450"/>
      <c r="B1694" s="451"/>
      <c r="C1694" s="119" t="s">
        <v>1007</v>
      </c>
      <c r="D1694" s="119" t="s">
        <v>1358</v>
      </c>
      <c r="E1694" s="119" t="s">
        <v>984</v>
      </c>
      <c r="F1694" s="162"/>
      <c r="G1694" s="162"/>
      <c r="H1694" s="162"/>
      <c r="I1694" s="161"/>
    </row>
    <row r="1695" spans="1:9" ht="12.95" customHeight="1" x14ac:dyDescent="0.25">
      <c r="A1695" s="163" t="s">
        <v>1359</v>
      </c>
      <c r="B1695" s="120" t="s">
        <v>1360</v>
      </c>
      <c r="C1695" s="227">
        <v>42.39</v>
      </c>
      <c r="D1695" s="227">
        <v>2.5000000000000001E-2</v>
      </c>
      <c r="E1695" s="228">
        <f>ROUND(C1695*D1695,2)</f>
        <v>1.06</v>
      </c>
      <c r="F1695" s="162"/>
      <c r="G1695" s="162"/>
      <c r="H1695" s="162"/>
      <c r="I1695" s="161"/>
    </row>
    <row r="1696" spans="1:9" ht="12.95" customHeight="1" x14ac:dyDescent="0.25">
      <c r="A1696" s="163" t="s">
        <v>1448</v>
      </c>
      <c r="B1696" s="120" t="s">
        <v>1360</v>
      </c>
      <c r="C1696" s="227">
        <v>0.84</v>
      </c>
      <c r="D1696" s="227">
        <v>1.4999999999999999E-2</v>
      </c>
      <c r="E1696" s="228">
        <f>ROUND(C1696*D1696,2)</f>
        <v>0.01</v>
      </c>
      <c r="F1696" s="162"/>
      <c r="G1696" s="162"/>
      <c r="H1696" s="162"/>
      <c r="I1696" s="161"/>
    </row>
    <row r="1697" spans="1:9" ht="12.95" customHeight="1" x14ac:dyDescent="0.25">
      <c r="A1697" s="163" t="s">
        <v>1056</v>
      </c>
      <c r="B1697" s="120" t="s">
        <v>1360</v>
      </c>
      <c r="C1697" s="227">
        <v>15.36</v>
      </c>
      <c r="D1697" s="227">
        <v>1.4999999999999999E-2</v>
      </c>
      <c r="E1697" s="228">
        <f>ROUND(C1697*D1697,2)</f>
        <v>0.23</v>
      </c>
      <c r="F1697" s="162"/>
      <c r="G1697" s="162"/>
      <c r="H1697" s="162"/>
      <c r="I1697" s="161"/>
    </row>
    <row r="1698" spans="1:9" ht="15" customHeight="1" x14ac:dyDescent="0.25">
      <c r="A1698" s="163" t="s">
        <v>1307</v>
      </c>
      <c r="B1698" s="120" t="s">
        <v>1360</v>
      </c>
      <c r="C1698" s="227">
        <v>15.36</v>
      </c>
      <c r="D1698" s="227">
        <v>0.05</v>
      </c>
      <c r="E1698" s="228">
        <f>ROUND(C1698*D1698,2)</f>
        <v>0.77</v>
      </c>
      <c r="F1698" s="162"/>
      <c r="G1698" s="162"/>
      <c r="H1698" s="162"/>
      <c r="I1698" s="161"/>
    </row>
    <row r="1699" spans="1:9" ht="9.9499999999999993" customHeight="1" x14ac:dyDescent="0.25">
      <c r="A1699" s="164"/>
      <c r="B1699" s="121"/>
      <c r="C1699" s="122"/>
      <c r="D1699" s="122"/>
      <c r="E1699" s="123">
        <f>ROUND(SUM(E1695:E1698),2)</f>
        <v>2.0699999999999998</v>
      </c>
      <c r="F1699" s="162"/>
      <c r="G1699" s="162"/>
      <c r="H1699" s="162"/>
      <c r="I1699" s="161"/>
    </row>
    <row r="1700" spans="1:9" ht="12" customHeight="1" x14ac:dyDescent="0.25">
      <c r="A1700" s="452"/>
      <c r="B1700" s="453"/>
      <c r="C1700" s="453"/>
      <c r="D1700" s="162"/>
      <c r="E1700" s="162"/>
      <c r="F1700" s="162"/>
      <c r="G1700" s="162"/>
      <c r="H1700" s="162"/>
      <c r="I1700" s="161"/>
    </row>
    <row r="1701" spans="1:9" ht="9.9499999999999993" customHeight="1" x14ac:dyDescent="0.25">
      <c r="A1701" s="165"/>
      <c r="B1701" s="162"/>
      <c r="C1701" s="162"/>
      <c r="D1701" s="458" t="str">
        <f>"TOTAL DA MEMÓRIA DE CÁLCULO: "&amp;TEXT(ROUND(SUM(E1699),2),"0,00")</f>
        <v>TOTAL DA MEMÓRIA DE CÁLCULO: 2,07</v>
      </c>
      <c r="E1701" s="458"/>
      <c r="F1701" s="458"/>
      <c r="G1701" s="458"/>
      <c r="H1701" s="458"/>
      <c r="I1701" s="161"/>
    </row>
    <row r="1702" spans="1:9" ht="20.100000000000001" customHeight="1" x14ac:dyDescent="0.25">
      <c r="A1702" s="452"/>
      <c r="B1702" s="453"/>
      <c r="C1702" s="453"/>
      <c r="D1702" s="453"/>
      <c r="E1702" s="162"/>
      <c r="F1702" s="162"/>
      <c r="G1702" s="162"/>
      <c r="H1702" s="162"/>
      <c r="I1702" s="161"/>
    </row>
    <row r="1703" spans="1:9" ht="9.9499999999999993" customHeight="1" x14ac:dyDescent="0.25">
      <c r="A1703" s="456" t="s">
        <v>1449</v>
      </c>
      <c r="B1703" s="457"/>
      <c r="C1703" s="457"/>
      <c r="D1703" s="457"/>
      <c r="E1703" s="457"/>
      <c r="F1703" s="457"/>
      <c r="G1703" s="457"/>
      <c r="H1703" s="457"/>
      <c r="I1703" s="161"/>
    </row>
    <row r="1704" spans="1:9" ht="30.95" customHeight="1" x14ac:dyDescent="0.25">
      <c r="A1704" s="452"/>
      <c r="B1704" s="453"/>
      <c r="C1704" s="453"/>
      <c r="D1704" s="162"/>
      <c r="E1704" s="162"/>
      <c r="F1704" s="162"/>
      <c r="G1704" s="162"/>
      <c r="H1704" s="162"/>
      <c r="I1704" s="161"/>
    </row>
    <row r="1705" spans="1:9" ht="15" customHeight="1" x14ac:dyDescent="0.25">
      <c r="A1705" s="456" t="s">
        <v>1450</v>
      </c>
      <c r="B1705" s="457"/>
      <c r="C1705" s="457"/>
      <c r="D1705" s="457"/>
      <c r="E1705" s="457"/>
      <c r="F1705" s="457"/>
      <c r="G1705" s="457"/>
      <c r="H1705" s="457"/>
      <c r="I1705" s="161"/>
    </row>
    <row r="1706" spans="1:9" ht="12.95" customHeight="1" x14ac:dyDescent="0.25">
      <c r="A1706" s="450"/>
      <c r="B1706" s="451"/>
      <c r="C1706" s="119"/>
      <c r="D1706" s="119" t="s">
        <v>984</v>
      </c>
      <c r="E1706" s="162"/>
      <c r="F1706" s="162"/>
      <c r="G1706" s="162"/>
      <c r="H1706" s="162"/>
      <c r="I1706" s="161"/>
    </row>
    <row r="1707" spans="1:9" ht="6" customHeight="1" x14ac:dyDescent="0.25">
      <c r="A1707" s="163" t="s">
        <v>1451</v>
      </c>
      <c r="B1707" s="120" t="s">
        <v>1452</v>
      </c>
      <c r="C1707" s="459">
        <v>115.83</v>
      </c>
      <c r="D1707" s="460">
        <f>ROUND(115.83,2)</f>
        <v>115.83</v>
      </c>
      <c r="E1707" s="162"/>
      <c r="F1707" s="162"/>
      <c r="G1707" s="162"/>
      <c r="H1707" s="162"/>
      <c r="I1707" s="161"/>
    </row>
    <row r="1708" spans="1:9" ht="12.95" customHeight="1" x14ac:dyDescent="0.25">
      <c r="A1708" s="166"/>
      <c r="B1708" s="124"/>
      <c r="C1708" s="459"/>
      <c r="D1708" s="460"/>
      <c r="E1708" s="162"/>
      <c r="F1708" s="162"/>
      <c r="G1708" s="162"/>
      <c r="H1708" s="162"/>
      <c r="I1708" s="161"/>
    </row>
    <row r="1709" spans="1:9" ht="15" customHeight="1" x14ac:dyDescent="0.25">
      <c r="A1709" s="163" t="s">
        <v>1453</v>
      </c>
      <c r="B1709" s="120" t="s">
        <v>1454</v>
      </c>
      <c r="C1709" s="227">
        <v>4.8600000000000003</v>
      </c>
      <c r="D1709" s="228">
        <f>ROUND(18*0.2*1.35,2)</f>
        <v>4.8600000000000003</v>
      </c>
      <c r="E1709" s="162"/>
      <c r="F1709" s="162"/>
      <c r="G1709" s="162"/>
      <c r="H1709" s="162"/>
      <c r="I1709" s="161"/>
    </row>
    <row r="1710" spans="1:9" ht="9.9499999999999993" customHeight="1" x14ac:dyDescent="0.25">
      <c r="A1710" s="164"/>
      <c r="B1710" s="121"/>
      <c r="C1710" s="122"/>
      <c r="D1710" s="123">
        <f>ROUND(SUM(D1707:D1709),2)</f>
        <v>120.69</v>
      </c>
      <c r="E1710" s="162"/>
      <c r="F1710" s="162"/>
      <c r="G1710" s="162"/>
      <c r="H1710" s="162"/>
      <c r="I1710" s="161"/>
    </row>
    <row r="1711" spans="1:9" ht="12" customHeight="1" x14ac:dyDescent="0.25">
      <c r="A1711" s="452"/>
      <c r="B1711" s="453"/>
      <c r="C1711" s="453"/>
      <c r="D1711" s="162"/>
      <c r="E1711" s="162"/>
      <c r="F1711" s="162"/>
      <c r="G1711" s="162"/>
      <c r="H1711" s="162"/>
      <c r="I1711" s="161"/>
    </row>
    <row r="1712" spans="1:9" ht="9.9499999999999993" customHeight="1" x14ac:dyDescent="0.25">
      <c r="A1712" s="165"/>
      <c r="B1712" s="162"/>
      <c r="C1712" s="162"/>
      <c r="D1712" s="458" t="str">
        <f>"TOTAL DA MEMÓRIA DE CÁLCULO: "&amp;TEXT(ROUND(SUM(D1710),2),"0,00")</f>
        <v>TOTAL DA MEMÓRIA DE CÁLCULO: 120,69</v>
      </c>
      <c r="E1712" s="458"/>
      <c r="F1712" s="458"/>
      <c r="G1712" s="458"/>
      <c r="H1712" s="458"/>
      <c r="I1712" s="161"/>
    </row>
    <row r="1713" spans="1:9" ht="20.100000000000001" customHeight="1" x14ac:dyDescent="0.25">
      <c r="A1713" s="452"/>
      <c r="B1713" s="453"/>
      <c r="C1713" s="453"/>
      <c r="D1713" s="453"/>
      <c r="E1713" s="162"/>
      <c r="F1713" s="162"/>
      <c r="G1713" s="162"/>
      <c r="H1713" s="162"/>
      <c r="I1713" s="161"/>
    </row>
    <row r="1714" spans="1:9" ht="15" customHeight="1" x14ac:dyDescent="0.25">
      <c r="A1714" s="456" t="s">
        <v>1455</v>
      </c>
      <c r="B1714" s="457"/>
      <c r="C1714" s="457"/>
      <c r="D1714" s="457"/>
      <c r="E1714" s="457"/>
      <c r="F1714" s="457"/>
      <c r="G1714" s="457"/>
      <c r="H1714" s="457"/>
      <c r="I1714" s="161"/>
    </row>
    <row r="1715" spans="1:9" ht="12.95" customHeight="1" x14ac:dyDescent="0.25">
      <c r="A1715" s="450"/>
      <c r="B1715" s="451"/>
      <c r="C1715" s="119" t="s">
        <v>1059</v>
      </c>
      <c r="D1715" s="119" t="s">
        <v>1024</v>
      </c>
      <c r="E1715" s="119" t="s">
        <v>984</v>
      </c>
      <c r="F1715" s="162"/>
      <c r="G1715" s="162"/>
      <c r="H1715" s="162"/>
      <c r="I1715" s="161"/>
    </row>
    <row r="1716" spans="1:9" ht="18.95" customHeight="1" x14ac:dyDescent="0.25">
      <c r="A1716" s="163" t="s">
        <v>1456</v>
      </c>
      <c r="B1716" s="120" t="s">
        <v>1200</v>
      </c>
      <c r="C1716" s="227">
        <v>19.8</v>
      </c>
      <c r="D1716" s="227">
        <v>2.5</v>
      </c>
      <c r="E1716" s="228">
        <f>ROUND(D1716*C1716,2)</f>
        <v>49.5</v>
      </c>
      <c r="F1716" s="162"/>
      <c r="G1716" s="162"/>
      <c r="H1716" s="162"/>
      <c r="I1716" s="161"/>
    </row>
    <row r="1717" spans="1:9" ht="18.95" customHeight="1" x14ac:dyDescent="0.25">
      <c r="A1717" s="163" t="s">
        <v>1457</v>
      </c>
      <c r="B1717" s="120" t="s">
        <v>1382</v>
      </c>
      <c r="C1717" s="227">
        <v>1.05</v>
      </c>
      <c r="D1717" s="227">
        <v>2.38</v>
      </c>
      <c r="E1717" s="228">
        <f>ROUND(-D1717*C1717,2)</f>
        <v>-2.5</v>
      </c>
      <c r="F1717" s="162"/>
      <c r="G1717" s="162"/>
      <c r="H1717" s="162"/>
      <c r="I1717" s="161"/>
    </row>
    <row r="1718" spans="1:9" ht="18.95" customHeight="1" x14ac:dyDescent="0.25">
      <c r="A1718" s="163" t="s">
        <v>1458</v>
      </c>
      <c r="B1718" s="120" t="s">
        <v>1382</v>
      </c>
      <c r="C1718" s="227">
        <v>0.92</v>
      </c>
      <c r="D1718" s="227">
        <v>2.04</v>
      </c>
      <c r="E1718" s="228">
        <f>ROUND(-D1718*C1718,2)</f>
        <v>-1.88</v>
      </c>
      <c r="F1718" s="162"/>
      <c r="G1718" s="162"/>
      <c r="H1718" s="162"/>
      <c r="I1718" s="161"/>
    </row>
    <row r="1719" spans="1:9" ht="18.95" customHeight="1" x14ac:dyDescent="0.25">
      <c r="A1719" s="163" t="s">
        <v>1459</v>
      </c>
      <c r="B1719" s="120" t="s">
        <v>1384</v>
      </c>
      <c r="C1719" s="227">
        <v>1.05</v>
      </c>
      <c r="D1719" s="227">
        <v>2.2000000000000002</v>
      </c>
      <c r="E1719" s="228">
        <f>ROUND(-D1719*C1719*2,2)</f>
        <v>-4.62</v>
      </c>
      <c r="F1719" s="162"/>
      <c r="G1719" s="162"/>
      <c r="H1719" s="162"/>
      <c r="I1719" s="161"/>
    </row>
    <row r="1720" spans="1:9" ht="15" customHeight="1" x14ac:dyDescent="0.25">
      <c r="A1720" s="163" t="s">
        <v>1460</v>
      </c>
      <c r="B1720" s="120" t="s">
        <v>1382</v>
      </c>
      <c r="C1720" s="227">
        <v>1.8</v>
      </c>
      <c r="D1720" s="227">
        <v>2.1</v>
      </c>
      <c r="E1720" s="228">
        <f>ROUND(-D1720*C1720,2)</f>
        <v>-3.78</v>
      </c>
      <c r="F1720" s="162"/>
      <c r="G1720" s="162"/>
      <c r="H1720" s="162"/>
      <c r="I1720" s="161"/>
    </row>
    <row r="1721" spans="1:9" ht="9.9499999999999993" customHeight="1" x14ac:dyDescent="0.25">
      <c r="A1721" s="164"/>
      <c r="B1721" s="121"/>
      <c r="C1721" s="122"/>
      <c r="D1721" s="122"/>
      <c r="E1721" s="123">
        <f>ROUND(SUM(E1716:E1720),2)</f>
        <v>36.72</v>
      </c>
      <c r="F1721" s="162"/>
      <c r="G1721" s="162"/>
      <c r="H1721" s="162"/>
      <c r="I1721" s="161"/>
    </row>
    <row r="1722" spans="1:9" ht="12" customHeight="1" x14ac:dyDescent="0.25">
      <c r="A1722" s="452"/>
      <c r="B1722" s="453"/>
      <c r="C1722" s="453"/>
      <c r="D1722" s="162"/>
      <c r="E1722" s="162"/>
      <c r="F1722" s="162"/>
      <c r="G1722" s="162"/>
      <c r="H1722" s="162"/>
      <c r="I1722" s="161"/>
    </row>
    <row r="1723" spans="1:9" ht="9.9499999999999993" customHeight="1" x14ac:dyDescent="0.25">
      <c r="A1723" s="165"/>
      <c r="B1723" s="162"/>
      <c r="C1723" s="162"/>
      <c r="D1723" s="458" t="str">
        <f>"TOTAL DA MEMÓRIA DE CÁLCULO: "&amp;TEXT(ROUND(SUM(E1721),2),"0,00")</f>
        <v>TOTAL DA MEMÓRIA DE CÁLCULO: 36,72</v>
      </c>
      <c r="E1723" s="458"/>
      <c r="F1723" s="458"/>
      <c r="G1723" s="458"/>
      <c r="H1723" s="458"/>
      <c r="I1723" s="161"/>
    </row>
    <row r="1724" spans="1:9" ht="30.95" customHeight="1" x14ac:dyDescent="0.25">
      <c r="A1724" s="452"/>
      <c r="B1724" s="453"/>
      <c r="C1724" s="453"/>
      <c r="D1724" s="453"/>
      <c r="E1724" s="162"/>
      <c r="F1724" s="162"/>
      <c r="G1724" s="162"/>
      <c r="H1724" s="162"/>
      <c r="I1724" s="161"/>
    </row>
    <row r="1725" spans="1:9" ht="15" customHeight="1" x14ac:dyDescent="0.25">
      <c r="A1725" s="456" t="s">
        <v>1461</v>
      </c>
      <c r="B1725" s="457"/>
      <c r="C1725" s="457"/>
      <c r="D1725" s="457"/>
      <c r="E1725" s="457"/>
      <c r="F1725" s="457"/>
      <c r="G1725" s="457"/>
      <c r="H1725" s="457"/>
      <c r="I1725" s="161"/>
    </row>
    <row r="1726" spans="1:9" ht="12.95" customHeight="1" x14ac:dyDescent="0.25">
      <c r="A1726" s="450"/>
      <c r="B1726" s="451"/>
      <c r="C1726" s="119" t="s">
        <v>1059</v>
      </c>
      <c r="D1726" s="119" t="s">
        <v>1024</v>
      </c>
      <c r="E1726" s="119" t="s">
        <v>984</v>
      </c>
      <c r="F1726" s="162"/>
      <c r="G1726" s="162"/>
      <c r="H1726" s="162"/>
      <c r="I1726" s="161"/>
    </row>
    <row r="1727" spans="1:9" ht="18.95" customHeight="1" x14ac:dyDescent="0.25">
      <c r="A1727" s="163" t="s">
        <v>1456</v>
      </c>
      <c r="B1727" s="120" t="s">
        <v>1200</v>
      </c>
      <c r="C1727" s="227">
        <v>19.8</v>
      </c>
      <c r="D1727" s="227">
        <v>2.5</v>
      </c>
      <c r="E1727" s="228">
        <f>ROUND(D1727*C1727,2)</f>
        <v>49.5</v>
      </c>
      <c r="F1727" s="162"/>
      <c r="G1727" s="162"/>
      <c r="H1727" s="162"/>
      <c r="I1727" s="161"/>
    </row>
    <row r="1728" spans="1:9" ht="18.95" customHeight="1" x14ac:dyDescent="0.25">
      <c r="A1728" s="163" t="s">
        <v>1457</v>
      </c>
      <c r="B1728" s="120" t="s">
        <v>1382</v>
      </c>
      <c r="C1728" s="227">
        <v>1.05</v>
      </c>
      <c r="D1728" s="227">
        <v>2.38</v>
      </c>
      <c r="E1728" s="228">
        <f>ROUND(-D1728*C1728,2)</f>
        <v>-2.5</v>
      </c>
      <c r="F1728" s="162"/>
      <c r="G1728" s="162"/>
      <c r="H1728" s="162"/>
      <c r="I1728" s="161"/>
    </row>
    <row r="1729" spans="1:9" ht="18.95" customHeight="1" x14ac:dyDescent="0.25">
      <c r="A1729" s="163" t="s">
        <v>1458</v>
      </c>
      <c r="B1729" s="120" t="s">
        <v>1382</v>
      </c>
      <c r="C1729" s="227">
        <v>0.92</v>
      </c>
      <c r="D1729" s="227">
        <v>2.04</v>
      </c>
      <c r="E1729" s="228">
        <f>ROUND(-D1729*C1729,2)</f>
        <v>-1.88</v>
      </c>
      <c r="F1729" s="162"/>
      <c r="G1729" s="162"/>
      <c r="H1729" s="162"/>
      <c r="I1729" s="161"/>
    </row>
    <row r="1730" spans="1:9" ht="18.95" customHeight="1" x14ac:dyDescent="0.25">
      <c r="A1730" s="163" t="s">
        <v>1459</v>
      </c>
      <c r="B1730" s="120" t="s">
        <v>1384</v>
      </c>
      <c r="C1730" s="227">
        <v>1.05</v>
      </c>
      <c r="D1730" s="227">
        <v>2.2000000000000002</v>
      </c>
      <c r="E1730" s="228">
        <f>ROUND(-D1730*C1730*2,2)</f>
        <v>-4.62</v>
      </c>
      <c r="F1730" s="162"/>
      <c r="G1730" s="162"/>
      <c r="H1730" s="162"/>
      <c r="I1730" s="161"/>
    </row>
    <row r="1731" spans="1:9" ht="15" customHeight="1" x14ac:dyDescent="0.25">
      <c r="A1731" s="163" t="s">
        <v>1460</v>
      </c>
      <c r="B1731" s="120" t="s">
        <v>1382</v>
      </c>
      <c r="C1731" s="227">
        <v>1.8</v>
      </c>
      <c r="D1731" s="227">
        <v>2.1</v>
      </c>
      <c r="E1731" s="228">
        <f>ROUND(-D1731*C1731,2)</f>
        <v>-3.78</v>
      </c>
      <c r="F1731" s="162"/>
      <c r="G1731" s="162"/>
      <c r="H1731" s="162"/>
      <c r="I1731" s="161"/>
    </row>
    <row r="1732" spans="1:9" ht="9.9499999999999993" customHeight="1" x14ac:dyDescent="0.25">
      <c r="A1732" s="164"/>
      <c r="B1732" s="121"/>
      <c r="C1732" s="122"/>
      <c r="D1732" s="122"/>
      <c r="E1732" s="123">
        <f>ROUND(SUM(E1727:E1731),2)</f>
        <v>36.72</v>
      </c>
      <c r="F1732" s="162"/>
      <c r="G1732" s="162"/>
      <c r="H1732" s="162"/>
      <c r="I1732" s="161"/>
    </row>
    <row r="1733" spans="1:9" ht="12" customHeight="1" x14ac:dyDescent="0.25">
      <c r="A1733" s="452"/>
      <c r="B1733" s="453"/>
      <c r="C1733" s="453"/>
      <c r="D1733" s="162"/>
      <c r="E1733" s="162"/>
      <c r="F1733" s="162"/>
      <c r="G1733" s="162"/>
      <c r="H1733" s="162"/>
      <c r="I1733" s="161"/>
    </row>
    <row r="1734" spans="1:9" ht="9.9499999999999993" customHeight="1" x14ac:dyDescent="0.25">
      <c r="A1734" s="165"/>
      <c r="B1734" s="162"/>
      <c r="C1734" s="162"/>
      <c r="D1734" s="458" t="str">
        <f>"TOTAL DA MEMÓRIA DE CÁLCULO: "&amp;TEXT(ROUND(SUM(E1732),2),"0,00")</f>
        <v>TOTAL DA MEMÓRIA DE CÁLCULO: 36,72</v>
      </c>
      <c r="E1734" s="458"/>
      <c r="F1734" s="458"/>
      <c r="G1734" s="458"/>
      <c r="H1734" s="458"/>
      <c r="I1734" s="161"/>
    </row>
    <row r="1735" spans="1:9" ht="30.95" customHeight="1" x14ac:dyDescent="0.25">
      <c r="A1735" s="452"/>
      <c r="B1735" s="453"/>
      <c r="C1735" s="453"/>
      <c r="D1735" s="453"/>
      <c r="E1735" s="162"/>
      <c r="F1735" s="162"/>
      <c r="G1735" s="162"/>
      <c r="H1735" s="162"/>
      <c r="I1735" s="161"/>
    </row>
    <row r="1736" spans="1:9" ht="15" customHeight="1" x14ac:dyDescent="0.25">
      <c r="A1736" s="456" t="s">
        <v>1462</v>
      </c>
      <c r="B1736" s="457"/>
      <c r="C1736" s="457"/>
      <c r="D1736" s="457"/>
      <c r="E1736" s="457"/>
      <c r="F1736" s="457"/>
      <c r="G1736" s="457"/>
      <c r="H1736" s="457"/>
      <c r="I1736" s="161"/>
    </row>
    <row r="1737" spans="1:9" ht="12.95" customHeight="1" x14ac:dyDescent="0.25">
      <c r="A1737" s="450"/>
      <c r="B1737" s="451"/>
      <c r="C1737" s="119" t="s">
        <v>1059</v>
      </c>
      <c r="D1737" s="119" t="s">
        <v>1024</v>
      </c>
      <c r="E1737" s="119" t="s">
        <v>984</v>
      </c>
      <c r="F1737" s="162"/>
      <c r="G1737" s="162"/>
      <c r="H1737" s="162"/>
      <c r="I1737" s="161"/>
    </row>
    <row r="1738" spans="1:9" ht="18.95" customHeight="1" x14ac:dyDescent="0.25">
      <c r="A1738" s="163" t="s">
        <v>1456</v>
      </c>
      <c r="B1738" s="120" t="s">
        <v>1200</v>
      </c>
      <c r="C1738" s="227">
        <v>19.8</v>
      </c>
      <c r="D1738" s="227">
        <v>2.5</v>
      </c>
      <c r="E1738" s="228">
        <f>ROUND(D1738*C1738,2)</f>
        <v>49.5</v>
      </c>
      <c r="F1738" s="162"/>
      <c r="G1738" s="162"/>
      <c r="H1738" s="162"/>
      <c r="I1738" s="161"/>
    </row>
    <row r="1739" spans="1:9" ht="18.95" customHeight="1" x14ac:dyDescent="0.25">
      <c r="A1739" s="163" t="s">
        <v>1457</v>
      </c>
      <c r="B1739" s="120" t="s">
        <v>1382</v>
      </c>
      <c r="C1739" s="227">
        <v>1.05</v>
      </c>
      <c r="D1739" s="227">
        <v>2.38</v>
      </c>
      <c r="E1739" s="228">
        <f>ROUND(-D1739*C1739,2)</f>
        <v>-2.5</v>
      </c>
      <c r="F1739" s="162"/>
      <c r="G1739" s="162"/>
      <c r="H1739" s="162"/>
      <c r="I1739" s="161"/>
    </row>
    <row r="1740" spans="1:9" ht="18.95" customHeight="1" x14ac:dyDescent="0.25">
      <c r="A1740" s="163" t="s">
        <v>1458</v>
      </c>
      <c r="B1740" s="120" t="s">
        <v>1382</v>
      </c>
      <c r="C1740" s="227">
        <v>0.92</v>
      </c>
      <c r="D1740" s="227">
        <v>2.04</v>
      </c>
      <c r="E1740" s="228">
        <f>ROUND(-D1740*C1740,2)</f>
        <v>-1.88</v>
      </c>
      <c r="F1740" s="162"/>
      <c r="G1740" s="162"/>
      <c r="H1740" s="162"/>
      <c r="I1740" s="161"/>
    </row>
    <row r="1741" spans="1:9" ht="18.95" customHeight="1" x14ac:dyDescent="0.25">
      <c r="A1741" s="163" t="s">
        <v>1459</v>
      </c>
      <c r="B1741" s="120" t="s">
        <v>1384</v>
      </c>
      <c r="C1741" s="227">
        <v>1.05</v>
      </c>
      <c r="D1741" s="227">
        <v>2.2000000000000002</v>
      </c>
      <c r="E1741" s="228">
        <f>ROUND(-D1741*C1741*2,2)</f>
        <v>-4.62</v>
      </c>
      <c r="F1741" s="162"/>
      <c r="G1741" s="162"/>
      <c r="H1741" s="162"/>
      <c r="I1741" s="161"/>
    </row>
    <row r="1742" spans="1:9" ht="15" customHeight="1" x14ac:dyDescent="0.25">
      <c r="A1742" s="163" t="s">
        <v>1460</v>
      </c>
      <c r="B1742" s="120" t="s">
        <v>1382</v>
      </c>
      <c r="C1742" s="227">
        <v>1.8</v>
      </c>
      <c r="D1742" s="227">
        <v>2.1</v>
      </c>
      <c r="E1742" s="228">
        <f>ROUND(-D1742*C1742,2)</f>
        <v>-3.78</v>
      </c>
      <c r="F1742" s="162"/>
      <c r="G1742" s="162"/>
      <c r="H1742" s="162"/>
      <c r="I1742" s="161"/>
    </row>
    <row r="1743" spans="1:9" ht="9.9499999999999993" customHeight="1" x14ac:dyDescent="0.25">
      <c r="A1743" s="164"/>
      <c r="B1743" s="121"/>
      <c r="C1743" s="122"/>
      <c r="D1743" s="122"/>
      <c r="E1743" s="123">
        <f>ROUND(SUM(E1738:E1742),2)</f>
        <v>36.72</v>
      </c>
      <c r="F1743" s="162"/>
      <c r="G1743" s="162"/>
      <c r="H1743" s="162"/>
      <c r="I1743" s="161"/>
    </row>
    <row r="1744" spans="1:9" ht="12" customHeight="1" x14ac:dyDescent="0.25">
      <c r="A1744" s="452"/>
      <c r="B1744" s="453"/>
      <c r="C1744" s="453"/>
      <c r="D1744" s="162"/>
      <c r="E1744" s="162"/>
      <c r="F1744" s="162"/>
      <c r="G1744" s="162"/>
      <c r="H1744" s="162"/>
      <c r="I1744" s="161"/>
    </row>
    <row r="1745" spans="1:9" ht="9.9499999999999993" customHeight="1" x14ac:dyDescent="0.25">
      <c r="A1745" s="165"/>
      <c r="B1745" s="162"/>
      <c r="C1745" s="162"/>
      <c r="D1745" s="458" t="str">
        <f>"TOTAL DA MEMÓRIA DE CÁLCULO: "&amp;TEXT(ROUND(SUM(E1743),2),"0,00")</f>
        <v>TOTAL DA MEMÓRIA DE CÁLCULO: 36,72</v>
      </c>
      <c r="E1745" s="458"/>
      <c r="F1745" s="458"/>
      <c r="G1745" s="458"/>
      <c r="H1745" s="458"/>
      <c r="I1745" s="161"/>
    </row>
    <row r="1746" spans="1:9" ht="30.95" customHeight="1" x14ac:dyDescent="0.25">
      <c r="A1746" s="452"/>
      <c r="B1746" s="453"/>
      <c r="C1746" s="453"/>
      <c r="D1746" s="453"/>
      <c r="E1746" s="162"/>
      <c r="F1746" s="162"/>
      <c r="G1746" s="162"/>
      <c r="H1746" s="162"/>
      <c r="I1746" s="161"/>
    </row>
    <row r="1747" spans="1:9" ht="15" customHeight="1" x14ac:dyDescent="0.25">
      <c r="A1747" s="456" t="s">
        <v>1463</v>
      </c>
      <c r="B1747" s="457"/>
      <c r="C1747" s="457"/>
      <c r="D1747" s="457"/>
      <c r="E1747" s="457"/>
      <c r="F1747" s="457"/>
      <c r="G1747" s="457"/>
      <c r="H1747" s="457"/>
      <c r="I1747" s="161"/>
    </row>
    <row r="1748" spans="1:9" ht="12.95" customHeight="1" x14ac:dyDescent="0.25">
      <c r="A1748" s="450"/>
      <c r="B1748" s="451"/>
      <c r="C1748" s="119" t="s">
        <v>1059</v>
      </c>
      <c r="D1748" s="119" t="s">
        <v>1024</v>
      </c>
      <c r="E1748" s="119" t="s">
        <v>984</v>
      </c>
      <c r="F1748" s="162"/>
      <c r="G1748" s="162"/>
      <c r="H1748" s="162"/>
      <c r="I1748" s="161"/>
    </row>
    <row r="1749" spans="1:9" ht="18.95" customHeight="1" x14ac:dyDescent="0.25">
      <c r="A1749" s="163" t="s">
        <v>1456</v>
      </c>
      <c r="B1749" s="120" t="s">
        <v>1200</v>
      </c>
      <c r="C1749" s="227">
        <v>19.8</v>
      </c>
      <c r="D1749" s="227">
        <v>2.5</v>
      </c>
      <c r="E1749" s="228">
        <f>ROUND(D1749*C1749,2)</f>
        <v>49.5</v>
      </c>
      <c r="F1749" s="162"/>
      <c r="G1749" s="162"/>
      <c r="H1749" s="162"/>
      <c r="I1749" s="161"/>
    </row>
    <row r="1750" spans="1:9" ht="18.95" customHeight="1" x14ac:dyDescent="0.25">
      <c r="A1750" s="163" t="s">
        <v>1457</v>
      </c>
      <c r="B1750" s="120" t="s">
        <v>1382</v>
      </c>
      <c r="C1750" s="227">
        <v>1.05</v>
      </c>
      <c r="D1750" s="227">
        <v>2.38</v>
      </c>
      <c r="E1750" s="228">
        <f>ROUND(-D1750*C1750,2)</f>
        <v>-2.5</v>
      </c>
      <c r="F1750" s="162"/>
      <c r="G1750" s="162"/>
      <c r="H1750" s="162"/>
      <c r="I1750" s="161"/>
    </row>
    <row r="1751" spans="1:9" ht="18.95" customHeight="1" x14ac:dyDescent="0.25">
      <c r="A1751" s="163" t="s">
        <v>1458</v>
      </c>
      <c r="B1751" s="120" t="s">
        <v>1382</v>
      </c>
      <c r="C1751" s="227">
        <v>0.92</v>
      </c>
      <c r="D1751" s="227">
        <v>2.04</v>
      </c>
      <c r="E1751" s="228">
        <f>ROUND(-D1751*C1751,2)</f>
        <v>-1.88</v>
      </c>
      <c r="F1751" s="162"/>
      <c r="G1751" s="162"/>
      <c r="H1751" s="162"/>
      <c r="I1751" s="161"/>
    </row>
    <row r="1752" spans="1:9" ht="18.95" customHeight="1" x14ac:dyDescent="0.25">
      <c r="A1752" s="163" t="s">
        <v>1459</v>
      </c>
      <c r="B1752" s="120" t="s">
        <v>1384</v>
      </c>
      <c r="C1752" s="227">
        <v>1.05</v>
      </c>
      <c r="D1752" s="227">
        <v>2.2000000000000002</v>
      </c>
      <c r="E1752" s="228">
        <f>ROUND(-D1752*C1752*2,2)</f>
        <v>-4.62</v>
      </c>
      <c r="F1752" s="162"/>
      <c r="G1752" s="162"/>
      <c r="H1752" s="162"/>
      <c r="I1752" s="161"/>
    </row>
    <row r="1753" spans="1:9" ht="15" customHeight="1" x14ac:dyDescent="0.25">
      <c r="A1753" s="163" t="s">
        <v>1460</v>
      </c>
      <c r="B1753" s="120" t="s">
        <v>1382</v>
      </c>
      <c r="C1753" s="227">
        <v>1.8</v>
      </c>
      <c r="D1753" s="227">
        <v>2.1</v>
      </c>
      <c r="E1753" s="228">
        <f>ROUND(-D1753*C1753,2)</f>
        <v>-3.78</v>
      </c>
      <c r="F1753" s="162"/>
      <c r="G1753" s="162"/>
      <c r="H1753" s="162"/>
      <c r="I1753" s="161"/>
    </row>
    <row r="1754" spans="1:9" ht="9.9499999999999993" customHeight="1" x14ac:dyDescent="0.25">
      <c r="A1754" s="164"/>
      <c r="B1754" s="121"/>
      <c r="C1754" s="122"/>
      <c r="D1754" s="122"/>
      <c r="E1754" s="123">
        <f>ROUND(SUM(E1749:E1753),2)</f>
        <v>36.72</v>
      </c>
      <c r="F1754" s="162"/>
      <c r="G1754" s="162"/>
      <c r="H1754" s="162"/>
      <c r="I1754" s="161"/>
    </row>
    <row r="1755" spans="1:9" ht="12" customHeight="1" x14ac:dyDescent="0.25">
      <c r="A1755" s="452"/>
      <c r="B1755" s="453"/>
      <c r="C1755" s="453"/>
      <c r="D1755" s="162"/>
      <c r="E1755" s="162"/>
      <c r="F1755" s="162"/>
      <c r="G1755" s="162"/>
      <c r="H1755" s="162"/>
      <c r="I1755" s="161"/>
    </row>
    <row r="1756" spans="1:9" ht="9.9499999999999993" customHeight="1" x14ac:dyDescent="0.25">
      <c r="A1756" s="165"/>
      <c r="B1756" s="162"/>
      <c r="C1756" s="162"/>
      <c r="D1756" s="458" t="str">
        <f>"TOTAL DA MEMÓRIA DE CÁLCULO: "&amp;TEXT(ROUND(SUM(E1754),2),"0,00")</f>
        <v>TOTAL DA MEMÓRIA DE CÁLCULO: 36,72</v>
      </c>
      <c r="E1756" s="458"/>
      <c r="F1756" s="458"/>
      <c r="G1756" s="458"/>
      <c r="H1756" s="458"/>
      <c r="I1756" s="161"/>
    </row>
    <row r="1757" spans="1:9" ht="42.95" customHeight="1" x14ac:dyDescent="0.25">
      <c r="A1757" s="452"/>
      <c r="B1757" s="453"/>
      <c r="C1757" s="453"/>
      <c r="D1757" s="453"/>
      <c r="E1757" s="162"/>
      <c r="F1757" s="162"/>
      <c r="G1757" s="162"/>
      <c r="H1757" s="162"/>
      <c r="I1757" s="161"/>
    </row>
    <row r="1758" spans="1:9" ht="15" customHeight="1" x14ac:dyDescent="0.25">
      <c r="A1758" s="456" t="s">
        <v>1464</v>
      </c>
      <c r="B1758" s="457"/>
      <c r="C1758" s="457"/>
      <c r="D1758" s="457"/>
      <c r="E1758" s="457"/>
      <c r="F1758" s="457"/>
      <c r="G1758" s="457"/>
      <c r="H1758" s="457"/>
      <c r="I1758" s="161"/>
    </row>
    <row r="1759" spans="1:9" ht="12.95" customHeight="1" x14ac:dyDescent="0.25">
      <c r="A1759" s="450"/>
      <c r="B1759" s="451"/>
      <c r="C1759" s="119"/>
      <c r="D1759" s="119" t="s">
        <v>984</v>
      </c>
      <c r="E1759" s="162"/>
      <c r="F1759" s="162"/>
      <c r="G1759" s="162"/>
      <c r="H1759" s="162"/>
      <c r="I1759" s="161"/>
    </row>
    <row r="1760" spans="1:9" ht="15" customHeight="1" x14ac:dyDescent="0.25">
      <c r="A1760" s="163" t="s">
        <v>1359</v>
      </c>
      <c r="B1760" s="120" t="s">
        <v>1465</v>
      </c>
      <c r="C1760" s="227">
        <v>0.92</v>
      </c>
      <c r="D1760" s="228">
        <f>ROUND(36.72*0.025,2)</f>
        <v>0.92</v>
      </c>
      <c r="E1760" s="162"/>
      <c r="F1760" s="162"/>
      <c r="G1760" s="162"/>
      <c r="H1760" s="162"/>
      <c r="I1760" s="161"/>
    </row>
    <row r="1761" spans="1:9" ht="9.9499999999999993" customHeight="1" x14ac:dyDescent="0.25">
      <c r="A1761" s="164"/>
      <c r="B1761" s="121"/>
      <c r="C1761" s="122"/>
      <c r="D1761" s="123">
        <f>ROUND(SUM(D1760:D1760),2)</f>
        <v>0.92</v>
      </c>
      <c r="E1761" s="162"/>
      <c r="F1761" s="162"/>
      <c r="G1761" s="162"/>
      <c r="H1761" s="162"/>
      <c r="I1761" s="161"/>
    </row>
    <row r="1762" spans="1:9" ht="12" customHeight="1" x14ac:dyDescent="0.25">
      <c r="A1762" s="452"/>
      <c r="B1762" s="453"/>
      <c r="C1762" s="453"/>
      <c r="D1762" s="162"/>
      <c r="E1762" s="162"/>
      <c r="F1762" s="162"/>
      <c r="G1762" s="162"/>
      <c r="H1762" s="162"/>
      <c r="I1762" s="161"/>
    </row>
    <row r="1763" spans="1:9" ht="9.9499999999999993" customHeight="1" x14ac:dyDescent="0.25">
      <c r="A1763" s="165"/>
      <c r="B1763" s="162"/>
      <c r="C1763" s="162"/>
      <c r="D1763" s="458" t="str">
        <f>"TOTAL DA MEMÓRIA DE CÁLCULO: "&amp;TEXT(ROUND(SUM(D1761),2),"0,00")</f>
        <v>TOTAL DA MEMÓRIA DE CÁLCULO: 0,92</v>
      </c>
      <c r="E1763" s="458"/>
      <c r="F1763" s="458"/>
      <c r="G1763" s="458"/>
      <c r="H1763" s="458"/>
      <c r="I1763" s="161"/>
    </row>
    <row r="1764" spans="1:9" ht="20.100000000000001" customHeight="1" x14ac:dyDescent="0.25">
      <c r="A1764" s="452"/>
      <c r="B1764" s="453"/>
      <c r="C1764" s="453"/>
      <c r="D1764" s="453"/>
      <c r="E1764" s="162"/>
      <c r="F1764" s="162"/>
      <c r="G1764" s="162"/>
      <c r="H1764" s="162"/>
      <c r="I1764" s="161"/>
    </row>
    <row r="1765" spans="1:9" ht="9.9499999999999993" customHeight="1" x14ac:dyDescent="0.25">
      <c r="A1765" s="456" t="s">
        <v>1466</v>
      </c>
      <c r="B1765" s="457"/>
      <c r="C1765" s="457"/>
      <c r="D1765" s="457"/>
      <c r="E1765" s="457"/>
      <c r="F1765" s="457"/>
      <c r="G1765" s="457"/>
      <c r="H1765" s="457"/>
      <c r="I1765" s="161"/>
    </row>
    <row r="1766" spans="1:9" ht="20.100000000000001" customHeight="1" x14ac:dyDescent="0.25">
      <c r="A1766" s="452"/>
      <c r="B1766" s="453"/>
      <c r="C1766" s="453"/>
      <c r="D1766" s="162"/>
      <c r="E1766" s="162"/>
      <c r="F1766" s="162"/>
      <c r="G1766" s="162"/>
      <c r="H1766" s="162"/>
      <c r="I1766" s="161"/>
    </row>
    <row r="1767" spans="1:9" ht="15" customHeight="1" x14ac:dyDescent="0.25">
      <c r="A1767" s="456" t="s">
        <v>1467</v>
      </c>
      <c r="B1767" s="457"/>
      <c r="C1767" s="457"/>
      <c r="D1767" s="457"/>
      <c r="E1767" s="457"/>
      <c r="F1767" s="457"/>
      <c r="G1767" s="457"/>
      <c r="H1767" s="457"/>
      <c r="I1767" s="161"/>
    </row>
    <row r="1768" spans="1:9" ht="12.95" customHeight="1" x14ac:dyDescent="0.25">
      <c r="A1768" s="450"/>
      <c r="B1768" s="451"/>
      <c r="C1768" s="119" t="s">
        <v>1059</v>
      </c>
      <c r="D1768" s="119" t="s">
        <v>1024</v>
      </c>
      <c r="E1768" s="119" t="s">
        <v>984</v>
      </c>
      <c r="F1768" s="162"/>
      <c r="G1768" s="162"/>
      <c r="H1768" s="162"/>
      <c r="I1768" s="161"/>
    </row>
    <row r="1769" spans="1:9" ht="12.95" customHeight="1" x14ac:dyDescent="0.25">
      <c r="A1769" s="163" t="s">
        <v>1012</v>
      </c>
      <c r="B1769" s="120" t="s">
        <v>1200</v>
      </c>
      <c r="C1769" s="227">
        <v>15.8</v>
      </c>
      <c r="D1769" s="227">
        <v>4.1100000000000003</v>
      </c>
      <c r="E1769" s="228">
        <f>ROUND(D1769*C1769,2)</f>
        <v>64.94</v>
      </c>
      <c r="F1769" s="162"/>
      <c r="G1769" s="162"/>
      <c r="H1769" s="162"/>
      <c r="I1769" s="161"/>
    </row>
    <row r="1770" spans="1:9" ht="12.95" customHeight="1" x14ac:dyDescent="0.25">
      <c r="A1770" s="163" t="s">
        <v>1468</v>
      </c>
      <c r="B1770" s="120" t="s">
        <v>1469</v>
      </c>
      <c r="C1770" s="227">
        <v>0.98</v>
      </c>
      <c r="D1770" s="227">
        <v>1.92</v>
      </c>
      <c r="E1770" s="228">
        <f>ROUND(-D1770*C1770*3,2)</f>
        <v>-5.64</v>
      </c>
      <c r="F1770" s="162"/>
      <c r="G1770" s="162"/>
      <c r="H1770" s="162"/>
      <c r="I1770" s="161"/>
    </row>
    <row r="1771" spans="1:9" ht="12.95" customHeight="1" x14ac:dyDescent="0.25">
      <c r="A1771" s="163" t="s">
        <v>1470</v>
      </c>
      <c r="B1771" s="120" t="s">
        <v>1382</v>
      </c>
      <c r="C1771" s="227">
        <v>1.08</v>
      </c>
      <c r="D1771" s="227">
        <v>2.5299999999999998</v>
      </c>
      <c r="E1771" s="228">
        <f>ROUND(-D1771*C1771,2)</f>
        <v>-2.73</v>
      </c>
      <c r="F1771" s="162"/>
      <c r="G1771" s="162"/>
      <c r="H1771" s="162"/>
      <c r="I1771" s="161"/>
    </row>
    <row r="1772" spans="1:9" ht="15" customHeight="1" x14ac:dyDescent="0.25">
      <c r="A1772" s="163" t="s">
        <v>1341</v>
      </c>
      <c r="B1772" s="120" t="s">
        <v>1382</v>
      </c>
      <c r="C1772" s="227">
        <v>1.2</v>
      </c>
      <c r="D1772" s="227">
        <v>2.0099999999999998</v>
      </c>
      <c r="E1772" s="228">
        <f>ROUND(-D1772*C1772,2)</f>
        <v>-2.41</v>
      </c>
      <c r="F1772" s="162"/>
      <c r="G1772" s="162"/>
      <c r="H1772" s="162"/>
      <c r="I1772" s="161"/>
    </row>
    <row r="1773" spans="1:9" ht="9.9499999999999993" customHeight="1" x14ac:dyDescent="0.25">
      <c r="A1773" s="164"/>
      <c r="B1773" s="121"/>
      <c r="C1773" s="122"/>
      <c r="D1773" s="122"/>
      <c r="E1773" s="123">
        <f>ROUND(SUM(E1769:E1772),2)</f>
        <v>54.16</v>
      </c>
      <c r="F1773" s="162"/>
      <c r="G1773" s="162"/>
      <c r="H1773" s="162"/>
      <c r="I1773" s="161"/>
    </row>
    <row r="1774" spans="1:9" ht="12" customHeight="1" x14ac:dyDescent="0.25">
      <c r="A1774" s="452"/>
      <c r="B1774" s="453"/>
      <c r="C1774" s="453"/>
      <c r="D1774" s="162"/>
      <c r="E1774" s="162"/>
      <c r="F1774" s="162"/>
      <c r="G1774" s="162"/>
      <c r="H1774" s="162"/>
      <c r="I1774" s="161"/>
    </row>
    <row r="1775" spans="1:9" ht="9.9499999999999993" customHeight="1" x14ac:dyDescent="0.25">
      <c r="A1775" s="165"/>
      <c r="B1775" s="162"/>
      <c r="C1775" s="162"/>
      <c r="D1775" s="458" t="str">
        <f>"TOTAL DA MEMÓRIA DE CÁLCULO: "&amp;TEXT(ROUND(SUM(E1773),2),"0,00")</f>
        <v>TOTAL DA MEMÓRIA DE CÁLCULO: 54,16</v>
      </c>
      <c r="E1775" s="458"/>
      <c r="F1775" s="458"/>
      <c r="G1775" s="458"/>
      <c r="H1775" s="458"/>
      <c r="I1775" s="161"/>
    </row>
    <row r="1776" spans="1:9" ht="30.95" customHeight="1" x14ac:dyDescent="0.25">
      <c r="A1776" s="452"/>
      <c r="B1776" s="453"/>
      <c r="C1776" s="453"/>
      <c r="D1776" s="453"/>
      <c r="E1776" s="162"/>
      <c r="F1776" s="162"/>
      <c r="G1776" s="162"/>
      <c r="H1776" s="162"/>
      <c r="I1776" s="161"/>
    </row>
    <row r="1777" spans="1:9" ht="15" customHeight="1" x14ac:dyDescent="0.25">
      <c r="A1777" s="456" t="s">
        <v>1471</v>
      </c>
      <c r="B1777" s="457"/>
      <c r="C1777" s="457"/>
      <c r="D1777" s="457"/>
      <c r="E1777" s="457"/>
      <c r="F1777" s="457"/>
      <c r="G1777" s="457"/>
      <c r="H1777" s="457"/>
      <c r="I1777" s="161"/>
    </row>
    <row r="1778" spans="1:9" ht="12.95" customHeight="1" x14ac:dyDescent="0.25">
      <c r="A1778" s="450"/>
      <c r="B1778" s="451"/>
      <c r="C1778" s="119" t="s">
        <v>1059</v>
      </c>
      <c r="D1778" s="119" t="s">
        <v>1024</v>
      </c>
      <c r="E1778" s="119" t="s">
        <v>984</v>
      </c>
      <c r="F1778" s="162"/>
      <c r="G1778" s="162"/>
      <c r="H1778" s="162"/>
      <c r="I1778" s="161"/>
    </row>
    <row r="1779" spans="1:9" ht="12.95" customHeight="1" x14ac:dyDescent="0.25">
      <c r="A1779" s="163" t="s">
        <v>1472</v>
      </c>
      <c r="B1779" s="120" t="s">
        <v>1200</v>
      </c>
      <c r="C1779" s="227">
        <v>7.5</v>
      </c>
      <c r="D1779" s="227">
        <v>4.1100000000000003</v>
      </c>
      <c r="E1779" s="228">
        <f>ROUND(D1779*C1779,2)</f>
        <v>30.83</v>
      </c>
      <c r="F1779" s="162"/>
      <c r="G1779" s="162"/>
      <c r="H1779" s="162"/>
      <c r="I1779" s="161"/>
    </row>
    <row r="1780" spans="1:9" ht="15" customHeight="1" x14ac:dyDescent="0.25">
      <c r="A1780" s="163" t="s">
        <v>1468</v>
      </c>
      <c r="B1780" s="120" t="s">
        <v>1469</v>
      </c>
      <c r="C1780" s="227">
        <v>0.98</v>
      </c>
      <c r="D1780" s="227">
        <v>1.92</v>
      </c>
      <c r="E1780" s="228">
        <f>ROUND(-D1780*C1780*3,2)</f>
        <v>-5.64</v>
      </c>
      <c r="F1780" s="162"/>
      <c r="G1780" s="162"/>
      <c r="H1780" s="162"/>
      <c r="I1780" s="161"/>
    </row>
    <row r="1781" spans="1:9" ht="9.9499999999999993" customHeight="1" x14ac:dyDescent="0.25">
      <c r="A1781" s="164"/>
      <c r="B1781" s="121"/>
      <c r="C1781" s="122"/>
      <c r="D1781" s="122"/>
      <c r="E1781" s="123">
        <f>ROUND(SUM(E1779:E1780),2)</f>
        <v>25.19</v>
      </c>
      <c r="F1781" s="162"/>
      <c r="G1781" s="162"/>
      <c r="H1781" s="162"/>
      <c r="I1781" s="161"/>
    </row>
    <row r="1782" spans="1:9" ht="12" customHeight="1" x14ac:dyDescent="0.25">
      <c r="A1782" s="452"/>
      <c r="B1782" s="453"/>
      <c r="C1782" s="453"/>
      <c r="D1782" s="162"/>
      <c r="E1782" s="162"/>
      <c r="F1782" s="162"/>
      <c r="G1782" s="162"/>
      <c r="H1782" s="162"/>
      <c r="I1782" s="161"/>
    </row>
    <row r="1783" spans="1:9" ht="9.9499999999999993" customHeight="1" x14ac:dyDescent="0.25">
      <c r="A1783" s="165"/>
      <c r="B1783" s="162"/>
      <c r="C1783" s="162"/>
      <c r="D1783" s="458" t="str">
        <f>"TOTAL DA MEMÓRIA DE CÁLCULO: "&amp;TEXT(ROUND(SUM(E1781),2),"0,00")</f>
        <v>TOTAL DA MEMÓRIA DE CÁLCULO: 25,19</v>
      </c>
      <c r="E1783" s="458"/>
      <c r="F1783" s="458"/>
      <c r="G1783" s="458"/>
      <c r="H1783" s="458"/>
      <c r="I1783" s="161"/>
    </row>
    <row r="1784" spans="1:9" ht="30.95" customHeight="1" x14ac:dyDescent="0.25">
      <c r="A1784" s="452"/>
      <c r="B1784" s="453"/>
      <c r="C1784" s="453"/>
      <c r="D1784" s="453"/>
      <c r="E1784" s="162"/>
      <c r="F1784" s="162"/>
      <c r="G1784" s="162"/>
      <c r="H1784" s="162"/>
      <c r="I1784" s="161"/>
    </row>
    <row r="1785" spans="1:9" ht="15" customHeight="1" x14ac:dyDescent="0.25">
      <c r="A1785" s="456" t="s">
        <v>1473</v>
      </c>
      <c r="B1785" s="457"/>
      <c r="C1785" s="457"/>
      <c r="D1785" s="457"/>
      <c r="E1785" s="457"/>
      <c r="F1785" s="457"/>
      <c r="G1785" s="457"/>
      <c r="H1785" s="457"/>
      <c r="I1785" s="161"/>
    </row>
    <row r="1786" spans="1:9" ht="12.95" customHeight="1" x14ac:dyDescent="0.25">
      <c r="A1786" s="450"/>
      <c r="B1786" s="451"/>
      <c r="C1786" s="119" t="s">
        <v>1059</v>
      </c>
      <c r="D1786" s="119" t="s">
        <v>1024</v>
      </c>
      <c r="E1786" s="119" t="s">
        <v>984</v>
      </c>
      <c r="F1786" s="162"/>
      <c r="G1786" s="162"/>
      <c r="H1786" s="162"/>
      <c r="I1786" s="161"/>
    </row>
    <row r="1787" spans="1:9" ht="12.95" customHeight="1" x14ac:dyDescent="0.25">
      <c r="A1787" s="163" t="s">
        <v>1012</v>
      </c>
      <c r="B1787" s="120" t="s">
        <v>1200</v>
      </c>
      <c r="C1787" s="227">
        <v>15.8</v>
      </c>
      <c r="D1787" s="227">
        <v>4.1100000000000003</v>
      </c>
      <c r="E1787" s="228">
        <f>ROUND(D1787*C1787,2)</f>
        <v>64.94</v>
      </c>
      <c r="F1787" s="162"/>
      <c r="G1787" s="162"/>
      <c r="H1787" s="162"/>
      <c r="I1787" s="161"/>
    </row>
    <row r="1788" spans="1:9" ht="12.95" customHeight="1" x14ac:dyDescent="0.25">
      <c r="A1788" s="163" t="s">
        <v>1468</v>
      </c>
      <c r="B1788" s="120" t="s">
        <v>1469</v>
      </c>
      <c r="C1788" s="227">
        <v>0.98</v>
      </c>
      <c r="D1788" s="227">
        <v>1.92</v>
      </c>
      <c r="E1788" s="228">
        <f>ROUND(-D1788*C1788*3,2)</f>
        <v>-5.64</v>
      </c>
      <c r="F1788" s="162"/>
      <c r="G1788" s="162"/>
      <c r="H1788" s="162"/>
      <c r="I1788" s="161"/>
    </row>
    <row r="1789" spans="1:9" ht="12.95" customHeight="1" x14ac:dyDescent="0.25">
      <c r="A1789" s="163" t="s">
        <v>1470</v>
      </c>
      <c r="B1789" s="120" t="s">
        <v>1382</v>
      </c>
      <c r="C1789" s="227">
        <v>1.08</v>
      </c>
      <c r="D1789" s="227">
        <v>2.5299999999999998</v>
      </c>
      <c r="E1789" s="228">
        <f>ROUND(-D1789*C1789,2)</f>
        <v>-2.73</v>
      </c>
      <c r="F1789" s="162"/>
      <c r="G1789" s="162"/>
      <c r="H1789" s="162"/>
      <c r="I1789" s="161"/>
    </row>
    <row r="1790" spans="1:9" ht="15" customHeight="1" x14ac:dyDescent="0.25">
      <c r="A1790" s="163" t="s">
        <v>1341</v>
      </c>
      <c r="B1790" s="120" t="s">
        <v>1382</v>
      </c>
      <c r="C1790" s="227">
        <v>1.2</v>
      </c>
      <c r="D1790" s="227">
        <v>2.0099999999999998</v>
      </c>
      <c r="E1790" s="228">
        <f>ROUND(-D1790*C1790,2)</f>
        <v>-2.41</v>
      </c>
      <c r="F1790" s="162"/>
      <c r="G1790" s="162"/>
      <c r="H1790" s="162"/>
      <c r="I1790" s="161"/>
    </row>
    <row r="1791" spans="1:9" ht="9.9499999999999993" customHeight="1" x14ac:dyDescent="0.25">
      <c r="A1791" s="164"/>
      <c r="B1791" s="121"/>
      <c r="C1791" s="122"/>
      <c r="D1791" s="122"/>
      <c r="E1791" s="123">
        <f>ROUND(SUM(E1787:E1790),2)</f>
        <v>54.16</v>
      </c>
      <c r="F1791" s="162"/>
      <c r="G1791" s="162"/>
      <c r="H1791" s="162"/>
      <c r="I1791" s="161"/>
    </row>
    <row r="1792" spans="1:9" ht="12" customHeight="1" x14ac:dyDescent="0.25">
      <c r="A1792" s="452"/>
      <c r="B1792" s="453"/>
      <c r="C1792" s="453"/>
      <c r="D1792" s="162"/>
      <c r="E1792" s="162"/>
      <c r="F1792" s="162"/>
      <c r="G1792" s="162"/>
      <c r="H1792" s="162"/>
      <c r="I1792" s="161"/>
    </row>
    <row r="1793" spans="1:9" ht="9.9499999999999993" customHeight="1" x14ac:dyDescent="0.25">
      <c r="A1793" s="165"/>
      <c r="B1793" s="162"/>
      <c r="C1793" s="162"/>
      <c r="D1793" s="458" t="str">
        <f>"TOTAL DA MEMÓRIA DE CÁLCULO: "&amp;TEXT(ROUND(SUM(E1791),2),"0,00")</f>
        <v>TOTAL DA MEMÓRIA DE CÁLCULO: 54,16</v>
      </c>
      <c r="E1793" s="458"/>
      <c r="F1793" s="458"/>
      <c r="G1793" s="458"/>
      <c r="H1793" s="458"/>
      <c r="I1793" s="161"/>
    </row>
    <row r="1794" spans="1:9" ht="30.95" customHeight="1" x14ac:dyDescent="0.25">
      <c r="A1794" s="452"/>
      <c r="B1794" s="453"/>
      <c r="C1794" s="453"/>
      <c r="D1794" s="453"/>
      <c r="E1794" s="162"/>
      <c r="F1794" s="162"/>
      <c r="G1794" s="162"/>
      <c r="H1794" s="162"/>
      <c r="I1794" s="161"/>
    </row>
    <row r="1795" spans="1:9" ht="15" customHeight="1" x14ac:dyDescent="0.25">
      <c r="A1795" s="456" t="s">
        <v>1474</v>
      </c>
      <c r="B1795" s="457"/>
      <c r="C1795" s="457"/>
      <c r="D1795" s="457"/>
      <c r="E1795" s="457"/>
      <c r="F1795" s="457"/>
      <c r="G1795" s="457"/>
      <c r="H1795" s="457"/>
      <c r="I1795" s="161"/>
    </row>
    <row r="1796" spans="1:9" ht="12.95" customHeight="1" x14ac:dyDescent="0.25">
      <c r="A1796" s="450"/>
      <c r="B1796" s="451"/>
      <c r="C1796" s="119"/>
      <c r="D1796" s="119" t="s">
        <v>984</v>
      </c>
      <c r="E1796" s="162"/>
      <c r="F1796" s="162"/>
      <c r="G1796" s="162"/>
      <c r="H1796" s="162"/>
      <c r="I1796" s="161"/>
    </row>
    <row r="1797" spans="1:9" ht="15" customHeight="1" x14ac:dyDescent="0.25">
      <c r="A1797" s="163" t="s">
        <v>1424</v>
      </c>
      <c r="B1797" s="120" t="s">
        <v>1475</v>
      </c>
      <c r="C1797" s="227">
        <v>26.56</v>
      </c>
      <c r="D1797" s="228">
        <f>ROUND(26.56,2)</f>
        <v>26.56</v>
      </c>
      <c r="E1797" s="162"/>
      <c r="F1797" s="162"/>
      <c r="G1797" s="162"/>
      <c r="H1797" s="162"/>
      <c r="I1797" s="161"/>
    </row>
    <row r="1798" spans="1:9" ht="9.9499999999999993" customHeight="1" x14ac:dyDescent="0.25">
      <c r="A1798" s="164"/>
      <c r="B1798" s="121"/>
      <c r="C1798" s="122"/>
      <c r="D1798" s="123">
        <f>ROUND(SUM(D1797:D1797),2)</f>
        <v>26.56</v>
      </c>
      <c r="E1798" s="162"/>
      <c r="F1798" s="162"/>
      <c r="G1798" s="162"/>
      <c r="H1798" s="162"/>
      <c r="I1798" s="161"/>
    </row>
    <row r="1799" spans="1:9" ht="12" customHeight="1" x14ac:dyDescent="0.25">
      <c r="A1799" s="452"/>
      <c r="B1799" s="453"/>
      <c r="C1799" s="453"/>
      <c r="D1799" s="162"/>
      <c r="E1799" s="162"/>
      <c r="F1799" s="162"/>
      <c r="G1799" s="162"/>
      <c r="H1799" s="162"/>
      <c r="I1799" s="161"/>
    </row>
    <row r="1800" spans="1:9" ht="9.9499999999999993" customHeight="1" x14ac:dyDescent="0.25">
      <c r="A1800" s="165"/>
      <c r="B1800" s="162"/>
      <c r="C1800" s="162"/>
      <c r="D1800" s="458" t="str">
        <f>"TOTAL DA MEMÓRIA DE CÁLCULO: "&amp;TEXT(ROUND(SUM(D1798),2),"0,00")</f>
        <v>TOTAL DA MEMÓRIA DE CÁLCULO: 26,56</v>
      </c>
      <c r="E1800" s="458"/>
      <c r="F1800" s="458"/>
      <c r="G1800" s="458"/>
      <c r="H1800" s="458"/>
      <c r="I1800" s="161"/>
    </row>
    <row r="1801" spans="1:9" ht="42.95" customHeight="1" x14ac:dyDescent="0.25">
      <c r="A1801" s="452"/>
      <c r="B1801" s="453"/>
      <c r="C1801" s="453"/>
      <c r="D1801" s="453"/>
      <c r="E1801" s="162"/>
      <c r="F1801" s="162"/>
      <c r="G1801" s="162"/>
      <c r="H1801" s="162"/>
      <c r="I1801" s="161"/>
    </row>
    <row r="1802" spans="1:9" ht="15" customHeight="1" x14ac:dyDescent="0.25">
      <c r="A1802" s="456" t="s">
        <v>1476</v>
      </c>
      <c r="B1802" s="457"/>
      <c r="C1802" s="457"/>
      <c r="D1802" s="457"/>
      <c r="E1802" s="457"/>
      <c r="F1802" s="457"/>
      <c r="G1802" s="457"/>
      <c r="H1802" s="457"/>
      <c r="I1802" s="161"/>
    </row>
    <row r="1803" spans="1:9" ht="12.95" customHeight="1" x14ac:dyDescent="0.25">
      <c r="A1803" s="450"/>
      <c r="B1803" s="451"/>
      <c r="C1803" s="119"/>
      <c r="D1803" s="119" t="s">
        <v>984</v>
      </c>
      <c r="E1803" s="162"/>
      <c r="F1803" s="162"/>
      <c r="G1803" s="162"/>
      <c r="H1803" s="162"/>
      <c r="I1803" s="161"/>
    </row>
    <row r="1804" spans="1:9" ht="15" customHeight="1" x14ac:dyDescent="0.25">
      <c r="A1804" s="163" t="s">
        <v>1359</v>
      </c>
      <c r="B1804" s="120" t="s">
        <v>1477</v>
      </c>
      <c r="C1804" s="227">
        <v>0.63</v>
      </c>
      <c r="D1804" s="228">
        <f>ROUND(25.19*0.025,2)</f>
        <v>0.63</v>
      </c>
      <c r="E1804" s="162"/>
      <c r="F1804" s="162"/>
      <c r="G1804" s="162"/>
      <c r="H1804" s="162"/>
      <c r="I1804" s="161"/>
    </row>
    <row r="1805" spans="1:9" ht="9.9499999999999993" customHeight="1" x14ac:dyDescent="0.25">
      <c r="A1805" s="164"/>
      <c r="B1805" s="121"/>
      <c r="C1805" s="122"/>
      <c r="D1805" s="123">
        <f>ROUND(SUM(D1804:D1804),2)</f>
        <v>0.63</v>
      </c>
      <c r="E1805" s="162"/>
      <c r="F1805" s="162"/>
      <c r="G1805" s="162"/>
      <c r="H1805" s="162"/>
      <c r="I1805" s="161"/>
    </row>
    <row r="1806" spans="1:9" ht="12" customHeight="1" x14ac:dyDescent="0.25">
      <c r="A1806" s="452"/>
      <c r="B1806" s="453"/>
      <c r="C1806" s="453"/>
      <c r="D1806" s="162"/>
      <c r="E1806" s="162"/>
      <c r="F1806" s="162"/>
      <c r="G1806" s="162"/>
      <c r="H1806" s="162"/>
      <c r="I1806" s="161"/>
    </row>
    <row r="1807" spans="1:9" ht="9.9499999999999993" customHeight="1" x14ac:dyDescent="0.25">
      <c r="A1807" s="165"/>
      <c r="B1807" s="162"/>
      <c r="C1807" s="162"/>
      <c r="D1807" s="458" t="str">
        <f>"TOTAL DA MEMÓRIA DE CÁLCULO: "&amp;TEXT(ROUND(SUM(D1805),2),"0,00")</f>
        <v>TOTAL DA MEMÓRIA DE CÁLCULO: 0,63</v>
      </c>
      <c r="E1807" s="458"/>
      <c r="F1807" s="458"/>
      <c r="G1807" s="458"/>
      <c r="H1807" s="458"/>
      <c r="I1807" s="161"/>
    </row>
    <row r="1808" spans="1:9" ht="20.100000000000001" customHeight="1" x14ac:dyDescent="0.25">
      <c r="A1808" s="452"/>
      <c r="B1808" s="453"/>
      <c r="C1808" s="453"/>
      <c r="D1808" s="453"/>
      <c r="E1808" s="162"/>
      <c r="F1808" s="162"/>
      <c r="G1808" s="162"/>
      <c r="H1808" s="162"/>
      <c r="I1808" s="161"/>
    </row>
    <row r="1809" spans="1:9" ht="9.9499999999999993" customHeight="1" x14ac:dyDescent="0.25">
      <c r="A1809" s="456" t="s">
        <v>1478</v>
      </c>
      <c r="B1809" s="457"/>
      <c r="C1809" s="457"/>
      <c r="D1809" s="457"/>
      <c r="E1809" s="457"/>
      <c r="F1809" s="457"/>
      <c r="G1809" s="457"/>
      <c r="H1809" s="457"/>
      <c r="I1809" s="161"/>
    </row>
    <row r="1810" spans="1:9" ht="20.100000000000001" customHeight="1" x14ac:dyDescent="0.25">
      <c r="A1810" s="452"/>
      <c r="B1810" s="453"/>
      <c r="C1810" s="453"/>
      <c r="D1810" s="162"/>
      <c r="E1810" s="162"/>
      <c r="F1810" s="162"/>
      <c r="G1810" s="162"/>
      <c r="H1810" s="162"/>
      <c r="I1810" s="161"/>
    </row>
    <row r="1811" spans="1:9" ht="15" customHeight="1" x14ac:dyDescent="0.25">
      <c r="A1811" s="456" t="s">
        <v>1479</v>
      </c>
      <c r="B1811" s="457"/>
      <c r="C1811" s="457"/>
      <c r="D1811" s="457"/>
      <c r="E1811" s="457"/>
      <c r="F1811" s="457"/>
      <c r="G1811" s="457"/>
      <c r="H1811" s="457"/>
      <c r="I1811" s="161"/>
    </row>
    <row r="1812" spans="1:9" ht="12.95" customHeight="1" x14ac:dyDescent="0.25">
      <c r="A1812" s="450"/>
      <c r="B1812" s="451"/>
      <c r="C1812" s="119"/>
      <c r="D1812" s="119" t="s">
        <v>984</v>
      </c>
      <c r="E1812" s="162"/>
      <c r="F1812" s="162"/>
      <c r="G1812" s="162"/>
      <c r="H1812" s="162"/>
      <c r="I1812" s="161"/>
    </row>
    <row r="1813" spans="1:9" ht="16.5" customHeight="1" x14ac:dyDescent="0.25">
      <c r="A1813" s="163" t="s">
        <v>1169</v>
      </c>
      <c r="B1813" s="120"/>
      <c r="C1813" s="459">
        <v>4203</v>
      </c>
      <c r="D1813" s="460">
        <f>C1813</f>
        <v>4203</v>
      </c>
      <c r="E1813" s="162"/>
      <c r="F1813" s="162"/>
      <c r="G1813" s="162"/>
      <c r="H1813" s="162"/>
      <c r="I1813" s="161"/>
    </row>
    <row r="1814" spans="1:9" ht="15" customHeight="1" x14ac:dyDescent="0.25">
      <c r="A1814" s="166"/>
      <c r="B1814" s="124"/>
      <c r="C1814" s="459"/>
      <c r="D1814" s="460"/>
      <c r="E1814" s="162"/>
      <c r="F1814" s="162"/>
      <c r="G1814" s="162"/>
      <c r="H1814" s="162"/>
      <c r="I1814" s="161"/>
    </row>
    <row r="1815" spans="1:9" ht="9.9499999999999993" customHeight="1" x14ac:dyDescent="0.25">
      <c r="A1815" s="164"/>
      <c r="B1815" s="121"/>
      <c r="C1815" s="122"/>
      <c r="D1815" s="123">
        <f>ROUND(SUM(D1813:D1814),2)</f>
        <v>4203</v>
      </c>
      <c r="E1815" s="162"/>
      <c r="F1815" s="162"/>
      <c r="G1815" s="162"/>
      <c r="H1815" s="162"/>
      <c r="I1815" s="161"/>
    </row>
    <row r="1816" spans="1:9" ht="12" customHeight="1" x14ac:dyDescent="0.25">
      <c r="A1816" s="452"/>
      <c r="B1816" s="453"/>
      <c r="C1816" s="453"/>
      <c r="D1816" s="162"/>
      <c r="E1816" s="162"/>
      <c r="F1816" s="162"/>
      <c r="G1816" s="162"/>
      <c r="H1816" s="162"/>
      <c r="I1816" s="161"/>
    </row>
    <row r="1817" spans="1:9" ht="12" customHeight="1" x14ac:dyDescent="0.25">
      <c r="A1817" s="461" t="s">
        <v>4303</v>
      </c>
      <c r="B1817" s="462"/>
      <c r="C1817" s="462"/>
      <c r="D1817" s="458" t="str">
        <f>"TOTAL DA MEMÓRIA DE CÁLCULO: "&amp;TEXT(ROUND(SUM(D1815),2),"0,00")</f>
        <v>TOTAL DA MEMÓRIA DE CÁLCULO: 4203,00</v>
      </c>
      <c r="E1817" s="458"/>
      <c r="F1817" s="458"/>
      <c r="G1817" s="458"/>
      <c r="H1817" s="458"/>
      <c r="I1817" s="161"/>
    </row>
    <row r="1818" spans="1:9" ht="9.9499999999999993" customHeight="1" x14ac:dyDescent="0.25">
      <c r="A1818" s="461"/>
      <c r="B1818" s="462"/>
      <c r="C1818" s="462"/>
      <c r="D1818" s="162"/>
      <c r="E1818" s="162"/>
      <c r="F1818" s="162"/>
      <c r="G1818" s="162"/>
      <c r="H1818" s="162"/>
      <c r="I1818" s="161"/>
    </row>
    <row r="1819" spans="1:9" ht="30.95" customHeight="1" x14ac:dyDescent="0.25">
      <c r="A1819" s="452"/>
      <c r="B1819" s="453"/>
      <c r="C1819" s="453"/>
      <c r="D1819" s="453"/>
      <c r="E1819" s="162"/>
      <c r="F1819" s="162"/>
      <c r="G1819" s="162"/>
      <c r="H1819" s="162"/>
      <c r="I1819" s="161"/>
    </row>
    <row r="1820" spans="1:9" ht="15" customHeight="1" x14ac:dyDescent="0.25">
      <c r="A1820" s="456" t="s">
        <v>1480</v>
      </c>
      <c r="B1820" s="457"/>
      <c r="C1820" s="457"/>
      <c r="D1820" s="457"/>
      <c r="E1820" s="457"/>
      <c r="F1820" s="457"/>
      <c r="G1820" s="457"/>
      <c r="H1820" s="457"/>
      <c r="I1820" s="161"/>
    </row>
    <row r="1821" spans="1:9" ht="12.95" customHeight="1" x14ac:dyDescent="0.25">
      <c r="A1821" s="450" t="s">
        <v>1481</v>
      </c>
      <c r="B1821" s="451"/>
      <c r="C1821" s="119" t="s">
        <v>1059</v>
      </c>
      <c r="D1821" s="119" t="s">
        <v>1024</v>
      </c>
      <c r="E1821" s="119" t="s">
        <v>984</v>
      </c>
      <c r="F1821" s="162"/>
      <c r="G1821" s="162"/>
      <c r="H1821" s="162"/>
      <c r="I1821" s="161"/>
    </row>
    <row r="1822" spans="1:9" ht="6" customHeight="1" x14ac:dyDescent="0.25">
      <c r="A1822" s="163" t="s">
        <v>1482</v>
      </c>
      <c r="B1822" s="120" t="s">
        <v>1200</v>
      </c>
      <c r="C1822" s="459">
        <v>118.25</v>
      </c>
      <c r="D1822" s="459">
        <v>1.4</v>
      </c>
      <c r="E1822" s="460">
        <f>ROUND(D1822*C1822,2)</f>
        <v>165.55</v>
      </c>
      <c r="F1822" s="162"/>
      <c r="G1822" s="162"/>
      <c r="H1822" s="162"/>
      <c r="I1822" s="161"/>
    </row>
    <row r="1823" spans="1:9" ht="12.95" customHeight="1" x14ac:dyDescent="0.25">
      <c r="A1823" s="166"/>
      <c r="B1823" s="124"/>
      <c r="C1823" s="459"/>
      <c r="D1823" s="459"/>
      <c r="E1823" s="460"/>
      <c r="F1823" s="162"/>
      <c r="G1823" s="162"/>
      <c r="H1823" s="162"/>
      <c r="I1823" s="161"/>
    </row>
    <row r="1824" spans="1:9" ht="18.95" customHeight="1" x14ac:dyDescent="0.25">
      <c r="A1824" s="163" t="s">
        <v>1483</v>
      </c>
      <c r="B1824" s="120" t="s">
        <v>1382</v>
      </c>
      <c r="C1824" s="227">
        <v>6</v>
      </c>
      <c r="D1824" s="227">
        <v>1.4</v>
      </c>
      <c r="E1824" s="228">
        <f>ROUND(-D1824*C1824,2)</f>
        <v>-8.4</v>
      </c>
      <c r="F1824" s="162"/>
      <c r="G1824" s="162"/>
      <c r="H1824" s="162"/>
      <c r="I1824" s="161"/>
    </row>
    <row r="1825" spans="1:9" ht="9.9499999999999993" customHeight="1" x14ac:dyDescent="0.25">
      <c r="A1825" s="164" t="s">
        <v>1481</v>
      </c>
      <c r="B1825" s="121"/>
      <c r="C1825" s="122"/>
      <c r="D1825" s="122"/>
      <c r="E1825" s="123">
        <f>ROUND(SUM(E1822:E1824),2)</f>
        <v>157.15</v>
      </c>
      <c r="F1825" s="162"/>
      <c r="G1825" s="162"/>
      <c r="H1825" s="162"/>
      <c r="I1825" s="161"/>
    </row>
    <row r="1826" spans="1:9" ht="15" customHeight="1" x14ac:dyDescent="0.25">
      <c r="A1826" s="452"/>
      <c r="B1826" s="453"/>
      <c r="C1826" s="453"/>
      <c r="D1826" s="162"/>
      <c r="E1826" s="162"/>
      <c r="F1826" s="162"/>
      <c r="G1826" s="162"/>
      <c r="H1826" s="162"/>
      <c r="I1826" s="161"/>
    </row>
    <row r="1827" spans="1:9" ht="12.95" customHeight="1" x14ac:dyDescent="0.25">
      <c r="A1827" s="450" t="s">
        <v>1484</v>
      </c>
      <c r="B1827" s="451"/>
      <c r="C1827" s="119"/>
      <c r="D1827" s="119" t="s">
        <v>984</v>
      </c>
      <c r="E1827" s="162"/>
      <c r="F1827" s="162"/>
      <c r="G1827" s="162"/>
      <c r="H1827" s="162"/>
      <c r="I1827" s="161"/>
    </row>
    <row r="1828" spans="1:9" ht="15" customHeight="1" x14ac:dyDescent="0.25">
      <c r="A1828" s="163" t="s">
        <v>1485</v>
      </c>
      <c r="B1828" s="120" t="s">
        <v>1486</v>
      </c>
      <c r="C1828" s="227">
        <v>50</v>
      </c>
      <c r="D1828" s="228">
        <f>ROUND(50,2)</f>
        <v>50</v>
      </c>
      <c r="E1828" s="162"/>
      <c r="F1828" s="162"/>
      <c r="G1828" s="162"/>
      <c r="H1828" s="162"/>
      <c r="I1828" s="161"/>
    </row>
    <row r="1829" spans="1:9" ht="9.9499999999999993" customHeight="1" x14ac:dyDescent="0.25">
      <c r="A1829" s="164" t="s">
        <v>1484</v>
      </c>
      <c r="B1829" s="121"/>
      <c r="C1829" s="122"/>
      <c r="D1829" s="123">
        <f>ROUND(SUM(D1828:D1828),2)</f>
        <v>50</v>
      </c>
      <c r="E1829" s="162"/>
      <c r="F1829" s="162"/>
      <c r="G1829" s="162"/>
      <c r="H1829" s="162"/>
      <c r="I1829" s="161"/>
    </row>
    <row r="1830" spans="1:9" ht="26.1" customHeight="1" x14ac:dyDescent="0.25">
      <c r="A1830" s="452"/>
      <c r="B1830" s="453"/>
      <c r="C1830" s="453"/>
      <c r="D1830" s="162"/>
      <c r="E1830" s="162"/>
      <c r="F1830" s="162"/>
      <c r="G1830" s="162"/>
      <c r="H1830" s="162"/>
      <c r="I1830" s="161"/>
    </row>
    <row r="1831" spans="1:9" ht="12" customHeight="1" x14ac:dyDescent="0.25">
      <c r="A1831" s="461" t="s">
        <v>4304</v>
      </c>
      <c r="B1831" s="462"/>
      <c r="C1831" s="462"/>
      <c r="D1831" s="458" t="str">
        <f>"TOTAL DA MEMÓRIA DE CÁLCULO: "&amp;TEXT(ROUND(SUM(E1825,D1829),2),"0,00")</f>
        <v>TOTAL DA MEMÓRIA DE CÁLCULO: 207,15</v>
      </c>
      <c r="E1831" s="458"/>
      <c r="F1831" s="458"/>
      <c r="G1831" s="458"/>
      <c r="H1831" s="458"/>
      <c r="I1831" s="161"/>
    </row>
    <row r="1832" spans="1:9" ht="9.9499999999999993" customHeight="1" x14ac:dyDescent="0.25">
      <c r="A1832" s="461"/>
      <c r="B1832" s="462"/>
      <c r="C1832" s="462"/>
      <c r="D1832" s="162"/>
      <c r="E1832" s="162"/>
      <c r="F1832" s="162"/>
      <c r="G1832" s="162"/>
      <c r="H1832" s="162"/>
      <c r="I1832" s="161"/>
    </row>
    <row r="1833" spans="1:9" ht="30.95" customHeight="1" x14ac:dyDescent="0.25">
      <c r="A1833" s="452"/>
      <c r="B1833" s="453"/>
      <c r="C1833" s="453"/>
      <c r="D1833" s="453"/>
      <c r="E1833" s="162"/>
      <c r="F1833" s="162"/>
      <c r="G1833" s="162"/>
      <c r="H1833" s="162"/>
      <c r="I1833" s="161"/>
    </row>
    <row r="1834" spans="1:9" ht="15" customHeight="1" x14ac:dyDescent="0.25">
      <c r="A1834" s="456" t="s">
        <v>1487</v>
      </c>
      <c r="B1834" s="457"/>
      <c r="C1834" s="457"/>
      <c r="D1834" s="457"/>
      <c r="E1834" s="457"/>
      <c r="F1834" s="457"/>
      <c r="G1834" s="457"/>
      <c r="H1834" s="457"/>
      <c r="I1834" s="161"/>
    </row>
    <row r="1835" spans="1:9" ht="12.95" customHeight="1" x14ac:dyDescent="0.25">
      <c r="A1835" s="450" t="s">
        <v>1481</v>
      </c>
      <c r="B1835" s="451"/>
      <c r="C1835" s="119" t="s">
        <v>1059</v>
      </c>
      <c r="D1835" s="119" t="s">
        <v>1024</v>
      </c>
      <c r="E1835" s="119" t="s">
        <v>984</v>
      </c>
      <c r="F1835" s="162"/>
      <c r="G1835" s="162"/>
      <c r="H1835" s="162"/>
      <c r="I1835" s="161"/>
    </row>
    <row r="1836" spans="1:9" ht="6" customHeight="1" x14ac:dyDescent="0.25">
      <c r="A1836" s="163" t="s">
        <v>1482</v>
      </c>
      <c r="B1836" s="120" t="s">
        <v>1200</v>
      </c>
      <c r="C1836" s="459">
        <v>118.25</v>
      </c>
      <c r="D1836" s="459">
        <v>1.4</v>
      </c>
      <c r="E1836" s="460">
        <f>ROUND(D1836*C1836,2)</f>
        <v>165.55</v>
      </c>
      <c r="F1836" s="162"/>
      <c r="G1836" s="162"/>
      <c r="H1836" s="162"/>
      <c r="I1836" s="161"/>
    </row>
    <row r="1837" spans="1:9" ht="12.95" customHeight="1" x14ac:dyDescent="0.25">
      <c r="A1837" s="166"/>
      <c r="B1837" s="124"/>
      <c r="C1837" s="459"/>
      <c r="D1837" s="459"/>
      <c r="E1837" s="460"/>
      <c r="F1837" s="162"/>
      <c r="G1837" s="162"/>
      <c r="H1837" s="162"/>
      <c r="I1837" s="161"/>
    </row>
    <row r="1838" spans="1:9" ht="18.95" customHeight="1" x14ac:dyDescent="0.25">
      <c r="A1838" s="163" t="s">
        <v>1483</v>
      </c>
      <c r="B1838" s="120" t="s">
        <v>1382</v>
      </c>
      <c r="C1838" s="227">
        <v>6</v>
      </c>
      <c r="D1838" s="227">
        <v>1.4</v>
      </c>
      <c r="E1838" s="228">
        <f>ROUND(-D1838*C1838,2)</f>
        <v>-8.4</v>
      </c>
      <c r="F1838" s="162"/>
      <c r="G1838" s="162"/>
      <c r="H1838" s="162"/>
      <c r="I1838" s="161"/>
    </row>
    <row r="1839" spans="1:9" ht="9.9499999999999993" customHeight="1" x14ac:dyDescent="0.25">
      <c r="A1839" s="164" t="s">
        <v>1481</v>
      </c>
      <c r="B1839" s="121"/>
      <c r="C1839" s="122"/>
      <c r="D1839" s="122"/>
      <c r="E1839" s="123">
        <f>ROUND(SUM(E1836:E1838),2)</f>
        <v>157.15</v>
      </c>
      <c r="F1839" s="162"/>
      <c r="G1839" s="162"/>
      <c r="H1839" s="162"/>
      <c r="I1839" s="161"/>
    </row>
    <row r="1840" spans="1:9" ht="15" customHeight="1" x14ac:dyDescent="0.25">
      <c r="A1840" s="452"/>
      <c r="B1840" s="453"/>
      <c r="C1840" s="453"/>
      <c r="D1840" s="162"/>
      <c r="E1840" s="162"/>
      <c r="F1840" s="162"/>
      <c r="G1840" s="162"/>
      <c r="H1840" s="162"/>
      <c r="I1840" s="161"/>
    </row>
    <row r="1841" spans="1:9" ht="12.95" customHeight="1" x14ac:dyDescent="0.25">
      <c r="A1841" s="450" t="s">
        <v>1484</v>
      </c>
      <c r="B1841" s="451"/>
      <c r="C1841" s="119"/>
      <c r="D1841" s="119" t="s">
        <v>984</v>
      </c>
      <c r="E1841" s="162"/>
      <c r="F1841" s="162"/>
      <c r="G1841" s="162"/>
      <c r="H1841" s="162"/>
      <c r="I1841" s="161"/>
    </row>
    <row r="1842" spans="1:9" ht="15" customHeight="1" x14ac:dyDescent="0.25">
      <c r="A1842" s="163" t="s">
        <v>1485</v>
      </c>
      <c r="B1842" s="120" t="s">
        <v>1486</v>
      </c>
      <c r="C1842" s="227">
        <v>50</v>
      </c>
      <c r="D1842" s="228">
        <f>ROUND(50,2)</f>
        <v>50</v>
      </c>
      <c r="E1842" s="162"/>
      <c r="F1842" s="162"/>
      <c r="G1842" s="162"/>
      <c r="H1842" s="162"/>
      <c r="I1842" s="161"/>
    </row>
    <row r="1843" spans="1:9" ht="9.9499999999999993" customHeight="1" x14ac:dyDescent="0.25">
      <c r="A1843" s="164" t="s">
        <v>1484</v>
      </c>
      <c r="B1843" s="121"/>
      <c r="C1843" s="122"/>
      <c r="D1843" s="123">
        <f>ROUND(SUM(D1842:D1842),2)</f>
        <v>50</v>
      </c>
      <c r="E1843" s="162"/>
      <c r="F1843" s="162"/>
      <c r="G1843" s="162"/>
      <c r="H1843" s="162"/>
      <c r="I1843" s="161"/>
    </row>
    <row r="1844" spans="1:9" ht="12" customHeight="1" x14ac:dyDescent="0.25">
      <c r="A1844" s="452"/>
      <c r="B1844" s="453"/>
      <c r="C1844" s="453"/>
      <c r="D1844" s="162"/>
      <c r="E1844" s="162"/>
      <c r="F1844" s="162"/>
      <c r="G1844" s="162"/>
      <c r="H1844" s="162"/>
      <c r="I1844" s="161"/>
    </row>
    <row r="1845" spans="1:9" ht="12" customHeight="1" x14ac:dyDescent="0.25">
      <c r="A1845" s="461" t="s">
        <v>4299</v>
      </c>
      <c r="B1845" s="462"/>
      <c r="C1845" s="462"/>
      <c r="D1845" s="458" t="str">
        <f>"TOTAL DA MEMÓRIA DE CÁLCULO: "&amp;TEXT(ROUND(SUM(E1839,D1843),2),"0,00")</f>
        <v>TOTAL DA MEMÓRIA DE CÁLCULO: 207,15</v>
      </c>
      <c r="E1845" s="458"/>
      <c r="F1845" s="458"/>
      <c r="G1845" s="458"/>
      <c r="H1845" s="458"/>
      <c r="I1845" s="161"/>
    </row>
    <row r="1846" spans="1:9" ht="9.9499999999999993" customHeight="1" x14ac:dyDescent="0.25">
      <c r="A1846" s="461"/>
      <c r="B1846" s="462"/>
      <c r="C1846" s="462"/>
      <c r="D1846" s="162"/>
      <c r="E1846" s="162"/>
      <c r="F1846" s="162"/>
      <c r="G1846" s="162"/>
      <c r="H1846" s="162"/>
      <c r="I1846" s="161"/>
    </row>
    <row r="1847" spans="1:9" ht="42.95" customHeight="1" x14ac:dyDescent="0.25">
      <c r="A1847" s="452"/>
      <c r="B1847" s="453"/>
      <c r="C1847" s="453"/>
      <c r="D1847" s="453"/>
      <c r="E1847" s="162"/>
      <c r="F1847" s="162"/>
      <c r="G1847" s="162"/>
      <c r="H1847" s="162"/>
      <c r="I1847" s="161"/>
    </row>
    <row r="1848" spans="1:9" ht="15" customHeight="1" x14ac:dyDescent="0.25">
      <c r="A1848" s="456" t="s">
        <v>1488</v>
      </c>
      <c r="B1848" s="457"/>
      <c r="C1848" s="457"/>
      <c r="D1848" s="457"/>
      <c r="E1848" s="457"/>
      <c r="F1848" s="457"/>
      <c r="G1848" s="457"/>
      <c r="H1848" s="457"/>
      <c r="I1848" s="161"/>
    </row>
    <row r="1849" spans="1:9" ht="12.95" customHeight="1" x14ac:dyDescent="0.25">
      <c r="A1849" s="450" t="s">
        <v>1489</v>
      </c>
      <c r="B1849" s="451"/>
      <c r="C1849" s="119"/>
      <c r="D1849" s="119" t="s">
        <v>984</v>
      </c>
      <c r="E1849" s="162"/>
      <c r="F1849" s="162"/>
      <c r="G1849" s="162"/>
      <c r="H1849" s="162"/>
      <c r="I1849" s="161"/>
    </row>
    <row r="1850" spans="1:9" ht="6" customHeight="1" x14ac:dyDescent="0.25">
      <c r="A1850" s="163" t="s">
        <v>1490</v>
      </c>
      <c r="B1850" s="120" t="s">
        <v>1491</v>
      </c>
      <c r="C1850" s="459">
        <v>105.6</v>
      </c>
      <c r="D1850" s="460">
        <f>ROUND(105.6,2)</f>
        <v>105.6</v>
      </c>
      <c r="E1850" s="162"/>
      <c r="F1850" s="162"/>
      <c r="G1850" s="162"/>
      <c r="H1850" s="162"/>
      <c r="I1850" s="161"/>
    </row>
    <row r="1851" spans="1:9" ht="12.95" customHeight="1" x14ac:dyDescent="0.25">
      <c r="A1851" s="166"/>
      <c r="B1851" s="124"/>
      <c r="C1851" s="459"/>
      <c r="D1851" s="460"/>
      <c r="E1851" s="162"/>
      <c r="F1851" s="162"/>
      <c r="G1851" s="162"/>
      <c r="H1851" s="162"/>
      <c r="I1851" s="161"/>
    </row>
    <row r="1852" spans="1:9" ht="12.95" customHeight="1" x14ac:dyDescent="0.25">
      <c r="A1852" s="163" t="s">
        <v>1492</v>
      </c>
      <c r="B1852" s="120" t="s">
        <v>1493</v>
      </c>
      <c r="C1852" s="227">
        <v>98.15</v>
      </c>
      <c r="D1852" s="228">
        <f>ROUND(98.15,2)</f>
        <v>98.15</v>
      </c>
      <c r="E1852" s="162"/>
      <c r="F1852" s="162"/>
      <c r="G1852" s="162"/>
      <c r="H1852" s="162"/>
      <c r="I1852" s="161"/>
    </row>
    <row r="1853" spans="1:9" ht="6" customHeight="1" x14ac:dyDescent="0.25">
      <c r="A1853" s="163" t="s">
        <v>1494</v>
      </c>
      <c r="B1853" s="120" t="s">
        <v>1495</v>
      </c>
      <c r="C1853" s="459">
        <v>159.6</v>
      </c>
      <c r="D1853" s="460">
        <f>ROUND(159.6,2)</f>
        <v>159.6</v>
      </c>
      <c r="E1853" s="162"/>
      <c r="F1853" s="162"/>
      <c r="G1853" s="162"/>
      <c r="H1853" s="162"/>
      <c r="I1853" s="161"/>
    </row>
    <row r="1854" spans="1:9" ht="12.95" customHeight="1" x14ac:dyDescent="0.25">
      <c r="A1854" s="166"/>
      <c r="B1854" s="124"/>
      <c r="C1854" s="459"/>
      <c r="D1854" s="460"/>
      <c r="E1854" s="162"/>
      <c r="F1854" s="162"/>
      <c r="G1854" s="162"/>
      <c r="H1854" s="162"/>
      <c r="I1854" s="161"/>
    </row>
    <row r="1855" spans="1:9" ht="6" customHeight="1" x14ac:dyDescent="0.25">
      <c r="A1855" s="163" t="s">
        <v>1496</v>
      </c>
      <c r="B1855" s="120" t="s">
        <v>1497</v>
      </c>
      <c r="C1855" s="459">
        <v>198.8</v>
      </c>
      <c r="D1855" s="460">
        <f>ROUND(198.8,2)</f>
        <v>198.8</v>
      </c>
      <c r="E1855" s="162"/>
      <c r="F1855" s="162"/>
      <c r="G1855" s="162"/>
      <c r="H1855" s="162"/>
      <c r="I1855" s="161"/>
    </row>
    <row r="1856" spans="1:9" ht="15" customHeight="1" x14ac:dyDescent="0.25">
      <c r="A1856" s="166"/>
      <c r="B1856" s="124"/>
      <c r="C1856" s="459"/>
      <c r="D1856" s="460"/>
      <c r="E1856" s="162"/>
      <c r="F1856" s="162"/>
      <c r="G1856" s="162"/>
      <c r="H1856" s="162"/>
      <c r="I1856" s="161"/>
    </row>
    <row r="1857" spans="1:9" ht="9.9499999999999993" customHeight="1" x14ac:dyDescent="0.25">
      <c r="A1857" s="164" t="s">
        <v>1489</v>
      </c>
      <c r="B1857" s="121"/>
      <c r="C1857" s="122"/>
      <c r="D1857" s="123">
        <f>ROUND(SUM(D1850:D1856),2)</f>
        <v>562.15</v>
      </c>
      <c r="E1857" s="162"/>
      <c r="F1857" s="162"/>
      <c r="G1857" s="162"/>
      <c r="H1857" s="162"/>
      <c r="I1857" s="161"/>
    </row>
    <row r="1858" spans="1:9" ht="15" customHeight="1" x14ac:dyDescent="0.25">
      <c r="A1858" s="452"/>
      <c r="B1858" s="453"/>
      <c r="C1858" s="453"/>
      <c r="D1858" s="162"/>
      <c r="E1858" s="162"/>
      <c r="F1858" s="162"/>
      <c r="G1858" s="162"/>
      <c r="H1858" s="162"/>
      <c r="I1858" s="161"/>
    </row>
    <row r="1859" spans="1:9" ht="12.95" customHeight="1" x14ac:dyDescent="0.25">
      <c r="A1859" s="450" t="s">
        <v>1498</v>
      </c>
      <c r="B1859" s="451"/>
      <c r="C1859" s="119"/>
      <c r="D1859" s="119" t="s">
        <v>984</v>
      </c>
      <c r="E1859" s="162"/>
      <c r="F1859" s="162"/>
      <c r="G1859" s="162"/>
      <c r="H1859" s="162"/>
      <c r="I1859" s="161"/>
    </row>
    <row r="1860" spans="1:9" ht="12.95" customHeight="1" x14ac:dyDescent="0.25">
      <c r="A1860" s="163" t="s">
        <v>1499</v>
      </c>
      <c r="B1860" s="120" t="s">
        <v>1500</v>
      </c>
      <c r="C1860" s="227">
        <v>70</v>
      </c>
      <c r="D1860" s="228">
        <f>ROUND(35*2,2)</f>
        <v>70</v>
      </c>
      <c r="E1860" s="162"/>
      <c r="F1860" s="162"/>
      <c r="G1860" s="162"/>
      <c r="H1860" s="162"/>
      <c r="I1860" s="161"/>
    </row>
    <row r="1861" spans="1:9" ht="12.95" customHeight="1" x14ac:dyDescent="0.25">
      <c r="A1861" s="163" t="s">
        <v>1501</v>
      </c>
      <c r="B1861" s="120" t="s">
        <v>1500</v>
      </c>
      <c r="C1861" s="227">
        <v>70</v>
      </c>
      <c r="D1861" s="228">
        <f>ROUND(35*2,2)</f>
        <v>70</v>
      </c>
      <c r="E1861" s="162"/>
      <c r="F1861" s="162"/>
      <c r="G1861" s="162"/>
      <c r="H1861" s="162"/>
      <c r="I1861" s="161"/>
    </row>
    <row r="1862" spans="1:9" ht="12.95" customHeight="1" x14ac:dyDescent="0.25">
      <c r="A1862" s="163" t="s">
        <v>1502</v>
      </c>
      <c r="B1862" s="120" t="s">
        <v>1500</v>
      </c>
      <c r="C1862" s="227">
        <v>70</v>
      </c>
      <c r="D1862" s="228">
        <f>ROUND(35*2,2)</f>
        <v>70</v>
      </c>
      <c r="E1862" s="162"/>
      <c r="F1862" s="162"/>
      <c r="G1862" s="162"/>
      <c r="H1862" s="162"/>
      <c r="I1862" s="161"/>
    </row>
    <row r="1863" spans="1:9" ht="15" customHeight="1" x14ac:dyDescent="0.25">
      <c r="A1863" s="163" t="s">
        <v>1503</v>
      </c>
      <c r="B1863" s="120" t="s">
        <v>1500</v>
      </c>
      <c r="C1863" s="227">
        <v>70</v>
      </c>
      <c r="D1863" s="228">
        <f>ROUND(35*2,2)</f>
        <v>70</v>
      </c>
      <c r="E1863" s="162"/>
      <c r="F1863" s="162"/>
      <c r="G1863" s="162"/>
      <c r="H1863" s="162"/>
      <c r="I1863" s="161"/>
    </row>
    <row r="1864" spans="1:9" ht="9.9499999999999993" customHeight="1" x14ac:dyDescent="0.25">
      <c r="A1864" s="164" t="s">
        <v>1498</v>
      </c>
      <c r="B1864" s="121"/>
      <c r="C1864" s="122"/>
      <c r="D1864" s="123">
        <f>ROUND(SUM(D1860:D1863),2)</f>
        <v>280</v>
      </c>
      <c r="E1864" s="162"/>
      <c r="F1864" s="162"/>
      <c r="G1864" s="162"/>
      <c r="H1864" s="162"/>
      <c r="I1864" s="161"/>
    </row>
    <row r="1865" spans="1:9" ht="15" customHeight="1" x14ac:dyDescent="0.25">
      <c r="A1865" s="452"/>
      <c r="B1865" s="453"/>
      <c r="C1865" s="453"/>
      <c r="D1865" s="162"/>
      <c r="E1865" s="162"/>
      <c r="F1865" s="162"/>
      <c r="G1865" s="162"/>
      <c r="H1865" s="162"/>
      <c r="I1865" s="161"/>
    </row>
    <row r="1866" spans="1:9" ht="12.95" customHeight="1" x14ac:dyDescent="0.25">
      <c r="A1866" s="450" t="s">
        <v>1504</v>
      </c>
      <c r="B1866" s="451"/>
      <c r="C1866" s="119"/>
      <c r="D1866" s="119" t="s">
        <v>984</v>
      </c>
      <c r="E1866" s="162"/>
      <c r="F1866" s="162"/>
      <c r="G1866" s="162"/>
      <c r="H1866" s="162"/>
      <c r="I1866" s="161"/>
    </row>
    <row r="1867" spans="1:9" ht="6" customHeight="1" x14ac:dyDescent="0.25">
      <c r="A1867" s="163" t="s">
        <v>1201</v>
      </c>
      <c r="B1867" s="120" t="s">
        <v>1505</v>
      </c>
      <c r="C1867" s="459">
        <v>118</v>
      </c>
      <c r="D1867" s="460">
        <f>ROUND(29.5*4,2)</f>
        <v>118</v>
      </c>
      <c r="E1867" s="162"/>
      <c r="F1867" s="162"/>
      <c r="G1867" s="162"/>
      <c r="H1867" s="162"/>
      <c r="I1867" s="161"/>
    </row>
    <row r="1868" spans="1:9" ht="12.95" customHeight="1" x14ac:dyDescent="0.25">
      <c r="A1868" s="166"/>
      <c r="B1868" s="124"/>
      <c r="C1868" s="459"/>
      <c r="D1868" s="460"/>
      <c r="E1868" s="162"/>
      <c r="F1868" s="162"/>
      <c r="G1868" s="162"/>
      <c r="H1868" s="162"/>
      <c r="I1868" s="161"/>
    </row>
    <row r="1869" spans="1:9" ht="15" customHeight="1" x14ac:dyDescent="0.25">
      <c r="A1869" s="163" t="s">
        <v>1506</v>
      </c>
      <c r="B1869" s="120" t="s">
        <v>1507</v>
      </c>
      <c r="C1869" s="227">
        <v>48.4</v>
      </c>
      <c r="D1869" s="228">
        <f>ROUND((20.9*2)+(3.3*2),2)</f>
        <v>48.4</v>
      </c>
      <c r="E1869" s="162"/>
      <c r="F1869" s="162"/>
      <c r="G1869" s="162"/>
      <c r="H1869" s="162"/>
      <c r="I1869" s="161"/>
    </row>
    <row r="1870" spans="1:9" ht="9.9499999999999993" customHeight="1" x14ac:dyDescent="0.25">
      <c r="A1870" s="164" t="s">
        <v>1504</v>
      </c>
      <c r="B1870" s="121"/>
      <c r="C1870" s="122"/>
      <c r="D1870" s="123">
        <f>ROUND(SUM(D1867:D1869),2)</f>
        <v>166.4</v>
      </c>
      <c r="E1870" s="162"/>
      <c r="F1870" s="162"/>
      <c r="G1870" s="162"/>
      <c r="H1870" s="162"/>
      <c r="I1870" s="161"/>
    </row>
    <row r="1871" spans="1:9" ht="12" customHeight="1" x14ac:dyDescent="0.25">
      <c r="A1871" s="452"/>
      <c r="B1871" s="453"/>
      <c r="C1871" s="453"/>
      <c r="D1871" s="162"/>
      <c r="E1871" s="162"/>
      <c r="F1871" s="162"/>
      <c r="G1871" s="162"/>
      <c r="H1871" s="162"/>
      <c r="I1871" s="161"/>
    </row>
    <row r="1872" spans="1:9" ht="12" customHeight="1" x14ac:dyDescent="0.25">
      <c r="A1872" s="461" t="s">
        <v>4299</v>
      </c>
      <c r="B1872" s="462"/>
      <c r="C1872" s="462"/>
      <c r="D1872" s="458" t="str">
        <f>"TOTAL DA MEMÓRIA DE CÁLCULO: "&amp;TEXT(ROUND(SUM(D1857,D1864,D1870),2),"0,00")</f>
        <v>TOTAL DA MEMÓRIA DE CÁLCULO: 1008,55</v>
      </c>
      <c r="E1872" s="458"/>
      <c r="F1872" s="458"/>
      <c r="G1872" s="458"/>
      <c r="H1872" s="458"/>
      <c r="I1872" s="161"/>
    </row>
    <row r="1873" spans="1:9" ht="9.9499999999999993" customHeight="1" x14ac:dyDescent="0.25">
      <c r="A1873" s="461"/>
      <c r="B1873" s="462"/>
      <c r="C1873" s="462"/>
      <c r="D1873" s="162"/>
      <c r="E1873" s="162"/>
      <c r="F1873" s="162"/>
      <c r="G1873" s="162"/>
      <c r="H1873" s="162"/>
      <c r="I1873" s="161"/>
    </row>
    <row r="1874" spans="1:9" ht="30.95" customHeight="1" x14ac:dyDescent="0.25">
      <c r="A1874" s="452"/>
      <c r="B1874" s="453"/>
      <c r="C1874" s="453"/>
      <c r="D1874" s="453"/>
      <c r="E1874" s="162"/>
      <c r="F1874" s="162"/>
      <c r="G1874" s="162"/>
      <c r="H1874" s="162"/>
      <c r="I1874" s="161"/>
    </row>
    <row r="1875" spans="1:9" ht="15" customHeight="1" x14ac:dyDescent="0.25">
      <c r="A1875" s="456" t="s">
        <v>1508</v>
      </c>
      <c r="B1875" s="457"/>
      <c r="C1875" s="457"/>
      <c r="D1875" s="457"/>
      <c r="E1875" s="457"/>
      <c r="F1875" s="457"/>
      <c r="G1875" s="457"/>
      <c r="H1875" s="457"/>
      <c r="I1875" s="161"/>
    </row>
    <row r="1876" spans="1:9" ht="18.95" customHeight="1" x14ac:dyDescent="0.25">
      <c r="A1876" s="450"/>
      <c r="B1876" s="451"/>
      <c r="C1876" s="119"/>
      <c r="D1876" s="119" t="s">
        <v>984</v>
      </c>
      <c r="E1876" s="162"/>
      <c r="F1876" s="162"/>
      <c r="G1876" s="162"/>
      <c r="H1876" s="162"/>
      <c r="I1876" s="161"/>
    </row>
    <row r="1877" spans="1:9" ht="18.95" customHeight="1" x14ac:dyDescent="0.25">
      <c r="A1877" s="163" t="s">
        <v>1509</v>
      </c>
      <c r="B1877" s="120" t="s">
        <v>1510</v>
      </c>
      <c r="C1877" s="227">
        <v>18.8</v>
      </c>
      <c r="D1877" s="228">
        <f>ROUND(2.35*8,2)</f>
        <v>18.8</v>
      </c>
      <c r="E1877" s="162"/>
      <c r="F1877" s="162"/>
      <c r="G1877" s="162"/>
      <c r="H1877" s="162"/>
      <c r="I1877" s="161"/>
    </row>
    <row r="1878" spans="1:9" ht="15" customHeight="1" x14ac:dyDescent="0.25">
      <c r="A1878" s="163" t="s">
        <v>1511</v>
      </c>
      <c r="B1878" s="120" t="s">
        <v>1512</v>
      </c>
      <c r="C1878" s="227">
        <v>16</v>
      </c>
      <c r="D1878" s="228">
        <f>ROUND(1*16,2)</f>
        <v>16</v>
      </c>
      <c r="E1878" s="162"/>
      <c r="F1878" s="162"/>
      <c r="G1878" s="162"/>
      <c r="H1878" s="162"/>
      <c r="I1878" s="161"/>
    </row>
    <row r="1879" spans="1:9" ht="9.9499999999999993" customHeight="1" x14ac:dyDescent="0.25">
      <c r="A1879" s="164"/>
      <c r="B1879" s="121"/>
      <c r="C1879" s="122"/>
      <c r="D1879" s="123">
        <f>ROUND(SUM(D1877:D1878),2)</f>
        <v>34.799999999999997</v>
      </c>
      <c r="E1879" s="162"/>
      <c r="F1879" s="162"/>
      <c r="G1879" s="162"/>
      <c r="H1879" s="162"/>
      <c r="I1879" s="161"/>
    </row>
    <row r="1880" spans="1:9" ht="12" customHeight="1" x14ac:dyDescent="0.25">
      <c r="A1880" s="452"/>
      <c r="B1880" s="453"/>
      <c r="C1880" s="453"/>
      <c r="D1880" s="162"/>
      <c r="E1880" s="162"/>
      <c r="F1880" s="162"/>
      <c r="G1880" s="162"/>
      <c r="H1880" s="162"/>
      <c r="I1880" s="161"/>
    </row>
    <row r="1881" spans="1:9" ht="9.9499999999999993" customHeight="1" x14ac:dyDescent="0.25">
      <c r="A1881" s="165"/>
      <c r="B1881" s="162"/>
      <c r="C1881" s="162"/>
      <c r="D1881" s="458" t="str">
        <f>"TOTAL DA MEMÓRIA DE CÁLCULO: "&amp;TEXT(ROUND(SUM(D1879),2),"0,00")</f>
        <v>TOTAL DA MEMÓRIA DE CÁLCULO: 34,80</v>
      </c>
      <c r="E1881" s="458"/>
      <c r="F1881" s="458"/>
      <c r="G1881" s="458"/>
      <c r="H1881" s="458"/>
      <c r="I1881" s="161"/>
    </row>
    <row r="1882" spans="1:9" ht="20.100000000000001" customHeight="1" x14ac:dyDescent="0.25">
      <c r="A1882" s="452"/>
      <c r="B1882" s="453"/>
      <c r="C1882" s="453"/>
      <c r="D1882" s="453"/>
      <c r="E1882" s="162"/>
      <c r="F1882" s="162"/>
      <c r="G1882" s="162"/>
      <c r="H1882" s="162"/>
      <c r="I1882" s="161"/>
    </row>
    <row r="1883" spans="1:9" ht="15" customHeight="1" x14ac:dyDescent="0.25">
      <c r="A1883" s="456" t="s">
        <v>1513</v>
      </c>
      <c r="B1883" s="457"/>
      <c r="C1883" s="457"/>
      <c r="D1883" s="457"/>
      <c r="E1883" s="457"/>
      <c r="F1883" s="457"/>
      <c r="G1883" s="457"/>
      <c r="H1883" s="457"/>
      <c r="I1883" s="161"/>
    </row>
    <row r="1884" spans="1:9" ht="18.95" customHeight="1" x14ac:dyDescent="0.25">
      <c r="A1884" s="450"/>
      <c r="B1884" s="451"/>
      <c r="C1884" s="119"/>
      <c r="D1884" s="119" t="s">
        <v>984</v>
      </c>
      <c r="E1884" s="162"/>
      <c r="F1884" s="162"/>
      <c r="G1884" s="162"/>
      <c r="H1884" s="162"/>
      <c r="I1884" s="161"/>
    </row>
    <row r="1885" spans="1:9" ht="15" customHeight="1" x14ac:dyDescent="0.25">
      <c r="A1885" s="163" t="s">
        <v>1514</v>
      </c>
      <c r="B1885" s="120" t="s">
        <v>1515</v>
      </c>
      <c r="C1885" s="227">
        <v>151.28</v>
      </c>
      <c r="D1885" s="228">
        <f>ROUND(1008.55*0.15,2)</f>
        <v>151.28</v>
      </c>
      <c r="E1885" s="162"/>
      <c r="F1885" s="162"/>
      <c r="G1885" s="162"/>
      <c r="H1885" s="162"/>
      <c r="I1885" s="161"/>
    </row>
    <row r="1886" spans="1:9" ht="9.9499999999999993" customHeight="1" x14ac:dyDescent="0.25">
      <c r="A1886" s="164"/>
      <c r="B1886" s="121"/>
      <c r="C1886" s="122"/>
      <c r="D1886" s="123">
        <f>ROUND(SUM(D1885:D1885),2)</f>
        <v>151.28</v>
      </c>
      <c r="E1886" s="162"/>
      <c r="F1886" s="162"/>
      <c r="G1886" s="162"/>
      <c r="H1886" s="162"/>
      <c r="I1886" s="161"/>
    </row>
    <row r="1887" spans="1:9" ht="12" customHeight="1" x14ac:dyDescent="0.25">
      <c r="A1887" s="452"/>
      <c r="B1887" s="453"/>
      <c r="C1887" s="453"/>
      <c r="D1887" s="162"/>
      <c r="E1887" s="162"/>
      <c r="F1887" s="162"/>
      <c r="G1887" s="162"/>
      <c r="H1887" s="162"/>
      <c r="I1887" s="161"/>
    </row>
    <row r="1888" spans="1:9" ht="12" customHeight="1" x14ac:dyDescent="0.25">
      <c r="A1888" s="461" t="s">
        <v>4305</v>
      </c>
      <c r="B1888" s="462"/>
      <c r="C1888" s="462"/>
      <c r="D1888" s="458" t="str">
        <f>"TOTAL DA MEMÓRIA DE CÁLCULO: "&amp;TEXT(ROUND(SUM(D1886),2),"0,00")</f>
        <v>TOTAL DA MEMÓRIA DE CÁLCULO: 151,28</v>
      </c>
      <c r="E1888" s="458"/>
      <c r="F1888" s="458"/>
      <c r="G1888" s="458"/>
      <c r="H1888" s="458"/>
      <c r="I1888" s="161"/>
    </row>
    <row r="1889" spans="1:9" ht="9.9499999999999993" customHeight="1" x14ac:dyDescent="0.25">
      <c r="A1889" s="461"/>
      <c r="B1889" s="462"/>
      <c r="C1889" s="462"/>
      <c r="D1889" s="162"/>
      <c r="E1889" s="162"/>
      <c r="F1889" s="162"/>
      <c r="G1889" s="162"/>
      <c r="H1889" s="162"/>
      <c r="I1889" s="161"/>
    </row>
    <row r="1890" spans="1:9" ht="30.95" customHeight="1" x14ac:dyDescent="0.25">
      <c r="A1890" s="452"/>
      <c r="B1890" s="453"/>
      <c r="C1890" s="453"/>
      <c r="D1890" s="453"/>
      <c r="E1890" s="162"/>
      <c r="F1890" s="162"/>
      <c r="G1890" s="162"/>
      <c r="H1890" s="162"/>
      <c r="I1890" s="161"/>
    </row>
    <row r="1891" spans="1:9" ht="15" customHeight="1" x14ac:dyDescent="0.25">
      <c r="A1891" s="456" t="s">
        <v>1516</v>
      </c>
      <c r="B1891" s="457"/>
      <c r="C1891" s="457"/>
      <c r="D1891" s="457"/>
      <c r="E1891" s="457"/>
      <c r="F1891" s="457"/>
      <c r="G1891" s="457"/>
      <c r="H1891" s="457"/>
      <c r="I1891" s="161"/>
    </row>
    <row r="1892" spans="1:9" ht="12.95" customHeight="1" x14ac:dyDescent="0.25">
      <c r="A1892" s="450" t="s">
        <v>1481</v>
      </c>
      <c r="B1892" s="451"/>
      <c r="C1892" s="119" t="s">
        <v>1059</v>
      </c>
      <c r="D1892" s="119" t="s">
        <v>1024</v>
      </c>
      <c r="E1892" s="119" t="s">
        <v>984</v>
      </c>
      <c r="F1892" s="162"/>
      <c r="G1892" s="162"/>
      <c r="H1892" s="162"/>
      <c r="I1892" s="161"/>
    </row>
    <row r="1893" spans="1:9" ht="6" customHeight="1" x14ac:dyDescent="0.25">
      <c r="A1893" s="163" t="s">
        <v>1482</v>
      </c>
      <c r="B1893" s="120" t="s">
        <v>1200</v>
      </c>
      <c r="C1893" s="459">
        <v>118.25</v>
      </c>
      <c r="D1893" s="459">
        <v>1.4</v>
      </c>
      <c r="E1893" s="460">
        <f>ROUND(D1893*C1893,2)</f>
        <v>165.55</v>
      </c>
      <c r="F1893" s="162"/>
      <c r="G1893" s="162"/>
      <c r="H1893" s="162"/>
      <c r="I1893" s="161"/>
    </row>
    <row r="1894" spans="1:9" ht="12.95" customHeight="1" x14ac:dyDescent="0.25">
      <c r="A1894" s="166"/>
      <c r="B1894" s="124"/>
      <c r="C1894" s="459"/>
      <c r="D1894" s="459"/>
      <c r="E1894" s="460"/>
      <c r="F1894" s="162"/>
      <c r="G1894" s="162"/>
      <c r="H1894" s="162"/>
      <c r="I1894" s="161"/>
    </row>
    <row r="1895" spans="1:9" ht="18.95" customHeight="1" x14ac:dyDescent="0.25">
      <c r="A1895" s="163" t="s">
        <v>1483</v>
      </c>
      <c r="B1895" s="120" t="s">
        <v>1382</v>
      </c>
      <c r="C1895" s="227">
        <v>6</v>
      </c>
      <c r="D1895" s="227">
        <v>1.4</v>
      </c>
      <c r="E1895" s="228">
        <f>ROUND(-D1895*C1895,2)</f>
        <v>-8.4</v>
      </c>
      <c r="F1895" s="162"/>
      <c r="G1895" s="162"/>
      <c r="H1895" s="162"/>
      <c r="I1895" s="161"/>
    </row>
    <row r="1896" spans="1:9" ht="9.9499999999999993" customHeight="1" x14ac:dyDescent="0.25">
      <c r="A1896" s="164" t="s">
        <v>1481</v>
      </c>
      <c r="B1896" s="121"/>
      <c r="C1896" s="122"/>
      <c r="D1896" s="122"/>
      <c r="E1896" s="123">
        <f>ROUND(SUM(E1893:E1895),2)</f>
        <v>157.15</v>
      </c>
      <c r="F1896" s="162"/>
      <c r="G1896" s="162"/>
      <c r="H1896" s="162"/>
      <c r="I1896" s="161"/>
    </row>
    <row r="1897" spans="1:9" ht="12" customHeight="1" x14ac:dyDescent="0.25">
      <c r="A1897" s="452"/>
      <c r="B1897" s="453"/>
      <c r="C1897" s="453"/>
      <c r="D1897" s="162"/>
      <c r="E1897" s="162"/>
      <c r="F1897" s="162"/>
      <c r="G1897" s="162"/>
      <c r="H1897" s="162"/>
      <c r="I1897" s="161"/>
    </row>
    <row r="1898" spans="1:9" ht="12" customHeight="1" x14ac:dyDescent="0.25">
      <c r="A1898" s="461" t="s">
        <v>4299</v>
      </c>
      <c r="B1898" s="462"/>
      <c r="C1898" s="462"/>
      <c r="D1898" s="458" t="str">
        <f>"TOTAL DA MEMÓRIA DE CÁLCULO: "&amp;TEXT(ROUND(SUM(E1896),2),"0,00")</f>
        <v>TOTAL DA MEMÓRIA DE CÁLCULO: 157,15</v>
      </c>
      <c r="E1898" s="458"/>
      <c r="F1898" s="458"/>
      <c r="G1898" s="458"/>
      <c r="H1898" s="458"/>
      <c r="I1898" s="161"/>
    </row>
    <row r="1899" spans="1:9" ht="9.9499999999999993" customHeight="1" x14ac:dyDescent="0.25">
      <c r="A1899" s="461"/>
      <c r="B1899" s="462"/>
      <c r="C1899" s="462"/>
      <c r="D1899" s="162"/>
      <c r="E1899" s="162"/>
      <c r="F1899" s="162"/>
      <c r="G1899" s="162"/>
      <c r="H1899" s="162"/>
      <c r="I1899" s="161"/>
    </row>
    <row r="1900" spans="1:9" ht="20.100000000000001" customHeight="1" x14ac:dyDescent="0.25">
      <c r="A1900" s="452"/>
      <c r="B1900" s="453"/>
      <c r="C1900" s="453"/>
      <c r="D1900" s="453"/>
      <c r="E1900" s="162"/>
      <c r="F1900" s="162"/>
      <c r="G1900" s="162"/>
      <c r="H1900" s="162"/>
      <c r="I1900" s="161"/>
    </row>
    <row r="1901" spans="1:9" ht="9.9499999999999993" customHeight="1" x14ac:dyDescent="0.25">
      <c r="A1901" s="456" t="s">
        <v>1517</v>
      </c>
      <c r="B1901" s="457"/>
      <c r="C1901" s="457"/>
      <c r="D1901" s="457"/>
      <c r="E1901" s="457"/>
      <c r="F1901" s="457"/>
      <c r="G1901" s="457"/>
      <c r="H1901" s="457"/>
      <c r="I1901" s="161"/>
    </row>
    <row r="1902" spans="1:9" ht="20.100000000000001" customHeight="1" x14ac:dyDescent="0.25">
      <c r="A1902" s="452"/>
      <c r="B1902" s="453"/>
      <c r="C1902" s="453"/>
      <c r="D1902" s="162"/>
      <c r="E1902" s="162"/>
      <c r="F1902" s="162"/>
      <c r="G1902" s="162"/>
      <c r="H1902" s="162"/>
      <c r="I1902" s="161"/>
    </row>
    <row r="1903" spans="1:9" ht="15" customHeight="1" x14ac:dyDescent="0.25">
      <c r="A1903" s="456" t="s">
        <v>1518</v>
      </c>
      <c r="B1903" s="457"/>
      <c r="C1903" s="457"/>
      <c r="D1903" s="457"/>
      <c r="E1903" s="457"/>
      <c r="F1903" s="457"/>
      <c r="G1903" s="457"/>
      <c r="H1903" s="457"/>
      <c r="I1903" s="161"/>
    </row>
    <row r="1904" spans="1:9" ht="18.95" customHeight="1" x14ac:dyDescent="0.25">
      <c r="A1904" s="450"/>
      <c r="B1904" s="451"/>
      <c r="C1904" s="119"/>
      <c r="D1904" s="119" t="s">
        <v>984</v>
      </c>
      <c r="E1904" s="162"/>
      <c r="F1904" s="162"/>
      <c r="G1904" s="162"/>
      <c r="H1904" s="162"/>
      <c r="I1904" s="161"/>
    </row>
    <row r="1905" spans="1:9" ht="15" customHeight="1" x14ac:dyDescent="0.25">
      <c r="A1905" s="163" t="s">
        <v>1519</v>
      </c>
      <c r="B1905" s="120" t="s">
        <v>1520</v>
      </c>
      <c r="C1905" s="227">
        <v>20</v>
      </c>
      <c r="D1905" s="228">
        <f>ROUND(20*1,2)</f>
        <v>20</v>
      </c>
      <c r="E1905" s="162"/>
      <c r="F1905" s="162"/>
      <c r="G1905" s="162"/>
      <c r="H1905" s="162"/>
      <c r="I1905" s="161"/>
    </row>
    <row r="1906" spans="1:9" ht="9.9499999999999993" customHeight="1" x14ac:dyDescent="0.25">
      <c r="A1906" s="164"/>
      <c r="B1906" s="121"/>
      <c r="C1906" s="122"/>
      <c r="D1906" s="123">
        <f>ROUND(SUM(D1905:D1905),2)</f>
        <v>20</v>
      </c>
      <c r="E1906" s="162"/>
      <c r="F1906" s="162"/>
      <c r="G1906" s="162"/>
      <c r="H1906" s="162"/>
      <c r="I1906" s="161"/>
    </row>
    <row r="1907" spans="1:9" ht="12" customHeight="1" x14ac:dyDescent="0.25">
      <c r="A1907" s="452"/>
      <c r="B1907" s="453"/>
      <c r="C1907" s="453"/>
      <c r="D1907" s="162"/>
      <c r="E1907" s="162"/>
      <c r="F1907" s="162"/>
      <c r="G1907" s="162"/>
      <c r="H1907" s="162"/>
      <c r="I1907" s="161"/>
    </row>
    <row r="1908" spans="1:9" ht="9.9499999999999993" customHeight="1" x14ac:dyDescent="0.25">
      <c r="A1908" s="165"/>
      <c r="B1908" s="162"/>
      <c r="C1908" s="162"/>
      <c r="D1908" s="458" t="str">
        <f>"TOTAL DA MEMÓRIA DE CÁLCULO: "&amp;TEXT(ROUND(SUM(D1906),2),"0,00")</f>
        <v>TOTAL DA MEMÓRIA DE CÁLCULO: 20,00</v>
      </c>
      <c r="E1908" s="458"/>
      <c r="F1908" s="458"/>
      <c r="G1908" s="458"/>
      <c r="H1908" s="458"/>
      <c r="I1908" s="161"/>
    </row>
    <row r="1909" spans="1:9" ht="30.95" customHeight="1" x14ac:dyDescent="0.25">
      <c r="A1909" s="452"/>
      <c r="B1909" s="453"/>
      <c r="C1909" s="453"/>
      <c r="D1909" s="453"/>
      <c r="E1909" s="162"/>
      <c r="F1909" s="162"/>
      <c r="G1909" s="162"/>
      <c r="H1909" s="162"/>
      <c r="I1909" s="161"/>
    </row>
    <row r="1910" spans="1:9" ht="15" customHeight="1" x14ac:dyDescent="0.25">
      <c r="A1910" s="456" t="s">
        <v>1521</v>
      </c>
      <c r="B1910" s="457"/>
      <c r="C1910" s="457"/>
      <c r="D1910" s="457"/>
      <c r="E1910" s="457"/>
      <c r="F1910" s="457"/>
      <c r="G1910" s="457"/>
      <c r="H1910" s="457"/>
      <c r="I1910" s="161"/>
    </row>
    <row r="1911" spans="1:9" ht="27" customHeight="1" x14ac:dyDescent="0.25">
      <c r="A1911" s="450"/>
      <c r="B1911" s="451"/>
      <c r="C1911" s="119"/>
      <c r="D1911" s="119" t="s">
        <v>984</v>
      </c>
      <c r="E1911" s="162"/>
      <c r="F1911" s="162"/>
      <c r="G1911" s="162"/>
      <c r="H1911" s="162"/>
      <c r="I1911" s="161"/>
    </row>
    <row r="1912" spans="1:9" ht="15" customHeight="1" x14ac:dyDescent="0.25">
      <c r="A1912" s="163" t="s">
        <v>1522</v>
      </c>
      <c r="B1912" s="120" t="s">
        <v>1523</v>
      </c>
      <c r="C1912" s="227">
        <v>28</v>
      </c>
      <c r="D1912" s="228">
        <f>ROUND(40*0.7,2)</f>
        <v>28</v>
      </c>
      <c r="E1912" s="162"/>
      <c r="F1912" s="162"/>
      <c r="G1912" s="162"/>
      <c r="H1912" s="162"/>
      <c r="I1912" s="161"/>
    </row>
    <row r="1913" spans="1:9" ht="9.9499999999999993" customHeight="1" x14ac:dyDescent="0.25">
      <c r="A1913" s="164"/>
      <c r="B1913" s="121"/>
      <c r="C1913" s="122"/>
      <c r="D1913" s="123">
        <f>ROUND(SUM(D1912:D1912),2)</f>
        <v>28</v>
      </c>
      <c r="E1913" s="162"/>
      <c r="F1913" s="162"/>
      <c r="G1913" s="162"/>
      <c r="H1913" s="162"/>
      <c r="I1913" s="161"/>
    </row>
    <row r="1914" spans="1:9" ht="26.1" customHeight="1" x14ac:dyDescent="0.25">
      <c r="A1914" s="452"/>
      <c r="B1914" s="453"/>
      <c r="C1914" s="453"/>
      <c r="D1914" s="162"/>
      <c r="E1914" s="162"/>
      <c r="F1914" s="162"/>
      <c r="G1914" s="162"/>
      <c r="H1914" s="162"/>
      <c r="I1914" s="161"/>
    </row>
    <row r="1915" spans="1:9" ht="12" customHeight="1" x14ac:dyDescent="0.25">
      <c r="A1915" s="461" t="s">
        <v>4306</v>
      </c>
      <c r="B1915" s="462"/>
      <c r="C1915" s="462"/>
      <c r="D1915" s="458" t="str">
        <f>"TOTAL DA MEMÓRIA DE CÁLCULO: "&amp;TEXT(ROUND(SUM(D1913),2),"0,00")</f>
        <v>TOTAL DA MEMÓRIA DE CÁLCULO: 28,00</v>
      </c>
      <c r="E1915" s="458"/>
      <c r="F1915" s="458"/>
      <c r="G1915" s="458"/>
      <c r="H1915" s="458"/>
      <c r="I1915" s="161"/>
    </row>
    <row r="1916" spans="1:9" ht="9.9499999999999993" customHeight="1" x14ac:dyDescent="0.25">
      <c r="A1916" s="461"/>
      <c r="B1916" s="462"/>
      <c r="C1916" s="462"/>
      <c r="D1916" s="162"/>
      <c r="E1916" s="162"/>
      <c r="F1916" s="162"/>
      <c r="G1916" s="162"/>
      <c r="H1916" s="162"/>
      <c r="I1916" s="161"/>
    </row>
    <row r="1917" spans="1:9" ht="20.100000000000001" customHeight="1" x14ac:dyDescent="0.25">
      <c r="A1917" s="452"/>
      <c r="B1917" s="453"/>
      <c r="C1917" s="453"/>
      <c r="D1917" s="453"/>
      <c r="E1917" s="162"/>
      <c r="F1917" s="162"/>
      <c r="G1917" s="162"/>
      <c r="H1917" s="162"/>
      <c r="I1917" s="161"/>
    </row>
    <row r="1918" spans="1:9" ht="15" customHeight="1" x14ac:dyDescent="0.25">
      <c r="A1918" s="456" t="s">
        <v>1524</v>
      </c>
      <c r="B1918" s="457"/>
      <c r="C1918" s="457"/>
      <c r="D1918" s="457"/>
      <c r="E1918" s="457"/>
      <c r="F1918" s="457"/>
      <c r="G1918" s="457"/>
      <c r="H1918" s="457"/>
      <c r="I1918" s="161"/>
    </row>
    <row r="1919" spans="1:9" ht="12.95" customHeight="1" x14ac:dyDescent="0.25">
      <c r="A1919" s="450" t="s">
        <v>1504</v>
      </c>
      <c r="B1919" s="451"/>
      <c r="C1919" s="119"/>
      <c r="D1919" s="119" t="s">
        <v>984</v>
      </c>
      <c r="E1919" s="162"/>
      <c r="F1919" s="162"/>
      <c r="G1919" s="162"/>
      <c r="H1919" s="162"/>
      <c r="I1919" s="161"/>
    </row>
    <row r="1920" spans="1:9" ht="6" customHeight="1" x14ac:dyDescent="0.25">
      <c r="A1920" s="163" t="s">
        <v>1201</v>
      </c>
      <c r="B1920" s="120" t="s">
        <v>1505</v>
      </c>
      <c r="C1920" s="459">
        <v>118</v>
      </c>
      <c r="D1920" s="460">
        <f>ROUND(29.5*4,2)</f>
        <v>118</v>
      </c>
      <c r="E1920" s="162"/>
      <c r="F1920" s="162"/>
      <c r="G1920" s="162"/>
      <c r="H1920" s="162"/>
      <c r="I1920" s="161"/>
    </row>
    <row r="1921" spans="1:9" ht="12.95" customHeight="1" x14ac:dyDescent="0.25">
      <c r="A1921" s="166"/>
      <c r="B1921" s="124"/>
      <c r="C1921" s="459"/>
      <c r="D1921" s="460"/>
      <c r="E1921" s="162"/>
      <c r="F1921" s="162"/>
      <c r="G1921" s="162"/>
      <c r="H1921" s="162"/>
      <c r="I1921" s="161"/>
    </row>
    <row r="1922" spans="1:9" ht="15" customHeight="1" x14ac:dyDescent="0.25">
      <c r="A1922" s="163" t="s">
        <v>1506</v>
      </c>
      <c r="B1922" s="120" t="s">
        <v>1507</v>
      </c>
      <c r="C1922" s="227">
        <v>48.4</v>
      </c>
      <c r="D1922" s="228">
        <f>ROUND((20.9*2)+(3.3*2),2)</f>
        <v>48.4</v>
      </c>
      <c r="E1922" s="162"/>
      <c r="F1922" s="162"/>
      <c r="G1922" s="162"/>
      <c r="H1922" s="162"/>
      <c r="I1922" s="161"/>
    </row>
    <row r="1923" spans="1:9" ht="9.9499999999999993" customHeight="1" x14ac:dyDescent="0.25">
      <c r="A1923" s="164" t="s">
        <v>1504</v>
      </c>
      <c r="B1923" s="121"/>
      <c r="C1923" s="122"/>
      <c r="D1923" s="123">
        <f>ROUND(SUM(D1920:D1922),2)</f>
        <v>166.4</v>
      </c>
      <c r="E1923" s="162"/>
      <c r="F1923" s="162"/>
      <c r="G1923" s="162"/>
      <c r="H1923" s="162"/>
      <c r="I1923" s="161"/>
    </row>
    <row r="1924" spans="1:9" ht="12" customHeight="1" x14ac:dyDescent="0.25">
      <c r="A1924" s="452"/>
      <c r="B1924" s="453"/>
      <c r="C1924" s="453"/>
      <c r="D1924" s="162"/>
      <c r="E1924" s="162"/>
      <c r="F1924" s="162"/>
      <c r="G1924" s="162"/>
      <c r="H1924" s="162"/>
      <c r="I1924" s="161"/>
    </row>
    <row r="1925" spans="1:9" ht="12" customHeight="1" x14ac:dyDescent="0.25">
      <c r="A1925" s="461" t="s">
        <v>4299</v>
      </c>
      <c r="B1925" s="462"/>
      <c r="C1925" s="462"/>
      <c r="D1925" s="458" t="str">
        <f>"TOTAL DA MEMÓRIA DE CÁLCULO: "&amp;TEXT(ROUND(SUM(D1923),2),"0,00")</f>
        <v>TOTAL DA MEMÓRIA DE CÁLCULO: 166,40</v>
      </c>
      <c r="E1925" s="458"/>
      <c r="F1925" s="458"/>
      <c r="G1925" s="458"/>
      <c r="H1925" s="458"/>
      <c r="I1925" s="161"/>
    </row>
    <row r="1926" spans="1:9" ht="9.9499999999999993" customHeight="1" x14ac:dyDescent="0.25">
      <c r="A1926" s="461"/>
      <c r="B1926" s="462"/>
      <c r="C1926" s="462"/>
      <c r="D1926" s="162"/>
      <c r="E1926" s="162"/>
      <c r="F1926" s="162"/>
      <c r="G1926" s="162"/>
      <c r="H1926" s="162"/>
      <c r="I1926" s="161"/>
    </row>
    <row r="1927" spans="1:9" ht="20.100000000000001" customHeight="1" x14ac:dyDescent="0.25">
      <c r="A1927" s="452"/>
      <c r="B1927" s="453"/>
      <c r="C1927" s="453"/>
      <c r="D1927" s="453"/>
      <c r="E1927" s="162"/>
      <c r="F1927" s="162"/>
      <c r="G1927" s="162"/>
      <c r="H1927" s="162"/>
      <c r="I1927" s="161"/>
    </row>
    <row r="1928" spans="1:9" ht="15" customHeight="1" x14ac:dyDescent="0.25">
      <c r="A1928" s="456" t="s">
        <v>1525</v>
      </c>
      <c r="B1928" s="457"/>
      <c r="C1928" s="457"/>
      <c r="D1928" s="457"/>
      <c r="E1928" s="457"/>
      <c r="F1928" s="457"/>
      <c r="G1928" s="457"/>
      <c r="H1928" s="457"/>
      <c r="I1928" s="161"/>
    </row>
    <row r="1929" spans="1:9" ht="18.95" customHeight="1" x14ac:dyDescent="0.25">
      <c r="A1929" s="450"/>
      <c r="B1929" s="451"/>
      <c r="C1929" s="119"/>
      <c r="D1929" s="119" t="s">
        <v>984</v>
      </c>
      <c r="E1929" s="162"/>
      <c r="F1929" s="162"/>
      <c r="G1929" s="162"/>
      <c r="H1929" s="162"/>
      <c r="I1929" s="161"/>
    </row>
    <row r="1930" spans="1:9" ht="15" customHeight="1" x14ac:dyDescent="0.25">
      <c r="A1930" s="163" t="s">
        <v>1526</v>
      </c>
      <c r="B1930" s="120" t="s">
        <v>1527</v>
      </c>
      <c r="C1930" s="227">
        <v>4</v>
      </c>
      <c r="D1930" s="228">
        <f>ROUND(40*0.1,2)</f>
        <v>4</v>
      </c>
      <c r="E1930" s="162"/>
      <c r="F1930" s="162"/>
      <c r="G1930" s="162"/>
      <c r="H1930" s="162"/>
      <c r="I1930" s="161"/>
    </row>
    <row r="1931" spans="1:9" ht="9.9499999999999993" customHeight="1" x14ac:dyDescent="0.25">
      <c r="A1931" s="164"/>
      <c r="B1931" s="121"/>
      <c r="C1931" s="122"/>
      <c r="D1931" s="123">
        <f>ROUND(SUM(D1930:D1930),2)</f>
        <v>4</v>
      </c>
      <c r="E1931" s="162"/>
      <c r="F1931" s="162"/>
      <c r="G1931" s="162"/>
      <c r="H1931" s="162"/>
      <c r="I1931" s="161"/>
    </row>
    <row r="1932" spans="1:9" ht="26.1" customHeight="1" x14ac:dyDescent="0.25">
      <c r="A1932" s="452"/>
      <c r="B1932" s="453"/>
      <c r="C1932" s="453"/>
      <c r="D1932" s="162"/>
      <c r="E1932" s="162"/>
      <c r="F1932" s="162"/>
      <c r="G1932" s="162"/>
      <c r="H1932" s="162"/>
      <c r="I1932" s="161"/>
    </row>
    <row r="1933" spans="1:9" ht="12" customHeight="1" x14ac:dyDescent="0.25">
      <c r="A1933" s="461" t="s">
        <v>4307</v>
      </c>
      <c r="B1933" s="462"/>
      <c r="C1933" s="462"/>
      <c r="D1933" s="458" t="str">
        <f>"TOTAL DA MEMÓRIA DE CÁLCULO: "&amp;TEXT(ROUND(SUM(D1931),2),"0,00")</f>
        <v>TOTAL DA MEMÓRIA DE CÁLCULO: 4,00</v>
      </c>
      <c r="E1933" s="458"/>
      <c r="F1933" s="458"/>
      <c r="G1933" s="458"/>
      <c r="H1933" s="458"/>
      <c r="I1933" s="161"/>
    </row>
    <row r="1934" spans="1:9" ht="9.9499999999999993" customHeight="1" x14ac:dyDescent="0.25">
      <c r="A1934" s="461"/>
      <c r="B1934" s="462"/>
      <c r="C1934" s="462"/>
      <c r="D1934" s="162"/>
      <c r="E1934" s="162"/>
      <c r="F1934" s="162"/>
      <c r="G1934" s="162"/>
      <c r="H1934" s="162"/>
      <c r="I1934" s="161"/>
    </row>
    <row r="1935" spans="1:9" ht="30.95" customHeight="1" x14ac:dyDescent="0.25">
      <c r="A1935" s="452"/>
      <c r="B1935" s="453"/>
      <c r="C1935" s="453"/>
      <c r="D1935" s="453"/>
      <c r="E1935" s="162"/>
      <c r="F1935" s="162"/>
      <c r="G1935" s="162"/>
      <c r="H1935" s="162"/>
      <c r="I1935" s="161"/>
    </row>
    <row r="1936" spans="1:9" ht="15" customHeight="1" x14ac:dyDescent="0.25">
      <c r="A1936" s="456" t="s">
        <v>1528</v>
      </c>
      <c r="B1936" s="457"/>
      <c r="C1936" s="457"/>
      <c r="D1936" s="457"/>
      <c r="E1936" s="457"/>
      <c r="F1936" s="457"/>
      <c r="G1936" s="457"/>
      <c r="H1936" s="457"/>
      <c r="I1936" s="161"/>
    </row>
    <row r="1937" spans="1:9" ht="12.95" customHeight="1" x14ac:dyDescent="0.25">
      <c r="A1937" s="450"/>
      <c r="B1937" s="451"/>
      <c r="C1937" s="119"/>
      <c r="D1937" s="119" t="s">
        <v>984</v>
      </c>
      <c r="E1937" s="162"/>
      <c r="F1937" s="162"/>
      <c r="G1937" s="162"/>
      <c r="H1937" s="162"/>
      <c r="I1937" s="161"/>
    </row>
    <row r="1938" spans="1:9" ht="12.95" customHeight="1" x14ac:dyDescent="0.25">
      <c r="A1938" s="163" t="s">
        <v>1529</v>
      </c>
      <c r="B1938" s="120" t="s">
        <v>1530</v>
      </c>
      <c r="C1938" s="227">
        <v>3.24</v>
      </c>
      <c r="D1938" s="228">
        <f>ROUND(3*1.08,2)</f>
        <v>3.24</v>
      </c>
      <c r="E1938" s="162"/>
      <c r="F1938" s="162"/>
      <c r="G1938" s="162"/>
      <c r="H1938" s="162"/>
      <c r="I1938" s="161"/>
    </row>
    <row r="1939" spans="1:9" ht="15" customHeight="1" x14ac:dyDescent="0.25">
      <c r="A1939" s="163" t="s">
        <v>1531</v>
      </c>
      <c r="B1939" s="120" t="s">
        <v>1532</v>
      </c>
      <c r="C1939" s="227">
        <v>7.55</v>
      </c>
      <c r="D1939" s="228">
        <f>ROUND(7.55*1,2)</f>
        <v>7.55</v>
      </c>
      <c r="E1939" s="162"/>
      <c r="F1939" s="162"/>
      <c r="G1939" s="162"/>
      <c r="H1939" s="162"/>
      <c r="I1939" s="161"/>
    </row>
    <row r="1940" spans="1:9" ht="9.9499999999999993" customHeight="1" x14ac:dyDescent="0.25">
      <c r="A1940" s="164"/>
      <c r="B1940" s="121"/>
      <c r="C1940" s="122"/>
      <c r="D1940" s="123">
        <f>ROUND(SUM(D1938:D1939),2)</f>
        <v>10.79</v>
      </c>
      <c r="E1940" s="162"/>
      <c r="F1940" s="162"/>
      <c r="G1940" s="162"/>
      <c r="H1940" s="162"/>
      <c r="I1940" s="161"/>
    </row>
    <row r="1941" spans="1:9" ht="12" customHeight="1" x14ac:dyDescent="0.25">
      <c r="A1941" s="452"/>
      <c r="B1941" s="453"/>
      <c r="C1941" s="453"/>
      <c r="D1941" s="162"/>
      <c r="E1941" s="162"/>
      <c r="F1941" s="162"/>
      <c r="G1941" s="162"/>
      <c r="H1941" s="162"/>
      <c r="I1941" s="161"/>
    </row>
    <row r="1942" spans="1:9" ht="9.9499999999999993" customHeight="1" x14ac:dyDescent="0.25">
      <c r="A1942" s="165"/>
      <c r="B1942" s="162"/>
      <c r="C1942" s="162"/>
      <c r="D1942" s="458" t="str">
        <f>"TOTAL DA MEMÓRIA DE CÁLCULO: "&amp;TEXT(ROUND(SUM(D1940),2),"0,00")</f>
        <v>TOTAL DA MEMÓRIA DE CÁLCULO: 10,79</v>
      </c>
      <c r="E1942" s="458"/>
      <c r="F1942" s="458"/>
      <c r="G1942" s="458"/>
      <c r="H1942" s="458"/>
      <c r="I1942" s="161"/>
    </row>
    <row r="1943" spans="1:9" ht="30.95" customHeight="1" x14ac:dyDescent="0.25">
      <c r="A1943" s="452"/>
      <c r="B1943" s="453"/>
      <c r="C1943" s="453"/>
      <c r="D1943" s="453"/>
      <c r="E1943" s="162"/>
      <c r="F1943" s="162"/>
      <c r="G1943" s="162"/>
      <c r="H1943" s="162"/>
      <c r="I1943" s="161"/>
    </row>
    <row r="1944" spans="1:9" ht="15" customHeight="1" x14ac:dyDescent="0.25">
      <c r="A1944" s="456" t="s">
        <v>1533</v>
      </c>
      <c r="B1944" s="457"/>
      <c r="C1944" s="457"/>
      <c r="D1944" s="457"/>
      <c r="E1944" s="457"/>
      <c r="F1944" s="457"/>
      <c r="G1944" s="457"/>
      <c r="H1944" s="457"/>
      <c r="I1944" s="161"/>
    </row>
    <row r="1945" spans="1:9" ht="27" customHeight="1" x14ac:dyDescent="0.25">
      <c r="A1945" s="450"/>
      <c r="B1945" s="451"/>
      <c r="C1945" s="119"/>
      <c r="D1945" s="119" t="s">
        <v>984</v>
      </c>
      <c r="E1945" s="162"/>
      <c r="F1945" s="162"/>
      <c r="G1945" s="162"/>
      <c r="H1945" s="162"/>
      <c r="I1945" s="161"/>
    </row>
    <row r="1946" spans="1:9" ht="15" customHeight="1" x14ac:dyDescent="0.25">
      <c r="A1946" s="163" t="s">
        <v>1534</v>
      </c>
      <c r="B1946" s="120" t="s">
        <v>1535</v>
      </c>
      <c r="C1946" s="227">
        <v>87.65</v>
      </c>
      <c r="D1946" s="228">
        <f>ROUND(87.65,2)</f>
        <v>87.65</v>
      </c>
      <c r="E1946" s="162"/>
      <c r="F1946" s="162"/>
      <c r="G1946" s="162"/>
      <c r="H1946" s="162"/>
      <c r="I1946" s="161"/>
    </row>
    <row r="1947" spans="1:9" ht="9.9499999999999993" customHeight="1" x14ac:dyDescent="0.25">
      <c r="A1947" s="164"/>
      <c r="B1947" s="121"/>
      <c r="C1947" s="122"/>
      <c r="D1947" s="123">
        <f>ROUND(SUM(D1946:D1946),2)</f>
        <v>87.65</v>
      </c>
      <c r="E1947" s="162"/>
      <c r="F1947" s="162"/>
      <c r="G1947" s="162"/>
      <c r="H1947" s="162"/>
      <c r="I1947" s="161"/>
    </row>
    <row r="1948" spans="1:9" ht="12" customHeight="1" x14ac:dyDescent="0.25">
      <c r="A1948" s="452"/>
      <c r="B1948" s="453"/>
      <c r="C1948" s="453"/>
      <c r="D1948" s="162"/>
      <c r="E1948" s="162"/>
      <c r="F1948" s="162"/>
      <c r="G1948" s="162"/>
      <c r="H1948" s="162"/>
      <c r="I1948" s="161"/>
    </row>
    <row r="1949" spans="1:9" ht="9.9499999999999993" customHeight="1" x14ac:dyDescent="0.25">
      <c r="A1949" s="165"/>
      <c r="B1949" s="162"/>
      <c r="C1949" s="162"/>
      <c r="D1949" s="458" t="str">
        <f>"TOTAL DA MEMÓRIA DE CÁLCULO: "&amp;TEXT(ROUND(SUM(D1947),2),"0,00")</f>
        <v>TOTAL DA MEMÓRIA DE CÁLCULO: 87,65</v>
      </c>
      <c r="E1949" s="458"/>
      <c r="F1949" s="458"/>
      <c r="G1949" s="458"/>
      <c r="H1949" s="458"/>
      <c r="I1949" s="161"/>
    </row>
    <row r="1950" spans="1:9" ht="20.100000000000001" customHeight="1" x14ac:dyDescent="0.25">
      <c r="A1950" s="452"/>
      <c r="B1950" s="453"/>
      <c r="C1950" s="453"/>
      <c r="D1950" s="453"/>
      <c r="E1950" s="162"/>
      <c r="F1950" s="162"/>
      <c r="G1950" s="162"/>
      <c r="H1950" s="162"/>
      <c r="I1950" s="161"/>
    </row>
    <row r="1951" spans="1:9" ht="15" customHeight="1" x14ac:dyDescent="0.25">
      <c r="A1951" s="456" t="s">
        <v>1536</v>
      </c>
      <c r="B1951" s="457"/>
      <c r="C1951" s="457"/>
      <c r="D1951" s="457"/>
      <c r="E1951" s="457"/>
      <c r="F1951" s="457"/>
      <c r="G1951" s="457"/>
      <c r="H1951" s="457"/>
      <c r="I1951" s="161"/>
    </row>
    <row r="1952" spans="1:9" ht="12.95" customHeight="1" x14ac:dyDescent="0.25">
      <c r="A1952" s="450" t="s">
        <v>1537</v>
      </c>
      <c r="B1952" s="451"/>
      <c r="C1952" s="119" t="s">
        <v>1059</v>
      </c>
      <c r="D1952" s="119" t="s">
        <v>1024</v>
      </c>
      <c r="E1952" s="119" t="s">
        <v>984</v>
      </c>
      <c r="F1952" s="162"/>
      <c r="G1952" s="162"/>
      <c r="H1952" s="162"/>
      <c r="I1952" s="161"/>
    </row>
    <row r="1953" spans="1:9" ht="15" customHeight="1" x14ac:dyDescent="0.25">
      <c r="A1953" s="163" t="s">
        <v>1538</v>
      </c>
      <c r="B1953" s="120" t="s">
        <v>1107</v>
      </c>
      <c r="C1953" s="227">
        <v>30.63</v>
      </c>
      <c r="D1953" s="227">
        <v>0.6</v>
      </c>
      <c r="E1953" s="228">
        <f>ROUND(C1953*D1953,2)</f>
        <v>18.38</v>
      </c>
      <c r="F1953" s="162"/>
      <c r="G1953" s="162"/>
      <c r="H1953" s="162"/>
      <c r="I1953" s="161"/>
    </row>
    <row r="1954" spans="1:9" ht="9.9499999999999993" customHeight="1" x14ac:dyDescent="0.25">
      <c r="A1954" s="164" t="s">
        <v>1537</v>
      </c>
      <c r="B1954" s="121"/>
      <c r="C1954" s="122"/>
      <c r="D1954" s="122"/>
      <c r="E1954" s="123">
        <f>ROUND(SUM(E1953:E1953),2)</f>
        <v>18.38</v>
      </c>
      <c r="F1954" s="162"/>
      <c r="G1954" s="162"/>
      <c r="H1954" s="162"/>
      <c r="I1954" s="161"/>
    </row>
    <row r="1955" spans="1:9" ht="15" customHeight="1" x14ac:dyDescent="0.25">
      <c r="A1955" s="452"/>
      <c r="B1955" s="453"/>
      <c r="C1955" s="453"/>
      <c r="D1955" s="162"/>
      <c r="E1955" s="162"/>
      <c r="F1955" s="162"/>
      <c r="G1955" s="162"/>
      <c r="H1955" s="162"/>
      <c r="I1955" s="161"/>
    </row>
    <row r="1956" spans="1:9" ht="12.95" customHeight="1" x14ac:dyDescent="0.25">
      <c r="A1956" s="450" t="s">
        <v>319</v>
      </c>
      <c r="B1956" s="451"/>
      <c r="C1956" s="119" t="s">
        <v>1059</v>
      </c>
      <c r="D1956" s="119" t="s">
        <v>1024</v>
      </c>
      <c r="E1956" s="119" t="s">
        <v>984</v>
      </c>
      <c r="F1956" s="162"/>
      <c r="G1956" s="162"/>
      <c r="H1956" s="162"/>
      <c r="I1956" s="161"/>
    </row>
    <row r="1957" spans="1:9" ht="15" customHeight="1" x14ac:dyDescent="0.25">
      <c r="A1957" s="163" t="s">
        <v>1539</v>
      </c>
      <c r="B1957" s="120" t="s">
        <v>1107</v>
      </c>
      <c r="C1957" s="227">
        <v>6.62</v>
      </c>
      <c r="D1957" s="227">
        <v>0.39</v>
      </c>
      <c r="E1957" s="228">
        <f>ROUND(C1957*D1957,2)</f>
        <v>2.58</v>
      </c>
      <c r="F1957" s="162"/>
      <c r="G1957" s="162"/>
      <c r="H1957" s="162"/>
      <c r="I1957" s="161"/>
    </row>
    <row r="1958" spans="1:9" ht="9.9499999999999993" customHeight="1" x14ac:dyDescent="0.25">
      <c r="A1958" s="164" t="s">
        <v>319</v>
      </c>
      <c r="B1958" s="121"/>
      <c r="C1958" s="122"/>
      <c r="D1958" s="122"/>
      <c r="E1958" s="123">
        <f>ROUND(SUM(E1957:E1957),2)</f>
        <v>2.58</v>
      </c>
      <c r="F1958" s="162"/>
      <c r="G1958" s="162"/>
      <c r="H1958" s="162"/>
      <c r="I1958" s="161"/>
    </row>
    <row r="1959" spans="1:9" ht="12" customHeight="1" x14ac:dyDescent="0.25">
      <c r="A1959" s="452"/>
      <c r="B1959" s="453"/>
      <c r="C1959" s="453"/>
      <c r="D1959" s="162"/>
      <c r="E1959" s="162"/>
      <c r="F1959" s="162"/>
      <c r="G1959" s="162"/>
      <c r="H1959" s="162"/>
      <c r="I1959" s="161"/>
    </row>
    <row r="1960" spans="1:9" ht="9.9499999999999993" customHeight="1" x14ac:dyDescent="0.25">
      <c r="A1960" s="165"/>
      <c r="B1960" s="162"/>
      <c r="C1960" s="162"/>
      <c r="D1960" s="458" t="str">
        <f>"TOTAL DA MEMÓRIA DE CÁLCULO: "&amp;TEXT(ROUND(SUM(E1954,E1958),2),"0,00")</f>
        <v>TOTAL DA MEMÓRIA DE CÁLCULO: 20,96</v>
      </c>
      <c r="E1960" s="458"/>
      <c r="F1960" s="458"/>
      <c r="G1960" s="458"/>
      <c r="H1960" s="458"/>
      <c r="I1960" s="161"/>
    </row>
    <row r="1961" spans="1:9" ht="20.100000000000001" customHeight="1" x14ac:dyDescent="0.25">
      <c r="A1961" s="452"/>
      <c r="B1961" s="453"/>
      <c r="C1961" s="453"/>
      <c r="D1961" s="453"/>
      <c r="E1961" s="162"/>
      <c r="F1961" s="162"/>
      <c r="G1961" s="162"/>
      <c r="H1961" s="162"/>
      <c r="I1961" s="161"/>
    </row>
    <row r="1962" spans="1:9" ht="15" customHeight="1" x14ac:dyDescent="0.25">
      <c r="A1962" s="456" t="s">
        <v>1540</v>
      </c>
      <c r="B1962" s="457"/>
      <c r="C1962" s="457"/>
      <c r="D1962" s="457"/>
      <c r="E1962" s="457"/>
      <c r="F1962" s="457"/>
      <c r="G1962" s="457"/>
      <c r="H1962" s="457"/>
      <c r="I1962" s="161"/>
    </row>
    <row r="1963" spans="1:9" ht="12.95" customHeight="1" x14ac:dyDescent="0.25">
      <c r="A1963" s="450" t="s">
        <v>1201</v>
      </c>
      <c r="B1963" s="451"/>
      <c r="C1963" s="119" t="s">
        <v>1007</v>
      </c>
      <c r="D1963" s="119" t="s">
        <v>1078</v>
      </c>
      <c r="E1963" s="119" t="s">
        <v>984</v>
      </c>
      <c r="F1963" s="162"/>
      <c r="G1963" s="162"/>
      <c r="H1963" s="162"/>
      <c r="I1963" s="161"/>
    </row>
    <row r="1964" spans="1:9" ht="15" customHeight="1" x14ac:dyDescent="0.25">
      <c r="A1964" s="163" t="s">
        <v>1541</v>
      </c>
      <c r="B1964" s="120" t="s">
        <v>1542</v>
      </c>
      <c r="C1964" s="227">
        <v>0.62</v>
      </c>
      <c r="D1964" s="227">
        <v>8</v>
      </c>
      <c r="E1964" s="228">
        <f>ROUND(4*D1964*C1964,2)</f>
        <v>19.84</v>
      </c>
      <c r="F1964" s="162"/>
      <c r="G1964" s="162"/>
      <c r="H1964" s="162"/>
      <c r="I1964" s="161"/>
    </row>
    <row r="1965" spans="1:9" ht="9.9499999999999993" customHeight="1" x14ac:dyDescent="0.25">
      <c r="A1965" s="164" t="s">
        <v>1201</v>
      </c>
      <c r="B1965" s="121"/>
      <c r="C1965" s="122"/>
      <c r="D1965" s="122"/>
      <c r="E1965" s="123">
        <f>ROUND(SUM(E1964:E1964),2)</f>
        <v>19.84</v>
      </c>
      <c r="F1965" s="162"/>
      <c r="G1965" s="162"/>
      <c r="H1965" s="162"/>
      <c r="I1965" s="161"/>
    </row>
    <row r="1966" spans="1:9" ht="15" customHeight="1" x14ac:dyDescent="0.25">
      <c r="A1966" s="452"/>
      <c r="B1966" s="453"/>
      <c r="C1966" s="453"/>
      <c r="D1966" s="162"/>
      <c r="E1966" s="162"/>
      <c r="F1966" s="162"/>
      <c r="G1966" s="162"/>
      <c r="H1966" s="162"/>
      <c r="I1966" s="161"/>
    </row>
    <row r="1967" spans="1:9" ht="12.95" customHeight="1" x14ac:dyDescent="0.25">
      <c r="A1967" s="450" t="s">
        <v>1506</v>
      </c>
      <c r="B1967" s="451"/>
      <c r="C1967" s="119" t="s">
        <v>1007</v>
      </c>
      <c r="D1967" s="119" t="s">
        <v>1078</v>
      </c>
      <c r="E1967" s="119" t="s">
        <v>984</v>
      </c>
      <c r="F1967" s="162"/>
      <c r="G1967" s="162"/>
      <c r="H1967" s="162"/>
      <c r="I1967" s="161"/>
    </row>
    <row r="1968" spans="1:9" ht="15" customHeight="1" x14ac:dyDescent="0.25">
      <c r="A1968" s="163" t="s">
        <v>1541</v>
      </c>
      <c r="B1968" s="120" t="s">
        <v>1543</v>
      </c>
      <c r="C1968" s="227">
        <v>2.8</v>
      </c>
      <c r="D1968" s="227">
        <v>2</v>
      </c>
      <c r="E1968" s="228">
        <f>ROUND(D1968*C1968,2)</f>
        <v>5.6</v>
      </c>
      <c r="F1968" s="162"/>
      <c r="G1968" s="162"/>
      <c r="H1968" s="162"/>
      <c r="I1968" s="161"/>
    </row>
    <row r="1969" spans="1:9" ht="9.9499999999999993" customHeight="1" x14ac:dyDescent="0.25">
      <c r="A1969" s="164" t="s">
        <v>1506</v>
      </c>
      <c r="B1969" s="121"/>
      <c r="C1969" s="122"/>
      <c r="D1969" s="122"/>
      <c r="E1969" s="123">
        <f>ROUND(SUM(E1968:E1968),2)</f>
        <v>5.6</v>
      </c>
      <c r="F1969" s="162"/>
      <c r="G1969" s="162"/>
      <c r="H1969" s="162"/>
      <c r="I1969" s="161"/>
    </row>
    <row r="1970" spans="1:9" ht="33.950000000000003" customHeight="1" x14ac:dyDescent="0.25">
      <c r="A1970" s="452"/>
      <c r="B1970" s="453"/>
      <c r="C1970" s="453"/>
      <c r="D1970" s="162"/>
      <c r="E1970" s="162"/>
      <c r="F1970" s="162"/>
      <c r="G1970" s="162"/>
      <c r="H1970" s="162"/>
      <c r="I1970" s="161"/>
    </row>
    <row r="1971" spans="1:9" ht="12" customHeight="1" x14ac:dyDescent="0.25">
      <c r="A1971" s="461" t="s">
        <v>4308</v>
      </c>
      <c r="B1971" s="462"/>
      <c r="C1971" s="462"/>
      <c r="D1971" s="458" t="str">
        <f>"TOTAL DA MEMÓRIA DE CÁLCULO: "&amp;TEXT(ROUND(SUM(E1965,E1969),2),"0,00")</f>
        <v>TOTAL DA MEMÓRIA DE CÁLCULO: 25,44</v>
      </c>
      <c r="E1971" s="458"/>
      <c r="F1971" s="458"/>
      <c r="G1971" s="458"/>
      <c r="H1971" s="458"/>
      <c r="I1971" s="161"/>
    </row>
    <row r="1972" spans="1:9" ht="9.9499999999999993" customHeight="1" x14ac:dyDescent="0.25">
      <c r="A1972" s="461"/>
      <c r="B1972" s="462"/>
      <c r="C1972" s="462"/>
      <c r="D1972" s="162"/>
      <c r="E1972" s="162"/>
      <c r="F1972" s="162"/>
      <c r="G1972" s="162"/>
      <c r="H1972" s="162"/>
      <c r="I1972" s="161"/>
    </row>
    <row r="1973" spans="1:9" ht="20.100000000000001" customHeight="1" x14ac:dyDescent="0.25">
      <c r="A1973" s="452"/>
      <c r="B1973" s="453"/>
      <c r="C1973" s="453"/>
      <c r="D1973" s="453"/>
      <c r="E1973" s="162"/>
      <c r="F1973" s="162"/>
      <c r="G1973" s="162"/>
      <c r="H1973" s="162"/>
      <c r="I1973" s="161"/>
    </row>
    <row r="1974" spans="1:9" ht="15" customHeight="1" x14ac:dyDescent="0.25">
      <c r="A1974" s="456" t="s">
        <v>1544</v>
      </c>
      <c r="B1974" s="457"/>
      <c r="C1974" s="457"/>
      <c r="D1974" s="457"/>
      <c r="E1974" s="457"/>
      <c r="F1974" s="457"/>
      <c r="G1974" s="457"/>
      <c r="H1974" s="457"/>
      <c r="I1974" s="161"/>
    </row>
    <row r="1975" spans="1:9" ht="12.95" customHeight="1" x14ac:dyDescent="0.25">
      <c r="A1975" s="450" t="s">
        <v>1537</v>
      </c>
      <c r="B1975" s="451"/>
      <c r="C1975" s="119" t="s">
        <v>1059</v>
      </c>
      <c r="D1975" s="119" t="s">
        <v>1024</v>
      </c>
      <c r="E1975" s="119" t="s">
        <v>984</v>
      </c>
      <c r="F1975" s="162"/>
      <c r="G1975" s="162"/>
      <c r="H1975" s="162"/>
      <c r="I1975" s="161"/>
    </row>
    <row r="1976" spans="1:9" ht="15" customHeight="1" x14ac:dyDescent="0.25">
      <c r="A1976" s="163" t="s">
        <v>1538</v>
      </c>
      <c r="B1976" s="120" t="s">
        <v>1107</v>
      </c>
      <c r="C1976" s="227">
        <v>30.63</v>
      </c>
      <c r="D1976" s="227">
        <v>0.6</v>
      </c>
      <c r="E1976" s="228">
        <f>ROUND(C1976*D1976,2)</f>
        <v>18.38</v>
      </c>
      <c r="F1976" s="162"/>
      <c r="G1976" s="162"/>
      <c r="H1976" s="162"/>
      <c r="I1976" s="161"/>
    </row>
    <row r="1977" spans="1:9" ht="9.9499999999999993" customHeight="1" x14ac:dyDescent="0.25">
      <c r="A1977" s="164" t="s">
        <v>1537</v>
      </c>
      <c r="B1977" s="121"/>
      <c r="C1977" s="122"/>
      <c r="D1977" s="122"/>
      <c r="E1977" s="123">
        <f>ROUND(SUM(E1976:E1976),2)</f>
        <v>18.38</v>
      </c>
      <c r="F1977" s="162"/>
      <c r="G1977" s="162"/>
      <c r="H1977" s="162"/>
      <c r="I1977" s="161"/>
    </row>
    <row r="1978" spans="1:9" ht="12" customHeight="1" x14ac:dyDescent="0.25">
      <c r="A1978" s="452"/>
      <c r="B1978" s="453"/>
      <c r="C1978" s="453"/>
      <c r="D1978" s="162"/>
      <c r="E1978" s="162"/>
      <c r="F1978" s="162"/>
      <c r="G1978" s="162"/>
      <c r="H1978" s="162"/>
      <c r="I1978" s="161"/>
    </row>
    <row r="1979" spans="1:9" ht="9.9499999999999993" customHeight="1" x14ac:dyDescent="0.25">
      <c r="A1979" s="165"/>
      <c r="B1979" s="162"/>
      <c r="C1979" s="162"/>
      <c r="D1979" s="458" t="str">
        <f>"TOTAL DA MEMÓRIA DE CÁLCULO: "&amp;TEXT(ROUND(SUM(E1977),2),"0,00")</f>
        <v>TOTAL DA MEMÓRIA DE CÁLCULO: 18,38</v>
      </c>
      <c r="E1979" s="458"/>
      <c r="F1979" s="458"/>
      <c r="G1979" s="458"/>
      <c r="H1979" s="458"/>
      <c r="I1979" s="161"/>
    </row>
    <row r="1980" spans="1:9" ht="20.100000000000001" customHeight="1" x14ac:dyDescent="0.25">
      <c r="A1980" s="452"/>
      <c r="B1980" s="453"/>
      <c r="C1980" s="453"/>
      <c r="D1980" s="453"/>
      <c r="E1980" s="162"/>
      <c r="F1980" s="162"/>
      <c r="G1980" s="162"/>
      <c r="H1980" s="162"/>
      <c r="I1980" s="161"/>
    </row>
    <row r="1981" spans="1:9" ht="15" customHeight="1" x14ac:dyDescent="0.25">
      <c r="A1981" s="456" t="s">
        <v>758</v>
      </c>
      <c r="B1981" s="457"/>
      <c r="C1981" s="457"/>
      <c r="D1981" s="457"/>
      <c r="E1981" s="457"/>
      <c r="F1981" s="457"/>
      <c r="G1981" s="457"/>
      <c r="H1981" s="457"/>
      <c r="I1981" s="161"/>
    </row>
    <row r="1982" spans="1:9" ht="12.95" customHeight="1" x14ac:dyDescent="0.25">
      <c r="A1982" s="450" t="s">
        <v>1537</v>
      </c>
      <c r="B1982" s="451"/>
      <c r="C1982" s="119"/>
      <c r="D1982" s="119" t="s">
        <v>54</v>
      </c>
      <c r="E1982" s="119" t="s">
        <v>984</v>
      </c>
      <c r="F1982" s="162"/>
      <c r="G1982" s="162"/>
      <c r="H1982" s="162"/>
      <c r="I1982" s="161"/>
    </row>
    <row r="1983" spans="1:9" ht="15" customHeight="1" x14ac:dyDescent="0.25">
      <c r="A1983" s="163"/>
      <c r="B1983" s="120"/>
      <c r="C1983" s="227"/>
      <c r="D1983" s="227">
        <v>620</v>
      </c>
      <c r="E1983" s="228">
        <f>D1983</f>
        <v>620</v>
      </c>
      <c r="F1983" s="162"/>
      <c r="G1983" s="162"/>
      <c r="H1983" s="162"/>
      <c r="I1983" s="161"/>
    </row>
    <row r="1984" spans="1:9" ht="9.9499999999999993" customHeight="1" x14ac:dyDescent="0.25">
      <c r="A1984" s="164" t="s">
        <v>1537</v>
      </c>
      <c r="B1984" s="121"/>
      <c r="C1984" s="122"/>
      <c r="D1984" s="122"/>
      <c r="E1984" s="123">
        <f>ROUND(SUM(E1983:E1983),2)</f>
        <v>620</v>
      </c>
      <c r="F1984" s="162"/>
      <c r="G1984" s="162"/>
      <c r="H1984" s="162"/>
      <c r="I1984" s="161"/>
    </row>
    <row r="1985" spans="1:9" ht="12" customHeight="1" x14ac:dyDescent="0.25">
      <c r="A1985" s="452"/>
      <c r="B1985" s="453"/>
      <c r="C1985" s="453"/>
      <c r="D1985" s="162"/>
      <c r="E1985" s="162"/>
      <c r="F1985" s="162"/>
      <c r="G1985" s="162"/>
      <c r="H1985" s="162"/>
      <c r="I1985" s="161"/>
    </row>
    <row r="1986" spans="1:9" ht="9.9499999999999993" customHeight="1" x14ac:dyDescent="0.25">
      <c r="A1986" s="165"/>
      <c r="B1986" s="162"/>
      <c r="C1986" s="162"/>
      <c r="D1986" s="458" t="str">
        <f>"TOTAL DA MEMÓRIA DE CÁLCULO: "&amp;TEXT(ROUND(SUM(E1984),2),"0,00")</f>
        <v>TOTAL DA MEMÓRIA DE CÁLCULO: 620,00</v>
      </c>
      <c r="E1986" s="458"/>
      <c r="F1986" s="458"/>
      <c r="G1986" s="458"/>
      <c r="H1986" s="458"/>
      <c r="I1986" s="161"/>
    </row>
    <row r="1987" spans="1:9" ht="20.100000000000001" customHeight="1" x14ac:dyDescent="0.25">
      <c r="A1987" s="452"/>
      <c r="B1987" s="453"/>
      <c r="C1987" s="453"/>
      <c r="D1987" s="453"/>
      <c r="E1987" s="162"/>
      <c r="F1987" s="162"/>
      <c r="G1987" s="162"/>
      <c r="H1987" s="162"/>
      <c r="I1987" s="161"/>
    </row>
    <row r="1988" spans="1:9" ht="9.9499999999999993" customHeight="1" x14ac:dyDescent="0.25">
      <c r="A1988" s="456" t="s">
        <v>1545</v>
      </c>
      <c r="B1988" s="457"/>
      <c r="C1988" s="457"/>
      <c r="D1988" s="457"/>
      <c r="E1988" s="457"/>
      <c r="F1988" s="457"/>
      <c r="G1988" s="457"/>
      <c r="H1988" s="457"/>
      <c r="I1988" s="161"/>
    </row>
    <row r="1989" spans="1:9" ht="20.100000000000001" customHeight="1" x14ac:dyDescent="0.25">
      <c r="A1989" s="452"/>
      <c r="B1989" s="453"/>
      <c r="C1989" s="453"/>
      <c r="D1989" s="162"/>
      <c r="E1989" s="162"/>
      <c r="F1989" s="162"/>
      <c r="G1989" s="162"/>
      <c r="H1989" s="162"/>
      <c r="I1989" s="161"/>
    </row>
    <row r="1990" spans="1:9" ht="9.9499999999999993" customHeight="1" x14ac:dyDescent="0.25">
      <c r="A1990" s="456" t="s">
        <v>1546</v>
      </c>
      <c r="B1990" s="457"/>
      <c r="C1990" s="457"/>
      <c r="D1990" s="457"/>
      <c r="E1990" s="457"/>
      <c r="F1990" s="457"/>
      <c r="G1990" s="457"/>
      <c r="H1990" s="457"/>
      <c r="I1990" s="161"/>
    </row>
    <row r="1991" spans="1:9" ht="20.100000000000001" customHeight="1" x14ac:dyDescent="0.25">
      <c r="A1991" s="452"/>
      <c r="B1991" s="453"/>
      <c r="C1991" s="453"/>
      <c r="D1991" s="162"/>
      <c r="E1991" s="162"/>
      <c r="F1991" s="162"/>
      <c r="G1991" s="162"/>
      <c r="H1991" s="162"/>
      <c r="I1991" s="161"/>
    </row>
    <row r="1992" spans="1:9" ht="9.9499999999999993" customHeight="1" x14ac:dyDescent="0.25">
      <c r="A1992" s="456" t="s">
        <v>1547</v>
      </c>
      <c r="B1992" s="457"/>
      <c r="C1992" s="457"/>
      <c r="D1992" s="457"/>
      <c r="E1992" s="457"/>
      <c r="F1992" s="457"/>
      <c r="G1992" s="457"/>
      <c r="H1992" s="457"/>
      <c r="I1992" s="161"/>
    </row>
    <row r="1993" spans="1:9" ht="30.95" customHeight="1" x14ac:dyDescent="0.25">
      <c r="A1993" s="452"/>
      <c r="B1993" s="453"/>
      <c r="C1993" s="453"/>
      <c r="D1993" s="162"/>
      <c r="E1993" s="162"/>
      <c r="F1993" s="162"/>
      <c r="G1993" s="162"/>
      <c r="H1993" s="162"/>
      <c r="I1993" s="161"/>
    </row>
    <row r="1994" spans="1:9" ht="15" customHeight="1" x14ac:dyDescent="0.25">
      <c r="A1994" s="456" t="s">
        <v>1548</v>
      </c>
      <c r="B1994" s="457"/>
      <c r="C1994" s="457"/>
      <c r="D1994" s="457"/>
      <c r="E1994" s="457"/>
      <c r="F1994" s="457"/>
      <c r="G1994" s="457"/>
      <c r="H1994" s="457"/>
      <c r="I1994" s="161"/>
    </row>
    <row r="1995" spans="1:9" ht="18.95" customHeight="1" x14ac:dyDescent="0.25">
      <c r="A1995" s="450"/>
      <c r="B1995" s="451"/>
      <c r="C1995" s="119"/>
      <c r="D1995" s="119" t="s">
        <v>984</v>
      </c>
      <c r="E1995" s="162"/>
      <c r="F1995" s="162"/>
      <c r="G1995" s="162"/>
      <c r="H1995" s="162"/>
      <c r="I1995" s="161"/>
    </row>
    <row r="1996" spans="1:9" ht="15" customHeight="1" x14ac:dyDescent="0.25">
      <c r="A1996" s="163" t="s">
        <v>1549</v>
      </c>
      <c r="B1996" s="120" t="s">
        <v>1550</v>
      </c>
      <c r="C1996" s="227">
        <v>120</v>
      </c>
      <c r="D1996" s="228">
        <f>ROUND(120,2)</f>
        <v>120</v>
      </c>
      <c r="E1996" s="162"/>
      <c r="F1996" s="162"/>
      <c r="G1996" s="162"/>
      <c r="H1996" s="162"/>
      <c r="I1996" s="161"/>
    </row>
    <row r="1997" spans="1:9" ht="9.9499999999999993" customHeight="1" x14ac:dyDescent="0.25">
      <c r="A1997" s="164"/>
      <c r="B1997" s="121"/>
      <c r="C1997" s="122"/>
      <c r="D1997" s="123">
        <f>ROUND(SUM(D1996:D1996),2)</f>
        <v>120</v>
      </c>
      <c r="E1997" s="162"/>
      <c r="F1997" s="162"/>
      <c r="G1997" s="162"/>
      <c r="H1997" s="162"/>
      <c r="I1997" s="161"/>
    </row>
    <row r="1998" spans="1:9" ht="12" customHeight="1" x14ac:dyDescent="0.25">
      <c r="A1998" s="452"/>
      <c r="B1998" s="453"/>
      <c r="C1998" s="453"/>
      <c r="D1998" s="162"/>
      <c r="E1998" s="162"/>
      <c r="F1998" s="162"/>
      <c r="G1998" s="162"/>
      <c r="H1998" s="162"/>
      <c r="I1998" s="161"/>
    </row>
    <row r="1999" spans="1:9" ht="12" customHeight="1" x14ac:dyDescent="0.25">
      <c r="A1999" s="461" t="s">
        <v>4309</v>
      </c>
      <c r="B1999" s="462"/>
      <c r="C1999" s="462"/>
      <c r="D1999" s="458" t="str">
        <f>"TOTAL DA MEMÓRIA DE CÁLCULO: "&amp;TEXT(ROUND(SUM(D1997),2),"0,00")</f>
        <v>TOTAL DA MEMÓRIA DE CÁLCULO: 120,00</v>
      </c>
      <c r="E1999" s="458"/>
      <c r="F1999" s="458"/>
      <c r="G1999" s="458"/>
      <c r="H1999" s="458"/>
      <c r="I1999" s="161"/>
    </row>
    <row r="2000" spans="1:9" ht="9.9499999999999993" customHeight="1" x14ac:dyDescent="0.25">
      <c r="A2000" s="461"/>
      <c r="B2000" s="462"/>
      <c r="C2000" s="462"/>
      <c r="D2000" s="162"/>
      <c r="E2000" s="162"/>
      <c r="F2000" s="162"/>
      <c r="G2000" s="162"/>
      <c r="H2000" s="162"/>
      <c r="I2000" s="161"/>
    </row>
    <row r="2001" spans="1:9" ht="30.95" customHeight="1" x14ac:dyDescent="0.25">
      <c r="A2001" s="452"/>
      <c r="B2001" s="453"/>
      <c r="C2001" s="453"/>
      <c r="D2001" s="453"/>
      <c r="E2001" s="162"/>
      <c r="F2001" s="162"/>
      <c r="G2001" s="162"/>
      <c r="H2001" s="162"/>
      <c r="I2001" s="161"/>
    </row>
    <row r="2002" spans="1:9" ht="15" customHeight="1" x14ac:dyDescent="0.25">
      <c r="A2002" s="456" t="s">
        <v>1551</v>
      </c>
      <c r="B2002" s="457"/>
      <c r="C2002" s="457"/>
      <c r="D2002" s="457"/>
      <c r="E2002" s="457"/>
      <c r="F2002" s="457"/>
      <c r="G2002" s="457"/>
      <c r="H2002" s="457"/>
      <c r="I2002" s="161"/>
    </row>
    <row r="2003" spans="1:9" ht="18.95" customHeight="1" x14ac:dyDescent="0.25">
      <c r="A2003" s="450"/>
      <c r="B2003" s="451"/>
      <c r="C2003" s="119"/>
      <c r="D2003" s="119" t="s">
        <v>984</v>
      </c>
      <c r="E2003" s="162"/>
      <c r="F2003" s="162"/>
      <c r="G2003" s="162"/>
      <c r="H2003" s="162"/>
      <c r="I2003" s="161"/>
    </row>
    <row r="2004" spans="1:9" ht="15" customHeight="1" x14ac:dyDescent="0.25">
      <c r="A2004" s="163" t="s">
        <v>1552</v>
      </c>
      <c r="B2004" s="120" t="s">
        <v>1553</v>
      </c>
      <c r="C2004" s="227">
        <v>200</v>
      </c>
      <c r="D2004" s="228">
        <f>ROUND(200,2)</f>
        <v>200</v>
      </c>
      <c r="E2004" s="162"/>
      <c r="F2004" s="162"/>
      <c r="G2004" s="162"/>
      <c r="H2004" s="162"/>
      <c r="I2004" s="161"/>
    </row>
    <row r="2005" spans="1:9" ht="9.9499999999999993" customHeight="1" x14ac:dyDescent="0.25">
      <c r="A2005" s="164"/>
      <c r="B2005" s="121"/>
      <c r="C2005" s="122"/>
      <c r="D2005" s="123">
        <f>ROUND(SUM(D2004:D2004),2)</f>
        <v>200</v>
      </c>
      <c r="E2005" s="162"/>
      <c r="F2005" s="162"/>
      <c r="G2005" s="162"/>
      <c r="H2005" s="162"/>
      <c r="I2005" s="161"/>
    </row>
    <row r="2006" spans="1:9" ht="12" customHeight="1" x14ac:dyDescent="0.25">
      <c r="A2006" s="452"/>
      <c r="B2006" s="453"/>
      <c r="C2006" s="453"/>
      <c r="D2006" s="162"/>
      <c r="E2006" s="162"/>
      <c r="F2006" s="162"/>
      <c r="G2006" s="162"/>
      <c r="H2006" s="162"/>
      <c r="I2006" s="161"/>
    </row>
    <row r="2007" spans="1:9" ht="12" customHeight="1" x14ac:dyDescent="0.25">
      <c r="A2007" s="461" t="s">
        <v>4309</v>
      </c>
      <c r="B2007" s="462"/>
      <c r="C2007" s="462"/>
      <c r="D2007" s="458" t="str">
        <f>"TOTAL DA MEMÓRIA DE CÁLCULO: "&amp;TEXT(ROUND(SUM(D2005),2),"0,00")</f>
        <v>TOTAL DA MEMÓRIA DE CÁLCULO: 200,00</v>
      </c>
      <c r="E2007" s="458"/>
      <c r="F2007" s="458"/>
      <c r="G2007" s="458"/>
      <c r="H2007" s="458"/>
      <c r="I2007" s="161"/>
    </row>
    <row r="2008" spans="1:9" ht="9.9499999999999993" customHeight="1" x14ac:dyDescent="0.25">
      <c r="A2008" s="461"/>
      <c r="B2008" s="462"/>
      <c r="C2008" s="462"/>
      <c r="D2008" s="162"/>
      <c r="E2008" s="162"/>
      <c r="F2008" s="162"/>
      <c r="G2008" s="162"/>
      <c r="H2008" s="162"/>
      <c r="I2008" s="161"/>
    </row>
    <row r="2009" spans="1:9" ht="30.95" customHeight="1" x14ac:dyDescent="0.25">
      <c r="A2009" s="452"/>
      <c r="B2009" s="453"/>
      <c r="C2009" s="453"/>
      <c r="D2009" s="453"/>
      <c r="E2009" s="162"/>
      <c r="F2009" s="162"/>
      <c r="G2009" s="162"/>
      <c r="H2009" s="162"/>
      <c r="I2009" s="161"/>
    </row>
    <row r="2010" spans="1:9" ht="15" customHeight="1" x14ac:dyDescent="0.25">
      <c r="A2010" s="456" t="s">
        <v>1554</v>
      </c>
      <c r="B2010" s="457"/>
      <c r="C2010" s="457"/>
      <c r="D2010" s="457"/>
      <c r="E2010" s="457"/>
      <c r="F2010" s="457"/>
      <c r="G2010" s="457"/>
      <c r="H2010" s="457"/>
      <c r="I2010" s="161"/>
    </row>
    <row r="2011" spans="1:9" ht="18.95" customHeight="1" x14ac:dyDescent="0.25">
      <c r="A2011" s="450"/>
      <c r="B2011" s="451"/>
      <c r="C2011" s="119"/>
      <c r="D2011" s="119" t="s">
        <v>984</v>
      </c>
      <c r="E2011" s="162"/>
      <c r="F2011" s="162"/>
      <c r="G2011" s="162"/>
      <c r="H2011" s="162"/>
      <c r="I2011" s="161"/>
    </row>
    <row r="2012" spans="1:9" ht="15" customHeight="1" x14ac:dyDescent="0.25">
      <c r="A2012" s="163" t="s">
        <v>1555</v>
      </c>
      <c r="B2012" s="120" t="s">
        <v>1556</v>
      </c>
      <c r="C2012" s="227">
        <v>900</v>
      </c>
      <c r="D2012" s="228">
        <f>ROUND(900,2)</f>
        <v>900</v>
      </c>
      <c r="E2012" s="162"/>
      <c r="F2012" s="162"/>
      <c r="G2012" s="162"/>
      <c r="H2012" s="162"/>
      <c r="I2012" s="161"/>
    </row>
    <row r="2013" spans="1:9" ht="9.9499999999999993" customHeight="1" x14ac:dyDescent="0.25">
      <c r="A2013" s="164"/>
      <c r="B2013" s="121"/>
      <c r="C2013" s="122"/>
      <c r="D2013" s="123">
        <f>ROUND(SUM(D2012:D2012),2)</f>
        <v>900</v>
      </c>
      <c r="E2013" s="162"/>
      <c r="F2013" s="162"/>
      <c r="G2013" s="162"/>
      <c r="H2013" s="162"/>
      <c r="I2013" s="161"/>
    </row>
    <row r="2014" spans="1:9" ht="12" customHeight="1" x14ac:dyDescent="0.25">
      <c r="A2014" s="452"/>
      <c r="B2014" s="453"/>
      <c r="C2014" s="453"/>
      <c r="D2014" s="162"/>
      <c r="E2014" s="162"/>
      <c r="F2014" s="162"/>
      <c r="G2014" s="162"/>
      <c r="H2014" s="162"/>
      <c r="I2014" s="161"/>
    </row>
    <row r="2015" spans="1:9" ht="12" customHeight="1" x14ac:dyDescent="0.25">
      <c r="A2015" s="461" t="s">
        <v>4309</v>
      </c>
      <c r="B2015" s="462"/>
      <c r="C2015" s="462"/>
      <c r="D2015" s="458" t="str">
        <f>"TOTAL DA MEMÓRIA DE CÁLCULO: "&amp;TEXT(ROUND(SUM(D2013),2),"0,00")</f>
        <v>TOTAL DA MEMÓRIA DE CÁLCULO: 900,00</v>
      </c>
      <c r="E2015" s="458"/>
      <c r="F2015" s="458"/>
      <c r="G2015" s="458"/>
      <c r="H2015" s="458"/>
      <c r="I2015" s="161"/>
    </row>
    <row r="2016" spans="1:9" ht="9.9499999999999993" customHeight="1" x14ac:dyDescent="0.25">
      <c r="A2016" s="461"/>
      <c r="B2016" s="462"/>
      <c r="C2016" s="462"/>
      <c r="D2016" s="162"/>
      <c r="E2016" s="162"/>
      <c r="F2016" s="162"/>
      <c r="G2016" s="162"/>
      <c r="H2016" s="162"/>
      <c r="I2016" s="161"/>
    </row>
    <row r="2017" spans="1:9" ht="30.95" customHeight="1" x14ac:dyDescent="0.25">
      <c r="A2017" s="452"/>
      <c r="B2017" s="453"/>
      <c r="C2017" s="453"/>
      <c r="D2017" s="453"/>
      <c r="E2017" s="162"/>
      <c r="F2017" s="162"/>
      <c r="G2017" s="162"/>
      <c r="H2017" s="162"/>
      <c r="I2017" s="161"/>
    </row>
    <row r="2018" spans="1:9" ht="15" customHeight="1" x14ac:dyDescent="0.25">
      <c r="A2018" s="456" t="s">
        <v>1557</v>
      </c>
      <c r="B2018" s="457"/>
      <c r="C2018" s="457"/>
      <c r="D2018" s="457"/>
      <c r="E2018" s="457"/>
      <c r="F2018" s="457"/>
      <c r="G2018" s="457"/>
      <c r="H2018" s="457"/>
      <c r="I2018" s="161"/>
    </row>
    <row r="2019" spans="1:9" ht="12.95" customHeight="1" x14ac:dyDescent="0.25">
      <c r="A2019" s="450"/>
      <c r="B2019" s="451"/>
      <c r="C2019" s="119"/>
      <c r="D2019" s="119" t="s">
        <v>984</v>
      </c>
      <c r="E2019" s="162"/>
      <c r="F2019" s="162"/>
      <c r="G2019" s="162"/>
      <c r="H2019" s="162"/>
      <c r="I2019" s="161"/>
    </row>
    <row r="2020" spans="1:9" ht="6" customHeight="1" x14ac:dyDescent="0.25">
      <c r="A2020" s="163" t="s">
        <v>1558</v>
      </c>
      <c r="B2020" s="120" t="s">
        <v>1550</v>
      </c>
      <c r="C2020" s="459">
        <v>120</v>
      </c>
      <c r="D2020" s="460">
        <f>ROUND(120,2)</f>
        <v>120</v>
      </c>
      <c r="E2020" s="162"/>
      <c r="F2020" s="162"/>
      <c r="G2020" s="162"/>
      <c r="H2020" s="162"/>
      <c r="I2020" s="161"/>
    </row>
    <row r="2021" spans="1:9" ht="15" customHeight="1" x14ac:dyDescent="0.25">
      <c r="A2021" s="166"/>
      <c r="B2021" s="124"/>
      <c r="C2021" s="459"/>
      <c r="D2021" s="460"/>
      <c r="E2021" s="162"/>
      <c r="F2021" s="162"/>
      <c r="G2021" s="162"/>
      <c r="H2021" s="162"/>
      <c r="I2021" s="161"/>
    </row>
    <row r="2022" spans="1:9" ht="9.9499999999999993" customHeight="1" x14ac:dyDescent="0.25">
      <c r="A2022" s="164"/>
      <c r="B2022" s="121"/>
      <c r="C2022" s="122"/>
      <c r="D2022" s="123">
        <f>ROUND(SUM(D2020:D2021),2)</f>
        <v>120</v>
      </c>
      <c r="E2022" s="162"/>
      <c r="F2022" s="162"/>
      <c r="G2022" s="162"/>
      <c r="H2022" s="162"/>
      <c r="I2022" s="161"/>
    </row>
    <row r="2023" spans="1:9" ht="12" customHeight="1" x14ac:dyDescent="0.25">
      <c r="A2023" s="452"/>
      <c r="B2023" s="453"/>
      <c r="C2023" s="453"/>
      <c r="D2023" s="162"/>
      <c r="E2023" s="162"/>
      <c r="F2023" s="162"/>
      <c r="G2023" s="162"/>
      <c r="H2023" s="162"/>
      <c r="I2023" s="161"/>
    </row>
    <row r="2024" spans="1:9" ht="12" customHeight="1" x14ac:dyDescent="0.25">
      <c r="A2024" s="461" t="s">
        <v>4309</v>
      </c>
      <c r="B2024" s="462"/>
      <c r="C2024" s="462"/>
      <c r="D2024" s="458" t="str">
        <f>"TOTAL DA MEMÓRIA DE CÁLCULO: "&amp;TEXT(ROUND(SUM(D2022),2),"0,00")</f>
        <v>TOTAL DA MEMÓRIA DE CÁLCULO: 120,00</v>
      </c>
      <c r="E2024" s="458"/>
      <c r="F2024" s="458"/>
      <c r="G2024" s="458"/>
      <c r="H2024" s="458"/>
      <c r="I2024" s="161"/>
    </row>
    <row r="2025" spans="1:9" ht="9.9499999999999993" customHeight="1" x14ac:dyDescent="0.25">
      <c r="A2025" s="461"/>
      <c r="B2025" s="462"/>
      <c r="C2025" s="462"/>
      <c r="D2025" s="162"/>
      <c r="E2025" s="162"/>
      <c r="F2025" s="162"/>
      <c r="G2025" s="162"/>
      <c r="H2025" s="162"/>
      <c r="I2025" s="161"/>
    </row>
    <row r="2026" spans="1:9" ht="30.95" customHeight="1" x14ac:dyDescent="0.25">
      <c r="A2026" s="452"/>
      <c r="B2026" s="453"/>
      <c r="C2026" s="453"/>
      <c r="D2026" s="453"/>
      <c r="E2026" s="162"/>
      <c r="F2026" s="162"/>
      <c r="G2026" s="162"/>
      <c r="H2026" s="162"/>
      <c r="I2026" s="161"/>
    </row>
    <row r="2027" spans="1:9" ht="15" customHeight="1" x14ac:dyDescent="0.25">
      <c r="A2027" s="456" t="s">
        <v>1559</v>
      </c>
      <c r="B2027" s="457"/>
      <c r="C2027" s="457"/>
      <c r="D2027" s="457"/>
      <c r="E2027" s="457"/>
      <c r="F2027" s="457"/>
      <c r="G2027" s="457"/>
      <c r="H2027" s="457"/>
      <c r="I2027" s="161"/>
    </row>
    <row r="2028" spans="1:9" ht="12.95" customHeight="1" x14ac:dyDescent="0.25">
      <c r="A2028" s="450"/>
      <c r="B2028" s="451"/>
      <c r="C2028" s="119"/>
      <c r="D2028" s="119" t="s">
        <v>984</v>
      </c>
      <c r="E2028" s="162"/>
      <c r="F2028" s="162"/>
      <c r="G2028" s="162"/>
      <c r="H2028" s="162"/>
      <c r="I2028" s="161"/>
    </row>
    <row r="2029" spans="1:9" ht="15" customHeight="1" x14ac:dyDescent="0.25">
      <c r="A2029" s="163" t="s">
        <v>1560</v>
      </c>
      <c r="B2029" s="120" t="s">
        <v>1561</v>
      </c>
      <c r="C2029" s="227">
        <v>30</v>
      </c>
      <c r="D2029" s="228">
        <f>ROUND(30,2)</f>
        <v>30</v>
      </c>
      <c r="E2029" s="162"/>
      <c r="F2029" s="162"/>
      <c r="G2029" s="162"/>
      <c r="H2029" s="162"/>
      <c r="I2029" s="161"/>
    </row>
    <row r="2030" spans="1:9" ht="9.9499999999999993" customHeight="1" x14ac:dyDescent="0.25">
      <c r="A2030" s="164"/>
      <c r="B2030" s="121"/>
      <c r="C2030" s="122"/>
      <c r="D2030" s="123">
        <f>ROUND(SUM(D2029:D2029),2)</f>
        <v>30</v>
      </c>
      <c r="E2030" s="162"/>
      <c r="F2030" s="162"/>
      <c r="G2030" s="162"/>
      <c r="H2030" s="162"/>
      <c r="I2030" s="161"/>
    </row>
    <row r="2031" spans="1:9" ht="12" customHeight="1" x14ac:dyDescent="0.25">
      <c r="A2031" s="452"/>
      <c r="B2031" s="453"/>
      <c r="C2031" s="453"/>
      <c r="D2031" s="162"/>
      <c r="E2031" s="162"/>
      <c r="F2031" s="162"/>
      <c r="G2031" s="162"/>
      <c r="H2031" s="162"/>
      <c r="I2031" s="161"/>
    </row>
    <row r="2032" spans="1:9" ht="12" customHeight="1" x14ac:dyDescent="0.25">
      <c r="A2032" s="461" t="s">
        <v>4309</v>
      </c>
      <c r="B2032" s="462"/>
      <c r="C2032" s="462"/>
      <c r="D2032" s="458" t="str">
        <f>"TOTAL DA MEMÓRIA DE CÁLCULO: "&amp;TEXT(ROUND(SUM(D2030),2),"0,00")</f>
        <v>TOTAL DA MEMÓRIA DE CÁLCULO: 30,00</v>
      </c>
      <c r="E2032" s="458"/>
      <c r="F2032" s="458"/>
      <c r="G2032" s="458"/>
      <c r="H2032" s="458"/>
      <c r="I2032" s="161"/>
    </row>
    <row r="2033" spans="1:9" ht="9.9499999999999993" customHeight="1" x14ac:dyDescent="0.25">
      <c r="A2033" s="461"/>
      <c r="B2033" s="462"/>
      <c r="C2033" s="462"/>
      <c r="D2033" s="162"/>
      <c r="E2033" s="162"/>
      <c r="F2033" s="162"/>
      <c r="G2033" s="162"/>
      <c r="H2033" s="162"/>
      <c r="I2033" s="161"/>
    </row>
    <row r="2034" spans="1:9" ht="30.95" customHeight="1" x14ac:dyDescent="0.25">
      <c r="A2034" s="452"/>
      <c r="B2034" s="453"/>
      <c r="C2034" s="453"/>
      <c r="D2034" s="453"/>
      <c r="E2034" s="162"/>
      <c r="F2034" s="162"/>
      <c r="G2034" s="162"/>
      <c r="H2034" s="162"/>
      <c r="I2034" s="161"/>
    </row>
    <row r="2035" spans="1:9" ht="15" customHeight="1" x14ac:dyDescent="0.25">
      <c r="A2035" s="456" t="s">
        <v>1562</v>
      </c>
      <c r="B2035" s="457"/>
      <c r="C2035" s="457"/>
      <c r="D2035" s="457"/>
      <c r="E2035" s="457"/>
      <c r="F2035" s="457"/>
      <c r="G2035" s="457"/>
      <c r="H2035" s="457"/>
      <c r="I2035" s="161"/>
    </row>
    <row r="2036" spans="1:9" ht="12.95" customHeight="1" x14ac:dyDescent="0.25">
      <c r="A2036" s="450"/>
      <c r="B2036" s="451"/>
      <c r="C2036" s="119"/>
      <c r="D2036" s="119" t="s">
        <v>984</v>
      </c>
      <c r="E2036" s="162"/>
      <c r="F2036" s="162"/>
      <c r="G2036" s="162"/>
      <c r="H2036" s="162"/>
      <c r="I2036" s="161"/>
    </row>
    <row r="2037" spans="1:9" ht="15" customHeight="1" x14ac:dyDescent="0.25">
      <c r="A2037" s="163" t="s">
        <v>1563</v>
      </c>
      <c r="B2037" s="120" t="s">
        <v>1561</v>
      </c>
      <c r="C2037" s="227">
        <v>30</v>
      </c>
      <c r="D2037" s="228">
        <f>ROUND(30,2)</f>
        <v>30</v>
      </c>
      <c r="E2037" s="162"/>
      <c r="F2037" s="162"/>
      <c r="G2037" s="162"/>
      <c r="H2037" s="162"/>
      <c r="I2037" s="161"/>
    </row>
    <row r="2038" spans="1:9" ht="9.9499999999999993" customHeight="1" x14ac:dyDescent="0.25">
      <c r="A2038" s="164"/>
      <c r="B2038" s="121"/>
      <c r="C2038" s="122"/>
      <c r="D2038" s="123">
        <f>ROUND(SUM(D2037:D2037),2)</f>
        <v>30</v>
      </c>
      <c r="E2038" s="162"/>
      <c r="F2038" s="162"/>
      <c r="G2038" s="162"/>
      <c r="H2038" s="162"/>
      <c r="I2038" s="161"/>
    </row>
    <row r="2039" spans="1:9" ht="12" customHeight="1" x14ac:dyDescent="0.25">
      <c r="A2039" s="452"/>
      <c r="B2039" s="453"/>
      <c r="C2039" s="453"/>
      <c r="D2039" s="162"/>
      <c r="E2039" s="162"/>
      <c r="F2039" s="162"/>
      <c r="G2039" s="162"/>
      <c r="H2039" s="162"/>
      <c r="I2039" s="161"/>
    </row>
    <row r="2040" spans="1:9" ht="12" customHeight="1" x14ac:dyDescent="0.25">
      <c r="A2040" s="461" t="s">
        <v>4309</v>
      </c>
      <c r="B2040" s="462"/>
      <c r="C2040" s="462"/>
      <c r="D2040" s="458" t="str">
        <f>"TOTAL DA MEMÓRIA DE CÁLCULO: "&amp;TEXT(ROUND(SUM(D2038),2),"0,00")</f>
        <v>TOTAL DA MEMÓRIA DE CÁLCULO: 30,00</v>
      </c>
      <c r="E2040" s="458"/>
      <c r="F2040" s="458"/>
      <c r="G2040" s="458"/>
      <c r="H2040" s="458"/>
      <c r="I2040" s="161"/>
    </row>
    <row r="2041" spans="1:9" ht="9.9499999999999993" customHeight="1" x14ac:dyDescent="0.25">
      <c r="A2041" s="461"/>
      <c r="B2041" s="462"/>
      <c r="C2041" s="462"/>
      <c r="D2041" s="162"/>
      <c r="E2041" s="162"/>
      <c r="F2041" s="162"/>
      <c r="G2041" s="162"/>
      <c r="H2041" s="162"/>
      <c r="I2041" s="161"/>
    </row>
    <row r="2042" spans="1:9" ht="30.95" customHeight="1" x14ac:dyDescent="0.25">
      <c r="A2042" s="452"/>
      <c r="B2042" s="453"/>
      <c r="C2042" s="453"/>
      <c r="D2042" s="453"/>
      <c r="E2042" s="162"/>
      <c r="F2042" s="162"/>
      <c r="G2042" s="162"/>
      <c r="H2042" s="162"/>
      <c r="I2042" s="161"/>
    </row>
    <row r="2043" spans="1:9" ht="15" customHeight="1" x14ac:dyDescent="0.25">
      <c r="A2043" s="456" t="s">
        <v>1564</v>
      </c>
      <c r="B2043" s="457"/>
      <c r="C2043" s="457"/>
      <c r="D2043" s="457"/>
      <c r="E2043" s="457"/>
      <c r="F2043" s="457"/>
      <c r="G2043" s="457"/>
      <c r="H2043" s="457"/>
      <c r="I2043" s="161"/>
    </row>
    <row r="2044" spans="1:9" ht="12.95" customHeight="1" x14ac:dyDescent="0.25">
      <c r="A2044" s="450"/>
      <c r="B2044" s="451"/>
      <c r="C2044" s="119"/>
      <c r="D2044" s="119" t="s">
        <v>984</v>
      </c>
      <c r="E2044" s="162"/>
      <c r="F2044" s="162"/>
      <c r="G2044" s="162"/>
      <c r="H2044" s="162"/>
      <c r="I2044" s="161"/>
    </row>
    <row r="2045" spans="1:9" ht="15" customHeight="1" x14ac:dyDescent="0.25">
      <c r="A2045" s="163" t="s">
        <v>1563</v>
      </c>
      <c r="B2045" s="120" t="s">
        <v>1561</v>
      </c>
      <c r="C2045" s="227">
        <v>30</v>
      </c>
      <c r="D2045" s="228">
        <f>ROUND(30,2)</f>
        <v>30</v>
      </c>
      <c r="E2045" s="162"/>
      <c r="F2045" s="162"/>
      <c r="G2045" s="162"/>
      <c r="H2045" s="162"/>
      <c r="I2045" s="161"/>
    </row>
    <row r="2046" spans="1:9" ht="9.9499999999999993" customHeight="1" x14ac:dyDescent="0.25">
      <c r="A2046" s="164"/>
      <c r="B2046" s="121"/>
      <c r="C2046" s="122"/>
      <c r="D2046" s="123">
        <f>ROUND(SUM(D2045:D2045),2)</f>
        <v>30</v>
      </c>
      <c r="E2046" s="162"/>
      <c r="F2046" s="162"/>
      <c r="G2046" s="162"/>
      <c r="H2046" s="162"/>
      <c r="I2046" s="161"/>
    </row>
    <row r="2047" spans="1:9" ht="12" customHeight="1" x14ac:dyDescent="0.25">
      <c r="A2047" s="452"/>
      <c r="B2047" s="453"/>
      <c r="C2047" s="453"/>
      <c r="D2047" s="162"/>
      <c r="E2047" s="162"/>
      <c r="F2047" s="162"/>
      <c r="G2047" s="162"/>
      <c r="H2047" s="162"/>
      <c r="I2047" s="161"/>
    </row>
    <row r="2048" spans="1:9" ht="12" customHeight="1" x14ac:dyDescent="0.25">
      <c r="A2048" s="461" t="s">
        <v>4309</v>
      </c>
      <c r="B2048" s="462"/>
      <c r="C2048" s="462"/>
      <c r="D2048" s="458" t="str">
        <f>"TOTAL DA MEMÓRIA DE CÁLCULO: "&amp;TEXT(ROUND(SUM(D2046),2),"0,00")</f>
        <v>TOTAL DA MEMÓRIA DE CÁLCULO: 30,00</v>
      </c>
      <c r="E2048" s="458"/>
      <c r="F2048" s="458"/>
      <c r="G2048" s="458"/>
      <c r="H2048" s="458"/>
      <c r="I2048" s="161"/>
    </row>
    <row r="2049" spans="1:9" ht="9.9499999999999993" customHeight="1" x14ac:dyDescent="0.25">
      <c r="A2049" s="461"/>
      <c r="B2049" s="462"/>
      <c r="C2049" s="462"/>
      <c r="D2049" s="162"/>
      <c r="E2049" s="162"/>
      <c r="F2049" s="162"/>
      <c r="G2049" s="162"/>
      <c r="H2049" s="162"/>
      <c r="I2049" s="161"/>
    </row>
    <row r="2050" spans="1:9" ht="30.95" customHeight="1" x14ac:dyDescent="0.25">
      <c r="A2050" s="452"/>
      <c r="B2050" s="453"/>
      <c r="C2050" s="453"/>
      <c r="D2050" s="453"/>
      <c r="E2050" s="162"/>
      <c r="F2050" s="162"/>
      <c r="G2050" s="162"/>
      <c r="H2050" s="162"/>
      <c r="I2050" s="161"/>
    </row>
    <row r="2051" spans="1:9" ht="15" customHeight="1" x14ac:dyDescent="0.25">
      <c r="A2051" s="456" t="s">
        <v>1565</v>
      </c>
      <c r="B2051" s="457"/>
      <c r="C2051" s="457"/>
      <c r="D2051" s="457"/>
      <c r="E2051" s="457"/>
      <c r="F2051" s="457"/>
      <c r="G2051" s="457"/>
      <c r="H2051" s="457"/>
      <c r="I2051" s="161"/>
    </row>
    <row r="2052" spans="1:9" ht="18.95" customHeight="1" x14ac:dyDescent="0.25">
      <c r="A2052" s="450"/>
      <c r="B2052" s="451"/>
      <c r="C2052" s="119"/>
      <c r="D2052" s="119" t="s">
        <v>984</v>
      </c>
      <c r="E2052" s="162"/>
      <c r="F2052" s="162"/>
      <c r="G2052" s="162"/>
      <c r="H2052" s="162"/>
      <c r="I2052" s="161"/>
    </row>
    <row r="2053" spans="1:9" ht="15" customHeight="1" x14ac:dyDescent="0.25">
      <c r="A2053" s="163" t="s">
        <v>1566</v>
      </c>
      <c r="B2053" s="120" t="s">
        <v>1567</v>
      </c>
      <c r="C2053" s="227">
        <v>40</v>
      </c>
      <c r="D2053" s="228">
        <f>ROUND(40,2)</f>
        <v>40</v>
      </c>
      <c r="E2053" s="162"/>
      <c r="F2053" s="162"/>
      <c r="G2053" s="162"/>
      <c r="H2053" s="162"/>
      <c r="I2053" s="161"/>
    </row>
    <row r="2054" spans="1:9" ht="9.9499999999999993" customHeight="1" x14ac:dyDescent="0.25">
      <c r="A2054" s="164"/>
      <c r="B2054" s="121"/>
      <c r="C2054" s="122"/>
      <c r="D2054" s="123">
        <f>ROUND(SUM(D2053:D2053),2)</f>
        <v>40</v>
      </c>
      <c r="E2054" s="162"/>
      <c r="F2054" s="162"/>
      <c r="G2054" s="162"/>
      <c r="H2054" s="162"/>
      <c r="I2054" s="161"/>
    </row>
    <row r="2055" spans="1:9" ht="12" customHeight="1" x14ac:dyDescent="0.25">
      <c r="A2055" s="452"/>
      <c r="B2055" s="453"/>
      <c r="C2055" s="453"/>
      <c r="D2055" s="162"/>
      <c r="E2055" s="162"/>
      <c r="F2055" s="162"/>
      <c r="G2055" s="162"/>
      <c r="H2055" s="162"/>
      <c r="I2055" s="161"/>
    </row>
    <row r="2056" spans="1:9" ht="12" customHeight="1" x14ac:dyDescent="0.25">
      <c r="A2056" s="461" t="s">
        <v>4309</v>
      </c>
      <c r="B2056" s="462"/>
      <c r="C2056" s="462"/>
      <c r="D2056" s="458" t="str">
        <f>"TOTAL DA MEMÓRIA DE CÁLCULO: "&amp;TEXT(ROUND(SUM(D2054),2),"0,00")</f>
        <v>TOTAL DA MEMÓRIA DE CÁLCULO: 40,00</v>
      </c>
      <c r="E2056" s="458"/>
      <c r="F2056" s="458"/>
      <c r="G2056" s="458"/>
      <c r="H2056" s="458"/>
      <c r="I2056" s="161"/>
    </row>
    <row r="2057" spans="1:9" ht="9.9499999999999993" customHeight="1" x14ac:dyDescent="0.25">
      <c r="A2057" s="461"/>
      <c r="B2057" s="462"/>
      <c r="C2057" s="462"/>
      <c r="D2057" s="162"/>
      <c r="E2057" s="162"/>
      <c r="F2057" s="162"/>
      <c r="G2057" s="162"/>
      <c r="H2057" s="162"/>
      <c r="I2057" s="161"/>
    </row>
    <row r="2058" spans="1:9" ht="20.100000000000001" customHeight="1" x14ac:dyDescent="0.25">
      <c r="A2058" s="452"/>
      <c r="B2058" s="453"/>
      <c r="C2058" s="453"/>
      <c r="D2058" s="453"/>
      <c r="E2058" s="162"/>
      <c r="F2058" s="162"/>
      <c r="G2058" s="162"/>
      <c r="H2058" s="162"/>
      <c r="I2058" s="161"/>
    </row>
    <row r="2059" spans="1:9" ht="15" customHeight="1" x14ac:dyDescent="0.25">
      <c r="A2059" s="456" t="s">
        <v>773</v>
      </c>
      <c r="B2059" s="457"/>
      <c r="C2059" s="457"/>
      <c r="D2059" s="457"/>
      <c r="E2059" s="457"/>
      <c r="F2059" s="457"/>
      <c r="G2059" s="457"/>
      <c r="H2059" s="457"/>
      <c r="I2059" s="161"/>
    </row>
    <row r="2060" spans="1:9" ht="12.95" customHeight="1" x14ac:dyDescent="0.25">
      <c r="A2060" s="450"/>
      <c r="B2060" s="451"/>
      <c r="C2060" s="119"/>
      <c r="D2060" s="119" t="s">
        <v>72</v>
      </c>
      <c r="E2060" s="119" t="s">
        <v>984</v>
      </c>
      <c r="F2060" s="162"/>
      <c r="G2060" s="162"/>
      <c r="H2060" s="162"/>
      <c r="I2060" s="161"/>
    </row>
    <row r="2061" spans="1:9" ht="15" customHeight="1" x14ac:dyDescent="0.25">
      <c r="A2061" s="163"/>
      <c r="B2061" s="120"/>
      <c r="C2061" s="227"/>
      <c r="D2061" s="227">
        <v>690</v>
      </c>
      <c r="E2061" s="228">
        <f>D2061</f>
        <v>690</v>
      </c>
      <c r="F2061" s="162"/>
      <c r="G2061" s="162"/>
      <c r="H2061" s="162"/>
      <c r="I2061" s="161"/>
    </row>
    <row r="2062" spans="1:9" ht="9.9499999999999993" customHeight="1" x14ac:dyDescent="0.25">
      <c r="A2062" s="164"/>
      <c r="B2062" s="121"/>
      <c r="C2062" s="122"/>
      <c r="D2062" s="122"/>
      <c r="E2062" s="123">
        <f>ROUND(SUM(E2061:E2061),2)</f>
        <v>690</v>
      </c>
      <c r="F2062" s="162"/>
      <c r="G2062" s="162"/>
      <c r="H2062" s="162"/>
      <c r="I2062" s="161"/>
    </row>
    <row r="2063" spans="1:9" ht="12" customHeight="1" x14ac:dyDescent="0.25">
      <c r="A2063" s="452"/>
      <c r="B2063" s="453"/>
      <c r="C2063" s="453"/>
      <c r="D2063" s="162"/>
      <c r="E2063" s="162"/>
      <c r="F2063" s="162"/>
      <c r="G2063" s="162"/>
      <c r="H2063" s="162"/>
      <c r="I2063" s="161"/>
    </row>
    <row r="2064" spans="1:9" ht="9.9499999999999993" customHeight="1" x14ac:dyDescent="0.25">
      <c r="A2064" s="165"/>
      <c r="B2064" s="162"/>
      <c r="C2064" s="162"/>
      <c r="D2064" s="458" t="str">
        <f>"TOTAL DA MEMÓRIA DE CÁLCULO: "&amp;TEXT(ROUND(SUM(E2062),2),"0,00")</f>
        <v>TOTAL DA MEMÓRIA DE CÁLCULO: 690,00</v>
      </c>
      <c r="E2064" s="458"/>
      <c r="F2064" s="458"/>
      <c r="G2064" s="458"/>
      <c r="H2064" s="458"/>
      <c r="I2064" s="161"/>
    </row>
    <row r="2065" spans="1:9" ht="20.100000000000001" customHeight="1" x14ac:dyDescent="0.25">
      <c r="A2065" s="452"/>
      <c r="B2065" s="453"/>
      <c r="C2065" s="453"/>
      <c r="D2065" s="453"/>
      <c r="E2065" s="162"/>
      <c r="F2065" s="162"/>
      <c r="G2065" s="162"/>
      <c r="H2065" s="162"/>
      <c r="I2065" s="161"/>
    </row>
    <row r="2066" spans="1:9" x14ac:dyDescent="0.25">
      <c r="A2066" s="452"/>
      <c r="B2066" s="453"/>
      <c r="C2066" s="453"/>
      <c r="D2066" s="453"/>
      <c r="E2066" s="162"/>
      <c r="F2066" s="162"/>
      <c r="G2066" s="162"/>
      <c r="H2066" s="162"/>
      <c r="I2066" s="161"/>
    </row>
    <row r="2067" spans="1:9" ht="15" customHeight="1" x14ac:dyDescent="0.25">
      <c r="A2067" s="456" t="s">
        <v>4409</v>
      </c>
      <c r="B2067" s="457"/>
      <c r="C2067" s="457"/>
      <c r="D2067" s="457"/>
      <c r="E2067" s="457"/>
      <c r="F2067" s="457"/>
      <c r="G2067" s="457"/>
      <c r="H2067" s="457"/>
      <c r="I2067" s="161"/>
    </row>
    <row r="2068" spans="1:9" ht="18.95" customHeight="1" x14ac:dyDescent="0.25">
      <c r="A2068" s="450"/>
      <c r="B2068" s="451"/>
      <c r="C2068" s="119"/>
      <c r="D2068" s="119" t="s">
        <v>984</v>
      </c>
      <c r="E2068" s="162"/>
      <c r="F2068" s="162"/>
      <c r="G2068" s="162"/>
      <c r="H2068" s="162"/>
      <c r="I2068" s="161"/>
    </row>
    <row r="2069" spans="1:9" ht="15" customHeight="1" x14ac:dyDescent="0.25">
      <c r="A2069" s="163" t="s">
        <v>1568</v>
      </c>
      <c r="B2069" s="120" t="s">
        <v>1569</v>
      </c>
      <c r="C2069" s="227">
        <v>600</v>
      </c>
      <c r="D2069" s="228">
        <f>ROUND(600,2)</f>
        <v>600</v>
      </c>
      <c r="E2069" s="162"/>
      <c r="F2069" s="162"/>
      <c r="G2069" s="162"/>
      <c r="H2069" s="162"/>
      <c r="I2069" s="161"/>
    </row>
    <row r="2070" spans="1:9" ht="9.9499999999999993" customHeight="1" x14ac:dyDescent="0.25">
      <c r="A2070" s="164"/>
      <c r="B2070" s="121"/>
      <c r="C2070" s="122"/>
      <c r="D2070" s="123">
        <f>ROUND(SUM(D2069:D2069),2)</f>
        <v>600</v>
      </c>
      <c r="E2070" s="162"/>
      <c r="F2070" s="162"/>
      <c r="G2070" s="162"/>
      <c r="H2070" s="162"/>
      <c r="I2070" s="161"/>
    </row>
    <row r="2071" spans="1:9" ht="12" customHeight="1" x14ac:dyDescent="0.25">
      <c r="A2071" s="452"/>
      <c r="B2071" s="453"/>
      <c r="C2071" s="453"/>
      <c r="D2071" s="162"/>
      <c r="E2071" s="162"/>
      <c r="F2071" s="162"/>
      <c r="G2071" s="162"/>
      <c r="H2071" s="162"/>
      <c r="I2071" s="161"/>
    </row>
    <row r="2072" spans="1:9" ht="12" customHeight="1" x14ac:dyDescent="0.25">
      <c r="A2072" s="461" t="s">
        <v>4309</v>
      </c>
      <c r="B2072" s="462"/>
      <c r="C2072" s="462"/>
      <c r="D2072" s="458" t="str">
        <f>"TOTAL DA MEMÓRIA DE CÁLCULO: "&amp;TEXT(ROUND(SUM(D2070),2),"0,00")</f>
        <v>TOTAL DA MEMÓRIA DE CÁLCULO: 600,00</v>
      </c>
      <c r="E2072" s="458"/>
      <c r="F2072" s="458"/>
      <c r="G2072" s="458"/>
      <c r="H2072" s="458"/>
      <c r="I2072" s="161"/>
    </row>
    <row r="2073" spans="1:9" ht="9.9499999999999993" customHeight="1" x14ac:dyDescent="0.25">
      <c r="A2073" s="461"/>
      <c r="B2073" s="462"/>
      <c r="C2073" s="462"/>
      <c r="D2073" s="162"/>
      <c r="E2073" s="162"/>
      <c r="F2073" s="162"/>
      <c r="G2073" s="162"/>
      <c r="H2073" s="162"/>
      <c r="I2073" s="161"/>
    </row>
    <row r="2074" spans="1:9" ht="30.95" customHeight="1" x14ac:dyDescent="0.25">
      <c r="A2074" s="452"/>
      <c r="B2074" s="453"/>
      <c r="C2074" s="453"/>
      <c r="D2074" s="453"/>
      <c r="E2074" s="162"/>
      <c r="F2074" s="162"/>
      <c r="G2074" s="162"/>
      <c r="H2074" s="162"/>
      <c r="I2074" s="161"/>
    </row>
    <row r="2075" spans="1:9" ht="15" customHeight="1" x14ac:dyDescent="0.25">
      <c r="A2075" s="456" t="s">
        <v>4410</v>
      </c>
      <c r="B2075" s="457"/>
      <c r="C2075" s="457"/>
      <c r="D2075" s="457"/>
      <c r="E2075" s="457"/>
      <c r="F2075" s="457"/>
      <c r="G2075" s="457"/>
      <c r="H2075" s="457"/>
      <c r="I2075" s="161"/>
    </row>
    <row r="2076" spans="1:9" ht="18.95" customHeight="1" x14ac:dyDescent="0.25">
      <c r="A2076" s="450"/>
      <c r="B2076" s="451"/>
      <c r="C2076" s="119"/>
      <c r="D2076" s="119" t="s">
        <v>984</v>
      </c>
      <c r="E2076" s="162"/>
      <c r="F2076" s="162"/>
      <c r="G2076" s="162"/>
      <c r="H2076" s="162"/>
      <c r="I2076" s="161"/>
    </row>
    <row r="2077" spans="1:9" ht="15" customHeight="1" x14ac:dyDescent="0.25">
      <c r="A2077" s="163" t="s">
        <v>1570</v>
      </c>
      <c r="B2077" s="120" t="s">
        <v>1571</v>
      </c>
      <c r="C2077" s="227">
        <v>80</v>
      </c>
      <c r="D2077" s="228">
        <f>ROUND(80,2)</f>
        <v>80</v>
      </c>
      <c r="E2077" s="162"/>
      <c r="F2077" s="162"/>
      <c r="G2077" s="162"/>
      <c r="H2077" s="162"/>
      <c r="I2077" s="161"/>
    </row>
    <row r="2078" spans="1:9" ht="9.9499999999999993" customHeight="1" x14ac:dyDescent="0.25">
      <c r="A2078" s="164"/>
      <c r="B2078" s="121"/>
      <c r="C2078" s="122"/>
      <c r="D2078" s="123">
        <f>ROUND(SUM(D2077:D2077),2)</f>
        <v>80</v>
      </c>
      <c r="E2078" s="162"/>
      <c r="F2078" s="162"/>
      <c r="G2078" s="162"/>
      <c r="H2078" s="162"/>
      <c r="I2078" s="161"/>
    </row>
    <row r="2079" spans="1:9" ht="12" customHeight="1" x14ac:dyDescent="0.25">
      <c r="A2079" s="452"/>
      <c r="B2079" s="453"/>
      <c r="C2079" s="453"/>
      <c r="D2079" s="162"/>
      <c r="E2079" s="162"/>
      <c r="F2079" s="162"/>
      <c r="G2079" s="162"/>
      <c r="H2079" s="162"/>
      <c r="I2079" s="161"/>
    </row>
    <row r="2080" spans="1:9" ht="12" customHeight="1" x14ac:dyDescent="0.25">
      <c r="A2080" s="461" t="s">
        <v>4309</v>
      </c>
      <c r="B2080" s="462"/>
      <c r="C2080" s="462"/>
      <c r="D2080" s="458" t="str">
        <f>"TOTAL DA MEMÓRIA DE CÁLCULO: "&amp;TEXT(ROUND(SUM(D2078),2),"0,00")</f>
        <v>TOTAL DA MEMÓRIA DE CÁLCULO: 80,00</v>
      </c>
      <c r="E2080" s="458"/>
      <c r="F2080" s="458"/>
      <c r="G2080" s="458"/>
      <c r="H2080" s="458"/>
      <c r="I2080" s="161"/>
    </row>
    <row r="2081" spans="1:9" ht="9.9499999999999993" customHeight="1" x14ac:dyDescent="0.25">
      <c r="A2081" s="461"/>
      <c r="B2081" s="462"/>
      <c r="C2081" s="462"/>
      <c r="D2081" s="162"/>
      <c r="E2081" s="162"/>
      <c r="F2081" s="162"/>
      <c r="G2081" s="162"/>
      <c r="H2081" s="162"/>
      <c r="I2081" s="161"/>
    </row>
    <row r="2082" spans="1:9" ht="20.100000000000001" customHeight="1" x14ac:dyDescent="0.25">
      <c r="A2082" s="452"/>
      <c r="B2082" s="453"/>
      <c r="C2082" s="453"/>
      <c r="D2082" s="453"/>
      <c r="E2082" s="162"/>
      <c r="F2082" s="162"/>
      <c r="G2082" s="162"/>
      <c r="H2082" s="162"/>
      <c r="I2082" s="161"/>
    </row>
    <row r="2083" spans="1:9" ht="15" customHeight="1" x14ac:dyDescent="0.25">
      <c r="A2083" s="456" t="s">
        <v>4411</v>
      </c>
      <c r="B2083" s="457"/>
      <c r="C2083" s="457"/>
      <c r="D2083" s="457"/>
      <c r="E2083" s="457"/>
      <c r="F2083" s="457"/>
      <c r="G2083" s="457"/>
      <c r="H2083" s="457"/>
      <c r="I2083" s="161"/>
    </row>
    <row r="2084" spans="1:9" ht="12.95" customHeight="1" x14ac:dyDescent="0.25">
      <c r="A2084" s="450"/>
      <c r="B2084" s="451"/>
      <c r="C2084" s="119"/>
      <c r="D2084" s="119" t="s">
        <v>984</v>
      </c>
      <c r="E2084" s="162"/>
      <c r="F2084" s="162"/>
      <c r="G2084" s="162"/>
      <c r="H2084" s="162"/>
      <c r="I2084" s="161"/>
    </row>
    <row r="2085" spans="1:9" ht="15" customHeight="1" x14ac:dyDescent="0.25">
      <c r="A2085" s="163" t="s">
        <v>1572</v>
      </c>
      <c r="B2085" s="120" t="s">
        <v>1573</v>
      </c>
      <c r="C2085" s="227">
        <v>60</v>
      </c>
      <c r="D2085" s="228">
        <f>ROUND(60,2)</f>
        <v>60</v>
      </c>
      <c r="E2085" s="162"/>
      <c r="F2085" s="162"/>
      <c r="G2085" s="162"/>
      <c r="H2085" s="162"/>
      <c r="I2085" s="161"/>
    </row>
    <row r="2086" spans="1:9" ht="9.9499999999999993" customHeight="1" x14ac:dyDescent="0.25">
      <c r="A2086" s="164"/>
      <c r="B2086" s="121"/>
      <c r="C2086" s="122"/>
      <c r="D2086" s="123">
        <f>ROUND(SUM(D2085:D2085),2)</f>
        <v>60</v>
      </c>
      <c r="E2086" s="162"/>
      <c r="F2086" s="162"/>
      <c r="G2086" s="162"/>
      <c r="H2086" s="162"/>
      <c r="I2086" s="161"/>
    </row>
    <row r="2087" spans="1:9" ht="12" customHeight="1" x14ac:dyDescent="0.25">
      <c r="A2087" s="452"/>
      <c r="B2087" s="453"/>
      <c r="C2087" s="453"/>
      <c r="D2087" s="162"/>
      <c r="E2087" s="162"/>
      <c r="F2087" s="162"/>
      <c r="G2087" s="162"/>
      <c r="H2087" s="162"/>
      <c r="I2087" s="161"/>
    </row>
    <row r="2088" spans="1:9" ht="12" customHeight="1" x14ac:dyDescent="0.25">
      <c r="A2088" s="461" t="s">
        <v>4309</v>
      </c>
      <c r="B2088" s="462"/>
      <c r="C2088" s="462"/>
      <c r="D2088" s="458" t="str">
        <f>"TOTAL DA MEMÓRIA DE CÁLCULO: "&amp;TEXT(ROUND(SUM(D2086),2),"0,00")</f>
        <v>TOTAL DA MEMÓRIA DE CÁLCULO: 60,00</v>
      </c>
      <c r="E2088" s="458"/>
      <c r="F2088" s="458"/>
      <c r="G2088" s="458"/>
      <c r="H2088" s="458"/>
      <c r="I2088" s="161"/>
    </row>
    <row r="2089" spans="1:9" ht="9.9499999999999993" customHeight="1" x14ac:dyDescent="0.25">
      <c r="A2089" s="461"/>
      <c r="B2089" s="462"/>
      <c r="C2089" s="462"/>
      <c r="D2089" s="162"/>
      <c r="E2089" s="162"/>
      <c r="F2089" s="162"/>
      <c r="G2089" s="162"/>
      <c r="H2089" s="162"/>
      <c r="I2089" s="161"/>
    </row>
    <row r="2090" spans="1:9" ht="20.100000000000001" customHeight="1" x14ac:dyDescent="0.25">
      <c r="A2090" s="452"/>
      <c r="B2090" s="453"/>
      <c r="C2090" s="453"/>
      <c r="D2090" s="453"/>
      <c r="E2090" s="162"/>
      <c r="F2090" s="162"/>
      <c r="G2090" s="162"/>
      <c r="H2090" s="162"/>
      <c r="I2090" s="161"/>
    </row>
    <row r="2091" spans="1:9" ht="15" customHeight="1" x14ac:dyDescent="0.25">
      <c r="A2091" s="456" t="s">
        <v>4412</v>
      </c>
      <c r="B2091" s="457"/>
      <c r="C2091" s="457"/>
      <c r="D2091" s="457"/>
      <c r="E2091" s="457"/>
      <c r="F2091" s="457"/>
      <c r="G2091" s="457"/>
      <c r="H2091" s="457"/>
      <c r="I2091" s="161"/>
    </row>
    <row r="2092" spans="1:9" ht="12.95" customHeight="1" x14ac:dyDescent="0.25">
      <c r="A2092" s="450"/>
      <c r="B2092" s="451"/>
      <c r="C2092" s="119"/>
      <c r="D2092" s="119" t="s">
        <v>984</v>
      </c>
      <c r="E2092" s="162"/>
      <c r="F2092" s="162"/>
      <c r="G2092" s="162"/>
      <c r="H2092" s="162"/>
      <c r="I2092" s="161"/>
    </row>
    <row r="2093" spans="1:9" ht="6" customHeight="1" x14ac:dyDescent="0.25">
      <c r="A2093" s="163" t="s">
        <v>1574</v>
      </c>
      <c r="B2093" s="120" t="s">
        <v>1575</v>
      </c>
      <c r="C2093" s="459">
        <v>135</v>
      </c>
      <c r="D2093" s="460">
        <f>ROUND(135,2)</f>
        <v>135</v>
      </c>
      <c r="E2093" s="162"/>
      <c r="F2093" s="162"/>
      <c r="G2093" s="162"/>
      <c r="H2093" s="162"/>
      <c r="I2093" s="161"/>
    </row>
    <row r="2094" spans="1:9" ht="15" customHeight="1" x14ac:dyDescent="0.25">
      <c r="A2094" s="166"/>
      <c r="B2094" s="124"/>
      <c r="C2094" s="459"/>
      <c r="D2094" s="460"/>
      <c r="E2094" s="162"/>
      <c r="F2094" s="162"/>
      <c r="G2094" s="162"/>
      <c r="H2094" s="162"/>
      <c r="I2094" s="161"/>
    </row>
    <row r="2095" spans="1:9" ht="9.9499999999999993" customHeight="1" x14ac:dyDescent="0.25">
      <c r="A2095" s="164"/>
      <c r="B2095" s="121"/>
      <c r="C2095" s="122"/>
      <c r="D2095" s="123">
        <f>ROUND(SUM(D2093:D2094),2)</f>
        <v>135</v>
      </c>
      <c r="E2095" s="162"/>
      <c r="F2095" s="162"/>
      <c r="G2095" s="162"/>
      <c r="H2095" s="162"/>
      <c r="I2095" s="161"/>
    </row>
    <row r="2096" spans="1:9" ht="12" customHeight="1" x14ac:dyDescent="0.25">
      <c r="A2096" s="452"/>
      <c r="B2096" s="453"/>
      <c r="C2096" s="453"/>
      <c r="D2096" s="162"/>
      <c r="E2096" s="162"/>
      <c r="F2096" s="162"/>
      <c r="G2096" s="162"/>
      <c r="H2096" s="162"/>
      <c r="I2096" s="161"/>
    </row>
    <row r="2097" spans="1:9" ht="12" customHeight="1" x14ac:dyDescent="0.25">
      <c r="A2097" s="461" t="s">
        <v>4309</v>
      </c>
      <c r="B2097" s="462"/>
      <c r="C2097" s="462"/>
      <c r="D2097" s="458" t="str">
        <f>"TOTAL DA MEMÓRIA DE CÁLCULO: "&amp;TEXT(ROUND(SUM(D2095),2),"0,00")</f>
        <v>TOTAL DA MEMÓRIA DE CÁLCULO: 135,00</v>
      </c>
      <c r="E2097" s="458"/>
      <c r="F2097" s="458"/>
      <c r="G2097" s="458"/>
      <c r="H2097" s="458"/>
      <c r="I2097" s="161"/>
    </row>
    <row r="2098" spans="1:9" ht="9.9499999999999993" customHeight="1" x14ac:dyDescent="0.25">
      <c r="A2098" s="461"/>
      <c r="B2098" s="462"/>
      <c r="C2098" s="462"/>
      <c r="D2098" s="162"/>
      <c r="E2098" s="162"/>
      <c r="F2098" s="162"/>
      <c r="G2098" s="162"/>
      <c r="H2098" s="162"/>
      <c r="I2098" s="161"/>
    </row>
    <row r="2099" spans="1:9" ht="20.100000000000001" customHeight="1" x14ac:dyDescent="0.25">
      <c r="A2099" s="452"/>
      <c r="B2099" s="453"/>
      <c r="C2099" s="453"/>
      <c r="D2099" s="453"/>
      <c r="E2099" s="162"/>
      <c r="F2099" s="162"/>
      <c r="G2099" s="162"/>
      <c r="H2099" s="162"/>
      <c r="I2099" s="161"/>
    </row>
    <row r="2100" spans="1:9" ht="9.9499999999999993" customHeight="1" x14ac:dyDescent="0.25">
      <c r="A2100" s="456" t="s">
        <v>4413</v>
      </c>
      <c r="B2100" s="457"/>
      <c r="C2100" s="457"/>
      <c r="D2100" s="457"/>
      <c r="E2100" s="457"/>
      <c r="F2100" s="457"/>
      <c r="G2100" s="457"/>
      <c r="H2100" s="457"/>
      <c r="I2100" s="161"/>
    </row>
    <row r="2101" spans="1:9" ht="20.100000000000001" customHeight="1" x14ac:dyDescent="0.25">
      <c r="A2101" s="452"/>
      <c r="B2101" s="453"/>
      <c r="C2101" s="453"/>
      <c r="D2101" s="162"/>
      <c r="E2101" s="162"/>
      <c r="F2101" s="162"/>
      <c r="G2101" s="162"/>
      <c r="H2101" s="162"/>
      <c r="I2101" s="161"/>
    </row>
    <row r="2102" spans="1:9" ht="15" customHeight="1" x14ac:dyDescent="0.25">
      <c r="A2102" s="299" t="s">
        <v>4376</v>
      </c>
      <c r="B2102" s="454" t="s">
        <v>957</v>
      </c>
      <c r="C2102" s="455"/>
      <c r="D2102" s="455"/>
      <c r="E2102" s="300"/>
      <c r="F2102" s="300"/>
      <c r="G2102" s="300"/>
      <c r="H2102" s="300"/>
      <c r="I2102" s="161"/>
    </row>
    <row r="2103" spans="1:9" ht="12.95" customHeight="1" x14ac:dyDescent="0.25">
      <c r="A2103" s="450"/>
      <c r="B2103" s="451"/>
      <c r="C2103" s="119" t="s">
        <v>251</v>
      </c>
      <c r="D2103" s="119" t="s">
        <v>984</v>
      </c>
      <c r="E2103" s="162"/>
      <c r="F2103" s="162"/>
      <c r="G2103" s="162"/>
      <c r="H2103" s="162"/>
      <c r="I2103" s="161"/>
    </row>
    <row r="2104" spans="1:9" x14ac:dyDescent="0.25">
      <c r="A2104" s="163"/>
      <c r="B2104" s="120"/>
      <c r="C2104" s="227">
        <v>2</v>
      </c>
      <c r="D2104" s="228">
        <f>C2104</f>
        <v>2</v>
      </c>
      <c r="E2104" s="162"/>
      <c r="F2104" s="162"/>
      <c r="G2104" s="162"/>
      <c r="H2104" s="162"/>
      <c r="I2104" s="161"/>
    </row>
    <row r="2105" spans="1:9" ht="9.9499999999999993" customHeight="1" x14ac:dyDescent="0.25">
      <c r="A2105" s="164"/>
      <c r="B2105" s="121"/>
      <c r="C2105" s="122"/>
      <c r="D2105" s="123">
        <f>ROUND(SUM(D2104:D2104),2)</f>
        <v>2</v>
      </c>
      <c r="E2105" s="162"/>
      <c r="F2105" s="162"/>
      <c r="G2105" s="162"/>
      <c r="H2105" s="162"/>
      <c r="I2105" s="161"/>
    </row>
    <row r="2106" spans="1:9" ht="20.100000000000001" customHeight="1" x14ac:dyDescent="0.25">
      <c r="A2106" s="452"/>
      <c r="B2106" s="453"/>
      <c r="C2106" s="453"/>
      <c r="D2106" s="453"/>
      <c r="E2106" s="162"/>
      <c r="F2106" s="162"/>
      <c r="G2106" s="162"/>
      <c r="H2106" s="162"/>
      <c r="I2106" s="161"/>
    </row>
    <row r="2107" spans="1:9" ht="20.100000000000001" customHeight="1" x14ac:dyDescent="0.25">
      <c r="A2107" s="452"/>
      <c r="B2107" s="453"/>
      <c r="C2107" s="453"/>
      <c r="D2107" s="162"/>
      <c r="E2107" s="162"/>
      <c r="F2107" s="162"/>
      <c r="G2107" s="162"/>
      <c r="H2107" s="162"/>
      <c r="I2107" s="161"/>
    </row>
    <row r="2108" spans="1:9" ht="15" customHeight="1" x14ac:dyDescent="0.25">
      <c r="A2108" s="299" t="s">
        <v>4377</v>
      </c>
      <c r="B2108" s="454" t="s">
        <v>973</v>
      </c>
      <c r="C2108" s="455"/>
      <c r="D2108" s="455"/>
      <c r="E2108" s="300"/>
      <c r="F2108" s="300"/>
      <c r="G2108" s="300"/>
      <c r="H2108" s="300"/>
      <c r="I2108" s="161"/>
    </row>
    <row r="2109" spans="1:9" ht="12.95" customHeight="1" x14ac:dyDescent="0.25">
      <c r="A2109" s="450"/>
      <c r="B2109" s="451"/>
      <c r="C2109" s="119" t="s">
        <v>251</v>
      </c>
      <c r="D2109" s="119" t="s">
        <v>984</v>
      </c>
      <c r="E2109" s="162"/>
      <c r="F2109" s="162"/>
      <c r="G2109" s="162"/>
      <c r="H2109" s="162"/>
      <c r="I2109" s="161"/>
    </row>
    <row r="2110" spans="1:9" x14ac:dyDescent="0.25">
      <c r="A2110" s="163"/>
      <c r="B2110" s="120"/>
      <c r="C2110" s="227">
        <v>16</v>
      </c>
      <c r="D2110" s="228">
        <f>C2110</f>
        <v>16</v>
      </c>
      <c r="E2110" s="162"/>
      <c r="F2110" s="162"/>
      <c r="G2110" s="162"/>
      <c r="H2110" s="162"/>
      <c r="I2110" s="161"/>
    </row>
    <row r="2111" spans="1:9" ht="9.9499999999999993" customHeight="1" x14ac:dyDescent="0.25">
      <c r="A2111" s="164"/>
      <c r="B2111" s="121"/>
      <c r="C2111" s="122"/>
      <c r="D2111" s="123">
        <f>ROUND(SUM(D2110:D2110),2)</f>
        <v>16</v>
      </c>
      <c r="E2111" s="162"/>
      <c r="F2111" s="162"/>
      <c r="G2111" s="162"/>
      <c r="H2111" s="162"/>
      <c r="I2111" s="161"/>
    </row>
    <row r="2112" spans="1:9" ht="20.100000000000001" customHeight="1" x14ac:dyDescent="0.25">
      <c r="A2112" s="452"/>
      <c r="B2112" s="453"/>
      <c r="C2112" s="453"/>
      <c r="D2112" s="453"/>
      <c r="E2112" s="162"/>
      <c r="F2112" s="162"/>
      <c r="G2112" s="162"/>
      <c r="H2112" s="162"/>
      <c r="I2112" s="161"/>
    </row>
    <row r="2113" spans="1:9" ht="20.100000000000001" customHeight="1" x14ac:dyDescent="0.25">
      <c r="A2113" s="452"/>
      <c r="B2113" s="453"/>
      <c r="C2113" s="453"/>
      <c r="D2113" s="162"/>
      <c r="E2113" s="162"/>
      <c r="F2113" s="162"/>
      <c r="G2113" s="162"/>
      <c r="H2113" s="162"/>
      <c r="I2113" s="161"/>
    </row>
    <row r="2114" spans="1:9" ht="15" customHeight="1" x14ac:dyDescent="0.25">
      <c r="A2114" s="299" t="s">
        <v>4378</v>
      </c>
      <c r="B2114" s="454" t="s">
        <v>976</v>
      </c>
      <c r="C2114" s="455"/>
      <c r="D2114" s="455"/>
      <c r="E2114" s="300"/>
      <c r="F2114" s="300"/>
      <c r="G2114" s="300"/>
      <c r="H2114" s="300"/>
      <c r="I2114" s="161"/>
    </row>
    <row r="2115" spans="1:9" ht="12.95" customHeight="1" x14ac:dyDescent="0.25">
      <c r="A2115" s="450"/>
      <c r="B2115" s="451"/>
      <c r="C2115" s="119" t="s">
        <v>251</v>
      </c>
      <c r="D2115" s="119" t="s">
        <v>984</v>
      </c>
      <c r="E2115" s="162"/>
      <c r="F2115" s="162"/>
      <c r="G2115" s="162"/>
      <c r="H2115" s="162"/>
      <c r="I2115" s="161"/>
    </row>
    <row r="2116" spans="1:9" x14ac:dyDescent="0.25">
      <c r="A2116" s="163"/>
      <c r="B2116" s="120"/>
      <c r="C2116" s="227">
        <v>16</v>
      </c>
      <c r="D2116" s="228">
        <f>C2116</f>
        <v>16</v>
      </c>
      <c r="E2116" s="162"/>
      <c r="F2116" s="162"/>
      <c r="G2116" s="162"/>
      <c r="H2116" s="162"/>
      <c r="I2116" s="161"/>
    </row>
    <row r="2117" spans="1:9" ht="9.9499999999999993" customHeight="1" x14ac:dyDescent="0.25">
      <c r="A2117" s="164"/>
      <c r="B2117" s="121"/>
      <c r="C2117" s="122"/>
      <c r="D2117" s="123">
        <f>ROUND(SUM(D2116:D2116),2)</f>
        <v>16</v>
      </c>
      <c r="E2117" s="162"/>
      <c r="F2117" s="162"/>
      <c r="G2117" s="162"/>
      <c r="H2117" s="162"/>
      <c r="I2117" s="161"/>
    </row>
    <row r="2118" spans="1:9" ht="20.100000000000001" customHeight="1" x14ac:dyDescent="0.25">
      <c r="A2118" s="452"/>
      <c r="B2118" s="453"/>
      <c r="C2118" s="453"/>
      <c r="D2118" s="453"/>
      <c r="E2118" s="162"/>
      <c r="F2118" s="162"/>
      <c r="G2118" s="162"/>
      <c r="H2118" s="162"/>
      <c r="I2118" s="161"/>
    </row>
    <row r="2119" spans="1:9" ht="20.100000000000001" customHeight="1" x14ac:dyDescent="0.25">
      <c r="A2119" s="452"/>
      <c r="B2119" s="453"/>
      <c r="C2119" s="453"/>
      <c r="D2119" s="162"/>
      <c r="E2119" s="162"/>
      <c r="F2119" s="162"/>
      <c r="G2119" s="162"/>
      <c r="H2119" s="162"/>
      <c r="I2119" s="161"/>
    </row>
    <row r="2120" spans="1:9" ht="15" customHeight="1" x14ac:dyDescent="0.25">
      <c r="A2120" s="299" t="s">
        <v>4379</v>
      </c>
      <c r="B2120" s="454" t="s">
        <v>596</v>
      </c>
      <c r="C2120" s="455"/>
      <c r="D2120" s="455"/>
      <c r="E2120" s="300"/>
      <c r="F2120" s="300"/>
      <c r="G2120" s="300"/>
      <c r="H2120" s="300"/>
      <c r="I2120" s="161"/>
    </row>
    <row r="2121" spans="1:9" ht="12.95" customHeight="1" x14ac:dyDescent="0.25">
      <c r="A2121" s="450"/>
      <c r="B2121" s="451"/>
      <c r="C2121" s="119" t="s">
        <v>251</v>
      </c>
      <c r="D2121" s="119" t="s">
        <v>984</v>
      </c>
      <c r="E2121" s="162"/>
      <c r="F2121" s="162"/>
      <c r="G2121" s="162"/>
      <c r="H2121" s="162"/>
      <c r="I2121" s="161"/>
    </row>
    <row r="2122" spans="1:9" x14ac:dyDescent="0.25">
      <c r="A2122" s="163"/>
      <c r="B2122" s="120"/>
      <c r="C2122" s="227">
        <v>4</v>
      </c>
      <c r="D2122" s="228">
        <f>C2122</f>
        <v>4</v>
      </c>
      <c r="E2122" s="162"/>
      <c r="F2122" s="162"/>
      <c r="G2122" s="162"/>
      <c r="H2122" s="162"/>
      <c r="I2122" s="161"/>
    </row>
    <row r="2123" spans="1:9" ht="9.9499999999999993" customHeight="1" x14ac:dyDescent="0.25">
      <c r="A2123" s="164"/>
      <c r="B2123" s="121"/>
      <c r="C2123" s="122"/>
      <c r="D2123" s="123">
        <f>ROUND(SUM(D2122:D2122),2)</f>
        <v>4</v>
      </c>
      <c r="E2123" s="162"/>
      <c r="F2123" s="162"/>
      <c r="G2123" s="162"/>
      <c r="H2123" s="162"/>
      <c r="I2123" s="161"/>
    </row>
    <row r="2124" spans="1:9" ht="20.100000000000001" customHeight="1" x14ac:dyDescent="0.25">
      <c r="A2124" s="452"/>
      <c r="B2124" s="453"/>
      <c r="C2124" s="453"/>
      <c r="D2124" s="453"/>
      <c r="E2124" s="162"/>
      <c r="F2124" s="162"/>
      <c r="G2124" s="162"/>
      <c r="H2124" s="162"/>
      <c r="I2124" s="161"/>
    </row>
    <row r="2125" spans="1:9" ht="20.100000000000001" customHeight="1" x14ac:dyDescent="0.25">
      <c r="A2125" s="452"/>
      <c r="B2125" s="453"/>
      <c r="C2125" s="453"/>
      <c r="D2125" s="162"/>
      <c r="E2125" s="162"/>
      <c r="F2125" s="162"/>
      <c r="G2125" s="162"/>
      <c r="H2125" s="162"/>
      <c r="I2125" s="161"/>
    </row>
    <row r="2126" spans="1:9" ht="15" customHeight="1" x14ac:dyDescent="0.25">
      <c r="A2126" s="299" t="s">
        <v>4380</v>
      </c>
      <c r="B2126" s="454" t="s">
        <v>981</v>
      </c>
      <c r="C2126" s="455"/>
      <c r="D2126" s="455"/>
      <c r="E2126" s="300"/>
      <c r="F2126" s="300"/>
      <c r="G2126" s="300"/>
      <c r="H2126" s="300"/>
      <c r="I2126" s="161"/>
    </row>
    <row r="2127" spans="1:9" ht="12.95" customHeight="1" x14ac:dyDescent="0.25">
      <c r="A2127" s="450"/>
      <c r="B2127" s="451"/>
      <c r="C2127" s="119" t="s">
        <v>188</v>
      </c>
      <c r="D2127" s="119" t="s">
        <v>984</v>
      </c>
      <c r="E2127" s="162"/>
      <c r="F2127" s="162"/>
      <c r="G2127" s="162"/>
      <c r="H2127" s="162"/>
      <c r="I2127" s="161"/>
    </row>
    <row r="2128" spans="1:9" x14ac:dyDescent="0.25">
      <c r="A2128" s="163"/>
      <c r="B2128" s="120"/>
      <c r="C2128" s="227">
        <v>186</v>
      </c>
      <c r="D2128" s="228">
        <f>C2128</f>
        <v>186</v>
      </c>
      <c r="E2128" s="162"/>
      <c r="F2128" s="162"/>
      <c r="G2128" s="162"/>
      <c r="H2128" s="162"/>
      <c r="I2128" s="161"/>
    </row>
    <row r="2129" spans="1:9" ht="9.9499999999999993" customHeight="1" x14ac:dyDescent="0.25">
      <c r="A2129" s="164"/>
      <c r="B2129" s="121"/>
      <c r="C2129" s="122"/>
      <c r="D2129" s="123">
        <f>ROUND(SUM(D2128:D2128),2)</f>
        <v>186</v>
      </c>
      <c r="E2129" s="162"/>
      <c r="F2129" s="162"/>
      <c r="G2129" s="162"/>
      <c r="H2129" s="162"/>
      <c r="I2129" s="161"/>
    </row>
    <row r="2130" spans="1:9" ht="20.100000000000001" customHeight="1" x14ac:dyDescent="0.25">
      <c r="A2130" s="452"/>
      <c r="B2130" s="453"/>
      <c r="C2130" s="453"/>
      <c r="D2130" s="453"/>
      <c r="E2130" s="162"/>
      <c r="F2130" s="162"/>
      <c r="G2130" s="162"/>
      <c r="H2130" s="162"/>
      <c r="I2130" s="161"/>
    </row>
    <row r="2131" spans="1:9" ht="9.9499999999999993" customHeight="1" x14ac:dyDescent="0.25">
      <c r="A2131" s="456" t="s">
        <v>1576</v>
      </c>
      <c r="B2131" s="457"/>
      <c r="C2131" s="457"/>
      <c r="D2131" s="457"/>
      <c r="E2131" s="457"/>
      <c r="F2131" s="457"/>
      <c r="G2131" s="457"/>
      <c r="H2131" s="457"/>
      <c r="I2131" s="161"/>
    </row>
    <row r="2132" spans="1:9" ht="20.100000000000001" customHeight="1" x14ac:dyDescent="0.25">
      <c r="A2132" s="452"/>
      <c r="B2132" s="453"/>
      <c r="C2132" s="453"/>
      <c r="D2132" s="162"/>
      <c r="E2132" s="162"/>
      <c r="F2132" s="162"/>
      <c r="G2132" s="162"/>
      <c r="H2132" s="162"/>
      <c r="I2132" s="161"/>
    </row>
    <row r="2133" spans="1:9" ht="9.9499999999999993" customHeight="1" x14ac:dyDescent="0.25">
      <c r="A2133" s="456" t="s">
        <v>1577</v>
      </c>
      <c r="B2133" s="457"/>
      <c r="C2133" s="457"/>
      <c r="D2133" s="457"/>
      <c r="E2133" s="457"/>
      <c r="F2133" s="457"/>
      <c r="G2133" s="457"/>
      <c r="H2133" s="457"/>
      <c r="I2133" s="161"/>
    </row>
    <row r="2134" spans="1:9" ht="42.95" customHeight="1" x14ac:dyDescent="0.25">
      <c r="A2134" s="452"/>
      <c r="B2134" s="453"/>
      <c r="C2134" s="453"/>
      <c r="D2134" s="162"/>
      <c r="E2134" s="162"/>
      <c r="F2134" s="162"/>
      <c r="G2134" s="162"/>
      <c r="H2134" s="162"/>
      <c r="I2134" s="161"/>
    </row>
    <row r="2135" spans="1:9" ht="15" customHeight="1" x14ac:dyDescent="0.25">
      <c r="A2135" s="456" t="s">
        <v>1578</v>
      </c>
      <c r="B2135" s="457"/>
      <c r="C2135" s="457"/>
      <c r="D2135" s="457"/>
      <c r="E2135" s="457"/>
      <c r="F2135" s="457"/>
      <c r="G2135" s="457"/>
      <c r="H2135" s="457"/>
      <c r="I2135" s="161"/>
    </row>
    <row r="2136" spans="1:9" ht="12.95" customHeight="1" x14ac:dyDescent="0.25">
      <c r="A2136" s="450"/>
      <c r="B2136" s="451"/>
      <c r="C2136" s="119"/>
      <c r="D2136" s="119" t="s">
        <v>984</v>
      </c>
      <c r="E2136" s="162"/>
      <c r="F2136" s="162"/>
      <c r="G2136" s="162"/>
      <c r="H2136" s="162"/>
      <c r="I2136" s="161"/>
    </row>
    <row r="2137" spans="1:9" ht="15" customHeight="1" x14ac:dyDescent="0.25">
      <c r="A2137" s="163"/>
      <c r="B2137" s="120" t="s">
        <v>0</v>
      </c>
      <c r="C2137" s="227">
        <v>1</v>
      </c>
      <c r="D2137" s="228">
        <f>ROUND(1,2)</f>
        <v>1</v>
      </c>
      <c r="E2137" s="162"/>
      <c r="F2137" s="162"/>
      <c r="G2137" s="162"/>
      <c r="H2137" s="162"/>
      <c r="I2137" s="161"/>
    </row>
    <row r="2138" spans="1:9" ht="9.9499999999999993" customHeight="1" x14ac:dyDescent="0.25">
      <c r="A2138" s="164"/>
      <c r="B2138" s="121"/>
      <c r="C2138" s="122"/>
      <c r="D2138" s="123">
        <f>ROUND(SUM(D2137:D2137),2)</f>
        <v>1</v>
      </c>
      <c r="E2138" s="162"/>
      <c r="F2138" s="162"/>
      <c r="G2138" s="162"/>
      <c r="H2138" s="162"/>
      <c r="I2138" s="161"/>
    </row>
    <row r="2139" spans="1:9" ht="12" customHeight="1" x14ac:dyDescent="0.25">
      <c r="A2139" s="452"/>
      <c r="B2139" s="453"/>
      <c r="C2139" s="453"/>
      <c r="D2139" s="162"/>
      <c r="E2139" s="162"/>
      <c r="F2139" s="162"/>
      <c r="G2139" s="162"/>
      <c r="H2139" s="162"/>
      <c r="I2139" s="161"/>
    </row>
    <row r="2140" spans="1:9" ht="9.9499999999999993" customHeight="1" x14ac:dyDescent="0.25">
      <c r="A2140" s="165"/>
      <c r="B2140" s="162"/>
      <c r="C2140" s="162"/>
      <c r="D2140" s="458" t="str">
        <f>"TOTAL DA MEMÓRIA DE CÁLCULO: "&amp;TEXT(ROUND(SUM(D2138),2),"0,00")</f>
        <v>TOTAL DA MEMÓRIA DE CÁLCULO: 1,00</v>
      </c>
      <c r="E2140" s="458"/>
      <c r="F2140" s="458"/>
      <c r="G2140" s="458"/>
      <c r="H2140" s="458"/>
      <c r="I2140" s="161"/>
    </row>
    <row r="2141" spans="1:9" ht="30.95" customHeight="1" x14ac:dyDescent="0.25">
      <c r="A2141" s="452"/>
      <c r="B2141" s="453"/>
      <c r="C2141" s="453"/>
      <c r="D2141" s="453"/>
      <c r="E2141" s="162"/>
      <c r="F2141" s="162"/>
      <c r="G2141" s="162"/>
      <c r="H2141" s="162"/>
      <c r="I2141" s="161"/>
    </row>
    <row r="2142" spans="1:9" ht="15" customHeight="1" x14ac:dyDescent="0.25">
      <c r="A2142" s="456" t="s">
        <v>1579</v>
      </c>
      <c r="B2142" s="457"/>
      <c r="C2142" s="457"/>
      <c r="D2142" s="457"/>
      <c r="E2142" s="457"/>
      <c r="F2142" s="457"/>
      <c r="G2142" s="457"/>
      <c r="H2142" s="457"/>
      <c r="I2142" s="161"/>
    </row>
    <row r="2143" spans="1:9" ht="12.95" customHeight="1" x14ac:dyDescent="0.25">
      <c r="A2143" s="450"/>
      <c r="B2143" s="451"/>
      <c r="C2143" s="119"/>
      <c r="D2143" s="119" t="s">
        <v>984</v>
      </c>
      <c r="E2143" s="162"/>
      <c r="F2143" s="162"/>
      <c r="G2143" s="162"/>
      <c r="H2143" s="162"/>
      <c r="I2143" s="161"/>
    </row>
    <row r="2144" spans="1:9" ht="15" customHeight="1" x14ac:dyDescent="0.25">
      <c r="A2144" s="163"/>
      <c r="B2144" s="120" t="s">
        <v>0</v>
      </c>
      <c r="C2144" s="227">
        <v>1</v>
      </c>
      <c r="D2144" s="228">
        <f>ROUND(1,2)</f>
        <v>1</v>
      </c>
      <c r="E2144" s="162"/>
      <c r="F2144" s="162"/>
      <c r="G2144" s="162"/>
      <c r="H2144" s="162"/>
      <c r="I2144" s="161"/>
    </row>
    <row r="2145" spans="1:9" ht="9.9499999999999993" customHeight="1" x14ac:dyDescent="0.25">
      <c r="A2145" s="164"/>
      <c r="B2145" s="121"/>
      <c r="C2145" s="122"/>
      <c r="D2145" s="123">
        <f>ROUND(SUM(D2144:D2144),2)</f>
        <v>1</v>
      </c>
      <c r="E2145" s="162"/>
      <c r="F2145" s="162"/>
      <c r="G2145" s="162"/>
      <c r="H2145" s="162"/>
      <c r="I2145" s="161"/>
    </row>
    <row r="2146" spans="1:9" ht="12" customHeight="1" x14ac:dyDescent="0.25">
      <c r="A2146" s="452"/>
      <c r="B2146" s="453"/>
      <c r="C2146" s="453"/>
      <c r="D2146" s="162"/>
      <c r="E2146" s="162"/>
      <c r="F2146" s="162"/>
      <c r="G2146" s="162"/>
      <c r="H2146" s="162"/>
      <c r="I2146" s="161"/>
    </row>
    <row r="2147" spans="1:9" ht="9.9499999999999993" customHeight="1" x14ac:dyDescent="0.25">
      <c r="A2147" s="165"/>
      <c r="B2147" s="162"/>
      <c r="C2147" s="162"/>
      <c r="D2147" s="458" t="str">
        <f>"TOTAL DA MEMÓRIA DE CÁLCULO: "&amp;TEXT(ROUND(SUM(D2145),2),"0,00")</f>
        <v>TOTAL DA MEMÓRIA DE CÁLCULO: 1,00</v>
      </c>
      <c r="E2147" s="458"/>
      <c r="F2147" s="458"/>
      <c r="G2147" s="458"/>
      <c r="H2147" s="458"/>
      <c r="I2147" s="161"/>
    </row>
    <row r="2148" spans="1:9" ht="30.95" customHeight="1" x14ac:dyDescent="0.25">
      <c r="A2148" s="452"/>
      <c r="B2148" s="453"/>
      <c r="C2148" s="453"/>
      <c r="D2148" s="453"/>
      <c r="E2148" s="162"/>
      <c r="F2148" s="162"/>
      <c r="G2148" s="162"/>
      <c r="H2148" s="162"/>
      <c r="I2148" s="161"/>
    </row>
    <row r="2149" spans="1:9" ht="15" customHeight="1" x14ac:dyDescent="0.25">
      <c r="A2149" s="456" t="s">
        <v>1580</v>
      </c>
      <c r="B2149" s="457"/>
      <c r="C2149" s="457"/>
      <c r="D2149" s="457"/>
      <c r="E2149" s="457"/>
      <c r="F2149" s="457"/>
      <c r="G2149" s="457"/>
      <c r="H2149" s="457"/>
      <c r="I2149" s="161"/>
    </row>
    <row r="2150" spans="1:9" ht="12.95" customHeight="1" x14ac:dyDescent="0.25">
      <c r="A2150" s="450"/>
      <c r="B2150" s="451"/>
      <c r="C2150" s="119"/>
      <c r="D2150" s="119" t="s">
        <v>984</v>
      </c>
      <c r="E2150" s="162"/>
      <c r="F2150" s="162"/>
      <c r="G2150" s="162"/>
      <c r="H2150" s="162"/>
      <c r="I2150" s="161"/>
    </row>
    <row r="2151" spans="1:9" ht="15" customHeight="1" x14ac:dyDescent="0.25">
      <c r="A2151" s="163"/>
      <c r="B2151" s="120" t="s">
        <v>0</v>
      </c>
      <c r="C2151" s="227">
        <v>1</v>
      </c>
      <c r="D2151" s="228">
        <f>ROUND(1,2)</f>
        <v>1</v>
      </c>
      <c r="E2151" s="162"/>
      <c r="F2151" s="162"/>
      <c r="G2151" s="162"/>
      <c r="H2151" s="162"/>
      <c r="I2151" s="161"/>
    </row>
    <row r="2152" spans="1:9" ht="9.9499999999999993" customHeight="1" x14ac:dyDescent="0.25">
      <c r="A2152" s="164"/>
      <c r="B2152" s="121"/>
      <c r="C2152" s="122"/>
      <c r="D2152" s="123">
        <f>ROUND(SUM(D2151:D2151),2)</f>
        <v>1</v>
      </c>
      <c r="E2152" s="162"/>
      <c r="F2152" s="162"/>
      <c r="G2152" s="162"/>
      <c r="H2152" s="162"/>
      <c r="I2152" s="161"/>
    </row>
    <row r="2153" spans="1:9" ht="12" customHeight="1" x14ac:dyDescent="0.25">
      <c r="A2153" s="452"/>
      <c r="B2153" s="453"/>
      <c r="C2153" s="453"/>
      <c r="D2153" s="162"/>
      <c r="E2153" s="162"/>
      <c r="F2153" s="162"/>
      <c r="G2153" s="162"/>
      <c r="H2153" s="162"/>
      <c r="I2153" s="161"/>
    </row>
    <row r="2154" spans="1:9" ht="9.9499999999999993" customHeight="1" x14ac:dyDescent="0.25">
      <c r="A2154" s="165"/>
      <c r="B2154" s="162"/>
      <c r="C2154" s="162"/>
      <c r="D2154" s="458" t="str">
        <f>"TOTAL DA MEMÓRIA DE CÁLCULO: "&amp;TEXT(ROUND(SUM(D2152),2),"0,00")</f>
        <v>TOTAL DA MEMÓRIA DE CÁLCULO: 1,00</v>
      </c>
      <c r="E2154" s="458"/>
      <c r="F2154" s="458"/>
      <c r="G2154" s="458"/>
      <c r="H2154" s="458"/>
      <c r="I2154" s="161"/>
    </row>
    <row r="2155" spans="1:9" ht="30.95" customHeight="1" x14ac:dyDescent="0.25">
      <c r="A2155" s="452"/>
      <c r="B2155" s="453"/>
      <c r="C2155" s="453"/>
      <c r="D2155" s="453"/>
      <c r="E2155" s="162"/>
      <c r="F2155" s="162"/>
      <c r="G2155" s="162"/>
      <c r="H2155" s="162"/>
      <c r="I2155" s="161"/>
    </row>
    <row r="2156" spans="1:9" ht="15" customHeight="1" x14ac:dyDescent="0.25">
      <c r="A2156" s="456" t="s">
        <v>1581</v>
      </c>
      <c r="B2156" s="457"/>
      <c r="C2156" s="457"/>
      <c r="D2156" s="457"/>
      <c r="E2156" s="457"/>
      <c r="F2156" s="457"/>
      <c r="G2156" s="457"/>
      <c r="H2156" s="457"/>
      <c r="I2156" s="161"/>
    </row>
    <row r="2157" spans="1:9" ht="12.95" customHeight="1" x14ac:dyDescent="0.25">
      <c r="A2157" s="450"/>
      <c r="B2157" s="451"/>
      <c r="C2157" s="119"/>
      <c r="D2157" s="119" t="s">
        <v>984</v>
      </c>
      <c r="E2157" s="162"/>
      <c r="F2157" s="162"/>
      <c r="G2157" s="162"/>
      <c r="H2157" s="162"/>
      <c r="I2157" s="161"/>
    </row>
    <row r="2158" spans="1:9" ht="15" customHeight="1" x14ac:dyDescent="0.25">
      <c r="A2158" s="163" t="s">
        <v>1582</v>
      </c>
      <c r="B2158" s="120" t="s">
        <v>4</v>
      </c>
      <c r="C2158" s="227">
        <v>3</v>
      </c>
      <c r="D2158" s="228">
        <f>ROUND(3,2)</f>
        <v>3</v>
      </c>
      <c r="E2158" s="162"/>
      <c r="F2158" s="162"/>
      <c r="G2158" s="162"/>
      <c r="H2158" s="162"/>
      <c r="I2158" s="161"/>
    </row>
    <row r="2159" spans="1:9" ht="9.9499999999999993" customHeight="1" x14ac:dyDescent="0.25">
      <c r="A2159" s="164"/>
      <c r="B2159" s="121"/>
      <c r="C2159" s="122"/>
      <c r="D2159" s="123">
        <f>ROUND(SUM(D2158:D2158),2)</f>
        <v>3</v>
      </c>
      <c r="E2159" s="162"/>
      <c r="F2159" s="162"/>
      <c r="G2159" s="162"/>
      <c r="H2159" s="162"/>
      <c r="I2159" s="161"/>
    </row>
    <row r="2160" spans="1:9" ht="12" customHeight="1" x14ac:dyDescent="0.25">
      <c r="A2160" s="452"/>
      <c r="B2160" s="453"/>
      <c r="C2160" s="453"/>
      <c r="D2160" s="162"/>
      <c r="E2160" s="162"/>
      <c r="F2160" s="162"/>
      <c r="G2160" s="162"/>
      <c r="H2160" s="162"/>
      <c r="I2160" s="161"/>
    </row>
    <row r="2161" spans="1:9" ht="9.9499999999999993" customHeight="1" x14ac:dyDescent="0.25">
      <c r="A2161" s="165"/>
      <c r="B2161" s="162"/>
      <c r="C2161" s="162"/>
      <c r="D2161" s="458" t="str">
        <f>"TOTAL DA MEMÓRIA DE CÁLCULO: "&amp;TEXT(ROUND(SUM(D2159),2),"0,00")</f>
        <v>TOTAL DA MEMÓRIA DE CÁLCULO: 3,00</v>
      </c>
      <c r="E2161" s="458"/>
      <c r="F2161" s="458"/>
      <c r="G2161" s="458"/>
      <c r="H2161" s="458"/>
      <c r="I2161" s="161"/>
    </row>
    <row r="2162" spans="1:9" ht="30.95" customHeight="1" x14ac:dyDescent="0.25">
      <c r="A2162" s="452"/>
      <c r="B2162" s="453"/>
      <c r="C2162" s="453"/>
      <c r="D2162" s="453"/>
      <c r="E2162" s="162"/>
      <c r="F2162" s="162"/>
      <c r="G2162" s="162"/>
      <c r="H2162" s="162"/>
      <c r="I2162" s="161"/>
    </row>
    <row r="2163" spans="1:9" ht="15" customHeight="1" x14ac:dyDescent="0.25">
      <c r="A2163" s="456" t="s">
        <v>1583</v>
      </c>
      <c r="B2163" s="457"/>
      <c r="C2163" s="457"/>
      <c r="D2163" s="457"/>
      <c r="E2163" s="457"/>
      <c r="F2163" s="457"/>
      <c r="G2163" s="457"/>
      <c r="H2163" s="457"/>
      <c r="I2163" s="161"/>
    </row>
    <row r="2164" spans="1:9" ht="12.95" customHeight="1" x14ac:dyDescent="0.25">
      <c r="A2164" s="450"/>
      <c r="B2164" s="451"/>
      <c r="C2164" s="119"/>
      <c r="D2164" s="119" t="s">
        <v>984</v>
      </c>
      <c r="E2164" s="162"/>
      <c r="F2164" s="162"/>
      <c r="G2164" s="162"/>
      <c r="H2164" s="162"/>
      <c r="I2164" s="161"/>
    </row>
    <row r="2165" spans="1:9" ht="15" customHeight="1" x14ac:dyDescent="0.25">
      <c r="A2165" s="163"/>
      <c r="B2165" s="120" t="s">
        <v>4</v>
      </c>
      <c r="C2165" s="227">
        <v>3</v>
      </c>
      <c r="D2165" s="228">
        <f>ROUND(3,2)</f>
        <v>3</v>
      </c>
      <c r="E2165" s="162"/>
      <c r="F2165" s="162"/>
      <c r="G2165" s="162"/>
      <c r="H2165" s="162"/>
      <c r="I2165" s="161"/>
    </row>
    <row r="2166" spans="1:9" ht="9.9499999999999993" customHeight="1" x14ac:dyDescent="0.25">
      <c r="A2166" s="164"/>
      <c r="B2166" s="121"/>
      <c r="C2166" s="122"/>
      <c r="D2166" s="123">
        <f>ROUND(SUM(D2165:D2165),2)</f>
        <v>3</v>
      </c>
      <c r="E2166" s="162"/>
      <c r="F2166" s="162"/>
      <c r="G2166" s="162"/>
      <c r="H2166" s="162"/>
      <c r="I2166" s="161"/>
    </row>
    <row r="2167" spans="1:9" ht="12" customHeight="1" x14ac:dyDescent="0.25">
      <c r="A2167" s="452"/>
      <c r="B2167" s="453"/>
      <c r="C2167" s="453"/>
      <c r="D2167" s="162"/>
      <c r="E2167" s="162"/>
      <c r="F2167" s="162"/>
      <c r="G2167" s="162"/>
      <c r="H2167" s="162"/>
      <c r="I2167" s="161"/>
    </row>
    <row r="2168" spans="1:9" ht="9.9499999999999993" customHeight="1" x14ac:dyDescent="0.25">
      <c r="A2168" s="165"/>
      <c r="B2168" s="162"/>
      <c r="C2168" s="162"/>
      <c r="D2168" s="458" t="str">
        <f>"TOTAL DA MEMÓRIA DE CÁLCULO: "&amp;TEXT(ROUND(SUM(D2166),2),"0,00")</f>
        <v>TOTAL DA MEMÓRIA DE CÁLCULO: 3,00</v>
      </c>
      <c r="E2168" s="458"/>
      <c r="F2168" s="458"/>
      <c r="G2168" s="458"/>
      <c r="H2168" s="458"/>
      <c r="I2168" s="161"/>
    </row>
    <row r="2169" spans="1:9" ht="20.100000000000001" customHeight="1" x14ac:dyDescent="0.25">
      <c r="A2169" s="452"/>
      <c r="B2169" s="453"/>
      <c r="C2169" s="453"/>
      <c r="D2169" s="453"/>
      <c r="E2169" s="162"/>
      <c r="F2169" s="162"/>
      <c r="G2169" s="162"/>
      <c r="H2169" s="162"/>
      <c r="I2169" s="161"/>
    </row>
    <row r="2170" spans="1:9" ht="9.9499999999999993" customHeight="1" x14ac:dyDescent="0.25">
      <c r="A2170" s="456" t="s">
        <v>1584</v>
      </c>
      <c r="B2170" s="457"/>
      <c r="C2170" s="457"/>
      <c r="D2170" s="457"/>
      <c r="E2170" s="457"/>
      <c r="F2170" s="457"/>
      <c r="G2170" s="457"/>
      <c r="H2170" s="457"/>
      <c r="I2170" s="161"/>
    </row>
    <row r="2171" spans="1:9" ht="30.95" customHeight="1" x14ac:dyDescent="0.25">
      <c r="A2171" s="452"/>
      <c r="B2171" s="453"/>
      <c r="C2171" s="453"/>
      <c r="D2171" s="162"/>
      <c r="E2171" s="162"/>
      <c r="F2171" s="162"/>
      <c r="G2171" s="162"/>
      <c r="H2171" s="162"/>
      <c r="I2171" s="161"/>
    </row>
    <row r="2172" spans="1:9" ht="15" customHeight="1" x14ac:dyDescent="0.25">
      <c r="A2172" s="456" t="s">
        <v>1585</v>
      </c>
      <c r="B2172" s="457"/>
      <c r="C2172" s="457"/>
      <c r="D2172" s="457"/>
      <c r="E2172" s="457"/>
      <c r="F2172" s="457"/>
      <c r="G2172" s="457"/>
      <c r="H2172" s="457"/>
      <c r="I2172" s="161"/>
    </row>
    <row r="2173" spans="1:9" ht="12.95" customHeight="1" x14ac:dyDescent="0.25">
      <c r="A2173" s="450"/>
      <c r="B2173" s="451"/>
      <c r="C2173" s="119"/>
      <c r="D2173" s="119" t="s">
        <v>984</v>
      </c>
      <c r="E2173" s="162"/>
      <c r="F2173" s="162"/>
      <c r="G2173" s="162"/>
      <c r="H2173" s="162"/>
      <c r="I2173" s="161"/>
    </row>
    <row r="2174" spans="1:9" ht="15" customHeight="1" x14ac:dyDescent="0.25">
      <c r="A2174" s="163"/>
      <c r="B2174" s="120" t="s">
        <v>1586</v>
      </c>
      <c r="C2174" s="227">
        <v>28</v>
      </c>
      <c r="D2174" s="228">
        <f>ROUND(28,2)</f>
        <v>28</v>
      </c>
      <c r="E2174" s="162"/>
      <c r="F2174" s="162"/>
      <c r="G2174" s="162"/>
      <c r="H2174" s="162"/>
      <c r="I2174" s="161"/>
    </row>
    <row r="2175" spans="1:9" ht="9.9499999999999993" customHeight="1" x14ac:dyDescent="0.25">
      <c r="A2175" s="164"/>
      <c r="B2175" s="121"/>
      <c r="C2175" s="122"/>
      <c r="D2175" s="123">
        <f>ROUND(SUM(D2174:D2174),2)</f>
        <v>28</v>
      </c>
      <c r="E2175" s="162"/>
      <c r="F2175" s="162"/>
      <c r="G2175" s="162"/>
      <c r="H2175" s="162"/>
      <c r="I2175" s="161"/>
    </row>
    <row r="2176" spans="1:9" ht="12" customHeight="1" x14ac:dyDescent="0.25">
      <c r="A2176" s="452"/>
      <c r="B2176" s="453"/>
      <c r="C2176" s="453"/>
      <c r="D2176" s="162"/>
      <c r="E2176" s="162"/>
      <c r="F2176" s="162"/>
      <c r="G2176" s="162"/>
      <c r="H2176" s="162"/>
      <c r="I2176" s="161"/>
    </row>
    <row r="2177" spans="1:9" ht="9.9499999999999993" customHeight="1" x14ac:dyDescent="0.25">
      <c r="A2177" s="165"/>
      <c r="B2177" s="162"/>
      <c r="C2177" s="162"/>
      <c r="D2177" s="458" t="str">
        <f>"TOTAL DA MEMÓRIA DE CÁLCULO: "&amp;TEXT(ROUND(SUM(D2175),2),"0,00")</f>
        <v>TOTAL DA MEMÓRIA DE CÁLCULO: 28,00</v>
      </c>
      <c r="E2177" s="458"/>
      <c r="F2177" s="458"/>
      <c r="G2177" s="458"/>
      <c r="H2177" s="458"/>
      <c r="I2177" s="161"/>
    </row>
    <row r="2178" spans="1:9" ht="30.95" customHeight="1" x14ac:dyDescent="0.25">
      <c r="A2178" s="452"/>
      <c r="B2178" s="453"/>
      <c r="C2178" s="453"/>
      <c r="D2178" s="453"/>
      <c r="E2178" s="162"/>
      <c r="F2178" s="162"/>
      <c r="G2178" s="162"/>
      <c r="H2178" s="162"/>
      <c r="I2178" s="161"/>
    </row>
    <row r="2179" spans="1:9" ht="15" customHeight="1" x14ac:dyDescent="0.25">
      <c r="A2179" s="456" t="s">
        <v>1587</v>
      </c>
      <c r="B2179" s="457"/>
      <c r="C2179" s="457"/>
      <c r="D2179" s="457"/>
      <c r="E2179" s="457"/>
      <c r="F2179" s="457"/>
      <c r="G2179" s="457"/>
      <c r="H2179" s="457"/>
      <c r="I2179" s="161"/>
    </row>
    <row r="2180" spans="1:9" ht="18.95" customHeight="1" x14ac:dyDescent="0.25">
      <c r="A2180" s="450"/>
      <c r="B2180" s="451"/>
      <c r="C2180" s="119"/>
      <c r="D2180" s="119" t="s">
        <v>984</v>
      </c>
      <c r="E2180" s="162"/>
      <c r="F2180" s="162"/>
      <c r="G2180" s="162"/>
      <c r="H2180" s="162"/>
      <c r="I2180" s="161"/>
    </row>
    <row r="2181" spans="1:9" ht="15" customHeight="1" x14ac:dyDescent="0.25">
      <c r="A2181" s="163" t="s">
        <v>1588</v>
      </c>
      <c r="B2181" s="120" t="s">
        <v>1589</v>
      </c>
      <c r="C2181" s="227">
        <v>33</v>
      </c>
      <c r="D2181" s="228">
        <f>ROUND(33,2)</f>
        <v>33</v>
      </c>
      <c r="E2181" s="162"/>
      <c r="F2181" s="162"/>
      <c r="G2181" s="162"/>
      <c r="H2181" s="162"/>
      <c r="I2181" s="161"/>
    </row>
    <row r="2182" spans="1:9" ht="9.9499999999999993" customHeight="1" x14ac:dyDescent="0.25">
      <c r="A2182" s="164"/>
      <c r="B2182" s="121"/>
      <c r="C2182" s="122"/>
      <c r="D2182" s="123">
        <f>ROUND(SUM(D2181:D2181),2)</f>
        <v>33</v>
      </c>
      <c r="E2182" s="162"/>
      <c r="F2182" s="162"/>
      <c r="G2182" s="162"/>
      <c r="H2182" s="162"/>
      <c r="I2182" s="161"/>
    </row>
    <row r="2183" spans="1:9" ht="12" customHeight="1" x14ac:dyDescent="0.25">
      <c r="A2183" s="452"/>
      <c r="B2183" s="453"/>
      <c r="C2183" s="453"/>
      <c r="D2183" s="162"/>
      <c r="E2183" s="162"/>
      <c r="F2183" s="162"/>
      <c r="G2183" s="162"/>
      <c r="H2183" s="162"/>
      <c r="I2183" s="161"/>
    </row>
    <row r="2184" spans="1:9" ht="9.9499999999999993" customHeight="1" x14ac:dyDescent="0.25">
      <c r="A2184" s="165"/>
      <c r="B2184" s="162"/>
      <c r="C2184" s="162"/>
      <c r="D2184" s="458" t="str">
        <f>"TOTAL DA MEMÓRIA DE CÁLCULO: "&amp;TEXT(ROUND(SUM(D2182),2),"0,00")</f>
        <v>TOTAL DA MEMÓRIA DE CÁLCULO: 33,00</v>
      </c>
      <c r="E2184" s="458"/>
      <c r="F2184" s="458"/>
      <c r="G2184" s="458"/>
      <c r="H2184" s="458"/>
      <c r="I2184" s="161"/>
    </row>
    <row r="2185" spans="1:9" ht="30.95" customHeight="1" x14ac:dyDescent="0.25">
      <c r="A2185" s="452"/>
      <c r="B2185" s="453"/>
      <c r="C2185" s="453"/>
      <c r="D2185" s="453"/>
      <c r="E2185" s="162"/>
      <c r="F2185" s="162"/>
      <c r="G2185" s="162"/>
      <c r="H2185" s="162"/>
      <c r="I2185" s="161"/>
    </row>
    <row r="2186" spans="1:9" ht="15" customHeight="1" x14ac:dyDescent="0.25">
      <c r="A2186" s="456" t="s">
        <v>1590</v>
      </c>
      <c r="B2186" s="457"/>
      <c r="C2186" s="457"/>
      <c r="D2186" s="457"/>
      <c r="E2186" s="457"/>
      <c r="F2186" s="457"/>
      <c r="G2186" s="457"/>
      <c r="H2186" s="457"/>
      <c r="I2186" s="161"/>
    </row>
    <row r="2187" spans="1:9" ht="18.95" customHeight="1" x14ac:dyDescent="0.25">
      <c r="A2187" s="450"/>
      <c r="B2187" s="451"/>
      <c r="C2187" s="119"/>
      <c r="D2187" s="119" t="s">
        <v>984</v>
      </c>
      <c r="E2187" s="162"/>
      <c r="F2187" s="162"/>
      <c r="G2187" s="162"/>
      <c r="H2187" s="162"/>
      <c r="I2187" s="161"/>
    </row>
    <row r="2188" spans="1:9" ht="18.95" customHeight="1" x14ac:dyDescent="0.25">
      <c r="A2188" s="163" t="s">
        <v>1591</v>
      </c>
      <c r="B2188" s="120" t="s">
        <v>1589</v>
      </c>
      <c r="C2188" s="227">
        <v>33</v>
      </c>
      <c r="D2188" s="228">
        <f>ROUND(33,2)</f>
        <v>33</v>
      </c>
      <c r="E2188" s="162"/>
      <c r="F2188" s="162"/>
      <c r="G2188" s="162"/>
      <c r="H2188" s="162"/>
      <c r="I2188" s="161"/>
    </row>
    <row r="2189" spans="1:9" ht="18.95" customHeight="1" x14ac:dyDescent="0.25">
      <c r="A2189" s="163" t="s">
        <v>1592</v>
      </c>
      <c r="B2189" s="120" t="s">
        <v>1561</v>
      </c>
      <c r="C2189" s="227">
        <v>30</v>
      </c>
      <c r="D2189" s="228">
        <f>ROUND(30,2)</f>
        <v>30</v>
      </c>
      <c r="E2189" s="162"/>
      <c r="F2189" s="162"/>
      <c r="G2189" s="162"/>
      <c r="H2189" s="162"/>
      <c r="I2189" s="161"/>
    </row>
    <row r="2190" spans="1:9" ht="12.95" customHeight="1" x14ac:dyDescent="0.25">
      <c r="A2190" s="163" t="s">
        <v>1593</v>
      </c>
      <c r="B2190" s="120" t="s">
        <v>1561</v>
      </c>
      <c r="C2190" s="227">
        <v>30</v>
      </c>
      <c r="D2190" s="228">
        <f>ROUND(30,2)</f>
        <v>30</v>
      </c>
      <c r="E2190" s="162"/>
      <c r="F2190" s="162"/>
      <c r="G2190" s="162"/>
      <c r="H2190" s="162"/>
      <c r="I2190" s="161"/>
    </row>
    <row r="2191" spans="1:9" ht="15" customHeight="1" x14ac:dyDescent="0.25">
      <c r="A2191" s="163" t="s">
        <v>1594</v>
      </c>
      <c r="B2191" s="120" t="s">
        <v>19</v>
      </c>
      <c r="C2191" s="227">
        <v>11</v>
      </c>
      <c r="D2191" s="228">
        <f>ROUND(11,2)</f>
        <v>11</v>
      </c>
      <c r="E2191" s="162"/>
      <c r="F2191" s="162"/>
      <c r="G2191" s="162"/>
      <c r="H2191" s="162"/>
      <c r="I2191" s="161"/>
    </row>
    <row r="2192" spans="1:9" ht="9.9499999999999993" customHeight="1" x14ac:dyDescent="0.25">
      <c r="A2192" s="164"/>
      <c r="B2192" s="121"/>
      <c r="C2192" s="122"/>
      <c r="D2192" s="123">
        <f>ROUND(SUM(D2188:D2191),2)</f>
        <v>104</v>
      </c>
      <c r="E2192" s="162"/>
      <c r="F2192" s="162"/>
      <c r="G2192" s="162"/>
      <c r="H2192" s="162"/>
      <c r="I2192" s="161"/>
    </row>
    <row r="2193" spans="1:9" ht="12" customHeight="1" x14ac:dyDescent="0.25">
      <c r="A2193" s="452"/>
      <c r="B2193" s="453"/>
      <c r="C2193" s="453"/>
      <c r="D2193" s="162"/>
      <c r="E2193" s="162"/>
      <c r="F2193" s="162"/>
      <c r="G2193" s="162"/>
      <c r="H2193" s="162"/>
      <c r="I2193" s="161"/>
    </row>
    <row r="2194" spans="1:9" ht="9.9499999999999993" customHeight="1" x14ac:dyDescent="0.25">
      <c r="A2194" s="165"/>
      <c r="B2194" s="162"/>
      <c r="C2194" s="162"/>
      <c r="D2194" s="458" t="str">
        <f>"TOTAL DA MEMÓRIA DE CÁLCULO: "&amp;TEXT(ROUND(SUM(D2192),2),"0,00")</f>
        <v>TOTAL DA MEMÓRIA DE CÁLCULO: 104,00</v>
      </c>
      <c r="E2194" s="458"/>
      <c r="F2194" s="458"/>
      <c r="G2194" s="458"/>
      <c r="H2194" s="458"/>
      <c r="I2194" s="161"/>
    </row>
    <row r="2195" spans="1:9" ht="30.95" customHeight="1" x14ac:dyDescent="0.25">
      <c r="A2195" s="452"/>
      <c r="B2195" s="453"/>
      <c r="C2195" s="453"/>
      <c r="D2195" s="453"/>
      <c r="E2195" s="162"/>
      <c r="F2195" s="162"/>
      <c r="G2195" s="162"/>
      <c r="H2195" s="162"/>
      <c r="I2195" s="161"/>
    </row>
    <row r="2196" spans="1:9" ht="15" customHeight="1" x14ac:dyDescent="0.25">
      <c r="A2196" s="456" t="s">
        <v>1595</v>
      </c>
      <c r="B2196" s="457"/>
      <c r="C2196" s="457"/>
      <c r="D2196" s="457"/>
      <c r="E2196" s="457"/>
      <c r="F2196" s="457"/>
      <c r="G2196" s="457"/>
      <c r="H2196" s="457"/>
      <c r="I2196" s="161"/>
    </row>
    <row r="2197" spans="1:9" ht="12.95" customHeight="1" x14ac:dyDescent="0.25">
      <c r="A2197" s="450"/>
      <c r="B2197" s="451"/>
      <c r="C2197" s="119"/>
      <c r="D2197" s="119" t="s">
        <v>984</v>
      </c>
      <c r="E2197" s="162"/>
      <c r="F2197" s="162"/>
      <c r="G2197" s="162"/>
      <c r="H2197" s="162"/>
      <c r="I2197" s="161"/>
    </row>
    <row r="2198" spans="1:9" ht="12.95" customHeight="1" x14ac:dyDescent="0.25">
      <c r="A2198" s="163" t="s">
        <v>1596</v>
      </c>
      <c r="B2198" s="120" t="s">
        <v>21</v>
      </c>
      <c r="C2198" s="227">
        <v>12</v>
      </c>
      <c r="D2198" s="228">
        <f>ROUND(12,2)</f>
        <v>12</v>
      </c>
      <c r="E2198" s="162"/>
      <c r="F2198" s="162"/>
      <c r="G2198" s="162"/>
      <c r="H2198" s="162"/>
      <c r="I2198" s="161"/>
    </row>
    <row r="2199" spans="1:9" ht="15" customHeight="1" x14ac:dyDescent="0.25">
      <c r="A2199" s="163" t="s">
        <v>1597</v>
      </c>
      <c r="B2199" s="120" t="s">
        <v>22</v>
      </c>
      <c r="C2199" s="227">
        <v>14</v>
      </c>
      <c r="D2199" s="228">
        <f>ROUND(14,2)</f>
        <v>14</v>
      </c>
      <c r="E2199" s="162"/>
      <c r="F2199" s="162"/>
      <c r="G2199" s="162"/>
      <c r="H2199" s="162"/>
      <c r="I2199" s="161"/>
    </row>
    <row r="2200" spans="1:9" ht="9.9499999999999993" customHeight="1" x14ac:dyDescent="0.25">
      <c r="A2200" s="164"/>
      <c r="B2200" s="121"/>
      <c r="C2200" s="122"/>
      <c r="D2200" s="123">
        <f>ROUND(SUM(D2198:D2199),2)</f>
        <v>26</v>
      </c>
      <c r="E2200" s="162"/>
      <c r="F2200" s="162"/>
      <c r="G2200" s="162"/>
      <c r="H2200" s="162"/>
      <c r="I2200" s="161"/>
    </row>
    <row r="2201" spans="1:9" ht="12" customHeight="1" x14ac:dyDescent="0.25">
      <c r="A2201" s="452"/>
      <c r="B2201" s="453"/>
      <c r="C2201" s="453"/>
      <c r="D2201" s="162"/>
      <c r="E2201" s="162"/>
      <c r="F2201" s="162"/>
      <c r="G2201" s="162"/>
      <c r="H2201" s="162"/>
      <c r="I2201" s="161"/>
    </row>
    <row r="2202" spans="1:9" ht="9.9499999999999993" customHeight="1" x14ac:dyDescent="0.25">
      <c r="A2202" s="165"/>
      <c r="B2202" s="162"/>
      <c r="C2202" s="162"/>
      <c r="D2202" s="458" t="str">
        <f>"TOTAL DA MEMÓRIA DE CÁLCULO: "&amp;TEXT(ROUND(SUM(D2200),2),"0,00")</f>
        <v>TOTAL DA MEMÓRIA DE CÁLCULO: 26,00</v>
      </c>
      <c r="E2202" s="458"/>
      <c r="F2202" s="458"/>
      <c r="G2202" s="458"/>
      <c r="H2202" s="458"/>
      <c r="I2202" s="161"/>
    </row>
    <row r="2203" spans="1:9" ht="20.100000000000001" customHeight="1" x14ac:dyDescent="0.25">
      <c r="A2203" s="452"/>
      <c r="B2203" s="453"/>
      <c r="C2203" s="453"/>
      <c r="D2203" s="453"/>
      <c r="E2203" s="162"/>
      <c r="F2203" s="162"/>
      <c r="G2203" s="162"/>
      <c r="H2203" s="162"/>
      <c r="I2203" s="161"/>
    </row>
    <row r="2204" spans="1:9" ht="9.9499999999999993" customHeight="1" x14ac:dyDescent="0.25">
      <c r="A2204" s="456" t="s">
        <v>1598</v>
      </c>
      <c r="B2204" s="457"/>
      <c r="C2204" s="457"/>
      <c r="D2204" s="457"/>
      <c r="E2204" s="457"/>
      <c r="F2204" s="457"/>
      <c r="G2204" s="457"/>
      <c r="H2204" s="457"/>
      <c r="I2204" s="161"/>
    </row>
    <row r="2205" spans="1:9" ht="30.95" customHeight="1" x14ac:dyDescent="0.25">
      <c r="A2205" s="452"/>
      <c r="B2205" s="453"/>
      <c r="C2205" s="453"/>
      <c r="D2205" s="162"/>
      <c r="E2205" s="162"/>
      <c r="F2205" s="162"/>
      <c r="G2205" s="162"/>
      <c r="H2205" s="162"/>
      <c r="I2205" s="161"/>
    </row>
    <row r="2206" spans="1:9" ht="15" customHeight="1" x14ac:dyDescent="0.25">
      <c r="A2206" s="456" t="s">
        <v>1599</v>
      </c>
      <c r="B2206" s="457"/>
      <c r="C2206" s="457"/>
      <c r="D2206" s="457"/>
      <c r="E2206" s="457"/>
      <c r="F2206" s="457"/>
      <c r="G2206" s="457"/>
      <c r="H2206" s="457"/>
      <c r="I2206" s="161"/>
    </row>
    <row r="2207" spans="1:9" ht="18.95" customHeight="1" x14ac:dyDescent="0.25">
      <c r="A2207" s="450"/>
      <c r="B2207" s="451"/>
      <c r="C2207" s="119"/>
      <c r="D2207" s="119" t="s">
        <v>984</v>
      </c>
      <c r="E2207" s="162"/>
      <c r="F2207" s="162"/>
      <c r="G2207" s="162"/>
      <c r="H2207" s="162"/>
      <c r="I2207" s="161"/>
    </row>
    <row r="2208" spans="1:9" ht="15" customHeight="1" x14ac:dyDescent="0.25">
      <c r="A2208" s="163" t="s">
        <v>1600</v>
      </c>
      <c r="B2208" s="120" t="s">
        <v>0</v>
      </c>
      <c r="C2208" s="227">
        <v>1</v>
      </c>
      <c r="D2208" s="228">
        <f>ROUND(1,2)</f>
        <v>1</v>
      </c>
      <c r="E2208" s="162"/>
      <c r="F2208" s="162"/>
      <c r="G2208" s="162"/>
      <c r="H2208" s="162"/>
      <c r="I2208" s="161"/>
    </row>
    <row r="2209" spans="1:9" ht="9.9499999999999993" customHeight="1" x14ac:dyDescent="0.25">
      <c r="A2209" s="164"/>
      <c r="B2209" s="121"/>
      <c r="C2209" s="122"/>
      <c r="D2209" s="123">
        <f>ROUND(SUM(D2208:D2208),2)</f>
        <v>1</v>
      </c>
      <c r="E2209" s="162"/>
      <c r="F2209" s="162"/>
      <c r="G2209" s="162"/>
      <c r="H2209" s="162"/>
      <c r="I2209" s="161"/>
    </row>
    <row r="2210" spans="1:9" ht="12" customHeight="1" x14ac:dyDescent="0.25">
      <c r="A2210" s="452"/>
      <c r="B2210" s="453"/>
      <c r="C2210" s="453"/>
      <c r="D2210" s="162"/>
      <c r="E2210" s="162"/>
      <c r="F2210" s="162"/>
      <c r="G2210" s="162"/>
      <c r="H2210" s="162"/>
      <c r="I2210" s="161"/>
    </row>
    <row r="2211" spans="1:9" ht="9.9499999999999993" customHeight="1" x14ac:dyDescent="0.25">
      <c r="A2211" s="165"/>
      <c r="B2211" s="162"/>
      <c r="C2211" s="162"/>
      <c r="D2211" s="458" t="str">
        <f>"TOTAL DA MEMÓRIA DE CÁLCULO: "&amp;TEXT(ROUND(SUM(D2209),2),"0,00")</f>
        <v>TOTAL DA MEMÓRIA DE CÁLCULO: 1,00</v>
      </c>
      <c r="E2211" s="458"/>
      <c r="F2211" s="458"/>
      <c r="G2211" s="458"/>
      <c r="H2211" s="458"/>
      <c r="I2211" s="161"/>
    </row>
    <row r="2212" spans="1:9" ht="20.100000000000001" customHeight="1" x14ac:dyDescent="0.25">
      <c r="A2212" s="452"/>
      <c r="B2212" s="453"/>
      <c r="C2212" s="453"/>
      <c r="D2212" s="453"/>
      <c r="E2212" s="162"/>
      <c r="F2212" s="162"/>
      <c r="G2212" s="162"/>
      <c r="H2212" s="162"/>
      <c r="I2212" s="161"/>
    </row>
    <row r="2213" spans="1:9" ht="9.9499999999999993" customHeight="1" x14ac:dyDescent="0.25">
      <c r="A2213" s="456" t="s">
        <v>1601</v>
      </c>
      <c r="B2213" s="457"/>
      <c r="C2213" s="457"/>
      <c r="D2213" s="457"/>
      <c r="E2213" s="457"/>
      <c r="F2213" s="457"/>
      <c r="G2213" s="457"/>
      <c r="H2213" s="457"/>
      <c r="I2213" s="161"/>
    </row>
    <row r="2214" spans="1:9" ht="20.100000000000001" customHeight="1" x14ac:dyDescent="0.25">
      <c r="A2214" s="452"/>
      <c r="B2214" s="453"/>
      <c r="C2214" s="453"/>
      <c r="D2214" s="162"/>
      <c r="E2214" s="162"/>
      <c r="F2214" s="162"/>
      <c r="G2214" s="162"/>
      <c r="H2214" s="162"/>
      <c r="I2214" s="161"/>
    </row>
    <row r="2215" spans="1:9" ht="9.9499999999999993" customHeight="1" x14ac:dyDescent="0.25">
      <c r="A2215" s="456" t="s">
        <v>1602</v>
      </c>
      <c r="B2215" s="457"/>
      <c r="C2215" s="457"/>
      <c r="D2215" s="457"/>
      <c r="E2215" s="457"/>
      <c r="F2215" s="457"/>
      <c r="G2215" s="457"/>
      <c r="H2215" s="457"/>
      <c r="I2215" s="161"/>
    </row>
    <row r="2216" spans="1:9" ht="30.95" customHeight="1" x14ac:dyDescent="0.25">
      <c r="A2216" s="452"/>
      <c r="B2216" s="453"/>
      <c r="C2216" s="453"/>
      <c r="D2216" s="162"/>
      <c r="E2216" s="162"/>
      <c r="F2216" s="162"/>
      <c r="G2216" s="162"/>
      <c r="H2216" s="162"/>
      <c r="I2216" s="161"/>
    </row>
    <row r="2217" spans="1:9" ht="15" customHeight="1" x14ac:dyDescent="0.25">
      <c r="A2217" s="456" t="s">
        <v>1603</v>
      </c>
      <c r="B2217" s="457"/>
      <c r="C2217" s="457"/>
      <c r="D2217" s="457"/>
      <c r="E2217" s="457"/>
      <c r="F2217" s="457"/>
      <c r="G2217" s="457"/>
      <c r="H2217" s="457"/>
      <c r="I2217" s="161"/>
    </row>
    <row r="2218" spans="1:9" ht="12.95" customHeight="1" x14ac:dyDescent="0.25">
      <c r="A2218" s="450"/>
      <c r="B2218" s="451"/>
      <c r="C2218" s="119"/>
      <c r="D2218" s="119" t="s">
        <v>984</v>
      </c>
      <c r="E2218" s="162"/>
      <c r="F2218" s="162"/>
      <c r="G2218" s="162"/>
      <c r="H2218" s="162"/>
      <c r="I2218" s="161"/>
    </row>
    <row r="2219" spans="1:9" ht="15" customHeight="1" x14ac:dyDescent="0.25">
      <c r="A2219" s="163" t="s">
        <v>1604</v>
      </c>
      <c r="B2219" s="120" t="s">
        <v>17</v>
      </c>
      <c r="C2219" s="227">
        <v>10</v>
      </c>
      <c r="D2219" s="228">
        <f>ROUND(10,2)</f>
        <v>10</v>
      </c>
      <c r="E2219" s="162"/>
      <c r="F2219" s="162"/>
      <c r="G2219" s="162"/>
      <c r="H2219" s="162"/>
      <c r="I2219" s="161"/>
    </row>
    <row r="2220" spans="1:9" ht="9.9499999999999993" customHeight="1" x14ac:dyDescent="0.25">
      <c r="A2220" s="164"/>
      <c r="B2220" s="121"/>
      <c r="C2220" s="122"/>
      <c r="D2220" s="123">
        <f>ROUND(SUM(D2219:D2219),2)</f>
        <v>10</v>
      </c>
      <c r="E2220" s="162"/>
      <c r="F2220" s="162"/>
      <c r="G2220" s="162"/>
      <c r="H2220" s="162"/>
      <c r="I2220" s="161"/>
    </row>
    <row r="2221" spans="1:9" ht="12" customHeight="1" x14ac:dyDescent="0.25">
      <c r="A2221" s="452"/>
      <c r="B2221" s="453"/>
      <c r="C2221" s="453"/>
      <c r="D2221" s="162"/>
      <c r="E2221" s="162"/>
      <c r="F2221" s="162"/>
      <c r="G2221" s="162"/>
      <c r="H2221" s="162"/>
      <c r="I2221" s="161"/>
    </row>
    <row r="2222" spans="1:9" ht="9.9499999999999993" customHeight="1" x14ac:dyDescent="0.25">
      <c r="A2222" s="165"/>
      <c r="B2222" s="162"/>
      <c r="C2222" s="162"/>
      <c r="D2222" s="458" t="str">
        <f>"TOTAL DA MEMÓRIA DE CÁLCULO: "&amp;TEXT(ROUND(SUM(D2220),2),"0,00")</f>
        <v>TOTAL DA MEMÓRIA DE CÁLCULO: 10,00</v>
      </c>
      <c r="E2222" s="458"/>
      <c r="F2222" s="458"/>
      <c r="G2222" s="458"/>
      <c r="H2222" s="458"/>
      <c r="I2222" s="161"/>
    </row>
    <row r="2223" spans="1:9" ht="30.95" customHeight="1" x14ac:dyDescent="0.25">
      <c r="A2223" s="452"/>
      <c r="B2223" s="453"/>
      <c r="C2223" s="453"/>
      <c r="D2223" s="453"/>
      <c r="E2223" s="162"/>
      <c r="F2223" s="162"/>
      <c r="G2223" s="162"/>
      <c r="H2223" s="162"/>
      <c r="I2223" s="161"/>
    </row>
    <row r="2224" spans="1:9" ht="15" customHeight="1" x14ac:dyDescent="0.25">
      <c r="A2224" s="456" t="s">
        <v>1605</v>
      </c>
      <c r="B2224" s="457"/>
      <c r="C2224" s="457"/>
      <c r="D2224" s="457"/>
      <c r="E2224" s="457"/>
      <c r="F2224" s="457"/>
      <c r="G2224" s="457"/>
      <c r="H2224" s="457"/>
      <c r="I2224" s="161"/>
    </row>
    <row r="2225" spans="1:9" ht="12.95" customHeight="1" x14ac:dyDescent="0.25">
      <c r="A2225" s="450"/>
      <c r="B2225" s="451"/>
      <c r="C2225" s="119"/>
      <c r="D2225" s="119" t="s">
        <v>984</v>
      </c>
      <c r="E2225" s="162"/>
      <c r="F2225" s="162"/>
      <c r="G2225" s="162"/>
      <c r="H2225" s="162"/>
      <c r="I2225" s="161"/>
    </row>
    <row r="2226" spans="1:9" ht="15" customHeight="1" x14ac:dyDescent="0.25">
      <c r="A2226" s="163"/>
      <c r="B2226" s="120" t="s">
        <v>17</v>
      </c>
      <c r="C2226" s="227">
        <v>10</v>
      </c>
      <c r="D2226" s="228">
        <f>ROUND(10,2)</f>
        <v>10</v>
      </c>
      <c r="E2226" s="162"/>
      <c r="F2226" s="162"/>
      <c r="G2226" s="162"/>
      <c r="H2226" s="162"/>
      <c r="I2226" s="161"/>
    </row>
    <row r="2227" spans="1:9" ht="9.9499999999999993" customHeight="1" x14ac:dyDescent="0.25">
      <c r="A2227" s="164"/>
      <c r="B2227" s="121"/>
      <c r="C2227" s="122"/>
      <c r="D2227" s="123">
        <f>ROUND(SUM(D2226:D2226),2)</f>
        <v>10</v>
      </c>
      <c r="E2227" s="162"/>
      <c r="F2227" s="162"/>
      <c r="G2227" s="162"/>
      <c r="H2227" s="162"/>
      <c r="I2227" s="161"/>
    </row>
    <row r="2228" spans="1:9" ht="12" customHeight="1" x14ac:dyDescent="0.25">
      <c r="A2228" s="452"/>
      <c r="B2228" s="453"/>
      <c r="C2228" s="453"/>
      <c r="D2228" s="162"/>
      <c r="E2228" s="162"/>
      <c r="F2228" s="162"/>
      <c r="G2228" s="162"/>
      <c r="H2228" s="162"/>
      <c r="I2228" s="161"/>
    </row>
    <row r="2229" spans="1:9" ht="9.9499999999999993" customHeight="1" x14ac:dyDescent="0.25">
      <c r="A2229" s="165"/>
      <c r="B2229" s="162"/>
      <c r="C2229" s="162"/>
      <c r="D2229" s="458" t="str">
        <f>"TOTAL DA MEMÓRIA DE CÁLCULO: "&amp;TEXT(ROUND(SUM(D2227),2),"0,00")</f>
        <v>TOTAL DA MEMÓRIA DE CÁLCULO: 10,00</v>
      </c>
      <c r="E2229" s="458"/>
      <c r="F2229" s="458"/>
      <c r="G2229" s="458"/>
      <c r="H2229" s="458"/>
      <c r="I2229" s="161"/>
    </row>
    <row r="2230" spans="1:9" ht="20.100000000000001" customHeight="1" x14ac:dyDescent="0.25">
      <c r="A2230" s="452"/>
      <c r="B2230" s="453"/>
      <c r="C2230" s="453"/>
      <c r="D2230" s="453"/>
      <c r="E2230" s="162"/>
      <c r="F2230" s="162"/>
      <c r="G2230" s="162"/>
      <c r="H2230" s="162"/>
      <c r="I2230" s="161"/>
    </row>
    <row r="2231" spans="1:9" ht="15" customHeight="1" x14ac:dyDescent="0.25">
      <c r="A2231" s="456" t="s">
        <v>1606</v>
      </c>
      <c r="B2231" s="457"/>
      <c r="C2231" s="457"/>
      <c r="D2231" s="457"/>
      <c r="E2231" s="457"/>
      <c r="F2231" s="457"/>
      <c r="G2231" s="457"/>
      <c r="H2231" s="457"/>
      <c r="I2231" s="161"/>
    </row>
    <row r="2232" spans="1:9" ht="12.95" customHeight="1" x14ac:dyDescent="0.25">
      <c r="A2232" s="450"/>
      <c r="B2232" s="451"/>
      <c r="C2232" s="119"/>
      <c r="D2232" s="119" t="s">
        <v>984</v>
      </c>
      <c r="E2232" s="162"/>
      <c r="F2232" s="162"/>
      <c r="G2232" s="162"/>
      <c r="H2232" s="162"/>
      <c r="I2232" s="161"/>
    </row>
    <row r="2233" spans="1:9" ht="15" customHeight="1" x14ac:dyDescent="0.25">
      <c r="A2233" s="163"/>
      <c r="B2233" s="120" t="s">
        <v>1607</v>
      </c>
      <c r="C2233" s="227">
        <v>20</v>
      </c>
      <c r="D2233" s="228">
        <f>ROUND(20,2)</f>
        <v>20</v>
      </c>
      <c r="E2233" s="162"/>
      <c r="F2233" s="162"/>
      <c r="G2233" s="162"/>
      <c r="H2233" s="162"/>
      <c r="I2233" s="161"/>
    </row>
    <row r="2234" spans="1:9" ht="9.9499999999999993" customHeight="1" x14ac:dyDescent="0.25">
      <c r="A2234" s="164"/>
      <c r="B2234" s="121"/>
      <c r="C2234" s="122"/>
      <c r="D2234" s="123">
        <f>ROUND(SUM(D2233:D2233),2)</f>
        <v>20</v>
      </c>
      <c r="E2234" s="162"/>
      <c r="F2234" s="162"/>
      <c r="G2234" s="162"/>
      <c r="H2234" s="162"/>
      <c r="I2234" s="161"/>
    </row>
    <row r="2235" spans="1:9" ht="12" customHeight="1" x14ac:dyDescent="0.25">
      <c r="A2235" s="452"/>
      <c r="B2235" s="453"/>
      <c r="C2235" s="453"/>
      <c r="D2235" s="162"/>
      <c r="E2235" s="162"/>
      <c r="F2235" s="162"/>
      <c r="G2235" s="162"/>
      <c r="H2235" s="162"/>
      <c r="I2235" s="161"/>
    </row>
    <row r="2236" spans="1:9" ht="9.9499999999999993" customHeight="1" x14ac:dyDescent="0.25">
      <c r="A2236" s="165"/>
      <c r="B2236" s="162"/>
      <c r="C2236" s="162"/>
      <c r="D2236" s="458" t="str">
        <f>"TOTAL DA MEMÓRIA DE CÁLCULO: "&amp;TEXT(ROUND(SUM(D2234),2),"0,00")</f>
        <v>TOTAL DA MEMÓRIA DE CÁLCULO: 20,00</v>
      </c>
      <c r="E2236" s="458"/>
      <c r="F2236" s="458"/>
      <c r="G2236" s="458"/>
      <c r="H2236" s="458"/>
      <c r="I2236" s="161"/>
    </row>
    <row r="2237" spans="1:9" ht="20.100000000000001" customHeight="1" x14ac:dyDescent="0.25">
      <c r="A2237" s="452"/>
      <c r="B2237" s="453"/>
      <c r="C2237" s="453"/>
      <c r="D2237" s="453"/>
      <c r="E2237" s="162"/>
      <c r="F2237" s="162"/>
      <c r="G2237" s="162"/>
      <c r="H2237" s="162"/>
      <c r="I2237" s="161"/>
    </row>
    <row r="2238" spans="1:9" ht="9.9499999999999993" customHeight="1" x14ac:dyDescent="0.25">
      <c r="A2238" s="456" t="s">
        <v>1608</v>
      </c>
      <c r="B2238" s="457"/>
      <c r="C2238" s="457"/>
      <c r="D2238" s="457"/>
      <c r="E2238" s="457"/>
      <c r="F2238" s="457"/>
      <c r="G2238" s="457"/>
      <c r="H2238" s="457"/>
      <c r="I2238" s="161"/>
    </row>
    <row r="2239" spans="1:9" ht="42.95" customHeight="1" x14ac:dyDescent="0.25">
      <c r="A2239" s="452"/>
      <c r="B2239" s="453"/>
      <c r="C2239" s="453"/>
      <c r="D2239" s="162"/>
      <c r="E2239" s="162"/>
      <c r="F2239" s="162"/>
      <c r="G2239" s="162"/>
      <c r="H2239" s="162"/>
      <c r="I2239" s="161"/>
    </row>
    <row r="2240" spans="1:9" ht="15" customHeight="1" x14ac:dyDescent="0.25">
      <c r="A2240" s="456" t="s">
        <v>1609</v>
      </c>
      <c r="B2240" s="457"/>
      <c r="C2240" s="457"/>
      <c r="D2240" s="457"/>
      <c r="E2240" s="457"/>
      <c r="F2240" s="457"/>
      <c r="G2240" s="457"/>
      <c r="H2240" s="457"/>
      <c r="I2240" s="161"/>
    </row>
    <row r="2241" spans="1:9" ht="12.95" customHeight="1" x14ac:dyDescent="0.25">
      <c r="A2241" s="450"/>
      <c r="B2241" s="451"/>
      <c r="C2241" s="119"/>
      <c r="D2241" s="119" t="s">
        <v>984</v>
      </c>
      <c r="E2241" s="162"/>
      <c r="F2241" s="162"/>
      <c r="G2241" s="162"/>
      <c r="H2241" s="162"/>
      <c r="I2241" s="161"/>
    </row>
    <row r="2242" spans="1:9" ht="15" customHeight="1" x14ac:dyDescent="0.25">
      <c r="A2242" s="163"/>
      <c r="B2242" s="120" t="s">
        <v>0</v>
      </c>
      <c r="C2242" s="227">
        <v>1</v>
      </c>
      <c r="D2242" s="228">
        <f>ROUND(1,2)</f>
        <v>1</v>
      </c>
      <c r="E2242" s="162"/>
      <c r="F2242" s="162"/>
      <c r="G2242" s="162"/>
      <c r="H2242" s="162"/>
      <c r="I2242" s="161"/>
    </row>
    <row r="2243" spans="1:9" ht="9.9499999999999993" customHeight="1" x14ac:dyDescent="0.25">
      <c r="A2243" s="164"/>
      <c r="B2243" s="121"/>
      <c r="C2243" s="122"/>
      <c r="D2243" s="123">
        <f>ROUND(SUM(D2242:D2242),2)</f>
        <v>1</v>
      </c>
      <c r="E2243" s="162"/>
      <c r="F2243" s="162"/>
      <c r="G2243" s="162"/>
      <c r="H2243" s="162"/>
      <c r="I2243" s="161"/>
    </row>
    <row r="2244" spans="1:9" ht="12" customHeight="1" x14ac:dyDescent="0.25">
      <c r="A2244" s="452"/>
      <c r="B2244" s="453"/>
      <c r="C2244" s="453"/>
      <c r="D2244" s="162"/>
      <c r="E2244" s="162"/>
      <c r="F2244" s="162"/>
      <c r="G2244" s="162"/>
      <c r="H2244" s="162"/>
      <c r="I2244" s="161"/>
    </row>
    <row r="2245" spans="1:9" ht="9.9499999999999993" customHeight="1" x14ac:dyDescent="0.25">
      <c r="A2245" s="165"/>
      <c r="B2245" s="162"/>
      <c r="C2245" s="162"/>
      <c r="D2245" s="458" t="str">
        <f>"TOTAL DA MEMÓRIA DE CÁLCULO: "&amp;TEXT(ROUND(SUM(D2243),2),"0,00")</f>
        <v>TOTAL DA MEMÓRIA DE CÁLCULO: 1,00</v>
      </c>
      <c r="E2245" s="458"/>
      <c r="F2245" s="458"/>
      <c r="G2245" s="458"/>
      <c r="H2245" s="458"/>
      <c r="I2245" s="161"/>
    </row>
    <row r="2246" spans="1:9" ht="30.95" customHeight="1" x14ac:dyDescent="0.25">
      <c r="A2246" s="452"/>
      <c r="B2246" s="453"/>
      <c r="C2246" s="453"/>
      <c r="D2246" s="453"/>
      <c r="E2246" s="162"/>
      <c r="F2246" s="162"/>
      <c r="G2246" s="162"/>
      <c r="H2246" s="162"/>
      <c r="I2246" s="161"/>
    </row>
    <row r="2247" spans="1:9" ht="15" customHeight="1" x14ac:dyDescent="0.25">
      <c r="A2247" s="456" t="s">
        <v>1610</v>
      </c>
      <c r="B2247" s="457"/>
      <c r="C2247" s="457"/>
      <c r="D2247" s="457"/>
      <c r="E2247" s="457"/>
      <c r="F2247" s="457"/>
      <c r="G2247" s="457"/>
      <c r="H2247" s="457"/>
      <c r="I2247" s="161"/>
    </row>
    <row r="2248" spans="1:9" ht="12.95" customHeight="1" x14ac:dyDescent="0.25">
      <c r="A2248" s="450"/>
      <c r="B2248" s="451"/>
      <c r="C2248" s="119"/>
      <c r="D2248" s="119" t="s">
        <v>984</v>
      </c>
      <c r="E2248" s="162"/>
      <c r="F2248" s="162"/>
      <c r="G2248" s="162"/>
      <c r="H2248" s="162"/>
      <c r="I2248" s="161"/>
    </row>
    <row r="2249" spans="1:9" ht="15" customHeight="1" x14ac:dyDescent="0.25">
      <c r="A2249" s="163" t="s">
        <v>1611</v>
      </c>
      <c r="B2249" s="120" t="s">
        <v>2</v>
      </c>
      <c r="C2249" s="227">
        <v>2</v>
      </c>
      <c r="D2249" s="228">
        <f>ROUND(2,2)</f>
        <v>2</v>
      </c>
      <c r="E2249" s="162"/>
      <c r="F2249" s="162"/>
      <c r="G2249" s="162"/>
      <c r="H2249" s="162"/>
      <c r="I2249" s="161"/>
    </row>
    <row r="2250" spans="1:9" ht="9.9499999999999993" customHeight="1" x14ac:dyDescent="0.25">
      <c r="A2250" s="164"/>
      <c r="B2250" s="121"/>
      <c r="C2250" s="122"/>
      <c r="D2250" s="123">
        <f>ROUND(SUM(D2249:D2249),2)</f>
        <v>2</v>
      </c>
      <c r="E2250" s="162"/>
      <c r="F2250" s="162"/>
      <c r="G2250" s="162"/>
      <c r="H2250" s="162"/>
      <c r="I2250" s="161"/>
    </row>
    <row r="2251" spans="1:9" ht="12" customHeight="1" x14ac:dyDescent="0.25">
      <c r="A2251" s="452"/>
      <c r="B2251" s="453"/>
      <c r="C2251" s="453"/>
      <c r="D2251" s="162"/>
      <c r="E2251" s="162"/>
      <c r="F2251" s="162"/>
      <c r="G2251" s="162"/>
      <c r="H2251" s="162"/>
      <c r="I2251" s="161"/>
    </row>
    <row r="2252" spans="1:9" ht="12" customHeight="1" x14ac:dyDescent="0.25">
      <c r="A2252" s="461" t="s">
        <v>4310</v>
      </c>
      <c r="B2252" s="462"/>
      <c r="C2252" s="462"/>
      <c r="D2252" s="458" t="str">
        <f>"TOTAL DA MEMÓRIA DE CÁLCULO: "&amp;TEXT(ROUND(SUM(D2250),2),"0,00")</f>
        <v>TOTAL DA MEMÓRIA DE CÁLCULO: 2,00</v>
      </c>
      <c r="E2252" s="458"/>
      <c r="F2252" s="458"/>
      <c r="G2252" s="458"/>
      <c r="H2252" s="458"/>
      <c r="I2252" s="161"/>
    </row>
    <row r="2253" spans="1:9" ht="9.9499999999999993" customHeight="1" x14ac:dyDescent="0.25">
      <c r="A2253" s="461"/>
      <c r="B2253" s="462"/>
      <c r="C2253" s="462"/>
      <c r="D2253" s="162"/>
      <c r="E2253" s="162"/>
      <c r="F2253" s="162"/>
      <c r="G2253" s="162"/>
      <c r="H2253" s="162"/>
      <c r="I2253" s="161"/>
    </row>
    <row r="2254" spans="1:9" ht="20.100000000000001" customHeight="1" x14ac:dyDescent="0.25">
      <c r="A2254" s="452"/>
      <c r="B2254" s="453"/>
      <c r="C2254" s="453"/>
      <c r="D2254" s="162"/>
      <c r="E2254" s="162"/>
      <c r="F2254" s="162"/>
      <c r="G2254" s="162"/>
      <c r="H2254" s="162"/>
      <c r="I2254" s="161"/>
    </row>
    <row r="2255" spans="1:9" ht="15" customHeight="1" x14ac:dyDescent="0.25">
      <c r="A2255" s="299" t="s">
        <v>4376</v>
      </c>
      <c r="B2255" s="454" t="s">
        <v>951</v>
      </c>
      <c r="C2255" s="455"/>
      <c r="D2255" s="455"/>
      <c r="E2255" s="300"/>
      <c r="F2255" s="300"/>
      <c r="G2255" s="300"/>
      <c r="H2255" s="300"/>
      <c r="I2255" s="161"/>
    </row>
    <row r="2256" spans="1:9" ht="12.95" customHeight="1" x14ac:dyDescent="0.25">
      <c r="A2256" s="450"/>
      <c r="B2256" s="451"/>
      <c r="C2256" s="119" t="s">
        <v>251</v>
      </c>
      <c r="D2256" s="119" t="s">
        <v>984</v>
      </c>
      <c r="E2256" s="162"/>
      <c r="F2256" s="162"/>
      <c r="G2256" s="162"/>
      <c r="H2256" s="162"/>
      <c r="I2256" s="161"/>
    </row>
    <row r="2257" spans="1:9" x14ac:dyDescent="0.25">
      <c r="A2257" s="163"/>
      <c r="B2257" s="120"/>
      <c r="C2257" s="227">
        <v>2</v>
      </c>
      <c r="D2257" s="228">
        <f>C2257</f>
        <v>2</v>
      </c>
      <c r="E2257" s="162"/>
      <c r="F2257" s="162"/>
      <c r="G2257" s="162"/>
      <c r="H2257" s="162"/>
      <c r="I2257" s="161"/>
    </row>
    <row r="2258" spans="1:9" ht="9.9499999999999993" customHeight="1" x14ac:dyDescent="0.25">
      <c r="A2258" s="164"/>
      <c r="B2258" s="121"/>
      <c r="C2258" s="122"/>
      <c r="D2258" s="123">
        <f>ROUND(SUM(D2257:D2257),2)</f>
        <v>2</v>
      </c>
      <c r="E2258" s="162"/>
      <c r="F2258" s="162"/>
      <c r="G2258" s="162"/>
      <c r="H2258" s="162"/>
      <c r="I2258" s="161"/>
    </row>
    <row r="2259" spans="1:9" ht="20.100000000000001" customHeight="1" x14ac:dyDescent="0.25">
      <c r="A2259" s="452"/>
      <c r="B2259" s="453"/>
      <c r="C2259" s="453"/>
      <c r="D2259" s="453"/>
      <c r="E2259" s="162"/>
      <c r="F2259" s="162"/>
      <c r="G2259" s="162"/>
      <c r="H2259" s="162"/>
      <c r="I2259" s="161"/>
    </row>
    <row r="2260" spans="1:9" ht="20.100000000000001" customHeight="1" x14ac:dyDescent="0.25">
      <c r="A2260" s="452"/>
      <c r="B2260" s="453"/>
      <c r="C2260" s="453"/>
      <c r="D2260" s="162"/>
      <c r="E2260" s="162"/>
      <c r="F2260" s="162"/>
      <c r="G2260" s="162"/>
      <c r="H2260" s="162"/>
      <c r="I2260" s="161"/>
    </row>
    <row r="2261" spans="1:9" ht="15" customHeight="1" x14ac:dyDescent="0.25">
      <c r="A2261" s="299" t="s">
        <v>4377</v>
      </c>
      <c r="B2261" s="454" t="s">
        <v>954</v>
      </c>
      <c r="C2261" s="455"/>
      <c r="D2261" s="455"/>
      <c r="E2261" s="300"/>
      <c r="F2261" s="300"/>
      <c r="G2261" s="300"/>
      <c r="H2261" s="300"/>
      <c r="I2261" s="161"/>
    </row>
    <row r="2262" spans="1:9" ht="12.95" customHeight="1" x14ac:dyDescent="0.25">
      <c r="A2262" s="450"/>
      <c r="B2262" s="451"/>
      <c r="C2262" s="119" t="s">
        <v>251</v>
      </c>
      <c r="D2262" s="119" t="s">
        <v>984</v>
      </c>
      <c r="E2262" s="162"/>
      <c r="F2262" s="162"/>
      <c r="G2262" s="162"/>
      <c r="H2262" s="162"/>
      <c r="I2262" s="161"/>
    </row>
    <row r="2263" spans="1:9" x14ac:dyDescent="0.25">
      <c r="A2263" s="163"/>
      <c r="B2263" s="120"/>
      <c r="C2263" s="227">
        <v>1</v>
      </c>
      <c r="D2263" s="228">
        <f>C2263</f>
        <v>1</v>
      </c>
      <c r="E2263" s="162"/>
      <c r="F2263" s="162"/>
      <c r="G2263" s="162"/>
      <c r="H2263" s="162"/>
      <c r="I2263" s="161"/>
    </row>
    <row r="2264" spans="1:9" ht="9.9499999999999993" customHeight="1" x14ac:dyDescent="0.25">
      <c r="A2264" s="164"/>
      <c r="B2264" s="121"/>
      <c r="C2264" s="122"/>
      <c r="D2264" s="123">
        <f>ROUND(SUM(D2263:D2263),2)</f>
        <v>1</v>
      </c>
      <c r="E2264" s="162"/>
      <c r="F2264" s="162"/>
      <c r="G2264" s="162"/>
      <c r="H2264" s="162"/>
      <c r="I2264" s="161"/>
    </row>
    <row r="2265" spans="1:9" ht="20.100000000000001" customHeight="1" x14ac:dyDescent="0.25">
      <c r="A2265" s="452"/>
      <c r="B2265" s="453"/>
      <c r="C2265" s="453"/>
      <c r="D2265" s="453"/>
      <c r="E2265" s="162"/>
      <c r="F2265" s="162"/>
      <c r="G2265" s="162"/>
      <c r="H2265" s="162"/>
      <c r="I2265" s="161"/>
    </row>
    <row r="2266" spans="1:9" ht="20.100000000000001" customHeight="1" x14ac:dyDescent="0.25">
      <c r="A2266" s="452"/>
      <c r="B2266" s="453"/>
      <c r="C2266" s="453"/>
      <c r="D2266" s="162"/>
      <c r="E2266" s="162"/>
      <c r="F2266" s="162"/>
      <c r="G2266" s="162"/>
      <c r="H2266" s="162"/>
      <c r="I2266" s="161"/>
    </row>
    <row r="2267" spans="1:9" ht="15" customHeight="1" x14ac:dyDescent="0.25">
      <c r="A2267" s="299" t="s">
        <v>4378</v>
      </c>
      <c r="B2267" s="454" t="s">
        <v>957</v>
      </c>
      <c r="C2267" s="455"/>
      <c r="D2267" s="455"/>
      <c r="E2267" s="300"/>
      <c r="F2267" s="300"/>
      <c r="G2267" s="300"/>
      <c r="H2267" s="300"/>
      <c r="I2267" s="161"/>
    </row>
    <row r="2268" spans="1:9" ht="12.95" customHeight="1" x14ac:dyDescent="0.25">
      <c r="A2268" s="450"/>
      <c r="B2268" s="451"/>
      <c r="C2268" s="119" t="s">
        <v>251</v>
      </c>
      <c r="D2268" s="119" t="s">
        <v>984</v>
      </c>
      <c r="E2268" s="162"/>
      <c r="F2268" s="162"/>
      <c r="G2268" s="162"/>
      <c r="H2268" s="162"/>
      <c r="I2268" s="161"/>
    </row>
    <row r="2269" spans="1:9" x14ac:dyDescent="0.25">
      <c r="A2269" s="163"/>
      <c r="B2269" s="120"/>
      <c r="C2269" s="227">
        <v>1</v>
      </c>
      <c r="D2269" s="228">
        <f>C2269</f>
        <v>1</v>
      </c>
      <c r="E2269" s="162"/>
      <c r="F2269" s="162"/>
      <c r="G2269" s="162"/>
      <c r="H2269" s="162"/>
      <c r="I2269" s="161"/>
    </row>
    <row r="2270" spans="1:9" ht="9.9499999999999993" customHeight="1" x14ac:dyDescent="0.25">
      <c r="A2270" s="164"/>
      <c r="B2270" s="121"/>
      <c r="C2270" s="122"/>
      <c r="D2270" s="123">
        <f>ROUND(SUM(D2269:D2269),2)</f>
        <v>1</v>
      </c>
      <c r="E2270" s="162"/>
      <c r="F2270" s="162"/>
      <c r="G2270" s="162"/>
      <c r="H2270" s="162"/>
      <c r="I2270" s="161"/>
    </row>
    <row r="2271" spans="1:9" ht="20.100000000000001" customHeight="1" x14ac:dyDescent="0.25">
      <c r="A2271" s="452"/>
      <c r="B2271" s="453"/>
      <c r="C2271" s="453"/>
      <c r="D2271" s="453"/>
      <c r="E2271" s="162"/>
      <c r="F2271" s="162"/>
      <c r="G2271" s="162"/>
      <c r="H2271" s="162"/>
      <c r="I2271" s="161"/>
    </row>
    <row r="2272" spans="1:9" ht="20.100000000000001" customHeight="1" x14ac:dyDescent="0.25">
      <c r="A2272" s="452"/>
      <c r="B2272" s="453"/>
      <c r="C2272" s="453"/>
      <c r="D2272" s="162"/>
      <c r="E2272" s="162"/>
      <c r="F2272" s="162"/>
      <c r="G2272" s="162"/>
      <c r="H2272" s="162"/>
      <c r="I2272" s="161"/>
    </row>
    <row r="2273" spans="1:9" ht="15" customHeight="1" x14ac:dyDescent="0.25">
      <c r="A2273" s="299" t="s">
        <v>4379</v>
      </c>
      <c r="B2273" s="454" t="s">
        <v>960</v>
      </c>
      <c r="C2273" s="455"/>
      <c r="D2273" s="455"/>
      <c r="E2273" s="300"/>
      <c r="F2273" s="300"/>
      <c r="G2273" s="300"/>
      <c r="H2273" s="300"/>
      <c r="I2273" s="161"/>
    </row>
    <row r="2274" spans="1:9" ht="12.95" customHeight="1" x14ac:dyDescent="0.25">
      <c r="A2274" s="450"/>
      <c r="B2274" s="451"/>
      <c r="C2274" s="119" t="s">
        <v>72</v>
      </c>
      <c r="D2274" s="119" t="s">
        <v>984</v>
      </c>
      <c r="E2274" s="162"/>
      <c r="F2274" s="162"/>
      <c r="G2274" s="162"/>
      <c r="H2274" s="162"/>
      <c r="I2274" s="161"/>
    </row>
    <row r="2275" spans="1:9" x14ac:dyDescent="0.25">
      <c r="A2275" s="163"/>
      <c r="B2275" s="120"/>
      <c r="C2275" s="227">
        <v>82</v>
      </c>
      <c r="D2275" s="228">
        <f>C2275</f>
        <v>82</v>
      </c>
      <c r="E2275" s="162"/>
      <c r="F2275" s="162"/>
      <c r="G2275" s="162"/>
      <c r="H2275" s="162"/>
      <c r="I2275" s="161"/>
    </row>
    <row r="2276" spans="1:9" ht="9.9499999999999993" customHeight="1" x14ac:dyDescent="0.25">
      <c r="A2276" s="164"/>
      <c r="B2276" s="121"/>
      <c r="C2276" s="122"/>
      <c r="D2276" s="123">
        <f>ROUND(SUM(D2275:D2275),2)</f>
        <v>82</v>
      </c>
      <c r="E2276" s="162"/>
      <c r="F2276" s="162"/>
      <c r="G2276" s="162"/>
      <c r="H2276" s="162"/>
      <c r="I2276" s="161"/>
    </row>
    <row r="2277" spans="1:9" ht="20.100000000000001" customHeight="1" x14ac:dyDescent="0.25">
      <c r="A2277" s="452"/>
      <c r="B2277" s="453"/>
      <c r="C2277" s="453"/>
      <c r="D2277" s="453"/>
      <c r="E2277" s="162"/>
      <c r="F2277" s="162"/>
      <c r="G2277" s="162"/>
      <c r="H2277" s="162"/>
      <c r="I2277" s="161"/>
    </row>
    <row r="2278" spans="1:9" ht="20.100000000000001" customHeight="1" x14ac:dyDescent="0.25">
      <c r="A2278" s="452"/>
      <c r="B2278" s="453"/>
      <c r="C2278" s="453"/>
      <c r="D2278" s="162"/>
      <c r="E2278" s="162"/>
      <c r="F2278" s="162"/>
      <c r="G2278" s="162"/>
      <c r="H2278" s="162"/>
      <c r="I2278" s="161"/>
    </row>
    <row r="2279" spans="1:9" ht="15" customHeight="1" x14ac:dyDescent="0.25">
      <c r="A2279" s="299" t="s">
        <v>4380</v>
      </c>
      <c r="B2279" s="454" t="s">
        <v>963</v>
      </c>
      <c r="C2279" s="455"/>
      <c r="D2279" s="455"/>
      <c r="E2279" s="300"/>
      <c r="F2279" s="300"/>
      <c r="G2279" s="300"/>
      <c r="H2279" s="300"/>
      <c r="I2279" s="161"/>
    </row>
    <row r="2280" spans="1:9" ht="12.95" customHeight="1" x14ac:dyDescent="0.25">
      <c r="A2280" s="450"/>
      <c r="B2280" s="451"/>
      <c r="C2280" s="119" t="s">
        <v>188</v>
      </c>
      <c r="D2280" s="119" t="s">
        <v>984</v>
      </c>
      <c r="E2280" s="162"/>
      <c r="F2280" s="162"/>
      <c r="G2280" s="162"/>
      <c r="H2280" s="162"/>
      <c r="I2280" s="161"/>
    </row>
    <row r="2281" spans="1:9" x14ac:dyDescent="0.25">
      <c r="A2281" s="163"/>
      <c r="B2281" s="120"/>
      <c r="C2281" s="227">
        <v>39.42</v>
      </c>
      <c r="D2281" s="228">
        <f>C2281</f>
        <v>39.42</v>
      </c>
      <c r="E2281" s="162"/>
      <c r="F2281" s="162"/>
      <c r="G2281" s="162"/>
      <c r="H2281" s="162"/>
      <c r="I2281" s="161"/>
    </row>
    <row r="2282" spans="1:9" ht="9.9499999999999993" customHeight="1" x14ac:dyDescent="0.25">
      <c r="A2282" s="164"/>
      <c r="B2282" s="121"/>
      <c r="C2282" s="122"/>
      <c r="D2282" s="123">
        <f>ROUND(SUM(D2281:D2281),2)</f>
        <v>39.42</v>
      </c>
      <c r="E2282" s="162"/>
      <c r="F2282" s="162"/>
      <c r="G2282" s="162"/>
      <c r="H2282" s="162"/>
      <c r="I2282" s="161"/>
    </row>
    <row r="2283" spans="1:9" ht="20.100000000000001" customHeight="1" x14ac:dyDescent="0.25">
      <c r="A2283" s="452"/>
      <c r="B2283" s="453"/>
      <c r="C2283" s="453"/>
      <c r="D2283" s="453"/>
      <c r="E2283" s="162"/>
      <c r="F2283" s="162"/>
      <c r="G2283" s="162"/>
      <c r="H2283" s="162"/>
      <c r="I2283" s="161"/>
    </row>
    <row r="2284" spans="1:9" ht="20.100000000000001" customHeight="1" x14ac:dyDescent="0.25">
      <c r="A2284" s="452"/>
      <c r="B2284" s="453"/>
      <c r="C2284" s="453"/>
      <c r="D2284" s="162"/>
      <c r="E2284" s="162"/>
      <c r="F2284" s="162"/>
      <c r="G2284" s="162"/>
      <c r="H2284" s="162"/>
      <c r="I2284" s="161"/>
    </row>
    <row r="2285" spans="1:9" ht="15" customHeight="1" x14ac:dyDescent="0.25">
      <c r="A2285" s="299" t="s">
        <v>4379</v>
      </c>
      <c r="B2285" s="454" t="s">
        <v>555</v>
      </c>
      <c r="C2285" s="455"/>
      <c r="D2285" s="455"/>
      <c r="E2285" s="300"/>
      <c r="F2285" s="300"/>
      <c r="G2285" s="300"/>
      <c r="H2285" s="300"/>
      <c r="I2285" s="161"/>
    </row>
    <row r="2286" spans="1:9" ht="12.95" customHeight="1" x14ac:dyDescent="0.25">
      <c r="A2286" s="450"/>
      <c r="B2286" s="451"/>
      <c r="C2286" s="119" t="s">
        <v>188</v>
      </c>
      <c r="D2286" s="119" t="s">
        <v>984</v>
      </c>
      <c r="E2286" s="162"/>
      <c r="F2286" s="162"/>
      <c r="G2286" s="162"/>
      <c r="H2286" s="162"/>
      <c r="I2286" s="161"/>
    </row>
    <row r="2287" spans="1:9" x14ac:dyDescent="0.25">
      <c r="A2287" s="163"/>
      <c r="B2287" s="120"/>
      <c r="C2287" s="227">
        <v>16.04</v>
      </c>
      <c r="D2287" s="228">
        <f>C2287</f>
        <v>16.04</v>
      </c>
      <c r="E2287" s="162"/>
      <c r="F2287" s="162"/>
      <c r="G2287" s="162"/>
      <c r="H2287" s="162"/>
      <c r="I2287" s="161"/>
    </row>
    <row r="2288" spans="1:9" ht="9.9499999999999993" customHeight="1" x14ac:dyDescent="0.25">
      <c r="A2288" s="164"/>
      <c r="B2288" s="121"/>
      <c r="C2288" s="122"/>
      <c r="D2288" s="123">
        <f>ROUND(SUM(D2287:D2287),2)</f>
        <v>16.04</v>
      </c>
      <c r="E2288" s="162"/>
      <c r="F2288" s="162"/>
      <c r="G2288" s="162"/>
      <c r="H2288" s="162"/>
      <c r="I2288" s="161"/>
    </row>
    <row r="2289" spans="1:9" ht="20.100000000000001" customHeight="1" x14ac:dyDescent="0.25">
      <c r="A2289" s="452"/>
      <c r="B2289" s="453"/>
      <c r="C2289" s="453"/>
      <c r="D2289" s="453"/>
      <c r="E2289" s="162"/>
      <c r="F2289" s="162"/>
      <c r="G2289" s="162"/>
      <c r="H2289" s="162"/>
      <c r="I2289" s="161"/>
    </row>
    <row r="2290" spans="1:9" ht="20.100000000000001" customHeight="1" x14ac:dyDescent="0.25">
      <c r="A2290" s="452"/>
      <c r="B2290" s="453"/>
      <c r="C2290" s="453"/>
      <c r="D2290" s="162"/>
      <c r="E2290" s="162"/>
      <c r="F2290" s="162"/>
      <c r="G2290" s="162"/>
      <c r="H2290" s="162"/>
      <c r="I2290" s="161"/>
    </row>
    <row r="2291" spans="1:9" ht="15" customHeight="1" x14ac:dyDescent="0.25">
      <c r="A2291" s="299" t="s">
        <v>4380</v>
      </c>
      <c r="B2291" s="454" t="s">
        <v>968</v>
      </c>
      <c r="C2291" s="455"/>
      <c r="D2291" s="455"/>
      <c r="E2291" s="300"/>
      <c r="F2291" s="300"/>
      <c r="G2291" s="300"/>
      <c r="H2291" s="300"/>
      <c r="I2291" s="161"/>
    </row>
    <row r="2292" spans="1:9" ht="12.95" customHeight="1" x14ac:dyDescent="0.25">
      <c r="A2292" s="450"/>
      <c r="B2292" s="451"/>
      <c r="C2292" s="119" t="s">
        <v>251</v>
      </c>
      <c r="D2292" s="119" t="s">
        <v>984</v>
      </c>
      <c r="E2292" s="162"/>
      <c r="F2292" s="162"/>
      <c r="G2292" s="162"/>
      <c r="H2292" s="162"/>
      <c r="I2292" s="161"/>
    </row>
    <row r="2293" spans="1:9" x14ac:dyDescent="0.25">
      <c r="A2293" s="163"/>
      <c r="B2293" s="120"/>
      <c r="C2293" s="227">
        <v>3</v>
      </c>
      <c r="D2293" s="228">
        <f>C2293</f>
        <v>3</v>
      </c>
      <c r="E2293" s="162"/>
      <c r="F2293" s="162"/>
      <c r="G2293" s="162"/>
      <c r="H2293" s="162"/>
      <c r="I2293" s="161"/>
    </row>
    <row r="2294" spans="1:9" ht="9.9499999999999993" customHeight="1" x14ac:dyDescent="0.25">
      <c r="A2294" s="164"/>
      <c r="B2294" s="121"/>
      <c r="C2294" s="122"/>
      <c r="D2294" s="123">
        <f>ROUND(SUM(D2293:D2293),2)</f>
        <v>3</v>
      </c>
      <c r="E2294" s="162"/>
      <c r="F2294" s="162"/>
      <c r="G2294" s="162"/>
      <c r="H2294" s="162"/>
      <c r="I2294" s="161"/>
    </row>
    <row r="2295" spans="1:9" ht="20.100000000000001" customHeight="1" x14ac:dyDescent="0.25">
      <c r="A2295" s="452"/>
      <c r="B2295" s="453"/>
      <c r="C2295" s="453"/>
      <c r="D2295" s="453"/>
      <c r="E2295" s="162"/>
      <c r="F2295" s="162"/>
      <c r="G2295" s="162"/>
      <c r="H2295" s="162"/>
      <c r="I2295" s="161"/>
    </row>
    <row r="2296" spans="1:9" ht="20.100000000000001" customHeight="1" x14ac:dyDescent="0.25">
      <c r="A2296" s="452"/>
      <c r="B2296" s="453"/>
      <c r="C2296" s="453"/>
      <c r="D2296" s="453"/>
      <c r="E2296" s="162"/>
      <c r="F2296" s="162"/>
      <c r="G2296" s="162"/>
      <c r="H2296" s="162"/>
      <c r="I2296" s="161"/>
    </row>
    <row r="2297" spans="1:9" ht="9.9499999999999993" customHeight="1" x14ac:dyDescent="0.25">
      <c r="A2297" s="456" t="s">
        <v>1612</v>
      </c>
      <c r="B2297" s="457"/>
      <c r="C2297" s="457"/>
      <c r="D2297" s="457"/>
      <c r="E2297" s="457"/>
      <c r="F2297" s="457"/>
      <c r="G2297" s="457"/>
      <c r="H2297" s="457"/>
      <c r="I2297" s="161"/>
    </row>
    <row r="2298" spans="1:9" ht="42.95" customHeight="1" x14ac:dyDescent="0.25">
      <c r="A2298" s="452"/>
      <c r="B2298" s="453"/>
      <c r="C2298" s="453"/>
      <c r="D2298" s="162"/>
      <c r="E2298" s="162"/>
      <c r="F2298" s="162"/>
      <c r="G2298" s="162"/>
      <c r="H2298" s="162"/>
      <c r="I2298" s="161"/>
    </row>
    <row r="2299" spans="1:9" ht="15" customHeight="1" x14ac:dyDescent="0.25">
      <c r="A2299" s="456" t="s">
        <v>1613</v>
      </c>
      <c r="B2299" s="457"/>
      <c r="C2299" s="457"/>
      <c r="D2299" s="457"/>
      <c r="E2299" s="457"/>
      <c r="F2299" s="457"/>
      <c r="G2299" s="457"/>
      <c r="H2299" s="457"/>
      <c r="I2299" s="161"/>
    </row>
    <row r="2300" spans="1:9" ht="12.95" customHeight="1" x14ac:dyDescent="0.25">
      <c r="A2300" s="450"/>
      <c r="B2300" s="451"/>
      <c r="C2300" s="119"/>
      <c r="D2300" s="119" t="s">
        <v>984</v>
      </c>
      <c r="E2300" s="162"/>
      <c r="F2300" s="162"/>
      <c r="G2300" s="162"/>
      <c r="H2300" s="162"/>
      <c r="I2300" s="161"/>
    </row>
    <row r="2301" spans="1:9" ht="15" customHeight="1" x14ac:dyDescent="0.25">
      <c r="A2301" s="163"/>
      <c r="B2301" s="120" t="s">
        <v>0</v>
      </c>
      <c r="C2301" s="227">
        <v>1</v>
      </c>
      <c r="D2301" s="228">
        <f>ROUND(1,2)</f>
        <v>1</v>
      </c>
      <c r="E2301" s="162"/>
      <c r="F2301" s="162"/>
      <c r="G2301" s="162"/>
      <c r="H2301" s="162"/>
      <c r="I2301" s="161"/>
    </row>
    <row r="2302" spans="1:9" ht="9.9499999999999993" customHeight="1" x14ac:dyDescent="0.25">
      <c r="A2302" s="164"/>
      <c r="B2302" s="121"/>
      <c r="C2302" s="122"/>
      <c r="D2302" s="123">
        <f>ROUND(SUM(D2301:D2301),2)</f>
        <v>1</v>
      </c>
      <c r="E2302" s="162"/>
      <c r="F2302" s="162"/>
      <c r="G2302" s="162"/>
      <c r="H2302" s="162"/>
      <c r="I2302" s="161"/>
    </row>
    <row r="2303" spans="1:9" ht="12" customHeight="1" x14ac:dyDescent="0.25">
      <c r="A2303" s="452"/>
      <c r="B2303" s="453"/>
      <c r="C2303" s="453"/>
      <c r="D2303" s="162"/>
      <c r="E2303" s="162"/>
      <c r="F2303" s="162"/>
      <c r="G2303" s="162"/>
      <c r="H2303" s="162"/>
      <c r="I2303" s="161"/>
    </row>
    <row r="2304" spans="1:9" ht="9.9499999999999993" customHeight="1" x14ac:dyDescent="0.25">
      <c r="A2304" s="165"/>
      <c r="B2304" s="162"/>
      <c r="C2304" s="162"/>
      <c r="D2304" s="458" t="str">
        <f>"TOTAL DA MEMÓRIA DE CÁLCULO: "&amp;TEXT(ROUND(SUM(D2302),2),"0,00")</f>
        <v>TOTAL DA MEMÓRIA DE CÁLCULO: 1,00</v>
      </c>
      <c r="E2304" s="458"/>
      <c r="F2304" s="458"/>
      <c r="G2304" s="458"/>
      <c r="H2304" s="458"/>
      <c r="I2304" s="161"/>
    </row>
    <row r="2305" spans="1:9" ht="30.95" customHeight="1" x14ac:dyDescent="0.25">
      <c r="A2305" s="452"/>
      <c r="B2305" s="453"/>
      <c r="C2305" s="453"/>
      <c r="D2305" s="453"/>
      <c r="E2305" s="162"/>
      <c r="F2305" s="162"/>
      <c r="G2305" s="162"/>
      <c r="H2305" s="162"/>
      <c r="I2305" s="161"/>
    </row>
    <row r="2306" spans="1:9" ht="15" customHeight="1" x14ac:dyDescent="0.25">
      <c r="A2306" s="456" t="s">
        <v>1614</v>
      </c>
      <c r="B2306" s="457"/>
      <c r="C2306" s="457"/>
      <c r="D2306" s="457"/>
      <c r="E2306" s="457"/>
      <c r="F2306" s="457"/>
      <c r="G2306" s="457"/>
      <c r="H2306" s="457"/>
      <c r="I2306" s="161"/>
    </row>
    <row r="2307" spans="1:9" ht="12.95" customHeight="1" x14ac:dyDescent="0.25">
      <c r="A2307" s="450"/>
      <c r="B2307" s="451"/>
      <c r="C2307" s="119"/>
      <c r="D2307" s="119" t="s">
        <v>984</v>
      </c>
      <c r="E2307" s="162"/>
      <c r="F2307" s="162"/>
      <c r="G2307" s="162"/>
      <c r="H2307" s="162"/>
      <c r="I2307" s="161"/>
    </row>
    <row r="2308" spans="1:9" ht="15" customHeight="1" x14ac:dyDescent="0.25">
      <c r="A2308" s="163"/>
      <c r="B2308" s="120" t="s">
        <v>0</v>
      </c>
      <c r="C2308" s="227">
        <v>1</v>
      </c>
      <c r="D2308" s="228">
        <f>ROUND(1,2)</f>
        <v>1</v>
      </c>
      <c r="E2308" s="162"/>
      <c r="F2308" s="162"/>
      <c r="G2308" s="162"/>
      <c r="H2308" s="162"/>
      <c r="I2308" s="161"/>
    </row>
    <row r="2309" spans="1:9" ht="9.9499999999999993" customHeight="1" x14ac:dyDescent="0.25">
      <c r="A2309" s="164"/>
      <c r="B2309" s="121"/>
      <c r="C2309" s="122"/>
      <c r="D2309" s="123">
        <f>ROUND(SUM(D2308:D2308),2)</f>
        <v>1</v>
      </c>
      <c r="E2309" s="162"/>
      <c r="F2309" s="162"/>
      <c r="G2309" s="162"/>
      <c r="H2309" s="162"/>
      <c r="I2309" s="161"/>
    </row>
    <row r="2310" spans="1:9" ht="12" customHeight="1" x14ac:dyDescent="0.25">
      <c r="A2310" s="452"/>
      <c r="B2310" s="453"/>
      <c r="C2310" s="453"/>
      <c r="D2310" s="162"/>
      <c r="E2310" s="162"/>
      <c r="F2310" s="162"/>
      <c r="G2310" s="162"/>
      <c r="H2310" s="162"/>
      <c r="I2310" s="161"/>
    </row>
    <row r="2311" spans="1:9" ht="9.9499999999999993" customHeight="1" x14ac:dyDescent="0.25">
      <c r="A2311" s="165"/>
      <c r="B2311" s="162"/>
      <c r="C2311" s="162"/>
      <c r="D2311" s="458" t="str">
        <f>"TOTAL DA MEMÓRIA DE CÁLCULO: "&amp;TEXT(ROUND(SUM(D2309),2),"0,00")</f>
        <v>TOTAL DA MEMÓRIA DE CÁLCULO: 1,00</v>
      </c>
      <c r="E2311" s="458"/>
      <c r="F2311" s="458"/>
      <c r="G2311" s="458"/>
      <c r="H2311" s="458"/>
      <c r="I2311" s="161"/>
    </row>
    <row r="2312" spans="1:9" ht="30.95" customHeight="1" x14ac:dyDescent="0.25">
      <c r="A2312" s="452"/>
      <c r="B2312" s="453"/>
      <c r="C2312" s="453"/>
      <c r="D2312" s="453"/>
      <c r="E2312" s="162"/>
      <c r="F2312" s="162"/>
      <c r="G2312" s="162"/>
      <c r="H2312" s="162"/>
      <c r="I2312" s="161"/>
    </row>
    <row r="2313" spans="1:9" ht="15" customHeight="1" x14ac:dyDescent="0.25">
      <c r="A2313" s="456" t="s">
        <v>1615</v>
      </c>
      <c r="B2313" s="457"/>
      <c r="C2313" s="457"/>
      <c r="D2313" s="457"/>
      <c r="E2313" s="457"/>
      <c r="F2313" s="457"/>
      <c r="G2313" s="457"/>
      <c r="H2313" s="457"/>
      <c r="I2313" s="161"/>
    </row>
    <row r="2314" spans="1:9" ht="12.95" customHeight="1" x14ac:dyDescent="0.25">
      <c r="A2314" s="450"/>
      <c r="B2314" s="451"/>
      <c r="C2314" s="119"/>
      <c r="D2314" s="119" t="s">
        <v>984</v>
      </c>
      <c r="E2314" s="162"/>
      <c r="F2314" s="162"/>
      <c r="G2314" s="162"/>
      <c r="H2314" s="162"/>
      <c r="I2314" s="161"/>
    </row>
    <row r="2315" spans="1:9" ht="15" customHeight="1" x14ac:dyDescent="0.25">
      <c r="A2315" s="163"/>
      <c r="B2315" s="120" t="s">
        <v>0</v>
      </c>
      <c r="C2315" s="227">
        <v>1</v>
      </c>
      <c r="D2315" s="228">
        <f>ROUND(1,2)</f>
        <v>1</v>
      </c>
      <c r="E2315" s="162"/>
      <c r="F2315" s="162"/>
      <c r="G2315" s="162"/>
      <c r="H2315" s="162"/>
      <c r="I2315" s="161"/>
    </row>
    <row r="2316" spans="1:9" ht="9.9499999999999993" customHeight="1" x14ac:dyDescent="0.25">
      <c r="A2316" s="164"/>
      <c r="B2316" s="121"/>
      <c r="C2316" s="122"/>
      <c r="D2316" s="123">
        <f>ROUND(SUM(D2315:D2315),2)</f>
        <v>1</v>
      </c>
      <c r="E2316" s="162"/>
      <c r="F2316" s="162"/>
      <c r="G2316" s="162"/>
      <c r="H2316" s="162"/>
      <c r="I2316" s="161"/>
    </row>
    <row r="2317" spans="1:9" ht="12" customHeight="1" x14ac:dyDescent="0.25">
      <c r="A2317" s="452"/>
      <c r="B2317" s="453"/>
      <c r="C2317" s="453"/>
      <c r="D2317" s="162"/>
      <c r="E2317" s="162"/>
      <c r="F2317" s="162"/>
      <c r="G2317" s="162"/>
      <c r="H2317" s="162"/>
      <c r="I2317" s="161"/>
    </row>
    <row r="2318" spans="1:9" ht="9.9499999999999993" customHeight="1" x14ac:dyDescent="0.25">
      <c r="A2318" s="165"/>
      <c r="B2318" s="162"/>
      <c r="C2318" s="162"/>
      <c r="D2318" s="458" t="str">
        <f>"TOTAL DA MEMÓRIA DE CÁLCULO: "&amp;TEXT(ROUND(SUM(D2316),2),"0,00")</f>
        <v>TOTAL DA MEMÓRIA DE CÁLCULO: 1,00</v>
      </c>
      <c r="E2318" s="458"/>
      <c r="F2318" s="458"/>
      <c r="G2318" s="458"/>
      <c r="H2318" s="458"/>
      <c r="I2318" s="161"/>
    </row>
    <row r="2319" spans="1:9" ht="30.95" customHeight="1" x14ac:dyDescent="0.25">
      <c r="A2319" s="452"/>
      <c r="B2319" s="453"/>
      <c r="C2319" s="453"/>
      <c r="D2319" s="453"/>
      <c r="E2319" s="162"/>
      <c r="F2319" s="162"/>
      <c r="G2319" s="162"/>
      <c r="H2319" s="162"/>
      <c r="I2319" s="161"/>
    </row>
    <row r="2320" spans="1:9" ht="15" customHeight="1" x14ac:dyDescent="0.25">
      <c r="A2320" s="456" t="s">
        <v>1616</v>
      </c>
      <c r="B2320" s="457"/>
      <c r="C2320" s="457"/>
      <c r="D2320" s="457"/>
      <c r="E2320" s="457"/>
      <c r="F2320" s="457"/>
      <c r="G2320" s="457"/>
      <c r="H2320" s="457"/>
      <c r="I2320" s="161"/>
    </row>
    <row r="2321" spans="1:9" ht="18.95" customHeight="1" x14ac:dyDescent="0.25">
      <c r="A2321" s="450"/>
      <c r="B2321" s="451"/>
      <c r="C2321" s="119"/>
      <c r="D2321" s="119" t="s">
        <v>984</v>
      </c>
      <c r="E2321" s="162"/>
      <c r="F2321" s="162"/>
      <c r="G2321" s="162"/>
      <c r="H2321" s="162"/>
      <c r="I2321" s="161"/>
    </row>
    <row r="2322" spans="1:9" ht="18.95" customHeight="1" x14ac:dyDescent="0.25">
      <c r="A2322" s="163" t="s">
        <v>1617</v>
      </c>
      <c r="B2322" s="120" t="s">
        <v>0</v>
      </c>
      <c r="C2322" s="227">
        <v>1</v>
      </c>
      <c r="D2322" s="228">
        <f>ROUND(1,2)</f>
        <v>1</v>
      </c>
      <c r="E2322" s="162"/>
      <c r="F2322" s="162"/>
      <c r="G2322" s="162"/>
      <c r="H2322" s="162"/>
      <c r="I2322" s="161"/>
    </row>
    <row r="2323" spans="1:9" ht="18.95" customHeight="1" x14ac:dyDescent="0.25">
      <c r="A2323" s="163" t="s">
        <v>1618</v>
      </c>
      <c r="B2323" s="120" t="s">
        <v>0</v>
      </c>
      <c r="C2323" s="227">
        <v>1</v>
      </c>
      <c r="D2323" s="228">
        <f>ROUND(1,2)</f>
        <v>1</v>
      </c>
      <c r="E2323" s="162"/>
      <c r="F2323" s="162"/>
      <c r="G2323" s="162"/>
      <c r="H2323" s="162"/>
      <c r="I2323" s="161"/>
    </row>
    <row r="2324" spans="1:9" ht="18.95" customHeight="1" x14ac:dyDescent="0.25">
      <c r="A2324" s="163" t="s">
        <v>1619</v>
      </c>
      <c r="B2324" s="120" t="s">
        <v>0</v>
      </c>
      <c r="C2324" s="227">
        <v>1</v>
      </c>
      <c r="D2324" s="228">
        <f>ROUND(1,2)</f>
        <v>1</v>
      </c>
      <c r="E2324" s="162"/>
      <c r="F2324" s="162"/>
      <c r="G2324" s="162"/>
      <c r="H2324" s="162"/>
      <c r="I2324" s="161"/>
    </row>
    <row r="2325" spans="1:9" ht="18.95" customHeight="1" x14ac:dyDescent="0.25">
      <c r="A2325" s="163" t="s">
        <v>1620</v>
      </c>
      <c r="B2325" s="120" t="s">
        <v>0</v>
      </c>
      <c r="C2325" s="227">
        <v>1</v>
      </c>
      <c r="D2325" s="228">
        <f>ROUND(1,2)</f>
        <v>1</v>
      </c>
      <c r="E2325" s="162"/>
      <c r="F2325" s="162"/>
      <c r="G2325" s="162"/>
      <c r="H2325" s="162"/>
      <c r="I2325" s="161"/>
    </row>
    <row r="2326" spans="1:9" ht="18.95" customHeight="1" x14ac:dyDescent="0.25">
      <c r="A2326" s="163" t="s">
        <v>1621</v>
      </c>
      <c r="B2326" s="120" t="s">
        <v>0</v>
      </c>
      <c r="C2326" s="227">
        <v>1</v>
      </c>
      <c r="D2326" s="228">
        <f>ROUND(1,2)</f>
        <v>1</v>
      </c>
      <c r="E2326" s="162"/>
      <c r="F2326" s="162"/>
      <c r="G2326" s="162"/>
      <c r="H2326" s="162"/>
      <c r="I2326" s="161"/>
    </row>
    <row r="2327" spans="1:9" ht="15" customHeight="1" x14ac:dyDescent="0.25">
      <c r="A2327" s="163" t="s">
        <v>1622</v>
      </c>
      <c r="B2327" s="120" t="s">
        <v>2</v>
      </c>
      <c r="C2327" s="227">
        <v>2</v>
      </c>
      <c r="D2327" s="228">
        <f>ROUND(2,2)</f>
        <v>2</v>
      </c>
      <c r="E2327" s="162"/>
      <c r="F2327" s="162"/>
      <c r="G2327" s="162"/>
      <c r="H2327" s="162"/>
      <c r="I2327" s="161"/>
    </row>
    <row r="2328" spans="1:9" ht="9.9499999999999993" customHeight="1" x14ac:dyDescent="0.25">
      <c r="A2328" s="164"/>
      <c r="B2328" s="121"/>
      <c r="C2328" s="122"/>
      <c r="D2328" s="123">
        <f>ROUND(SUM(D2322:D2327),2)</f>
        <v>7</v>
      </c>
      <c r="E2328" s="162"/>
      <c r="F2328" s="162"/>
      <c r="G2328" s="162"/>
      <c r="H2328" s="162"/>
      <c r="I2328" s="161"/>
    </row>
    <row r="2329" spans="1:9" ht="12" customHeight="1" x14ac:dyDescent="0.25">
      <c r="A2329" s="452"/>
      <c r="B2329" s="453"/>
      <c r="C2329" s="453"/>
      <c r="D2329" s="162"/>
      <c r="E2329" s="162"/>
      <c r="F2329" s="162"/>
      <c r="G2329" s="162"/>
      <c r="H2329" s="162"/>
      <c r="I2329" s="161"/>
    </row>
    <row r="2330" spans="1:9" ht="9.9499999999999993" customHeight="1" x14ac:dyDescent="0.25">
      <c r="A2330" s="165"/>
      <c r="B2330" s="162"/>
      <c r="C2330" s="162"/>
      <c r="D2330" s="458" t="str">
        <f>"TOTAL DA MEMÓRIA DE CÁLCULO: "&amp;TEXT(ROUND(SUM(D2328),2),"0,00")</f>
        <v>TOTAL DA MEMÓRIA DE CÁLCULO: 7,00</v>
      </c>
      <c r="E2330" s="458"/>
      <c r="F2330" s="458"/>
      <c r="G2330" s="458"/>
      <c r="H2330" s="458"/>
      <c r="I2330" s="161"/>
    </row>
    <row r="2331" spans="1:9" ht="30.95" customHeight="1" x14ac:dyDescent="0.25">
      <c r="A2331" s="452"/>
      <c r="B2331" s="453"/>
      <c r="C2331" s="453"/>
      <c r="D2331" s="453"/>
      <c r="E2331" s="162"/>
      <c r="F2331" s="162"/>
      <c r="G2331" s="162"/>
      <c r="H2331" s="162"/>
      <c r="I2331" s="161"/>
    </row>
    <row r="2332" spans="1:9" ht="15" customHeight="1" x14ac:dyDescent="0.25">
      <c r="A2332" s="456" t="s">
        <v>1623</v>
      </c>
      <c r="B2332" s="457"/>
      <c r="C2332" s="457"/>
      <c r="D2332" s="457"/>
      <c r="E2332" s="457"/>
      <c r="F2332" s="457"/>
      <c r="G2332" s="457"/>
      <c r="H2332" s="457"/>
      <c r="I2332" s="161"/>
    </row>
    <row r="2333" spans="1:9" ht="12.95" customHeight="1" x14ac:dyDescent="0.25">
      <c r="A2333" s="450"/>
      <c r="B2333" s="451"/>
      <c r="C2333" s="119"/>
      <c r="D2333" s="119" t="s">
        <v>984</v>
      </c>
      <c r="E2333" s="162"/>
      <c r="F2333" s="162"/>
      <c r="G2333" s="162"/>
      <c r="H2333" s="162"/>
      <c r="I2333" s="161"/>
    </row>
    <row r="2334" spans="1:9" ht="15" customHeight="1" x14ac:dyDescent="0.25">
      <c r="A2334" s="163"/>
      <c r="B2334" s="120" t="s">
        <v>4</v>
      </c>
      <c r="C2334" s="227">
        <v>3</v>
      </c>
      <c r="D2334" s="228">
        <f>ROUND(3,2)</f>
        <v>3</v>
      </c>
      <c r="E2334" s="162"/>
      <c r="F2334" s="162"/>
      <c r="G2334" s="162"/>
      <c r="H2334" s="162"/>
      <c r="I2334" s="161"/>
    </row>
    <row r="2335" spans="1:9" ht="9.9499999999999993" customHeight="1" x14ac:dyDescent="0.25">
      <c r="A2335" s="164"/>
      <c r="B2335" s="121"/>
      <c r="C2335" s="122"/>
      <c r="D2335" s="123">
        <f>ROUND(SUM(D2334:D2334),2)</f>
        <v>3</v>
      </c>
      <c r="E2335" s="162"/>
      <c r="F2335" s="162"/>
      <c r="G2335" s="162"/>
      <c r="H2335" s="162"/>
      <c r="I2335" s="161"/>
    </row>
    <row r="2336" spans="1:9" ht="12" customHeight="1" x14ac:dyDescent="0.25">
      <c r="A2336" s="452"/>
      <c r="B2336" s="453"/>
      <c r="C2336" s="453"/>
      <c r="D2336" s="162"/>
      <c r="E2336" s="162"/>
      <c r="F2336" s="162"/>
      <c r="G2336" s="162"/>
      <c r="H2336" s="162"/>
      <c r="I2336" s="161"/>
    </row>
    <row r="2337" spans="1:9" ht="9.9499999999999993" customHeight="1" x14ac:dyDescent="0.25">
      <c r="A2337" s="165"/>
      <c r="B2337" s="162"/>
      <c r="C2337" s="162"/>
      <c r="D2337" s="458" t="str">
        <f>"TOTAL DA MEMÓRIA DE CÁLCULO: "&amp;TEXT(ROUND(SUM(D2335),2),"0,00")</f>
        <v>TOTAL DA MEMÓRIA DE CÁLCULO: 3,00</v>
      </c>
      <c r="E2337" s="458"/>
      <c r="F2337" s="458"/>
      <c r="G2337" s="458"/>
      <c r="H2337" s="458"/>
      <c r="I2337" s="161"/>
    </row>
    <row r="2338" spans="1:9" ht="20.100000000000001" customHeight="1" x14ac:dyDescent="0.25">
      <c r="A2338" s="452"/>
      <c r="B2338" s="453"/>
      <c r="C2338" s="453"/>
      <c r="D2338" s="453"/>
      <c r="E2338" s="162"/>
      <c r="F2338" s="162"/>
      <c r="G2338" s="162"/>
      <c r="H2338" s="162"/>
      <c r="I2338" s="161"/>
    </row>
    <row r="2339" spans="1:9" ht="9.9499999999999993" customHeight="1" x14ac:dyDescent="0.25">
      <c r="A2339" s="456" t="s">
        <v>1624</v>
      </c>
      <c r="B2339" s="457"/>
      <c r="C2339" s="457"/>
      <c r="D2339" s="457"/>
      <c r="E2339" s="457"/>
      <c r="F2339" s="457"/>
      <c r="G2339" s="457"/>
      <c r="H2339" s="457"/>
      <c r="I2339" s="161"/>
    </row>
    <row r="2340" spans="1:9" ht="30.95" customHeight="1" x14ac:dyDescent="0.25">
      <c r="A2340" s="452"/>
      <c r="B2340" s="453"/>
      <c r="C2340" s="453"/>
      <c r="D2340" s="162"/>
      <c r="E2340" s="162"/>
      <c r="F2340" s="162"/>
      <c r="G2340" s="162"/>
      <c r="H2340" s="162"/>
      <c r="I2340" s="161"/>
    </row>
    <row r="2341" spans="1:9" ht="15" customHeight="1" x14ac:dyDescent="0.25">
      <c r="A2341" s="456" t="s">
        <v>1625</v>
      </c>
      <c r="B2341" s="457"/>
      <c r="C2341" s="457"/>
      <c r="D2341" s="457"/>
      <c r="E2341" s="457"/>
      <c r="F2341" s="457"/>
      <c r="G2341" s="457"/>
      <c r="H2341" s="457"/>
      <c r="I2341" s="161"/>
    </row>
    <row r="2342" spans="1:9" ht="12.95" customHeight="1" x14ac:dyDescent="0.25">
      <c r="A2342" s="450"/>
      <c r="B2342" s="451"/>
      <c r="C2342" s="119"/>
      <c r="D2342" s="119" t="s">
        <v>984</v>
      </c>
      <c r="E2342" s="162"/>
      <c r="F2342" s="162"/>
      <c r="G2342" s="162"/>
      <c r="H2342" s="162"/>
      <c r="I2342" s="161"/>
    </row>
    <row r="2343" spans="1:9" ht="12.95" customHeight="1" x14ac:dyDescent="0.25">
      <c r="A2343" s="163" t="s">
        <v>1626</v>
      </c>
      <c r="B2343" s="120" t="s">
        <v>1627</v>
      </c>
      <c r="C2343" s="227">
        <v>44</v>
      </c>
      <c r="D2343" s="228">
        <f>ROUND(44,2)</f>
        <v>44</v>
      </c>
      <c r="E2343" s="162"/>
      <c r="F2343" s="162"/>
      <c r="G2343" s="162"/>
      <c r="H2343" s="162"/>
      <c r="I2343" s="161"/>
    </row>
    <row r="2344" spans="1:9" ht="12.95" customHeight="1" x14ac:dyDescent="0.25">
      <c r="A2344" s="163" t="s">
        <v>1628</v>
      </c>
      <c r="B2344" s="120" t="s">
        <v>1627</v>
      </c>
      <c r="C2344" s="227">
        <v>44</v>
      </c>
      <c r="D2344" s="228">
        <f>ROUND(44,2)</f>
        <v>44</v>
      </c>
      <c r="E2344" s="162"/>
      <c r="F2344" s="162"/>
      <c r="G2344" s="162"/>
      <c r="H2344" s="162"/>
      <c r="I2344" s="161"/>
    </row>
    <row r="2345" spans="1:9" ht="15" customHeight="1" x14ac:dyDescent="0.25">
      <c r="A2345" s="163" t="s">
        <v>1629</v>
      </c>
      <c r="B2345" s="120" t="s">
        <v>1627</v>
      </c>
      <c r="C2345" s="227">
        <v>44</v>
      </c>
      <c r="D2345" s="228">
        <f>ROUND(44,2)</f>
        <v>44</v>
      </c>
      <c r="E2345" s="162"/>
      <c r="F2345" s="162"/>
      <c r="G2345" s="162"/>
      <c r="H2345" s="162"/>
      <c r="I2345" s="161"/>
    </row>
    <row r="2346" spans="1:9" ht="9.9499999999999993" customHeight="1" x14ac:dyDescent="0.25">
      <c r="A2346" s="164"/>
      <c r="B2346" s="121"/>
      <c r="C2346" s="122"/>
      <c r="D2346" s="123">
        <f>ROUND(SUM(D2343:D2345),2)</f>
        <v>132</v>
      </c>
      <c r="E2346" s="162"/>
      <c r="F2346" s="162"/>
      <c r="G2346" s="162"/>
      <c r="H2346" s="162"/>
      <c r="I2346" s="161"/>
    </row>
    <row r="2347" spans="1:9" ht="12" customHeight="1" x14ac:dyDescent="0.25">
      <c r="A2347" s="452"/>
      <c r="B2347" s="453"/>
      <c r="C2347" s="453"/>
      <c r="D2347" s="162"/>
      <c r="E2347" s="162"/>
      <c r="F2347" s="162"/>
      <c r="G2347" s="162"/>
      <c r="H2347" s="162"/>
      <c r="I2347" s="161"/>
    </row>
    <row r="2348" spans="1:9" ht="9.9499999999999993" customHeight="1" x14ac:dyDescent="0.25">
      <c r="A2348" s="165"/>
      <c r="B2348" s="162"/>
      <c r="C2348" s="162"/>
      <c r="D2348" s="458" t="str">
        <f>"TOTAL DA MEMÓRIA DE CÁLCULO: "&amp;TEXT(ROUND(SUM(D2346),2),"0,00")</f>
        <v>TOTAL DA MEMÓRIA DE CÁLCULO: 132,00</v>
      </c>
      <c r="E2348" s="458"/>
      <c r="F2348" s="458"/>
      <c r="G2348" s="458"/>
      <c r="H2348" s="458"/>
      <c r="I2348" s="161"/>
    </row>
    <row r="2349" spans="1:9" ht="30.95" customHeight="1" x14ac:dyDescent="0.25">
      <c r="A2349" s="452"/>
      <c r="B2349" s="453"/>
      <c r="C2349" s="453"/>
      <c r="D2349" s="453"/>
      <c r="E2349" s="162"/>
      <c r="F2349" s="162"/>
      <c r="G2349" s="162"/>
      <c r="H2349" s="162"/>
      <c r="I2349" s="161"/>
    </row>
    <row r="2350" spans="1:9" ht="15" customHeight="1" x14ac:dyDescent="0.25">
      <c r="A2350" s="456" t="s">
        <v>1630</v>
      </c>
      <c r="B2350" s="457"/>
      <c r="C2350" s="457"/>
      <c r="D2350" s="457"/>
      <c r="E2350" s="457"/>
      <c r="F2350" s="457"/>
      <c r="G2350" s="457"/>
      <c r="H2350" s="457"/>
      <c r="I2350" s="161"/>
    </row>
    <row r="2351" spans="1:9" ht="27" customHeight="1" x14ac:dyDescent="0.25">
      <c r="A2351" s="450"/>
      <c r="B2351" s="451"/>
      <c r="C2351" s="119"/>
      <c r="D2351" s="119" t="s">
        <v>984</v>
      </c>
      <c r="E2351" s="162"/>
      <c r="F2351" s="162"/>
      <c r="G2351" s="162"/>
      <c r="H2351" s="162"/>
      <c r="I2351" s="161"/>
    </row>
    <row r="2352" spans="1:9" ht="18.95" customHeight="1" x14ac:dyDescent="0.25">
      <c r="A2352" s="163" t="s">
        <v>1631</v>
      </c>
      <c r="B2352" s="120" t="s">
        <v>1632</v>
      </c>
      <c r="C2352" s="227">
        <v>1123</v>
      </c>
      <c r="D2352" s="228">
        <f>ROUND(1123,2)</f>
        <v>1123</v>
      </c>
      <c r="E2352" s="162"/>
      <c r="F2352" s="162"/>
      <c r="G2352" s="162"/>
      <c r="H2352" s="162"/>
      <c r="I2352" s="161"/>
    </row>
    <row r="2353" spans="1:9" ht="18.95" customHeight="1" x14ac:dyDescent="0.25">
      <c r="A2353" s="163" t="s">
        <v>1633</v>
      </c>
      <c r="B2353" s="120" t="s">
        <v>1634</v>
      </c>
      <c r="C2353" s="227">
        <v>314</v>
      </c>
      <c r="D2353" s="228">
        <f>ROUND(314,2)</f>
        <v>314</v>
      </c>
      <c r="E2353" s="162"/>
      <c r="F2353" s="162"/>
      <c r="G2353" s="162"/>
      <c r="H2353" s="162"/>
      <c r="I2353" s="161"/>
    </row>
    <row r="2354" spans="1:9" ht="27" customHeight="1" x14ac:dyDescent="0.25">
      <c r="A2354" s="163" t="s">
        <v>1635</v>
      </c>
      <c r="B2354" s="120" t="s">
        <v>1636</v>
      </c>
      <c r="C2354" s="227">
        <v>222</v>
      </c>
      <c r="D2354" s="228">
        <f>ROUND(222,2)</f>
        <v>222</v>
      </c>
      <c r="E2354" s="162"/>
      <c r="F2354" s="162"/>
      <c r="G2354" s="162"/>
      <c r="H2354" s="162"/>
      <c r="I2354" s="161"/>
    </row>
    <row r="2355" spans="1:9" ht="12.95" customHeight="1" x14ac:dyDescent="0.25">
      <c r="A2355" s="163" t="s">
        <v>1637</v>
      </c>
      <c r="B2355" s="120" t="s">
        <v>1638</v>
      </c>
      <c r="C2355" s="227">
        <v>521</v>
      </c>
      <c r="D2355" s="228">
        <f>ROUND(521,2)</f>
        <v>521</v>
      </c>
      <c r="E2355" s="162"/>
      <c r="F2355" s="162"/>
      <c r="G2355" s="162"/>
      <c r="H2355" s="162"/>
      <c r="I2355" s="161"/>
    </row>
    <row r="2356" spans="1:9" ht="6" customHeight="1" x14ac:dyDescent="0.25">
      <c r="A2356" s="163" t="s">
        <v>1639</v>
      </c>
      <c r="B2356" s="120" t="s">
        <v>1640</v>
      </c>
      <c r="C2356" s="459">
        <v>198</v>
      </c>
      <c r="D2356" s="460">
        <f>ROUND(198,2)</f>
        <v>198</v>
      </c>
      <c r="E2356" s="162"/>
      <c r="F2356" s="162"/>
      <c r="G2356" s="162"/>
      <c r="H2356" s="162"/>
      <c r="I2356" s="161"/>
    </row>
    <row r="2357" spans="1:9" ht="15" customHeight="1" x14ac:dyDescent="0.25">
      <c r="A2357" s="166"/>
      <c r="B2357" s="124"/>
      <c r="C2357" s="459"/>
      <c r="D2357" s="460"/>
      <c r="E2357" s="162"/>
      <c r="F2357" s="162"/>
      <c r="G2357" s="162"/>
      <c r="H2357" s="162"/>
      <c r="I2357" s="161"/>
    </row>
    <row r="2358" spans="1:9" ht="9.9499999999999993" customHeight="1" x14ac:dyDescent="0.25">
      <c r="A2358" s="164"/>
      <c r="B2358" s="121"/>
      <c r="C2358" s="122"/>
      <c r="D2358" s="123">
        <f>ROUND(SUM(D2352:D2357),2)</f>
        <v>2378</v>
      </c>
      <c r="E2358" s="162"/>
      <c r="F2358" s="162"/>
      <c r="G2358" s="162"/>
      <c r="H2358" s="162"/>
      <c r="I2358" s="161"/>
    </row>
    <row r="2359" spans="1:9" ht="12" customHeight="1" x14ac:dyDescent="0.25">
      <c r="A2359" s="452"/>
      <c r="B2359" s="453"/>
      <c r="C2359" s="453"/>
      <c r="D2359" s="162"/>
      <c r="E2359" s="162"/>
      <c r="F2359" s="162"/>
      <c r="G2359" s="162"/>
      <c r="H2359" s="162"/>
      <c r="I2359" s="161"/>
    </row>
    <row r="2360" spans="1:9" ht="9.9499999999999993" customHeight="1" x14ac:dyDescent="0.25">
      <c r="A2360" s="165"/>
      <c r="B2360" s="162"/>
      <c r="C2360" s="162"/>
      <c r="D2360" s="458" t="str">
        <f>"TOTAL DA MEMÓRIA DE CÁLCULO: "&amp;TEXT(ROUND(SUM(D2358),2),"0,00")</f>
        <v>TOTAL DA MEMÓRIA DE CÁLCULO: 2378,00</v>
      </c>
      <c r="E2360" s="458"/>
      <c r="F2360" s="458"/>
      <c r="G2360" s="458"/>
      <c r="H2360" s="458"/>
      <c r="I2360" s="161"/>
    </row>
    <row r="2361" spans="1:9" ht="30.95" customHeight="1" x14ac:dyDescent="0.25">
      <c r="A2361" s="452"/>
      <c r="B2361" s="453"/>
      <c r="C2361" s="453"/>
      <c r="D2361" s="453"/>
      <c r="E2361" s="162"/>
      <c r="F2361" s="162"/>
      <c r="G2361" s="162"/>
      <c r="H2361" s="162"/>
      <c r="I2361" s="161"/>
    </row>
    <row r="2362" spans="1:9" ht="15" customHeight="1" x14ac:dyDescent="0.25">
      <c r="A2362" s="456" t="s">
        <v>1641</v>
      </c>
      <c r="B2362" s="457"/>
      <c r="C2362" s="457"/>
      <c r="D2362" s="457"/>
      <c r="E2362" s="457"/>
      <c r="F2362" s="457"/>
      <c r="G2362" s="457"/>
      <c r="H2362" s="457"/>
      <c r="I2362" s="161"/>
    </row>
    <row r="2363" spans="1:9" ht="18.95" customHeight="1" x14ac:dyDescent="0.25">
      <c r="A2363" s="450"/>
      <c r="B2363" s="451"/>
      <c r="C2363" s="119"/>
      <c r="D2363" s="119" t="s">
        <v>984</v>
      </c>
      <c r="E2363" s="162"/>
      <c r="F2363" s="162"/>
      <c r="G2363" s="162"/>
      <c r="H2363" s="162"/>
      <c r="I2363" s="161"/>
    </row>
    <row r="2364" spans="1:9" ht="15" customHeight="1" x14ac:dyDescent="0.25">
      <c r="A2364" s="163" t="s">
        <v>1642</v>
      </c>
      <c r="B2364" s="120" t="s">
        <v>1643</v>
      </c>
      <c r="C2364" s="227">
        <v>110</v>
      </c>
      <c r="D2364" s="228">
        <f>ROUND(110,2)</f>
        <v>110</v>
      </c>
      <c r="E2364" s="162"/>
      <c r="F2364" s="162"/>
      <c r="G2364" s="162"/>
      <c r="H2364" s="162"/>
      <c r="I2364" s="161"/>
    </row>
    <row r="2365" spans="1:9" ht="9.9499999999999993" customHeight="1" x14ac:dyDescent="0.25">
      <c r="A2365" s="164"/>
      <c r="B2365" s="121"/>
      <c r="C2365" s="122"/>
      <c r="D2365" s="123">
        <f>ROUND(SUM(D2364:D2364),2)</f>
        <v>110</v>
      </c>
      <c r="E2365" s="162"/>
      <c r="F2365" s="162"/>
      <c r="G2365" s="162"/>
      <c r="H2365" s="162"/>
      <c r="I2365" s="161"/>
    </row>
    <row r="2366" spans="1:9" ht="12" customHeight="1" x14ac:dyDescent="0.25">
      <c r="A2366" s="452"/>
      <c r="B2366" s="453"/>
      <c r="C2366" s="453"/>
      <c r="D2366" s="162"/>
      <c r="E2366" s="162"/>
      <c r="F2366" s="162"/>
      <c r="G2366" s="162"/>
      <c r="H2366" s="162"/>
      <c r="I2366" s="161"/>
    </row>
    <row r="2367" spans="1:9" ht="9.9499999999999993" customHeight="1" x14ac:dyDescent="0.25">
      <c r="A2367" s="165"/>
      <c r="B2367" s="162"/>
      <c r="C2367" s="162"/>
      <c r="D2367" s="458" t="str">
        <f>"TOTAL DA MEMÓRIA DE CÁLCULO: "&amp;TEXT(ROUND(SUM(D2365),2),"0,00")</f>
        <v>TOTAL DA MEMÓRIA DE CÁLCULO: 110,00</v>
      </c>
      <c r="E2367" s="458"/>
      <c r="F2367" s="458"/>
      <c r="G2367" s="458"/>
      <c r="H2367" s="458"/>
      <c r="I2367" s="161"/>
    </row>
    <row r="2368" spans="1:9" ht="20.100000000000001" customHeight="1" x14ac:dyDescent="0.25">
      <c r="A2368" s="452"/>
      <c r="B2368" s="453"/>
      <c r="C2368" s="453"/>
      <c r="D2368" s="453"/>
      <c r="E2368" s="162"/>
      <c r="F2368" s="162"/>
      <c r="G2368" s="162"/>
      <c r="H2368" s="162"/>
      <c r="I2368" s="161"/>
    </row>
    <row r="2369" spans="1:9" ht="9.9499999999999993" customHeight="1" x14ac:dyDescent="0.25">
      <c r="A2369" s="456" t="s">
        <v>1644</v>
      </c>
      <c r="B2369" s="457"/>
      <c r="C2369" s="457"/>
      <c r="D2369" s="457"/>
      <c r="E2369" s="457"/>
      <c r="F2369" s="457"/>
      <c r="G2369" s="457"/>
      <c r="H2369" s="457"/>
      <c r="I2369" s="161"/>
    </row>
    <row r="2370" spans="1:9" ht="20.100000000000001" customHeight="1" x14ac:dyDescent="0.25">
      <c r="A2370" s="452"/>
      <c r="B2370" s="453"/>
      <c r="C2370" s="453"/>
      <c r="D2370" s="162"/>
      <c r="E2370" s="162"/>
      <c r="F2370" s="162"/>
      <c r="G2370" s="162"/>
      <c r="H2370" s="162"/>
      <c r="I2370" s="161"/>
    </row>
    <row r="2371" spans="1:9" ht="15" customHeight="1" x14ac:dyDescent="0.25">
      <c r="A2371" s="456" t="s">
        <v>1645</v>
      </c>
      <c r="B2371" s="457"/>
      <c r="C2371" s="457"/>
      <c r="D2371" s="457"/>
      <c r="E2371" s="457"/>
      <c r="F2371" s="457"/>
      <c r="G2371" s="457"/>
      <c r="H2371" s="457"/>
      <c r="I2371" s="161"/>
    </row>
    <row r="2372" spans="1:9" ht="12.95" customHeight="1" x14ac:dyDescent="0.25">
      <c r="A2372" s="450"/>
      <c r="B2372" s="451"/>
      <c r="C2372" s="119"/>
      <c r="D2372" s="119" t="s">
        <v>984</v>
      </c>
      <c r="E2372" s="162"/>
      <c r="F2372" s="162"/>
      <c r="G2372" s="162"/>
      <c r="H2372" s="162"/>
      <c r="I2372" s="161"/>
    </row>
    <row r="2373" spans="1:9" ht="12.95" customHeight="1" x14ac:dyDescent="0.25">
      <c r="A2373" s="163" t="s">
        <v>1646</v>
      </c>
      <c r="B2373" s="120" t="s">
        <v>1647</v>
      </c>
      <c r="C2373" s="227">
        <v>66</v>
      </c>
      <c r="D2373" s="228">
        <f>ROUND(66,2)</f>
        <v>66</v>
      </c>
      <c r="E2373" s="162"/>
      <c r="F2373" s="162"/>
      <c r="G2373" s="162"/>
      <c r="H2373" s="162"/>
      <c r="I2373" s="161"/>
    </row>
    <row r="2374" spans="1:9" ht="6" customHeight="1" x14ac:dyDescent="0.25">
      <c r="A2374" s="163" t="s">
        <v>1648</v>
      </c>
      <c r="B2374" s="120" t="s">
        <v>1649</v>
      </c>
      <c r="C2374" s="459">
        <v>175</v>
      </c>
      <c r="D2374" s="460">
        <f>ROUND(175,2)</f>
        <v>175</v>
      </c>
      <c r="E2374" s="162"/>
      <c r="F2374" s="162"/>
      <c r="G2374" s="162"/>
      <c r="H2374" s="162"/>
      <c r="I2374" s="161"/>
    </row>
    <row r="2375" spans="1:9" ht="12.95" customHeight="1" x14ac:dyDescent="0.25">
      <c r="A2375" s="166"/>
      <c r="B2375" s="124"/>
      <c r="C2375" s="459"/>
      <c r="D2375" s="460"/>
      <c r="E2375" s="162"/>
      <c r="F2375" s="162"/>
      <c r="G2375" s="162"/>
      <c r="H2375" s="162"/>
      <c r="I2375" s="161"/>
    </row>
    <row r="2376" spans="1:9" ht="12.95" customHeight="1" x14ac:dyDescent="0.25">
      <c r="A2376" s="163" t="s">
        <v>1650</v>
      </c>
      <c r="B2376" s="120" t="s">
        <v>1651</v>
      </c>
      <c r="C2376" s="227">
        <v>62</v>
      </c>
      <c r="D2376" s="228">
        <f>ROUND(62,2)</f>
        <v>62</v>
      </c>
      <c r="E2376" s="162"/>
      <c r="F2376" s="162"/>
      <c r="G2376" s="162"/>
      <c r="H2376" s="162"/>
      <c r="I2376" s="161"/>
    </row>
    <row r="2377" spans="1:9" ht="6" customHeight="1" x14ac:dyDescent="0.25">
      <c r="A2377" s="163" t="s">
        <v>1652</v>
      </c>
      <c r="B2377" s="120" t="s">
        <v>1653</v>
      </c>
      <c r="C2377" s="459">
        <v>344</v>
      </c>
      <c r="D2377" s="460">
        <f>ROUND(344,2)</f>
        <v>344</v>
      </c>
      <c r="E2377" s="162"/>
      <c r="F2377" s="162"/>
      <c r="G2377" s="162"/>
      <c r="H2377" s="162"/>
      <c r="I2377" s="161"/>
    </row>
    <row r="2378" spans="1:9" ht="15" customHeight="1" x14ac:dyDescent="0.25">
      <c r="A2378" s="166"/>
      <c r="B2378" s="124"/>
      <c r="C2378" s="459"/>
      <c r="D2378" s="460"/>
      <c r="E2378" s="162"/>
      <c r="F2378" s="162"/>
      <c r="G2378" s="162"/>
      <c r="H2378" s="162"/>
      <c r="I2378" s="161"/>
    </row>
    <row r="2379" spans="1:9" ht="9.9499999999999993" customHeight="1" x14ac:dyDescent="0.25">
      <c r="A2379" s="164"/>
      <c r="B2379" s="121"/>
      <c r="C2379" s="122"/>
      <c r="D2379" s="123">
        <f>ROUND(SUM(D2373:D2378),2)</f>
        <v>647</v>
      </c>
      <c r="E2379" s="162"/>
      <c r="F2379" s="162"/>
      <c r="G2379" s="162"/>
      <c r="H2379" s="162"/>
      <c r="I2379" s="161"/>
    </row>
    <row r="2380" spans="1:9" ht="12" customHeight="1" x14ac:dyDescent="0.25">
      <c r="A2380" s="452"/>
      <c r="B2380" s="453"/>
      <c r="C2380" s="453"/>
      <c r="D2380" s="162"/>
      <c r="E2380" s="162"/>
      <c r="F2380" s="162"/>
      <c r="G2380" s="162"/>
      <c r="H2380" s="162"/>
      <c r="I2380" s="161"/>
    </row>
    <row r="2381" spans="1:9" ht="9.9499999999999993" customHeight="1" x14ac:dyDescent="0.25">
      <c r="A2381" s="165"/>
      <c r="B2381" s="162"/>
      <c r="C2381" s="162"/>
      <c r="D2381" s="458" t="str">
        <f>"TOTAL DA MEMÓRIA DE CÁLCULO: "&amp;TEXT(ROUND(SUM(D2379),2),"0,00")</f>
        <v>TOTAL DA MEMÓRIA DE CÁLCULO: 647,00</v>
      </c>
      <c r="E2381" s="458"/>
      <c r="F2381" s="458"/>
      <c r="G2381" s="458"/>
      <c r="H2381" s="458"/>
      <c r="I2381" s="161"/>
    </row>
    <row r="2382" spans="1:9" ht="20.100000000000001" customHeight="1" x14ac:dyDescent="0.25">
      <c r="A2382" s="452"/>
      <c r="B2382" s="453"/>
      <c r="C2382" s="453"/>
      <c r="D2382" s="453"/>
      <c r="E2382" s="162"/>
      <c r="F2382" s="162"/>
      <c r="G2382" s="162"/>
      <c r="H2382" s="162"/>
      <c r="I2382" s="161"/>
    </row>
    <row r="2383" spans="1:9" ht="9.9499999999999993" customHeight="1" x14ac:dyDescent="0.25">
      <c r="A2383" s="456" t="s">
        <v>1654</v>
      </c>
      <c r="B2383" s="457"/>
      <c r="C2383" s="457"/>
      <c r="D2383" s="457"/>
      <c r="E2383" s="457"/>
      <c r="F2383" s="457"/>
      <c r="G2383" s="457"/>
      <c r="H2383" s="457"/>
      <c r="I2383" s="161"/>
    </row>
    <row r="2384" spans="1:9" ht="20.100000000000001" customHeight="1" x14ac:dyDescent="0.25">
      <c r="A2384" s="452"/>
      <c r="B2384" s="453"/>
      <c r="C2384" s="453"/>
      <c r="D2384" s="162"/>
      <c r="E2384" s="162"/>
      <c r="F2384" s="162"/>
      <c r="G2384" s="162"/>
      <c r="H2384" s="162"/>
      <c r="I2384" s="161"/>
    </row>
    <row r="2385" spans="1:9" ht="15" customHeight="1" x14ac:dyDescent="0.25">
      <c r="A2385" s="456" t="s">
        <v>1655</v>
      </c>
      <c r="B2385" s="457"/>
      <c r="C2385" s="457"/>
      <c r="D2385" s="457"/>
      <c r="E2385" s="457"/>
      <c r="F2385" s="457"/>
      <c r="G2385" s="457"/>
      <c r="H2385" s="457"/>
      <c r="I2385" s="161"/>
    </row>
    <row r="2386" spans="1:9" ht="18.95" customHeight="1" x14ac:dyDescent="0.25">
      <c r="A2386" s="450"/>
      <c r="B2386" s="451"/>
      <c r="C2386" s="119"/>
      <c r="D2386" s="119" t="s">
        <v>984</v>
      </c>
      <c r="E2386" s="162"/>
      <c r="F2386" s="162"/>
      <c r="G2386" s="162"/>
      <c r="H2386" s="162"/>
      <c r="I2386" s="161"/>
    </row>
    <row r="2387" spans="1:9" ht="15" customHeight="1" x14ac:dyDescent="0.25">
      <c r="A2387" s="163" t="s">
        <v>1656</v>
      </c>
      <c r="B2387" s="120" t="s">
        <v>13</v>
      </c>
      <c r="C2387" s="227">
        <v>8</v>
      </c>
      <c r="D2387" s="228">
        <f>ROUND(8,2)</f>
        <v>8</v>
      </c>
      <c r="E2387" s="162"/>
      <c r="F2387" s="162"/>
      <c r="G2387" s="162"/>
      <c r="H2387" s="162"/>
      <c r="I2387" s="161"/>
    </row>
    <row r="2388" spans="1:9" ht="9.9499999999999993" customHeight="1" x14ac:dyDescent="0.25">
      <c r="A2388" s="164"/>
      <c r="B2388" s="121"/>
      <c r="C2388" s="122"/>
      <c r="D2388" s="123">
        <f>ROUND(SUM(D2387:D2387),2)</f>
        <v>8</v>
      </c>
      <c r="E2388" s="162"/>
      <c r="F2388" s="162"/>
      <c r="G2388" s="162"/>
      <c r="H2388" s="162"/>
      <c r="I2388" s="161"/>
    </row>
    <row r="2389" spans="1:9" ht="12" customHeight="1" x14ac:dyDescent="0.25">
      <c r="A2389" s="452"/>
      <c r="B2389" s="453"/>
      <c r="C2389" s="453"/>
      <c r="D2389" s="162"/>
      <c r="E2389" s="162"/>
      <c r="F2389" s="162"/>
      <c r="G2389" s="162"/>
      <c r="H2389" s="162"/>
      <c r="I2389" s="161"/>
    </row>
    <row r="2390" spans="1:9" ht="9.9499999999999993" customHeight="1" x14ac:dyDescent="0.25">
      <c r="A2390" s="165"/>
      <c r="B2390" s="162"/>
      <c r="C2390" s="162"/>
      <c r="D2390" s="458" t="str">
        <f>"TOTAL DA MEMÓRIA DE CÁLCULO: "&amp;TEXT(ROUND(SUM(D2388),2),"0,00")</f>
        <v>TOTAL DA MEMÓRIA DE CÁLCULO: 8,00</v>
      </c>
      <c r="E2390" s="458"/>
      <c r="F2390" s="458"/>
      <c r="G2390" s="458"/>
      <c r="H2390" s="458"/>
      <c r="I2390" s="161"/>
    </row>
    <row r="2391" spans="1:9" ht="20.100000000000001" customHeight="1" x14ac:dyDescent="0.25">
      <c r="A2391" s="452"/>
      <c r="B2391" s="453"/>
      <c r="C2391" s="453"/>
      <c r="D2391" s="453"/>
      <c r="E2391" s="162"/>
      <c r="F2391" s="162"/>
      <c r="G2391" s="162"/>
      <c r="H2391" s="162"/>
      <c r="I2391" s="161"/>
    </row>
    <row r="2392" spans="1:9" ht="9.9499999999999993" customHeight="1" x14ac:dyDescent="0.25">
      <c r="A2392" s="456" t="s">
        <v>1657</v>
      </c>
      <c r="B2392" s="457"/>
      <c r="C2392" s="457"/>
      <c r="D2392" s="457"/>
      <c r="E2392" s="457"/>
      <c r="F2392" s="457"/>
      <c r="G2392" s="457"/>
      <c r="H2392" s="457"/>
      <c r="I2392" s="161"/>
    </row>
    <row r="2393" spans="1:9" ht="42.95" customHeight="1" x14ac:dyDescent="0.25">
      <c r="A2393" s="452"/>
      <c r="B2393" s="453"/>
      <c r="C2393" s="453"/>
      <c r="D2393" s="162"/>
      <c r="E2393" s="162"/>
      <c r="F2393" s="162"/>
      <c r="G2393" s="162"/>
      <c r="H2393" s="162"/>
      <c r="I2393" s="161"/>
    </row>
    <row r="2394" spans="1:9" ht="15" customHeight="1" x14ac:dyDescent="0.25">
      <c r="A2394" s="456" t="s">
        <v>1658</v>
      </c>
      <c r="B2394" s="457"/>
      <c r="C2394" s="457"/>
      <c r="D2394" s="457"/>
      <c r="E2394" s="457"/>
      <c r="F2394" s="457"/>
      <c r="G2394" s="457"/>
      <c r="H2394" s="457"/>
      <c r="I2394" s="161"/>
    </row>
    <row r="2395" spans="1:9" ht="12.95" customHeight="1" x14ac:dyDescent="0.25">
      <c r="A2395" s="450"/>
      <c r="B2395" s="451"/>
      <c r="C2395" s="119" t="s">
        <v>1006</v>
      </c>
      <c r="D2395" s="119" t="s">
        <v>1024</v>
      </c>
      <c r="E2395" s="119" t="s">
        <v>1059</v>
      </c>
      <c r="F2395" s="119" t="s">
        <v>984</v>
      </c>
      <c r="G2395" s="162"/>
      <c r="H2395" s="162"/>
      <c r="I2395" s="161"/>
    </row>
    <row r="2396" spans="1:9" ht="6" customHeight="1" x14ac:dyDescent="0.25">
      <c r="A2396" s="163" t="s">
        <v>1659</v>
      </c>
      <c r="B2396" s="120" t="s">
        <v>1660</v>
      </c>
      <c r="C2396" s="459">
        <v>0.5</v>
      </c>
      <c r="D2396" s="459">
        <v>0.7</v>
      </c>
      <c r="E2396" s="459">
        <v>410</v>
      </c>
      <c r="F2396" s="460">
        <f>ROUND(C2396*D2396*E2396*1.1,2)</f>
        <v>157.85</v>
      </c>
      <c r="G2396" s="162"/>
      <c r="H2396" s="162"/>
      <c r="I2396" s="161"/>
    </row>
    <row r="2397" spans="1:9" ht="15" customHeight="1" x14ac:dyDescent="0.25">
      <c r="A2397" s="166"/>
      <c r="B2397" s="124"/>
      <c r="C2397" s="459"/>
      <c r="D2397" s="459"/>
      <c r="E2397" s="459"/>
      <c r="F2397" s="460"/>
      <c r="G2397" s="162"/>
      <c r="H2397" s="162"/>
      <c r="I2397" s="161"/>
    </row>
    <row r="2398" spans="1:9" ht="9.9499999999999993" customHeight="1" x14ac:dyDescent="0.25">
      <c r="A2398" s="164"/>
      <c r="B2398" s="121"/>
      <c r="C2398" s="122"/>
      <c r="D2398" s="122"/>
      <c r="E2398" s="122"/>
      <c r="F2398" s="123">
        <f>ROUND(SUM(F2396:F2397),2)</f>
        <v>157.85</v>
      </c>
      <c r="G2398" s="162"/>
      <c r="H2398" s="162"/>
      <c r="I2398" s="161"/>
    </row>
    <row r="2399" spans="1:9" ht="12" customHeight="1" x14ac:dyDescent="0.25">
      <c r="A2399" s="452"/>
      <c r="B2399" s="453"/>
      <c r="C2399" s="453"/>
      <c r="D2399" s="162"/>
      <c r="E2399" s="162"/>
      <c r="F2399" s="162"/>
      <c r="G2399" s="162"/>
      <c r="H2399" s="162"/>
      <c r="I2399" s="161"/>
    </row>
    <row r="2400" spans="1:9" ht="9.9499999999999993" customHeight="1" x14ac:dyDescent="0.25">
      <c r="A2400" s="165"/>
      <c r="B2400" s="162"/>
      <c r="C2400" s="162"/>
      <c r="D2400" s="458" t="str">
        <f>"TOTAL DA MEMÓRIA DE CÁLCULO: "&amp;TEXT(ROUND(SUM(F2398),2),"0,00")</f>
        <v>TOTAL DA MEMÓRIA DE CÁLCULO: 157,85</v>
      </c>
      <c r="E2400" s="458"/>
      <c r="F2400" s="458"/>
      <c r="G2400" s="458"/>
      <c r="H2400" s="458"/>
      <c r="I2400" s="161"/>
    </row>
    <row r="2401" spans="1:9" ht="20.100000000000001" customHeight="1" x14ac:dyDescent="0.25">
      <c r="A2401" s="452"/>
      <c r="B2401" s="453"/>
      <c r="C2401" s="453"/>
      <c r="D2401" s="453"/>
      <c r="E2401" s="162"/>
      <c r="F2401" s="162"/>
      <c r="G2401" s="162"/>
      <c r="H2401" s="162"/>
      <c r="I2401" s="161"/>
    </row>
    <row r="2402" spans="1:9" ht="15" customHeight="1" x14ac:dyDescent="0.25">
      <c r="A2402" s="456" t="s">
        <v>1661</v>
      </c>
      <c r="B2402" s="457"/>
      <c r="C2402" s="457"/>
      <c r="D2402" s="457"/>
      <c r="E2402" s="457"/>
      <c r="F2402" s="457"/>
      <c r="G2402" s="457"/>
      <c r="H2402" s="457"/>
      <c r="I2402" s="161"/>
    </row>
    <row r="2403" spans="1:9" ht="18.95" customHeight="1" x14ac:dyDescent="0.25">
      <c r="A2403" s="450"/>
      <c r="B2403" s="451"/>
      <c r="C2403" s="119" t="s">
        <v>1006</v>
      </c>
      <c r="D2403" s="119" t="s">
        <v>1024</v>
      </c>
      <c r="E2403" s="119" t="s">
        <v>1059</v>
      </c>
      <c r="F2403" s="119" t="s">
        <v>984</v>
      </c>
      <c r="G2403" s="162"/>
      <c r="H2403" s="162"/>
      <c r="I2403" s="161"/>
    </row>
    <row r="2404" spans="1:9" ht="15" customHeight="1" x14ac:dyDescent="0.25">
      <c r="A2404" s="163" t="s">
        <v>1662</v>
      </c>
      <c r="B2404" s="120" t="s">
        <v>1663</v>
      </c>
      <c r="C2404" s="227">
        <v>0.5</v>
      </c>
      <c r="D2404" s="227">
        <v>0.7</v>
      </c>
      <c r="E2404" s="227">
        <v>410</v>
      </c>
      <c r="F2404" s="228">
        <f>ROUND(C2404*D2404*E2404*1.1*0.85,2)</f>
        <v>134.16999999999999</v>
      </c>
      <c r="G2404" s="162"/>
      <c r="H2404" s="162"/>
      <c r="I2404" s="161"/>
    </row>
    <row r="2405" spans="1:9" ht="9.9499999999999993" customHeight="1" x14ac:dyDescent="0.25">
      <c r="A2405" s="164"/>
      <c r="B2405" s="121"/>
      <c r="C2405" s="122"/>
      <c r="D2405" s="122"/>
      <c r="E2405" s="122"/>
      <c r="F2405" s="123">
        <f>ROUND(SUM(F2404:F2404),2)</f>
        <v>134.16999999999999</v>
      </c>
      <c r="G2405" s="162"/>
      <c r="H2405" s="162"/>
      <c r="I2405" s="161"/>
    </row>
    <row r="2406" spans="1:9" ht="12" customHeight="1" x14ac:dyDescent="0.25">
      <c r="A2406" s="452"/>
      <c r="B2406" s="453"/>
      <c r="C2406" s="453"/>
      <c r="D2406" s="162"/>
      <c r="E2406" s="162"/>
      <c r="F2406" s="162"/>
      <c r="G2406" s="162"/>
      <c r="H2406" s="162"/>
      <c r="I2406" s="161"/>
    </row>
    <row r="2407" spans="1:9" ht="9.9499999999999993" customHeight="1" x14ac:dyDescent="0.25">
      <c r="A2407" s="165"/>
      <c r="B2407" s="162"/>
      <c r="C2407" s="162"/>
      <c r="D2407" s="458" t="str">
        <f>"TOTAL DA MEMÓRIA DE CÁLCULO: "&amp;TEXT(ROUND(SUM(F2405),2),"0,00")</f>
        <v>TOTAL DA MEMÓRIA DE CÁLCULO: 134,17</v>
      </c>
      <c r="E2407" s="458"/>
      <c r="F2407" s="458"/>
      <c r="G2407" s="458"/>
      <c r="H2407" s="458"/>
      <c r="I2407" s="161"/>
    </row>
    <row r="2408" spans="1:9" ht="42.95" customHeight="1" x14ac:dyDescent="0.25">
      <c r="A2408" s="452"/>
      <c r="B2408" s="453"/>
      <c r="C2408" s="453"/>
      <c r="D2408" s="453"/>
      <c r="E2408" s="162"/>
      <c r="F2408" s="162"/>
      <c r="G2408" s="162"/>
      <c r="H2408" s="162"/>
      <c r="I2408" s="161"/>
    </row>
    <row r="2409" spans="1:9" ht="15" customHeight="1" x14ac:dyDescent="0.25">
      <c r="A2409" s="456" t="s">
        <v>1664</v>
      </c>
      <c r="B2409" s="457"/>
      <c r="C2409" s="457"/>
      <c r="D2409" s="457"/>
      <c r="E2409" s="457"/>
      <c r="F2409" s="457"/>
      <c r="G2409" s="457"/>
      <c r="H2409" s="457"/>
      <c r="I2409" s="161"/>
    </row>
    <row r="2410" spans="1:9" ht="12.95" customHeight="1" x14ac:dyDescent="0.25">
      <c r="A2410" s="450"/>
      <c r="B2410" s="451"/>
      <c r="C2410" s="119" t="s">
        <v>1006</v>
      </c>
      <c r="D2410" s="119" t="s">
        <v>1024</v>
      </c>
      <c r="E2410" s="119" t="s">
        <v>1059</v>
      </c>
      <c r="F2410" s="119" t="s">
        <v>984</v>
      </c>
      <c r="G2410" s="162"/>
      <c r="H2410" s="162"/>
      <c r="I2410" s="161"/>
    </row>
    <row r="2411" spans="1:9" ht="6" customHeight="1" x14ac:dyDescent="0.25">
      <c r="A2411" s="163" t="s">
        <v>1659</v>
      </c>
      <c r="B2411" s="120" t="s">
        <v>1660</v>
      </c>
      <c r="C2411" s="459">
        <v>0.5</v>
      </c>
      <c r="D2411" s="459">
        <v>0.1</v>
      </c>
      <c r="E2411" s="459">
        <v>410</v>
      </c>
      <c r="F2411" s="460">
        <f>ROUND(C2411*D2411*E2411*1.1,2)</f>
        <v>22.55</v>
      </c>
      <c r="G2411" s="162"/>
      <c r="H2411" s="162"/>
      <c r="I2411" s="161"/>
    </row>
    <row r="2412" spans="1:9" ht="15" customHeight="1" x14ac:dyDescent="0.25">
      <c r="A2412" s="166"/>
      <c r="B2412" s="124"/>
      <c r="C2412" s="459"/>
      <c r="D2412" s="459"/>
      <c r="E2412" s="459"/>
      <c r="F2412" s="460"/>
      <c r="G2412" s="162"/>
      <c r="H2412" s="162"/>
      <c r="I2412" s="161"/>
    </row>
    <row r="2413" spans="1:9" ht="9.9499999999999993" customHeight="1" x14ac:dyDescent="0.25">
      <c r="A2413" s="164"/>
      <c r="B2413" s="121"/>
      <c r="C2413" s="122"/>
      <c r="D2413" s="122"/>
      <c r="E2413" s="122"/>
      <c r="F2413" s="123">
        <f>ROUND(SUM(F2411:F2412),2)</f>
        <v>22.55</v>
      </c>
      <c r="G2413" s="162"/>
      <c r="H2413" s="162"/>
      <c r="I2413" s="161"/>
    </row>
    <row r="2414" spans="1:9" ht="12" customHeight="1" x14ac:dyDescent="0.25">
      <c r="A2414" s="452"/>
      <c r="B2414" s="453"/>
      <c r="C2414" s="453"/>
      <c r="D2414" s="162"/>
      <c r="E2414" s="162"/>
      <c r="F2414" s="162"/>
      <c r="G2414" s="162"/>
      <c r="H2414" s="162"/>
      <c r="I2414" s="161"/>
    </row>
    <row r="2415" spans="1:9" ht="9.9499999999999993" customHeight="1" x14ac:dyDescent="0.25">
      <c r="A2415" s="165"/>
      <c r="B2415" s="162"/>
      <c r="C2415" s="162"/>
      <c r="D2415" s="458" t="str">
        <f>"TOTAL DA MEMÓRIA DE CÁLCULO: "&amp;TEXT(ROUND(SUM(F2413),2),"0,00")</f>
        <v>TOTAL DA MEMÓRIA DE CÁLCULO: 22,55</v>
      </c>
      <c r="E2415" s="458"/>
      <c r="F2415" s="458"/>
      <c r="G2415" s="458"/>
      <c r="H2415" s="458"/>
      <c r="I2415" s="161"/>
    </row>
    <row r="2416" spans="1:9" ht="20.100000000000001" customHeight="1" x14ac:dyDescent="0.25">
      <c r="A2416" s="452"/>
      <c r="B2416" s="453"/>
      <c r="C2416" s="453"/>
      <c r="D2416" s="453"/>
      <c r="E2416" s="162"/>
      <c r="F2416" s="162"/>
      <c r="G2416" s="162"/>
      <c r="H2416" s="162"/>
      <c r="I2416" s="161"/>
    </row>
    <row r="2417" spans="1:9" ht="9.9499999999999993" customHeight="1" x14ac:dyDescent="0.25">
      <c r="A2417" s="456" t="s">
        <v>4414</v>
      </c>
      <c r="B2417" s="457"/>
      <c r="C2417" s="457"/>
      <c r="D2417" s="457"/>
      <c r="E2417" s="457"/>
      <c r="F2417" s="457"/>
      <c r="G2417" s="457"/>
      <c r="H2417" s="457"/>
      <c r="I2417" s="161"/>
    </row>
    <row r="2418" spans="1:9" ht="20.100000000000001" customHeight="1" x14ac:dyDescent="0.25">
      <c r="A2418" s="452"/>
      <c r="B2418" s="453"/>
      <c r="C2418" s="453"/>
      <c r="D2418" s="162"/>
      <c r="E2418" s="162"/>
      <c r="F2418" s="162"/>
      <c r="G2418" s="162"/>
      <c r="H2418" s="162"/>
      <c r="I2418" s="161"/>
    </row>
    <row r="2419" spans="1:9" ht="15" customHeight="1" x14ac:dyDescent="0.25">
      <c r="A2419" s="299" t="s">
        <v>4356</v>
      </c>
      <c r="B2419" s="299" t="s">
        <v>951</v>
      </c>
      <c r="C2419" s="300"/>
      <c r="D2419" s="300"/>
      <c r="E2419" s="300"/>
      <c r="F2419" s="300"/>
      <c r="G2419" s="300"/>
      <c r="H2419" s="300"/>
      <c r="I2419" s="161"/>
    </row>
    <row r="2420" spans="1:9" ht="12.95" customHeight="1" x14ac:dyDescent="0.25">
      <c r="A2420" s="450"/>
      <c r="B2420" s="451"/>
      <c r="C2420" s="119" t="s">
        <v>251</v>
      </c>
      <c r="D2420" s="119" t="s">
        <v>984</v>
      </c>
      <c r="E2420" s="162"/>
      <c r="F2420" s="162"/>
      <c r="G2420" s="162"/>
      <c r="H2420" s="162"/>
      <c r="I2420" s="161"/>
    </row>
    <row r="2421" spans="1:9" x14ac:dyDescent="0.25">
      <c r="A2421" s="163"/>
      <c r="B2421" s="120"/>
      <c r="C2421" s="227">
        <v>6</v>
      </c>
      <c r="D2421" s="228">
        <v>6</v>
      </c>
      <c r="E2421" s="162"/>
      <c r="F2421" s="162"/>
      <c r="G2421" s="162"/>
      <c r="H2421" s="162"/>
      <c r="I2421" s="161"/>
    </row>
    <row r="2422" spans="1:9" ht="9.9499999999999993" customHeight="1" x14ac:dyDescent="0.25">
      <c r="A2422" s="164"/>
      <c r="B2422" s="121"/>
      <c r="C2422" s="122"/>
      <c r="D2422" s="123">
        <v>6</v>
      </c>
      <c r="E2422" s="162"/>
      <c r="F2422" s="162"/>
      <c r="G2422" s="162"/>
      <c r="H2422" s="162"/>
      <c r="I2422" s="161"/>
    </row>
    <row r="2423" spans="1:9" ht="20.100000000000001" customHeight="1" x14ac:dyDescent="0.25">
      <c r="A2423" s="452"/>
      <c r="B2423" s="453"/>
      <c r="C2423" s="453"/>
      <c r="D2423" s="453"/>
      <c r="E2423" s="162"/>
      <c r="F2423" s="162"/>
      <c r="G2423" s="162"/>
      <c r="H2423" s="162"/>
      <c r="I2423" s="161"/>
    </row>
    <row r="2424" spans="1:9" ht="20.100000000000001" customHeight="1" x14ac:dyDescent="0.25">
      <c r="A2424" s="452"/>
      <c r="B2424" s="453"/>
      <c r="C2424" s="453"/>
      <c r="D2424" s="162"/>
      <c r="E2424" s="162"/>
      <c r="F2424" s="162"/>
      <c r="G2424" s="162"/>
      <c r="H2424" s="162"/>
      <c r="I2424" s="161"/>
    </row>
    <row r="2425" spans="1:9" ht="15" customHeight="1" x14ac:dyDescent="0.25">
      <c r="A2425" s="299" t="s">
        <v>4357</v>
      </c>
      <c r="B2425" s="454" t="s">
        <v>954</v>
      </c>
      <c r="C2425" s="455"/>
      <c r="D2425" s="455"/>
      <c r="E2425" s="300"/>
      <c r="F2425" s="300"/>
      <c r="G2425" s="300"/>
      <c r="H2425" s="300"/>
      <c r="I2425" s="161"/>
    </row>
    <row r="2426" spans="1:9" ht="12.95" customHeight="1" x14ac:dyDescent="0.25">
      <c r="A2426" s="450"/>
      <c r="B2426" s="451"/>
      <c r="C2426" s="119" t="s">
        <v>72</v>
      </c>
      <c r="D2426" s="119" t="s">
        <v>984</v>
      </c>
      <c r="E2426" s="162"/>
      <c r="F2426" s="162"/>
      <c r="G2426" s="162"/>
      <c r="H2426" s="162"/>
      <c r="I2426" s="161"/>
    </row>
    <row r="2427" spans="1:9" x14ac:dyDescent="0.25">
      <c r="A2427" s="163"/>
      <c r="B2427" s="120"/>
      <c r="C2427" s="227">
        <v>140</v>
      </c>
      <c r="D2427" s="228">
        <v>140</v>
      </c>
      <c r="E2427" s="162"/>
      <c r="F2427" s="162"/>
      <c r="G2427" s="162"/>
      <c r="H2427" s="162"/>
      <c r="I2427" s="161"/>
    </row>
    <row r="2428" spans="1:9" ht="9.9499999999999993" customHeight="1" x14ac:dyDescent="0.25">
      <c r="A2428" s="164"/>
      <c r="B2428" s="121"/>
      <c r="C2428" s="122"/>
      <c r="D2428" s="123">
        <v>140</v>
      </c>
      <c r="E2428" s="162"/>
      <c r="F2428" s="162"/>
      <c r="G2428" s="162"/>
      <c r="H2428" s="162"/>
      <c r="I2428" s="161"/>
    </row>
    <row r="2429" spans="1:9" ht="20.100000000000001" customHeight="1" x14ac:dyDescent="0.25">
      <c r="A2429" s="452"/>
      <c r="B2429" s="453"/>
      <c r="C2429" s="453"/>
      <c r="D2429" s="453"/>
      <c r="E2429" s="162"/>
      <c r="F2429" s="162"/>
      <c r="G2429" s="162"/>
      <c r="H2429" s="162"/>
      <c r="I2429" s="161"/>
    </row>
    <row r="2430" spans="1:9" ht="20.100000000000001" customHeight="1" x14ac:dyDescent="0.25">
      <c r="A2430" s="452"/>
      <c r="B2430" s="453"/>
      <c r="C2430" s="453"/>
      <c r="D2430" s="162"/>
      <c r="E2430" s="162"/>
      <c r="F2430" s="162"/>
      <c r="G2430" s="162"/>
      <c r="H2430" s="162"/>
      <c r="I2430" s="161"/>
    </row>
    <row r="2431" spans="1:9" ht="15" customHeight="1" x14ac:dyDescent="0.25">
      <c r="A2431" s="299" t="s">
        <v>4358</v>
      </c>
      <c r="B2431" s="454" t="s">
        <v>866</v>
      </c>
      <c r="C2431" s="455"/>
      <c r="D2431" s="455"/>
      <c r="E2431" s="300"/>
      <c r="F2431" s="300"/>
      <c r="G2431" s="300"/>
      <c r="H2431" s="300"/>
      <c r="I2431" s="161"/>
    </row>
    <row r="2432" spans="1:9" ht="12.95" customHeight="1" x14ac:dyDescent="0.25">
      <c r="A2432" s="450"/>
      <c r="B2432" s="451"/>
      <c r="C2432" s="119" t="s">
        <v>72</v>
      </c>
      <c r="D2432" s="119" t="s">
        <v>984</v>
      </c>
      <c r="E2432" s="162"/>
      <c r="F2432" s="162"/>
      <c r="G2432" s="162"/>
      <c r="H2432" s="162"/>
      <c r="I2432" s="161"/>
    </row>
    <row r="2433" spans="1:9" x14ac:dyDescent="0.25">
      <c r="A2433" s="163"/>
      <c r="B2433" s="120"/>
      <c r="C2433" s="227">
        <v>400</v>
      </c>
      <c r="D2433" s="228">
        <v>400</v>
      </c>
      <c r="E2433" s="162"/>
      <c r="F2433" s="162"/>
      <c r="G2433" s="162"/>
      <c r="H2433" s="162"/>
      <c r="I2433" s="161"/>
    </row>
    <row r="2434" spans="1:9" ht="9.9499999999999993" customHeight="1" x14ac:dyDescent="0.25">
      <c r="A2434" s="164"/>
      <c r="B2434" s="121"/>
      <c r="C2434" s="122"/>
      <c r="D2434" s="123">
        <v>400</v>
      </c>
      <c r="E2434" s="162"/>
      <c r="F2434" s="162"/>
      <c r="G2434" s="162"/>
      <c r="H2434" s="162"/>
      <c r="I2434" s="161"/>
    </row>
    <row r="2435" spans="1:9" ht="20.100000000000001" customHeight="1" x14ac:dyDescent="0.25">
      <c r="A2435" s="452"/>
      <c r="B2435" s="453"/>
      <c r="C2435" s="453"/>
      <c r="D2435" s="453"/>
      <c r="E2435" s="162"/>
      <c r="F2435" s="162"/>
      <c r="G2435" s="162"/>
      <c r="H2435" s="162"/>
      <c r="I2435" s="161"/>
    </row>
    <row r="2436" spans="1:9" ht="20.100000000000001" customHeight="1" x14ac:dyDescent="0.25">
      <c r="A2436" s="452"/>
      <c r="B2436" s="453"/>
      <c r="C2436" s="453"/>
      <c r="D2436" s="162"/>
      <c r="E2436" s="162"/>
      <c r="F2436" s="162"/>
      <c r="G2436" s="162"/>
      <c r="H2436" s="162"/>
      <c r="I2436" s="161"/>
    </row>
    <row r="2437" spans="1:9" ht="15" customHeight="1" x14ac:dyDescent="0.25">
      <c r="A2437" s="299" t="s">
        <v>4359</v>
      </c>
      <c r="B2437" s="454" t="s">
        <v>859</v>
      </c>
      <c r="C2437" s="455"/>
      <c r="D2437" s="455"/>
      <c r="E2437" s="300"/>
      <c r="F2437" s="300"/>
      <c r="G2437" s="300"/>
      <c r="H2437" s="300"/>
      <c r="I2437" s="161"/>
    </row>
    <row r="2438" spans="1:9" ht="12.95" customHeight="1" x14ac:dyDescent="0.25">
      <c r="A2438" s="450"/>
      <c r="B2438" s="451"/>
      <c r="C2438" s="119" t="s">
        <v>68</v>
      </c>
      <c r="D2438" s="119" t="s">
        <v>984</v>
      </c>
      <c r="E2438" s="162"/>
      <c r="F2438" s="162"/>
      <c r="G2438" s="162"/>
      <c r="H2438" s="162"/>
      <c r="I2438" s="161"/>
    </row>
    <row r="2439" spans="1:9" x14ac:dyDescent="0.25">
      <c r="A2439" s="163"/>
      <c r="B2439" s="120"/>
      <c r="C2439" s="227">
        <v>11</v>
      </c>
      <c r="D2439" s="228">
        <v>11</v>
      </c>
      <c r="E2439" s="162"/>
      <c r="F2439" s="162"/>
      <c r="G2439" s="162"/>
      <c r="H2439" s="162"/>
      <c r="I2439" s="161"/>
    </row>
    <row r="2440" spans="1:9" ht="9.9499999999999993" customHeight="1" x14ac:dyDescent="0.25">
      <c r="A2440" s="164"/>
      <c r="B2440" s="121"/>
      <c r="C2440" s="122"/>
      <c r="D2440" s="123">
        <v>11</v>
      </c>
      <c r="E2440" s="162"/>
      <c r="F2440" s="162"/>
      <c r="G2440" s="162"/>
      <c r="H2440" s="162"/>
      <c r="I2440" s="161"/>
    </row>
    <row r="2441" spans="1:9" ht="20.100000000000001" customHeight="1" x14ac:dyDescent="0.25">
      <c r="A2441" s="452"/>
      <c r="B2441" s="453"/>
      <c r="C2441" s="453"/>
      <c r="D2441" s="453"/>
      <c r="E2441" s="162"/>
      <c r="F2441" s="162"/>
      <c r="G2441" s="162"/>
      <c r="H2441" s="162"/>
      <c r="I2441" s="161"/>
    </row>
    <row r="2442" spans="1:9" ht="20.100000000000001" customHeight="1" x14ac:dyDescent="0.25">
      <c r="A2442" s="452"/>
      <c r="B2442" s="453"/>
      <c r="C2442" s="453"/>
      <c r="D2442" s="162"/>
      <c r="E2442" s="162"/>
      <c r="F2442" s="162"/>
      <c r="G2442" s="162"/>
      <c r="H2442" s="162"/>
      <c r="I2442" s="161"/>
    </row>
    <row r="2443" spans="1:9" ht="15" customHeight="1" x14ac:dyDescent="0.25">
      <c r="A2443" s="299" t="s">
        <v>4360</v>
      </c>
      <c r="B2443" s="454" t="s">
        <v>904</v>
      </c>
      <c r="C2443" s="455"/>
      <c r="D2443" s="455"/>
      <c r="E2443" s="300"/>
      <c r="F2443" s="300"/>
      <c r="G2443" s="300"/>
      <c r="H2443" s="300"/>
      <c r="I2443" s="161"/>
    </row>
    <row r="2444" spans="1:9" ht="12.95" customHeight="1" x14ac:dyDescent="0.25">
      <c r="A2444" s="450"/>
      <c r="B2444" s="451"/>
      <c r="C2444" s="119" t="s">
        <v>188</v>
      </c>
      <c r="D2444" s="119" t="s">
        <v>984</v>
      </c>
      <c r="E2444" s="162"/>
      <c r="F2444" s="162"/>
      <c r="G2444" s="162"/>
      <c r="H2444" s="162"/>
      <c r="I2444" s="161"/>
    </row>
    <row r="2445" spans="1:9" x14ac:dyDescent="0.25">
      <c r="A2445" s="163"/>
      <c r="B2445" s="120"/>
      <c r="C2445" s="227">
        <v>209</v>
      </c>
      <c r="D2445" s="228">
        <v>209</v>
      </c>
      <c r="E2445" s="162"/>
      <c r="F2445" s="162"/>
      <c r="G2445" s="162"/>
      <c r="H2445" s="162"/>
      <c r="I2445" s="161"/>
    </row>
    <row r="2446" spans="1:9" ht="9.9499999999999993" customHeight="1" x14ac:dyDescent="0.25">
      <c r="A2446" s="164"/>
      <c r="B2446" s="121"/>
      <c r="C2446" s="122"/>
      <c r="D2446" s="123">
        <v>209</v>
      </c>
      <c r="E2446" s="162"/>
      <c r="F2446" s="162"/>
      <c r="G2446" s="162"/>
      <c r="H2446" s="162"/>
      <c r="I2446" s="161"/>
    </row>
    <row r="2447" spans="1:9" ht="20.100000000000001" customHeight="1" x14ac:dyDescent="0.25">
      <c r="A2447" s="452"/>
      <c r="B2447" s="453"/>
      <c r="C2447" s="453"/>
      <c r="D2447" s="453"/>
      <c r="E2447" s="162"/>
      <c r="F2447" s="162"/>
      <c r="G2447" s="162"/>
      <c r="H2447" s="162"/>
      <c r="I2447" s="161"/>
    </row>
    <row r="2448" spans="1:9" ht="20.100000000000001" customHeight="1" x14ac:dyDescent="0.25">
      <c r="A2448" s="452"/>
      <c r="B2448" s="453"/>
      <c r="C2448" s="453"/>
      <c r="D2448" s="162"/>
      <c r="E2448" s="162"/>
      <c r="F2448" s="162"/>
      <c r="G2448" s="162"/>
      <c r="H2448" s="162"/>
      <c r="I2448" s="161"/>
    </row>
    <row r="2449" spans="1:9" ht="15" customHeight="1" x14ac:dyDescent="0.25">
      <c r="A2449" s="299" t="s">
        <v>4361</v>
      </c>
      <c r="B2449" s="454" t="s">
        <v>907</v>
      </c>
      <c r="C2449" s="455"/>
      <c r="D2449" s="455"/>
      <c r="E2449" s="300"/>
      <c r="F2449" s="300"/>
      <c r="G2449" s="300"/>
      <c r="H2449" s="300"/>
      <c r="I2449" s="161"/>
    </row>
    <row r="2450" spans="1:9" ht="12.95" customHeight="1" x14ac:dyDescent="0.25">
      <c r="A2450" s="450"/>
      <c r="B2450" s="451"/>
      <c r="C2450" s="119" t="s">
        <v>188</v>
      </c>
      <c r="D2450" s="119" t="s">
        <v>984</v>
      </c>
      <c r="E2450" s="162"/>
      <c r="F2450" s="162"/>
      <c r="G2450" s="162"/>
      <c r="H2450" s="162"/>
      <c r="I2450" s="161"/>
    </row>
    <row r="2451" spans="1:9" x14ac:dyDescent="0.25">
      <c r="A2451" s="163"/>
      <c r="B2451" s="120"/>
      <c r="C2451" s="227">
        <v>304</v>
      </c>
      <c r="D2451" s="228">
        <v>304</v>
      </c>
      <c r="E2451" s="162"/>
      <c r="F2451" s="162"/>
      <c r="G2451" s="162"/>
      <c r="H2451" s="162"/>
      <c r="I2451" s="161"/>
    </row>
    <row r="2452" spans="1:9" ht="9.9499999999999993" customHeight="1" x14ac:dyDescent="0.25">
      <c r="A2452" s="164"/>
      <c r="B2452" s="121"/>
      <c r="C2452" s="122"/>
      <c r="D2452" s="123">
        <v>304</v>
      </c>
      <c r="E2452" s="162"/>
      <c r="F2452" s="162"/>
      <c r="G2452" s="162"/>
      <c r="H2452" s="162"/>
      <c r="I2452" s="161"/>
    </row>
    <row r="2453" spans="1:9" ht="20.100000000000001" customHeight="1" x14ac:dyDescent="0.25">
      <c r="A2453" s="452"/>
      <c r="B2453" s="453"/>
      <c r="C2453" s="453"/>
      <c r="D2453" s="453"/>
      <c r="E2453" s="162"/>
      <c r="F2453" s="162"/>
      <c r="G2453" s="162"/>
      <c r="H2453" s="162"/>
      <c r="I2453" s="161"/>
    </row>
    <row r="2454" spans="1:9" ht="20.100000000000001" customHeight="1" x14ac:dyDescent="0.25">
      <c r="A2454" s="452"/>
      <c r="B2454" s="453"/>
      <c r="C2454" s="453"/>
      <c r="D2454" s="162"/>
      <c r="E2454" s="162"/>
      <c r="F2454" s="162"/>
      <c r="G2454" s="162"/>
      <c r="H2454" s="162"/>
      <c r="I2454" s="161"/>
    </row>
    <row r="2455" spans="1:9" ht="15" customHeight="1" x14ac:dyDescent="0.25">
      <c r="A2455" s="299" t="s">
        <v>4362</v>
      </c>
      <c r="B2455" s="454" t="s">
        <v>910</v>
      </c>
      <c r="C2455" s="455"/>
      <c r="D2455" s="455"/>
      <c r="E2455" s="300"/>
      <c r="F2455" s="300"/>
      <c r="G2455" s="300"/>
      <c r="H2455" s="300"/>
      <c r="I2455" s="161"/>
    </row>
    <row r="2456" spans="1:9" ht="12.95" customHeight="1" x14ac:dyDescent="0.25">
      <c r="A2456" s="450"/>
      <c r="B2456" s="451"/>
      <c r="C2456" s="119" t="s">
        <v>251</v>
      </c>
      <c r="D2456" s="119" t="s">
        <v>984</v>
      </c>
      <c r="E2456" s="162"/>
      <c r="F2456" s="162"/>
      <c r="G2456" s="162"/>
      <c r="H2456" s="162"/>
      <c r="I2456" s="161"/>
    </row>
    <row r="2457" spans="1:9" x14ac:dyDescent="0.25">
      <c r="A2457" s="163"/>
      <c r="B2457" s="120"/>
      <c r="C2457" s="227">
        <v>5</v>
      </c>
      <c r="D2457" s="228">
        <v>5</v>
      </c>
      <c r="E2457" s="162"/>
      <c r="F2457" s="162"/>
      <c r="G2457" s="162"/>
      <c r="H2457" s="162"/>
      <c r="I2457" s="161"/>
    </row>
    <row r="2458" spans="1:9" ht="9.9499999999999993" customHeight="1" x14ac:dyDescent="0.25">
      <c r="A2458" s="164"/>
      <c r="B2458" s="121"/>
      <c r="C2458" s="122"/>
      <c r="D2458" s="123">
        <v>5</v>
      </c>
      <c r="E2458" s="162"/>
      <c r="F2458" s="162"/>
      <c r="G2458" s="162"/>
      <c r="H2458" s="162"/>
      <c r="I2458" s="161"/>
    </row>
    <row r="2459" spans="1:9" ht="20.100000000000001" customHeight="1" x14ac:dyDescent="0.25">
      <c r="A2459" s="452"/>
      <c r="B2459" s="453"/>
      <c r="C2459" s="453"/>
      <c r="D2459" s="453"/>
      <c r="E2459" s="162"/>
      <c r="F2459" s="162"/>
      <c r="G2459" s="162"/>
      <c r="H2459" s="162"/>
      <c r="I2459" s="161"/>
    </row>
    <row r="2460" spans="1:9" ht="20.100000000000001" customHeight="1" x14ac:dyDescent="0.25">
      <c r="A2460" s="452"/>
      <c r="B2460" s="453"/>
      <c r="C2460" s="453"/>
      <c r="D2460" s="162"/>
      <c r="E2460" s="162"/>
      <c r="F2460" s="162"/>
      <c r="G2460" s="162"/>
      <c r="H2460" s="162"/>
      <c r="I2460" s="161"/>
    </row>
    <row r="2461" spans="1:9" ht="15" customHeight="1" x14ac:dyDescent="0.25">
      <c r="A2461" s="299" t="s">
        <v>4363</v>
      </c>
      <c r="B2461" s="299" t="s">
        <v>913</v>
      </c>
      <c r="C2461" s="300"/>
      <c r="D2461" s="300"/>
      <c r="E2461" s="300"/>
      <c r="F2461" s="300"/>
      <c r="G2461" s="300"/>
      <c r="H2461" s="300"/>
      <c r="I2461" s="161"/>
    </row>
    <row r="2462" spans="1:9" ht="12.95" customHeight="1" x14ac:dyDescent="0.25">
      <c r="A2462" s="450"/>
      <c r="B2462" s="451"/>
      <c r="C2462" s="119" t="s">
        <v>251</v>
      </c>
      <c r="D2462" s="119" t="s">
        <v>984</v>
      </c>
      <c r="E2462" s="162"/>
      <c r="F2462" s="162"/>
      <c r="G2462" s="162"/>
      <c r="H2462" s="162"/>
      <c r="I2462" s="161"/>
    </row>
    <row r="2463" spans="1:9" x14ac:dyDescent="0.25">
      <c r="A2463" s="163"/>
      <c r="B2463" s="120"/>
      <c r="C2463" s="227">
        <v>10</v>
      </c>
      <c r="D2463" s="228">
        <v>10</v>
      </c>
      <c r="E2463" s="162"/>
      <c r="F2463" s="162"/>
      <c r="G2463" s="162"/>
      <c r="H2463" s="162"/>
      <c r="I2463" s="161"/>
    </row>
    <row r="2464" spans="1:9" ht="9.9499999999999993" customHeight="1" x14ac:dyDescent="0.25">
      <c r="A2464" s="164"/>
      <c r="B2464" s="121"/>
      <c r="C2464" s="122"/>
      <c r="D2464" s="123">
        <v>10</v>
      </c>
      <c r="E2464" s="162"/>
      <c r="F2464" s="162"/>
      <c r="G2464" s="162"/>
      <c r="H2464" s="162"/>
      <c r="I2464" s="161"/>
    </row>
    <row r="2465" spans="1:9" ht="20.100000000000001" customHeight="1" x14ac:dyDescent="0.25">
      <c r="A2465" s="452"/>
      <c r="B2465" s="453"/>
      <c r="C2465" s="453"/>
      <c r="D2465" s="453"/>
      <c r="E2465" s="162"/>
      <c r="F2465" s="162"/>
      <c r="G2465" s="162"/>
      <c r="H2465" s="162"/>
      <c r="I2465" s="161"/>
    </row>
    <row r="2466" spans="1:9" ht="20.100000000000001" customHeight="1" x14ac:dyDescent="0.25">
      <c r="A2466" s="452"/>
      <c r="B2466" s="453"/>
      <c r="C2466" s="453"/>
      <c r="D2466" s="162"/>
      <c r="E2466" s="162"/>
      <c r="F2466" s="162"/>
      <c r="G2466" s="162"/>
      <c r="H2466" s="162"/>
      <c r="I2466" s="161"/>
    </row>
    <row r="2467" spans="1:9" ht="15" customHeight="1" x14ac:dyDescent="0.25">
      <c r="A2467" s="299" t="s">
        <v>4364</v>
      </c>
      <c r="B2467" s="454" t="s">
        <v>916</v>
      </c>
      <c r="C2467" s="455"/>
      <c r="D2467" s="455"/>
      <c r="E2467" s="300"/>
      <c r="F2467" s="300"/>
      <c r="G2467" s="300"/>
      <c r="H2467" s="300"/>
      <c r="I2467" s="161"/>
    </row>
    <row r="2468" spans="1:9" ht="12.95" customHeight="1" x14ac:dyDescent="0.25">
      <c r="A2468" s="450"/>
      <c r="B2468" s="451"/>
      <c r="C2468" s="119" t="s">
        <v>251</v>
      </c>
      <c r="D2468" s="119" t="s">
        <v>984</v>
      </c>
      <c r="E2468" s="162"/>
      <c r="F2468" s="162"/>
      <c r="G2468" s="162"/>
      <c r="H2468" s="162"/>
      <c r="I2468" s="161"/>
    </row>
    <row r="2469" spans="1:9" x14ac:dyDescent="0.25">
      <c r="A2469" s="163"/>
      <c r="B2469" s="120"/>
      <c r="C2469" s="227">
        <v>20</v>
      </c>
      <c r="D2469" s="228">
        <v>20</v>
      </c>
      <c r="E2469" s="162"/>
      <c r="F2469" s="162"/>
      <c r="G2469" s="162"/>
      <c r="H2469" s="162"/>
      <c r="I2469" s="161"/>
    </row>
    <row r="2470" spans="1:9" ht="9.9499999999999993" customHeight="1" x14ac:dyDescent="0.25">
      <c r="A2470" s="164"/>
      <c r="B2470" s="121"/>
      <c r="C2470" s="122"/>
      <c r="D2470" s="123">
        <v>20</v>
      </c>
      <c r="E2470" s="162"/>
      <c r="F2470" s="162"/>
      <c r="G2470" s="162"/>
      <c r="H2470" s="162"/>
      <c r="I2470" s="161"/>
    </row>
    <row r="2471" spans="1:9" ht="20.100000000000001" customHeight="1" x14ac:dyDescent="0.25">
      <c r="A2471" s="452"/>
      <c r="B2471" s="453"/>
      <c r="C2471" s="453"/>
      <c r="D2471" s="453"/>
      <c r="E2471" s="162"/>
      <c r="F2471" s="162"/>
      <c r="G2471" s="162"/>
      <c r="H2471" s="162"/>
      <c r="I2471" s="161"/>
    </row>
    <row r="2472" spans="1:9" ht="20.100000000000001" customHeight="1" x14ac:dyDescent="0.25">
      <c r="A2472" s="452"/>
      <c r="B2472" s="453"/>
      <c r="C2472" s="453"/>
      <c r="D2472" s="162"/>
      <c r="E2472" s="162"/>
      <c r="F2472" s="162"/>
      <c r="G2472" s="162"/>
      <c r="H2472" s="162"/>
      <c r="I2472" s="161"/>
    </row>
    <row r="2473" spans="1:9" ht="15" customHeight="1" x14ac:dyDescent="0.25">
      <c r="A2473" s="299" t="s">
        <v>4365</v>
      </c>
      <c r="B2473" s="454" t="s">
        <v>587</v>
      </c>
      <c r="C2473" s="455"/>
      <c r="D2473" s="455"/>
      <c r="E2473" s="300"/>
      <c r="F2473" s="300"/>
      <c r="G2473" s="300"/>
      <c r="H2473" s="300"/>
      <c r="I2473" s="161"/>
    </row>
    <row r="2474" spans="1:9" ht="12.95" customHeight="1" x14ac:dyDescent="0.25">
      <c r="A2474" s="450"/>
      <c r="B2474" s="451"/>
      <c r="C2474" s="119" t="s">
        <v>251</v>
      </c>
      <c r="D2474" s="119" t="s">
        <v>984</v>
      </c>
      <c r="E2474" s="162"/>
      <c r="F2474" s="162"/>
      <c r="G2474" s="162"/>
      <c r="H2474" s="162"/>
      <c r="I2474" s="161"/>
    </row>
    <row r="2475" spans="1:9" x14ac:dyDescent="0.25">
      <c r="A2475" s="163"/>
      <c r="B2475" s="120"/>
      <c r="C2475" s="227">
        <v>10</v>
      </c>
      <c r="D2475" s="228">
        <v>10</v>
      </c>
      <c r="E2475" s="162"/>
      <c r="F2475" s="162"/>
      <c r="G2475" s="162"/>
      <c r="H2475" s="162"/>
      <c r="I2475" s="161"/>
    </row>
    <row r="2476" spans="1:9" ht="9.9499999999999993" customHeight="1" x14ac:dyDescent="0.25">
      <c r="A2476" s="164"/>
      <c r="B2476" s="121"/>
      <c r="C2476" s="122"/>
      <c r="D2476" s="123">
        <v>10</v>
      </c>
      <c r="E2476" s="162"/>
      <c r="F2476" s="162"/>
      <c r="G2476" s="162"/>
      <c r="H2476" s="162"/>
      <c r="I2476" s="161"/>
    </row>
    <row r="2477" spans="1:9" ht="20.100000000000001" customHeight="1" x14ac:dyDescent="0.25">
      <c r="A2477" s="452"/>
      <c r="B2477" s="453"/>
      <c r="C2477" s="453"/>
      <c r="D2477" s="453"/>
      <c r="E2477" s="162"/>
      <c r="F2477" s="162"/>
      <c r="G2477" s="162"/>
      <c r="H2477" s="162"/>
      <c r="I2477" s="161"/>
    </row>
    <row r="2478" spans="1:9" ht="20.100000000000001" customHeight="1" x14ac:dyDescent="0.25">
      <c r="A2478" s="452"/>
      <c r="B2478" s="453"/>
      <c r="C2478" s="453"/>
      <c r="D2478" s="162"/>
      <c r="E2478" s="162"/>
      <c r="F2478" s="162"/>
      <c r="G2478" s="162"/>
      <c r="H2478" s="162"/>
      <c r="I2478" s="161"/>
    </row>
    <row r="2479" spans="1:9" ht="15" customHeight="1" x14ac:dyDescent="0.25">
      <c r="A2479" s="299" t="s">
        <v>4366</v>
      </c>
      <c r="B2479" s="454" t="s">
        <v>921</v>
      </c>
      <c r="C2479" s="455"/>
      <c r="D2479" s="455"/>
      <c r="E2479" s="300"/>
      <c r="F2479" s="300"/>
      <c r="G2479" s="300"/>
      <c r="H2479" s="300"/>
      <c r="I2479" s="161"/>
    </row>
    <row r="2480" spans="1:9" ht="12.95" customHeight="1" x14ac:dyDescent="0.25">
      <c r="A2480" s="450"/>
      <c r="B2480" s="451"/>
      <c r="C2480" s="119" t="s">
        <v>68</v>
      </c>
      <c r="D2480" s="119" t="s">
        <v>984</v>
      </c>
      <c r="E2480" s="162"/>
      <c r="F2480" s="162"/>
      <c r="G2480" s="162"/>
      <c r="H2480" s="162"/>
      <c r="I2480" s="161"/>
    </row>
    <row r="2481" spans="1:9" x14ac:dyDescent="0.25">
      <c r="A2481" s="163"/>
      <c r="B2481" s="120"/>
      <c r="C2481" s="227">
        <v>3</v>
      </c>
      <c r="D2481" s="228">
        <v>3</v>
      </c>
      <c r="E2481" s="162"/>
      <c r="F2481" s="162"/>
      <c r="G2481" s="162"/>
      <c r="H2481" s="162"/>
      <c r="I2481" s="161"/>
    </row>
    <row r="2482" spans="1:9" ht="9.9499999999999993" customHeight="1" x14ac:dyDescent="0.25">
      <c r="A2482" s="164"/>
      <c r="B2482" s="121"/>
      <c r="C2482" s="122"/>
      <c r="D2482" s="123">
        <v>3</v>
      </c>
      <c r="E2482" s="162"/>
      <c r="F2482" s="162"/>
      <c r="G2482" s="162"/>
      <c r="H2482" s="162"/>
      <c r="I2482" s="161"/>
    </row>
    <row r="2483" spans="1:9" ht="20.100000000000001" customHeight="1" x14ac:dyDescent="0.25">
      <c r="A2483" s="452"/>
      <c r="B2483" s="453"/>
      <c r="C2483" s="453"/>
      <c r="D2483" s="453"/>
      <c r="E2483" s="162"/>
      <c r="F2483" s="162"/>
      <c r="G2483" s="162"/>
      <c r="H2483" s="162"/>
      <c r="I2483" s="161"/>
    </row>
    <row r="2484" spans="1:9" ht="20.100000000000001" customHeight="1" x14ac:dyDescent="0.25">
      <c r="A2484" s="452"/>
      <c r="B2484" s="453"/>
      <c r="C2484" s="453"/>
      <c r="D2484" s="162"/>
      <c r="E2484" s="162"/>
      <c r="F2484" s="162"/>
      <c r="G2484" s="162"/>
      <c r="H2484" s="162"/>
      <c r="I2484" s="161"/>
    </row>
    <row r="2485" spans="1:9" ht="15" customHeight="1" x14ac:dyDescent="0.25">
      <c r="A2485" s="299" t="s">
        <v>4367</v>
      </c>
      <c r="B2485" s="454" t="s">
        <v>924</v>
      </c>
      <c r="C2485" s="455"/>
      <c r="D2485" s="455"/>
      <c r="E2485" s="300"/>
      <c r="F2485" s="300"/>
      <c r="G2485" s="300"/>
      <c r="H2485" s="300"/>
      <c r="I2485" s="161"/>
    </row>
    <row r="2486" spans="1:9" ht="12.95" customHeight="1" x14ac:dyDescent="0.25">
      <c r="A2486" s="450"/>
      <c r="B2486" s="451"/>
      <c r="C2486" s="119" t="s">
        <v>68</v>
      </c>
      <c r="D2486" s="119" t="s">
        <v>984</v>
      </c>
      <c r="E2486" s="162"/>
      <c r="F2486" s="162"/>
      <c r="G2486" s="162"/>
      <c r="H2486" s="162"/>
      <c r="I2486" s="161"/>
    </row>
    <row r="2487" spans="1:9" x14ac:dyDescent="0.25">
      <c r="A2487" s="163"/>
      <c r="B2487" s="120"/>
      <c r="C2487" s="227">
        <v>2</v>
      </c>
      <c r="D2487" s="228">
        <v>2</v>
      </c>
      <c r="E2487" s="162"/>
      <c r="F2487" s="162"/>
      <c r="G2487" s="162"/>
      <c r="H2487" s="162"/>
      <c r="I2487" s="161"/>
    </row>
    <row r="2488" spans="1:9" ht="9.9499999999999993" customHeight="1" x14ac:dyDescent="0.25">
      <c r="A2488" s="164"/>
      <c r="B2488" s="121"/>
      <c r="C2488" s="122"/>
      <c r="D2488" s="123">
        <v>2</v>
      </c>
      <c r="E2488" s="162"/>
      <c r="F2488" s="162"/>
      <c r="G2488" s="162"/>
      <c r="H2488" s="162"/>
      <c r="I2488" s="161"/>
    </row>
    <row r="2489" spans="1:9" ht="20.100000000000001" customHeight="1" x14ac:dyDescent="0.25">
      <c r="A2489" s="452"/>
      <c r="B2489" s="453"/>
      <c r="C2489" s="453"/>
      <c r="D2489" s="453"/>
      <c r="E2489" s="162"/>
      <c r="F2489" s="162"/>
      <c r="G2489" s="162"/>
      <c r="H2489" s="162"/>
      <c r="I2489" s="161"/>
    </row>
    <row r="2490" spans="1:9" ht="20.100000000000001" customHeight="1" x14ac:dyDescent="0.25">
      <c r="A2490" s="452"/>
      <c r="B2490" s="453"/>
      <c r="C2490" s="453"/>
      <c r="D2490" s="162"/>
      <c r="E2490" s="162"/>
      <c r="F2490" s="162"/>
      <c r="G2490" s="162"/>
      <c r="H2490" s="162"/>
      <c r="I2490" s="161"/>
    </row>
    <row r="2491" spans="1:9" ht="15" customHeight="1" x14ac:dyDescent="0.25">
      <c r="A2491" s="299" t="s">
        <v>4368</v>
      </c>
      <c r="B2491" s="454" t="s">
        <v>927</v>
      </c>
      <c r="C2491" s="455"/>
      <c r="D2491" s="455"/>
      <c r="E2491" s="300"/>
      <c r="F2491" s="300"/>
      <c r="G2491" s="300"/>
      <c r="H2491" s="300"/>
      <c r="I2491" s="161"/>
    </row>
    <row r="2492" spans="1:9" ht="12.95" customHeight="1" x14ac:dyDescent="0.25">
      <c r="A2492" s="450"/>
      <c r="B2492" s="451"/>
      <c r="C2492" s="119" t="s">
        <v>68</v>
      </c>
      <c r="D2492" s="119" t="s">
        <v>984</v>
      </c>
      <c r="E2492" s="162"/>
      <c r="F2492" s="162"/>
      <c r="G2492" s="162"/>
      <c r="H2492" s="162"/>
      <c r="I2492" s="161"/>
    </row>
    <row r="2493" spans="1:9" x14ac:dyDescent="0.25">
      <c r="A2493" s="163"/>
      <c r="B2493" s="120"/>
      <c r="C2493" s="227">
        <v>13</v>
      </c>
      <c r="D2493" s="228">
        <v>13</v>
      </c>
      <c r="E2493" s="162"/>
      <c r="F2493" s="162"/>
      <c r="G2493" s="162"/>
      <c r="H2493" s="162"/>
      <c r="I2493" s="161"/>
    </row>
    <row r="2494" spans="1:9" ht="9.9499999999999993" customHeight="1" x14ac:dyDescent="0.25">
      <c r="A2494" s="164"/>
      <c r="B2494" s="121"/>
      <c r="C2494" s="122"/>
      <c r="D2494" s="123">
        <v>13</v>
      </c>
      <c r="E2494" s="162"/>
      <c r="F2494" s="162"/>
      <c r="G2494" s="162"/>
      <c r="H2494" s="162"/>
      <c r="I2494" s="161"/>
    </row>
    <row r="2495" spans="1:9" ht="20.100000000000001" customHeight="1" x14ac:dyDescent="0.25">
      <c r="A2495" s="452"/>
      <c r="B2495" s="453"/>
      <c r="C2495" s="453"/>
      <c r="D2495" s="453"/>
      <c r="E2495" s="162"/>
      <c r="F2495" s="162"/>
      <c r="G2495" s="162"/>
      <c r="H2495" s="162"/>
      <c r="I2495" s="161"/>
    </row>
    <row r="2496" spans="1:9" x14ac:dyDescent="0.25">
      <c r="A2496" s="452"/>
      <c r="B2496" s="453"/>
      <c r="C2496" s="453"/>
      <c r="D2496" s="162"/>
      <c r="E2496" s="162"/>
      <c r="F2496" s="162"/>
      <c r="G2496" s="162"/>
      <c r="H2496" s="162"/>
      <c r="I2496" s="161"/>
    </row>
    <row r="2497" spans="1:9" ht="15" customHeight="1" x14ac:dyDescent="0.25">
      <c r="A2497" s="299" t="s">
        <v>4369</v>
      </c>
      <c r="B2497" s="454" t="s">
        <v>930</v>
      </c>
      <c r="C2497" s="455"/>
      <c r="D2497" s="455"/>
      <c r="E2497" s="300"/>
      <c r="F2497" s="300"/>
      <c r="G2497" s="300"/>
      <c r="H2497" s="300"/>
      <c r="I2497" s="161"/>
    </row>
    <row r="2498" spans="1:9" ht="12.95" customHeight="1" x14ac:dyDescent="0.25">
      <c r="A2498" s="450"/>
      <c r="B2498" s="451"/>
      <c r="C2498" s="119" t="s">
        <v>251</v>
      </c>
      <c r="D2498" s="119" t="s">
        <v>984</v>
      </c>
      <c r="E2498" s="162"/>
      <c r="F2498" s="162"/>
      <c r="G2498" s="162"/>
      <c r="H2498" s="162"/>
      <c r="I2498" s="161"/>
    </row>
    <row r="2499" spans="1:9" x14ac:dyDescent="0.25">
      <c r="A2499" s="163"/>
      <c r="B2499" s="120"/>
      <c r="C2499" s="227">
        <v>13</v>
      </c>
      <c r="D2499" s="228">
        <v>13</v>
      </c>
      <c r="E2499" s="162"/>
      <c r="F2499" s="162"/>
      <c r="G2499" s="162"/>
      <c r="H2499" s="162"/>
      <c r="I2499" s="161"/>
    </row>
    <row r="2500" spans="1:9" ht="9.9499999999999993" customHeight="1" x14ac:dyDescent="0.25">
      <c r="A2500" s="164"/>
      <c r="B2500" s="121"/>
      <c r="C2500" s="122"/>
      <c r="D2500" s="123">
        <v>13</v>
      </c>
      <c r="E2500" s="162"/>
      <c r="F2500" s="162"/>
      <c r="G2500" s="162"/>
      <c r="H2500" s="162"/>
      <c r="I2500" s="161"/>
    </row>
    <row r="2501" spans="1:9" ht="20.100000000000001" customHeight="1" x14ac:dyDescent="0.25">
      <c r="A2501" s="452"/>
      <c r="B2501" s="453"/>
      <c r="C2501" s="453"/>
      <c r="D2501" s="453"/>
      <c r="E2501" s="162"/>
      <c r="F2501" s="162"/>
      <c r="G2501" s="162"/>
      <c r="H2501" s="162"/>
      <c r="I2501" s="161"/>
    </row>
    <row r="2502" spans="1:9" x14ac:dyDescent="0.25">
      <c r="A2502" s="452"/>
      <c r="B2502" s="453"/>
      <c r="C2502" s="453"/>
      <c r="D2502" s="162"/>
      <c r="E2502" s="162"/>
      <c r="F2502" s="162"/>
      <c r="G2502" s="162"/>
      <c r="H2502" s="162"/>
      <c r="I2502" s="161"/>
    </row>
    <row r="2503" spans="1:9" ht="15" customHeight="1" x14ac:dyDescent="0.25">
      <c r="A2503" s="299" t="s">
        <v>4370</v>
      </c>
      <c r="B2503" s="454" t="s">
        <v>933</v>
      </c>
      <c r="C2503" s="455"/>
      <c r="D2503" s="455"/>
      <c r="E2503" s="300"/>
      <c r="F2503" s="300"/>
      <c r="G2503" s="300"/>
      <c r="H2503" s="300"/>
      <c r="I2503" s="161"/>
    </row>
    <row r="2504" spans="1:9" ht="12.95" customHeight="1" x14ac:dyDescent="0.25">
      <c r="A2504" s="450"/>
      <c r="B2504" s="451"/>
      <c r="C2504" s="119" t="s">
        <v>251</v>
      </c>
      <c r="D2504" s="119" t="s">
        <v>984</v>
      </c>
      <c r="E2504" s="162"/>
      <c r="F2504" s="162"/>
      <c r="G2504" s="162"/>
      <c r="H2504" s="162"/>
      <c r="I2504" s="161"/>
    </row>
    <row r="2505" spans="1:9" x14ac:dyDescent="0.25">
      <c r="A2505" s="163"/>
      <c r="B2505" s="120"/>
      <c r="C2505" s="227">
        <v>304</v>
      </c>
      <c r="D2505" s="228">
        <v>304</v>
      </c>
      <c r="E2505" s="162"/>
      <c r="F2505" s="162"/>
      <c r="G2505" s="162"/>
      <c r="H2505" s="162"/>
      <c r="I2505" s="161"/>
    </row>
    <row r="2506" spans="1:9" ht="9.9499999999999993" customHeight="1" x14ac:dyDescent="0.25">
      <c r="A2506" s="164"/>
      <c r="B2506" s="121"/>
      <c r="C2506" s="122"/>
      <c r="D2506" s="123">
        <v>304</v>
      </c>
      <c r="E2506" s="162"/>
      <c r="F2506" s="162"/>
      <c r="G2506" s="162"/>
      <c r="H2506" s="162"/>
      <c r="I2506" s="161"/>
    </row>
    <row r="2507" spans="1:9" ht="20.100000000000001" customHeight="1" x14ac:dyDescent="0.25">
      <c r="A2507" s="452"/>
      <c r="B2507" s="453"/>
      <c r="C2507" s="453"/>
      <c r="D2507" s="453"/>
      <c r="E2507" s="162"/>
      <c r="F2507" s="162"/>
      <c r="G2507" s="162"/>
      <c r="H2507" s="162"/>
      <c r="I2507" s="161"/>
    </row>
    <row r="2508" spans="1:9" ht="9.9499999999999993" customHeight="1" x14ac:dyDescent="0.25">
      <c r="A2508" s="456" t="s">
        <v>1665</v>
      </c>
      <c r="B2508" s="457"/>
      <c r="C2508" s="457"/>
      <c r="D2508" s="457"/>
      <c r="E2508" s="457"/>
      <c r="F2508" s="457"/>
      <c r="G2508" s="457"/>
      <c r="H2508" s="457"/>
      <c r="I2508" s="161"/>
    </row>
    <row r="2509" spans="1:9" ht="30.95" customHeight="1" x14ac:dyDescent="0.25">
      <c r="A2509" s="452"/>
      <c r="B2509" s="453"/>
      <c r="C2509" s="453"/>
      <c r="D2509" s="162"/>
      <c r="E2509" s="162"/>
      <c r="F2509" s="162"/>
      <c r="G2509" s="162"/>
      <c r="H2509" s="162"/>
      <c r="I2509" s="161"/>
    </row>
    <row r="2510" spans="1:9" ht="15" customHeight="1" x14ac:dyDescent="0.25">
      <c r="A2510" s="456" t="s">
        <v>1666</v>
      </c>
      <c r="B2510" s="457"/>
      <c r="C2510" s="457"/>
      <c r="D2510" s="457"/>
      <c r="E2510" s="457"/>
      <c r="F2510" s="457"/>
      <c r="G2510" s="457"/>
      <c r="H2510" s="457"/>
      <c r="I2510" s="161"/>
    </row>
    <row r="2511" spans="1:9" ht="12.95" customHeight="1" x14ac:dyDescent="0.25">
      <c r="A2511" s="450"/>
      <c r="B2511" s="451"/>
      <c r="C2511" s="119"/>
      <c r="D2511" s="119" t="s">
        <v>984</v>
      </c>
      <c r="E2511" s="162"/>
      <c r="F2511" s="162"/>
      <c r="G2511" s="162"/>
      <c r="H2511" s="162"/>
      <c r="I2511" s="161"/>
    </row>
    <row r="2512" spans="1:9" ht="15" customHeight="1" x14ac:dyDescent="0.25">
      <c r="A2512" s="163"/>
      <c r="B2512" s="120" t="s">
        <v>2</v>
      </c>
      <c r="C2512" s="227">
        <v>2</v>
      </c>
      <c r="D2512" s="228">
        <f>ROUND(2,2)</f>
        <v>2</v>
      </c>
      <c r="E2512" s="162"/>
      <c r="F2512" s="162"/>
      <c r="G2512" s="162"/>
      <c r="H2512" s="162"/>
      <c r="I2512" s="161"/>
    </row>
    <row r="2513" spans="1:9" ht="9.9499999999999993" customHeight="1" x14ac:dyDescent="0.25">
      <c r="A2513" s="164"/>
      <c r="B2513" s="121"/>
      <c r="C2513" s="122"/>
      <c r="D2513" s="123">
        <f>ROUND(SUM(D2512:D2512),2)</f>
        <v>2</v>
      </c>
      <c r="E2513" s="162"/>
      <c r="F2513" s="162"/>
      <c r="G2513" s="162"/>
      <c r="H2513" s="162"/>
      <c r="I2513" s="161"/>
    </row>
    <row r="2514" spans="1:9" ht="12" customHeight="1" x14ac:dyDescent="0.25">
      <c r="A2514" s="452"/>
      <c r="B2514" s="453"/>
      <c r="C2514" s="453"/>
      <c r="D2514" s="162"/>
      <c r="E2514" s="162"/>
      <c r="F2514" s="162"/>
      <c r="G2514" s="162"/>
      <c r="H2514" s="162"/>
      <c r="I2514" s="161"/>
    </row>
    <row r="2515" spans="1:9" ht="9.9499999999999993" customHeight="1" x14ac:dyDescent="0.25">
      <c r="A2515" s="165"/>
      <c r="B2515" s="162"/>
      <c r="C2515" s="162"/>
      <c r="D2515" s="458" t="str">
        <f>"TOTAL DA MEMÓRIA DE CÁLCULO: "&amp;TEXT(ROUND(SUM(D2513),2),"0,00")</f>
        <v>TOTAL DA MEMÓRIA DE CÁLCULO: 2,00</v>
      </c>
      <c r="E2515" s="458"/>
      <c r="F2515" s="458"/>
      <c r="G2515" s="458"/>
      <c r="H2515" s="458"/>
      <c r="I2515" s="161"/>
    </row>
    <row r="2516" spans="1:9" ht="30.95" customHeight="1" x14ac:dyDescent="0.25">
      <c r="A2516" s="452"/>
      <c r="B2516" s="453"/>
      <c r="C2516" s="453"/>
      <c r="D2516" s="453"/>
      <c r="E2516" s="162"/>
      <c r="F2516" s="162"/>
      <c r="G2516" s="162"/>
      <c r="H2516" s="162"/>
      <c r="I2516" s="161"/>
    </row>
    <row r="2517" spans="1:9" ht="15" customHeight="1" x14ac:dyDescent="0.25">
      <c r="A2517" s="456" t="s">
        <v>1667</v>
      </c>
      <c r="B2517" s="457"/>
      <c r="C2517" s="457"/>
      <c r="D2517" s="457"/>
      <c r="E2517" s="457"/>
      <c r="F2517" s="457"/>
      <c r="G2517" s="457"/>
      <c r="H2517" s="457"/>
      <c r="I2517" s="161"/>
    </row>
    <row r="2518" spans="1:9" ht="12.95" customHeight="1" x14ac:dyDescent="0.25">
      <c r="A2518" s="450"/>
      <c r="B2518" s="451"/>
      <c r="C2518" s="119"/>
      <c r="D2518" s="119" t="s">
        <v>984</v>
      </c>
      <c r="E2518" s="162"/>
      <c r="F2518" s="162"/>
      <c r="G2518" s="162"/>
      <c r="H2518" s="162"/>
      <c r="I2518" s="161"/>
    </row>
    <row r="2519" spans="1:9" ht="15" customHeight="1" x14ac:dyDescent="0.25">
      <c r="A2519" s="163"/>
      <c r="B2519" s="120" t="s">
        <v>0</v>
      </c>
      <c r="C2519" s="227">
        <v>1</v>
      </c>
      <c r="D2519" s="228">
        <f>ROUND(1,2)</f>
        <v>1</v>
      </c>
      <c r="E2519" s="162"/>
      <c r="F2519" s="162"/>
      <c r="G2519" s="162"/>
      <c r="H2519" s="162"/>
      <c r="I2519" s="161"/>
    </row>
    <row r="2520" spans="1:9" ht="9.9499999999999993" customHeight="1" x14ac:dyDescent="0.25">
      <c r="A2520" s="164"/>
      <c r="B2520" s="121"/>
      <c r="C2520" s="122"/>
      <c r="D2520" s="123">
        <f>ROUND(SUM(D2519:D2519),2)</f>
        <v>1</v>
      </c>
      <c r="E2520" s="162"/>
      <c r="F2520" s="162"/>
      <c r="G2520" s="162"/>
      <c r="H2520" s="162"/>
      <c r="I2520" s="161"/>
    </row>
    <row r="2521" spans="1:9" ht="12" customHeight="1" x14ac:dyDescent="0.25">
      <c r="A2521" s="452"/>
      <c r="B2521" s="453"/>
      <c r="C2521" s="453"/>
      <c r="D2521" s="162"/>
      <c r="E2521" s="162"/>
      <c r="F2521" s="162"/>
      <c r="G2521" s="162"/>
      <c r="H2521" s="162"/>
      <c r="I2521" s="161"/>
    </row>
    <row r="2522" spans="1:9" ht="9.9499999999999993" customHeight="1" x14ac:dyDescent="0.25">
      <c r="A2522" s="165"/>
      <c r="B2522" s="162"/>
      <c r="C2522" s="162"/>
      <c r="D2522" s="458" t="str">
        <f>"TOTAL DA MEMÓRIA DE CÁLCULO: "&amp;TEXT(ROUND(SUM(D2520),2),"0,00")</f>
        <v>TOTAL DA MEMÓRIA DE CÁLCULO: 1,00</v>
      </c>
      <c r="E2522" s="458"/>
      <c r="F2522" s="458"/>
      <c r="G2522" s="458"/>
      <c r="H2522" s="458"/>
      <c r="I2522" s="161"/>
    </row>
    <row r="2523" spans="1:9" ht="30.95" customHeight="1" x14ac:dyDescent="0.25">
      <c r="A2523" s="452"/>
      <c r="B2523" s="453"/>
      <c r="C2523" s="453"/>
      <c r="D2523" s="453"/>
      <c r="E2523" s="162"/>
      <c r="F2523" s="162"/>
      <c r="G2523" s="162"/>
      <c r="H2523" s="162"/>
      <c r="I2523" s="161"/>
    </row>
    <row r="2524" spans="1:9" ht="15" customHeight="1" x14ac:dyDescent="0.25">
      <c r="A2524" s="456" t="s">
        <v>1668</v>
      </c>
      <c r="B2524" s="457"/>
      <c r="C2524" s="457"/>
      <c r="D2524" s="457"/>
      <c r="E2524" s="457"/>
      <c r="F2524" s="457"/>
      <c r="G2524" s="457"/>
      <c r="H2524" s="457"/>
      <c r="I2524" s="161"/>
    </row>
    <row r="2525" spans="1:9" ht="12.95" customHeight="1" x14ac:dyDescent="0.25">
      <c r="A2525" s="450"/>
      <c r="B2525" s="451"/>
      <c r="C2525" s="119"/>
      <c r="D2525" s="119" t="s">
        <v>984</v>
      </c>
      <c r="E2525" s="162"/>
      <c r="F2525" s="162"/>
      <c r="G2525" s="162"/>
      <c r="H2525" s="162"/>
      <c r="I2525" s="161"/>
    </row>
    <row r="2526" spans="1:9" ht="15" customHeight="1" x14ac:dyDescent="0.25">
      <c r="A2526" s="163"/>
      <c r="B2526" s="120" t="s">
        <v>0</v>
      </c>
      <c r="C2526" s="227">
        <v>1</v>
      </c>
      <c r="D2526" s="228">
        <f>ROUND(1,2)</f>
        <v>1</v>
      </c>
      <c r="E2526" s="162"/>
      <c r="F2526" s="162"/>
      <c r="G2526" s="162"/>
      <c r="H2526" s="162"/>
      <c r="I2526" s="161"/>
    </row>
    <row r="2527" spans="1:9" ht="9.9499999999999993" customHeight="1" x14ac:dyDescent="0.25">
      <c r="A2527" s="164"/>
      <c r="B2527" s="121"/>
      <c r="C2527" s="122"/>
      <c r="D2527" s="123">
        <f>ROUND(SUM(D2526:D2526),2)</f>
        <v>1</v>
      </c>
      <c r="E2527" s="162"/>
      <c r="F2527" s="162"/>
      <c r="G2527" s="162"/>
      <c r="H2527" s="162"/>
      <c r="I2527" s="161"/>
    </row>
    <row r="2528" spans="1:9" ht="12" customHeight="1" x14ac:dyDescent="0.25">
      <c r="A2528" s="452"/>
      <c r="B2528" s="453"/>
      <c r="C2528" s="453"/>
      <c r="D2528" s="162"/>
      <c r="E2528" s="162"/>
      <c r="F2528" s="162"/>
      <c r="G2528" s="162"/>
      <c r="H2528" s="162"/>
      <c r="I2528" s="161"/>
    </row>
    <row r="2529" spans="1:9" ht="9.9499999999999993" customHeight="1" x14ac:dyDescent="0.25">
      <c r="A2529" s="165"/>
      <c r="B2529" s="162"/>
      <c r="C2529" s="162"/>
      <c r="D2529" s="458" t="str">
        <f>"TOTAL DA MEMÓRIA DE CÁLCULO: "&amp;TEXT(ROUND(SUM(D2527),2),"0,00")</f>
        <v>TOTAL DA MEMÓRIA DE CÁLCULO: 1,00</v>
      </c>
      <c r="E2529" s="458"/>
      <c r="F2529" s="458"/>
      <c r="G2529" s="458"/>
      <c r="H2529" s="458"/>
      <c r="I2529" s="161"/>
    </row>
    <row r="2530" spans="1:9" ht="30.95" customHeight="1" x14ac:dyDescent="0.25">
      <c r="A2530" s="452"/>
      <c r="B2530" s="453"/>
      <c r="C2530" s="453"/>
      <c r="D2530" s="453"/>
      <c r="E2530" s="162"/>
      <c r="F2530" s="162"/>
      <c r="G2530" s="162"/>
      <c r="H2530" s="162"/>
      <c r="I2530" s="161"/>
    </row>
    <row r="2531" spans="1:9" ht="15" customHeight="1" x14ac:dyDescent="0.25">
      <c r="A2531" s="456" t="s">
        <v>1669</v>
      </c>
      <c r="B2531" s="457"/>
      <c r="C2531" s="457"/>
      <c r="D2531" s="457"/>
      <c r="E2531" s="457"/>
      <c r="F2531" s="457"/>
      <c r="G2531" s="457"/>
      <c r="H2531" s="457"/>
      <c r="I2531" s="161"/>
    </row>
    <row r="2532" spans="1:9" ht="12.95" customHeight="1" x14ac:dyDescent="0.25">
      <c r="A2532" s="450"/>
      <c r="B2532" s="451"/>
      <c r="C2532" s="119"/>
      <c r="D2532" s="119" t="s">
        <v>984</v>
      </c>
      <c r="E2532" s="162"/>
      <c r="F2532" s="162"/>
      <c r="G2532" s="162"/>
      <c r="H2532" s="162"/>
      <c r="I2532" s="161"/>
    </row>
    <row r="2533" spans="1:9" ht="15" customHeight="1" x14ac:dyDescent="0.25">
      <c r="A2533" s="163"/>
      <c r="B2533" s="120" t="s">
        <v>2</v>
      </c>
      <c r="C2533" s="227">
        <v>2</v>
      </c>
      <c r="D2533" s="228">
        <f>ROUND(2,2)</f>
        <v>2</v>
      </c>
      <c r="E2533" s="162"/>
      <c r="F2533" s="162"/>
      <c r="G2533" s="162"/>
      <c r="H2533" s="162"/>
      <c r="I2533" s="161"/>
    </row>
    <row r="2534" spans="1:9" ht="9.9499999999999993" customHeight="1" x14ac:dyDescent="0.25">
      <c r="A2534" s="164"/>
      <c r="B2534" s="121"/>
      <c r="C2534" s="122"/>
      <c r="D2534" s="123">
        <f>ROUND(SUM(D2533:D2533),2)</f>
        <v>2</v>
      </c>
      <c r="E2534" s="162"/>
      <c r="F2534" s="162"/>
      <c r="G2534" s="162"/>
      <c r="H2534" s="162"/>
      <c r="I2534" s="161"/>
    </row>
    <row r="2535" spans="1:9" ht="12" customHeight="1" x14ac:dyDescent="0.25">
      <c r="A2535" s="452"/>
      <c r="B2535" s="453"/>
      <c r="C2535" s="453"/>
      <c r="D2535" s="162"/>
      <c r="E2535" s="162"/>
      <c r="F2535" s="162"/>
      <c r="G2535" s="162"/>
      <c r="H2535" s="162"/>
      <c r="I2535" s="161"/>
    </row>
    <row r="2536" spans="1:9" ht="9.9499999999999993" customHeight="1" x14ac:dyDescent="0.25">
      <c r="A2536" s="165"/>
      <c r="B2536" s="162"/>
      <c r="C2536" s="162"/>
      <c r="D2536" s="458" t="str">
        <f>"TOTAL DA MEMÓRIA DE CÁLCULO: "&amp;TEXT(ROUND(SUM(D2534),2),"0,00")</f>
        <v>TOTAL DA MEMÓRIA DE CÁLCULO: 2,00</v>
      </c>
      <c r="E2536" s="458"/>
      <c r="F2536" s="458"/>
      <c r="G2536" s="458"/>
      <c r="H2536" s="458"/>
      <c r="I2536" s="161"/>
    </row>
    <row r="2537" spans="1:9" ht="42.95" customHeight="1" x14ac:dyDescent="0.25">
      <c r="A2537" s="452"/>
      <c r="B2537" s="453"/>
      <c r="C2537" s="453"/>
      <c r="D2537" s="453"/>
      <c r="E2537" s="162"/>
      <c r="F2537" s="162"/>
      <c r="G2537" s="162"/>
      <c r="H2537" s="162"/>
      <c r="I2537" s="161"/>
    </row>
    <row r="2538" spans="1:9" ht="15" customHeight="1" x14ac:dyDescent="0.25">
      <c r="A2538" s="456" t="s">
        <v>1670</v>
      </c>
      <c r="B2538" s="457"/>
      <c r="C2538" s="457"/>
      <c r="D2538" s="457"/>
      <c r="E2538" s="457"/>
      <c r="F2538" s="457"/>
      <c r="G2538" s="457"/>
      <c r="H2538" s="457"/>
      <c r="I2538" s="161"/>
    </row>
    <row r="2539" spans="1:9" ht="12.95" customHeight="1" x14ac:dyDescent="0.25">
      <c r="A2539" s="450"/>
      <c r="B2539" s="451"/>
      <c r="C2539" s="119" t="s">
        <v>72</v>
      </c>
      <c r="D2539" s="119" t="s">
        <v>984</v>
      </c>
      <c r="E2539" s="162"/>
      <c r="F2539" s="162"/>
      <c r="G2539" s="162"/>
      <c r="H2539" s="162"/>
      <c r="I2539" s="161"/>
    </row>
    <row r="2540" spans="1:9" ht="15" customHeight="1" x14ac:dyDescent="0.25">
      <c r="A2540" s="163"/>
      <c r="B2540" s="120" t="s">
        <v>1671</v>
      </c>
      <c r="C2540" s="227">
        <v>22.57</v>
      </c>
      <c r="D2540" s="228">
        <f>ROUND(22.57,2)</f>
        <v>22.57</v>
      </c>
      <c r="E2540" s="162"/>
      <c r="F2540" s="162"/>
      <c r="G2540" s="162"/>
      <c r="H2540" s="162"/>
      <c r="I2540" s="161"/>
    </row>
    <row r="2541" spans="1:9" ht="9.9499999999999993" customHeight="1" x14ac:dyDescent="0.25">
      <c r="A2541" s="164"/>
      <c r="B2541" s="121"/>
      <c r="C2541" s="122"/>
      <c r="D2541" s="123">
        <f>ROUND(SUM(D2540:D2540),2)</f>
        <v>22.57</v>
      </c>
      <c r="E2541" s="162"/>
      <c r="F2541" s="162"/>
      <c r="G2541" s="162"/>
      <c r="H2541" s="162"/>
      <c r="I2541" s="161"/>
    </row>
    <row r="2542" spans="1:9" ht="12" customHeight="1" x14ac:dyDescent="0.25">
      <c r="A2542" s="452"/>
      <c r="B2542" s="453"/>
      <c r="C2542" s="453"/>
      <c r="D2542" s="162"/>
      <c r="E2542" s="162"/>
      <c r="F2542" s="162"/>
      <c r="G2542" s="162"/>
      <c r="H2542" s="162"/>
      <c r="I2542" s="161"/>
    </row>
    <row r="2543" spans="1:9" ht="9.9499999999999993" customHeight="1" x14ac:dyDescent="0.25">
      <c r="A2543" s="165"/>
      <c r="B2543" s="162"/>
      <c r="C2543" s="162"/>
      <c r="D2543" s="458" t="str">
        <f>"TOTAL DA MEMÓRIA DE CÁLCULO: "&amp;TEXT(ROUND(SUM(D2541),2),"0,00")</f>
        <v>TOTAL DA MEMÓRIA DE CÁLCULO: 22,57</v>
      </c>
      <c r="E2543" s="458"/>
      <c r="F2543" s="458"/>
      <c r="G2543" s="458"/>
      <c r="H2543" s="458"/>
      <c r="I2543" s="161"/>
    </row>
    <row r="2544" spans="1:9" ht="20.100000000000001" customHeight="1" x14ac:dyDescent="0.25">
      <c r="A2544" s="452"/>
      <c r="B2544" s="453"/>
      <c r="C2544" s="453"/>
      <c r="D2544" s="162"/>
      <c r="E2544" s="162"/>
      <c r="F2544" s="162"/>
      <c r="G2544" s="162"/>
      <c r="H2544" s="162"/>
      <c r="I2544" s="161"/>
    </row>
    <row r="2545" spans="1:9" ht="15" customHeight="1" x14ac:dyDescent="0.25">
      <c r="A2545" s="299" t="s">
        <v>4371</v>
      </c>
      <c r="B2545" s="454" t="str">
        <f>'PLANILHA ORCAMENTARIA'!D204</f>
        <v>Fornecimento de tubo de cobre flexível, diâmetro nominal 1/4" x 1/32? (0,79mm), destinado a instalações de sistemas de ar-condicionado e refrigeração, revestido com isolamento térmico elastômero de 9 mm de espessura, para uso em tubulações frigorígenas</v>
      </c>
      <c r="C2545" s="455"/>
      <c r="D2545" s="455"/>
      <c r="E2545" s="300"/>
      <c r="F2545" s="300"/>
      <c r="G2545" s="300"/>
      <c r="H2545" s="300"/>
      <c r="I2545" s="161"/>
    </row>
    <row r="2546" spans="1:9" ht="12.95" customHeight="1" x14ac:dyDescent="0.25">
      <c r="A2546" s="450"/>
      <c r="B2546" s="451"/>
      <c r="C2546" s="119" t="s">
        <v>72</v>
      </c>
      <c r="D2546" s="119" t="s">
        <v>984</v>
      </c>
      <c r="E2546" s="162"/>
      <c r="F2546" s="162"/>
      <c r="G2546" s="162"/>
      <c r="H2546" s="162"/>
      <c r="I2546" s="161"/>
    </row>
    <row r="2547" spans="1:9" x14ac:dyDescent="0.25">
      <c r="A2547" s="163"/>
      <c r="B2547" s="120"/>
      <c r="C2547" s="227">
        <v>32</v>
      </c>
      <c r="D2547" s="228">
        <f>C2547</f>
        <v>32</v>
      </c>
      <c r="E2547" s="162"/>
      <c r="F2547" s="162"/>
      <c r="G2547" s="162"/>
      <c r="H2547" s="162"/>
      <c r="I2547" s="161"/>
    </row>
    <row r="2548" spans="1:9" ht="9.9499999999999993" customHeight="1" x14ac:dyDescent="0.25">
      <c r="A2548" s="164"/>
      <c r="B2548" s="121"/>
      <c r="C2548" s="122"/>
      <c r="D2548" s="123">
        <f>D2547</f>
        <v>32</v>
      </c>
      <c r="E2548" s="162"/>
      <c r="F2548" s="162"/>
      <c r="G2548" s="162"/>
      <c r="H2548" s="162"/>
      <c r="I2548" s="161"/>
    </row>
    <row r="2549" spans="1:9" ht="20.100000000000001" customHeight="1" x14ac:dyDescent="0.25">
      <c r="A2549" s="452"/>
      <c r="B2549" s="453"/>
      <c r="C2549" s="453"/>
      <c r="D2549" s="453"/>
      <c r="E2549" s="162"/>
      <c r="F2549" s="162"/>
      <c r="G2549" s="162"/>
      <c r="H2549" s="162"/>
      <c r="I2549" s="161"/>
    </row>
    <row r="2550" spans="1:9" ht="20.100000000000001" customHeight="1" x14ac:dyDescent="0.25">
      <c r="A2550" s="452"/>
      <c r="B2550" s="453"/>
      <c r="C2550" s="453"/>
      <c r="D2550" s="162"/>
      <c r="E2550" s="162"/>
      <c r="F2550" s="162"/>
      <c r="G2550" s="162"/>
      <c r="H2550" s="162"/>
      <c r="I2550" s="161"/>
    </row>
    <row r="2551" spans="1:9" ht="15" customHeight="1" x14ac:dyDescent="0.25">
      <c r="A2551" s="299" t="s">
        <v>4372</v>
      </c>
      <c r="B2551" s="454" t="str">
        <f>'PLANILHA ORCAMENTARIA'!D205</f>
        <v>Fornecimento de tubo de cobre flexível, diâmetro nominal 3/8" x 1/32? (0,79mm), destinado a instalações de sistemas de ar-condicionado e refrigeração, revestido com isolamento térmico elastômero de 9 mm de espessura, para uso em tubulações frigorígenas</v>
      </c>
      <c r="C2551" s="455"/>
      <c r="D2551" s="455"/>
      <c r="E2551" s="300"/>
      <c r="F2551" s="300"/>
      <c r="G2551" s="300"/>
      <c r="H2551" s="300"/>
      <c r="I2551" s="161"/>
    </row>
    <row r="2552" spans="1:9" ht="12.95" customHeight="1" x14ac:dyDescent="0.25">
      <c r="A2552" s="450"/>
      <c r="B2552" s="451"/>
      <c r="C2552" s="119" t="s">
        <v>72</v>
      </c>
      <c r="D2552" s="119" t="s">
        <v>984</v>
      </c>
      <c r="E2552" s="162"/>
      <c r="F2552" s="162"/>
      <c r="G2552" s="162"/>
      <c r="H2552" s="162"/>
      <c r="I2552" s="161"/>
    </row>
    <row r="2553" spans="1:9" x14ac:dyDescent="0.25">
      <c r="A2553" s="163"/>
      <c r="B2553" s="120"/>
      <c r="C2553" s="227">
        <v>39</v>
      </c>
      <c r="D2553" s="228">
        <f>C2553</f>
        <v>39</v>
      </c>
      <c r="E2553" s="162"/>
      <c r="F2553" s="162"/>
      <c r="G2553" s="162"/>
      <c r="H2553" s="162"/>
      <c r="I2553" s="161"/>
    </row>
    <row r="2554" spans="1:9" ht="9.9499999999999993" customHeight="1" x14ac:dyDescent="0.25">
      <c r="A2554" s="164"/>
      <c r="B2554" s="121"/>
      <c r="C2554" s="122"/>
      <c r="D2554" s="123">
        <f>D2553</f>
        <v>39</v>
      </c>
      <c r="E2554" s="162"/>
      <c r="F2554" s="162"/>
      <c r="G2554" s="162"/>
      <c r="H2554" s="162"/>
      <c r="I2554" s="161"/>
    </row>
    <row r="2555" spans="1:9" ht="20.100000000000001" customHeight="1" x14ac:dyDescent="0.25">
      <c r="A2555" s="452"/>
      <c r="B2555" s="453"/>
      <c r="C2555" s="453"/>
      <c r="D2555" s="453"/>
      <c r="E2555" s="162"/>
      <c r="F2555" s="162"/>
      <c r="G2555" s="162"/>
      <c r="H2555" s="162"/>
      <c r="I2555" s="161"/>
    </row>
    <row r="2556" spans="1:9" ht="20.100000000000001" customHeight="1" x14ac:dyDescent="0.25">
      <c r="A2556" s="452"/>
      <c r="B2556" s="453"/>
      <c r="C2556" s="453"/>
      <c r="D2556" s="162"/>
      <c r="E2556" s="162"/>
      <c r="F2556" s="162"/>
      <c r="G2556" s="162"/>
      <c r="H2556" s="162"/>
      <c r="I2556" s="161"/>
    </row>
    <row r="2557" spans="1:9" ht="15" customHeight="1" x14ac:dyDescent="0.25">
      <c r="A2557" s="299" t="s">
        <v>4373</v>
      </c>
      <c r="B2557" s="454" t="str">
        <f>'PLANILHA ORCAMENTARIA'!D206</f>
        <v>Fornecimento de tubo de cobre flexível, diâmetro nominal 1/2" x 1/32? (0,79mm), destinado a instalações de sistemas de ar-condicionado e refrigeração, revestido com isolamento térmico elastômero de 9 mm de espessura, para uso em tubulações frigorígenas</v>
      </c>
      <c r="C2557" s="455"/>
      <c r="D2557" s="455"/>
      <c r="E2557" s="300"/>
      <c r="F2557" s="300"/>
      <c r="G2557" s="300"/>
      <c r="H2557" s="300"/>
      <c r="I2557" s="161"/>
    </row>
    <row r="2558" spans="1:9" ht="12.95" customHeight="1" x14ac:dyDescent="0.25">
      <c r="A2558" s="450"/>
      <c r="B2558" s="451"/>
      <c r="C2558" s="119" t="s">
        <v>72</v>
      </c>
      <c r="D2558" s="119" t="s">
        <v>984</v>
      </c>
      <c r="E2558" s="162"/>
      <c r="F2558" s="162"/>
      <c r="G2558" s="162"/>
      <c r="H2558" s="162"/>
      <c r="I2558" s="161"/>
    </row>
    <row r="2559" spans="1:9" x14ac:dyDescent="0.25">
      <c r="A2559" s="163"/>
      <c r="B2559" s="120"/>
      <c r="C2559" s="227">
        <v>36</v>
      </c>
      <c r="D2559" s="228">
        <f>C2559</f>
        <v>36</v>
      </c>
      <c r="E2559" s="162"/>
      <c r="F2559" s="162"/>
      <c r="G2559" s="162"/>
      <c r="H2559" s="162"/>
      <c r="I2559" s="161"/>
    </row>
    <row r="2560" spans="1:9" ht="9.9499999999999993" customHeight="1" x14ac:dyDescent="0.25">
      <c r="A2560" s="164"/>
      <c r="B2560" s="121"/>
      <c r="C2560" s="122"/>
      <c r="D2560" s="123">
        <f>D2559</f>
        <v>36</v>
      </c>
      <c r="E2560" s="162"/>
      <c r="F2560" s="162"/>
      <c r="G2560" s="162"/>
      <c r="H2560" s="162"/>
      <c r="I2560" s="161"/>
    </row>
    <row r="2561" spans="1:9" ht="20.100000000000001" customHeight="1" x14ac:dyDescent="0.25">
      <c r="A2561" s="452"/>
      <c r="B2561" s="453"/>
      <c r="C2561" s="453"/>
      <c r="D2561" s="453"/>
      <c r="E2561" s="162"/>
      <c r="F2561" s="162"/>
      <c r="G2561" s="162"/>
      <c r="H2561" s="162"/>
      <c r="I2561" s="161"/>
    </row>
    <row r="2562" spans="1:9" ht="20.100000000000001" customHeight="1" x14ac:dyDescent="0.25">
      <c r="A2562" s="452"/>
      <c r="B2562" s="453"/>
      <c r="C2562" s="453"/>
      <c r="D2562" s="162"/>
      <c r="E2562" s="162"/>
      <c r="F2562" s="162"/>
      <c r="G2562" s="162"/>
      <c r="H2562" s="162"/>
      <c r="I2562" s="161"/>
    </row>
    <row r="2563" spans="1:9" ht="15" customHeight="1" x14ac:dyDescent="0.25">
      <c r="A2563" s="299" t="s">
        <v>4374</v>
      </c>
      <c r="B2563" s="454" t="str">
        <f>'PLANILHA ORCAMENTARIA'!D207</f>
        <v>Fornecimento e carga de gás refrigerante R410A</v>
      </c>
      <c r="C2563" s="455"/>
      <c r="D2563" s="455"/>
      <c r="E2563" s="300"/>
      <c r="F2563" s="300"/>
      <c r="G2563" s="300"/>
      <c r="H2563" s="300"/>
      <c r="I2563" s="161"/>
    </row>
    <row r="2564" spans="1:9" ht="12.95" customHeight="1" x14ac:dyDescent="0.25">
      <c r="A2564" s="450"/>
      <c r="B2564" s="451"/>
      <c r="C2564" s="119" t="s">
        <v>786</v>
      </c>
      <c r="D2564" s="119" t="s">
        <v>984</v>
      </c>
      <c r="E2564" s="162"/>
      <c r="F2564" s="162"/>
      <c r="G2564" s="162"/>
      <c r="H2564" s="162"/>
      <c r="I2564" s="161"/>
    </row>
    <row r="2565" spans="1:9" x14ac:dyDescent="0.25">
      <c r="A2565" s="163"/>
      <c r="B2565" s="120"/>
      <c r="C2565" s="227">
        <v>9</v>
      </c>
      <c r="D2565" s="228">
        <f>C2565</f>
        <v>9</v>
      </c>
      <c r="E2565" s="162"/>
      <c r="F2565" s="162"/>
      <c r="G2565" s="162"/>
      <c r="H2565" s="162"/>
      <c r="I2565" s="161"/>
    </row>
    <row r="2566" spans="1:9" ht="9.9499999999999993" customHeight="1" x14ac:dyDescent="0.25">
      <c r="A2566" s="164"/>
      <c r="B2566" s="121"/>
      <c r="C2566" s="122"/>
      <c r="D2566" s="123">
        <f>D2565</f>
        <v>9</v>
      </c>
      <c r="E2566" s="162"/>
      <c r="F2566" s="162"/>
      <c r="G2566" s="162"/>
      <c r="H2566" s="162"/>
      <c r="I2566" s="161"/>
    </row>
    <row r="2567" spans="1:9" ht="20.100000000000001" customHeight="1" x14ac:dyDescent="0.25">
      <c r="A2567" s="452"/>
      <c r="B2567" s="453"/>
      <c r="C2567" s="453"/>
      <c r="D2567" s="453"/>
      <c r="E2567" s="162"/>
      <c r="F2567" s="162"/>
      <c r="G2567" s="162"/>
      <c r="H2567" s="162"/>
      <c r="I2567" s="161"/>
    </row>
    <row r="2568" spans="1:9" x14ac:dyDescent="0.25">
      <c r="A2568" s="452"/>
      <c r="B2568" s="453"/>
      <c r="C2568" s="453"/>
      <c r="D2568" s="162"/>
      <c r="E2568" s="162"/>
      <c r="F2568" s="162"/>
      <c r="G2568" s="162"/>
      <c r="H2568" s="162"/>
      <c r="I2568" s="161"/>
    </row>
    <row r="2569" spans="1:9" ht="15" customHeight="1" x14ac:dyDescent="0.25">
      <c r="A2569" s="299" t="s">
        <v>4375</v>
      </c>
      <c r="B2569" s="454" t="str">
        <f>'PLANILHA ORCAMENTARIA'!D208</f>
        <v>Mão francesa em aço galvanizado 700 mm, fixação com chumbador 3/8" rosca interna com expansor, inclusive pintura esmalte sintético a duas demãos e fundo anticorrosivo a uma demão</v>
      </c>
      <c r="C2569" s="455"/>
      <c r="D2569" s="455"/>
      <c r="E2569" s="300"/>
      <c r="F2569" s="300"/>
      <c r="G2569" s="300"/>
      <c r="H2569" s="300"/>
      <c r="I2569" s="161"/>
    </row>
    <row r="2570" spans="1:9" ht="12.95" customHeight="1" x14ac:dyDescent="0.25">
      <c r="A2570" s="450"/>
      <c r="B2570" s="451"/>
      <c r="C2570" s="119" t="s">
        <v>251</v>
      </c>
      <c r="D2570" s="119" t="s">
        <v>984</v>
      </c>
      <c r="E2570" s="162"/>
      <c r="F2570" s="162"/>
      <c r="G2570" s="162"/>
      <c r="H2570" s="162"/>
      <c r="I2570" s="161"/>
    </row>
    <row r="2571" spans="1:9" x14ac:dyDescent="0.25">
      <c r="A2571" s="163"/>
      <c r="B2571" s="120"/>
      <c r="C2571" s="227">
        <v>16</v>
      </c>
      <c r="D2571" s="228">
        <v>16</v>
      </c>
      <c r="E2571" s="162"/>
      <c r="F2571" s="162"/>
      <c r="G2571" s="162"/>
      <c r="H2571" s="162"/>
      <c r="I2571" s="161"/>
    </row>
    <row r="2572" spans="1:9" ht="9.9499999999999993" customHeight="1" x14ac:dyDescent="0.25">
      <c r="A2572" s="164"/>
      <c r="B2572" s="121"/>
      <c r="C2572" s="122"/>
      <c r="D2572" s="123">
        <v>16</v>
      </c>
      <c r="E2572" s="162"/>
      <c r="F2572" s="162"/>
      <c r="G2572" s="162"/>
      <c r="H2572" s="162"/>
      <c r="I2572" s="161"/>
    </row>
    <row r="2573" spans="1:9" ht="20.100000000000001" customHeight="1" x14ac:dyDescent="0.25">
      <c r="A2573" s="452"/>
      <c r="B2573" s="453"/>
      <c r="C2573" s="453"/>
      <c r="D2573" s="453"/>
      <c r="E2573" s="162"/>
      <c r="F2573" s="162"/>
      <c r="G2573" s="162"/>
      <c r="H2573" s="162"/>
      <c r="I2573" s="161"/>
    </row>
    <row r="2574" spans="1:9" x14ac:dyDescent="0.25">
      <c r="A2574" s="452"/>
      <c r="B2574" s="453"/>
      <c r="C2574" s="453"/>
      <c r="D2574" s="162"/>
      <c r="E2574" s="162"/>
      <c r="F2574" s="162"/>
      <c r="G2574" s="162"/>
      <c r="H2574" s="162"/>
      <c r="I2574" s="161"/>
    </row>
    <row r="2575" spans="1:9" ht="15" customHeight="1" x14ac:dyDescent="0.25">
      <c r="A2575" s="299" t="s">
        <v>4346</v>
      </c>
      <c r="B2575" s="454" t="str">
        <f>'PLANILHA ORCAMENTARIA'!D209</f>
        <v>Instalação de Linha frigorígena para interligação do sistema de climatização incl. acessórios de fixação, fita PVC auto-aderente e cabo PP, exclusive tubos de cobre da linha liquida e sucção, espuma elastomérica flexivel, exclusive gás refrigerante</v>
      </c>
      <c r="C2575" s="455"/>
      <c r="D2575" s="455"/>
      <c r="E2575" s="300"/>
      <c r="F2575" s="300"/>
      <c r="G2575" s="300"/>
      <c r="H2575" s="300"/>
      <c r="I2575" s="161"/>
    </row>
    <row r="2576" spans="1:9" ht="12.95" customHeight="1" x14ac:dyDescent="0.25">
      <c r="A2576" s="450"/>
      <c r="B2576" s="451"/>
      <c r="C2576" s="119" t="s">
        <v>72</v>
      </c>
      <c r="D2576" s="119" t="s">
        <v>984</v>
      </c>
      <c r="E2576" s="162"/>
      <c r="F2576" s="162"/>
      <c r="G2576" s="162"/>
      <c r="H2576" s="162"/>
      <c r="I2576" s="161"/>
    </row>
    <row r="2577" spans="1:9" x14ac:dyDescent="0.25">
      <c r="A2577" s="163"/>
      <c r="B2577" s="120"/>
      <c r="C2577" s="227">
        <v>22.57</v>
      </c>
      <c r="D2577" s="228">
        <v>22.57</v>
      </c>
      <c r="E2577" s="162"/>
      <c r="F2577" s="162"/>
      <c r="G2577" s="162"/>
      <c r="H2577" s="162"/>
      <c r="I2577" s="161"/>
    </row>
    <row r="2578" spans="1:9" ht="9.9499999999999993" customHeight="1" x14ac:dyDescent="0.25">
      <c r="A2578" s="164"/>
      <c r="B2578" s="121"/>
      <c r="C2578" s="122"/>
      <c r="D2578" s="123">
        <v>22.57</v>
      </c>
      <c r="E2578" s="162"/>
      <c r="F2578" s="162"/>
      <c r="G2578" s="162"/>
      <c r="H2578" s="162"/>
      <c r="I2578" s="161"/>
    </row>
    <row r="2579" spans="1:9" ht="20.100000000000001" customHeight="1" x14ac:dyDescent="0.25">
      <c r="A2579" s="452"/>
      <c r="B2579" s="453"/>
      <c r="C2579" s="453"/>
      <c r="D2579" s="453"/>
      <c r="E2579" s="162"/>
      <c r="F2579" s="162"/>
      <c r="G2579" s="162"/>
      <c r="H2579" s="162"/>
      <c r="I2579" s="161"/>
    </row>
    <row r="2580" spans="1:9" ht="20.100000000000001" customHeight="1" x14ac:dyDescent="0.25">
      <c r="A2580" s="452"/>
      <c r="B2580" s="453"/>
      <c r="C2580" s="453"/>
      <c r="D2580" s="453"/>
      <c r="E2580" s="162"/>
      <c r="F2580" s="162"/>
      <c r="G2580" s="162"/>
      <c r="H2580" s="162"/>
      <c r="I2580" s="161"/>
    </row>
    <row r="2581" spans="1:9" ht="9.9499999999999993" customHeight="1" x14ac:dyDescent="0.25">
      <c r="A2581" s="456" t="s">
        <v>1672</v>
      </c>
      <c r="B2581" s="457"/>
      <c r="C2581" s="457"/>
      <c r="D2581" s="457"/>
      <c r="E2581" s="457"/>
      <c r="F2581" s="457"/>
      <c r="G2581" s="457"/>
      <c r="H2581" s="457"/>
      <c r="I2581" s="161"/>
    </row>
    <row r="2582" spans="1:9" ht="20.100000000000001" customHeight="1" x14ac:dyDescent="0.25">
      <c r="A2582" s="452"/>
      <c r="B2582" s="453"/>
      <c r="C2582" s="453"/>
      <c r="D2582" s="162"/>
      <c r="E2582" s="162"/>
      <c r="F2582" s="162"/>
      <c r="G2582" s="162"/>
      <c r="H2582" s="162"/>
      <c r="I2582" s="161"/>
    </row>
    <row r="2583" spans="1:9" ht="15" customHeight="1" x14ac:dyDescent="0.25">
      <c r="A2583" s="456" t="s">
        <v>1673</v>
      </c>
      <c r="B2583" s="457"/>
      <c r="C2583" s="457"/>
      <c r="D2583" s="457"/>
      <c r="E2583" s="457"/>
      <c r="F2583" s="457"/>
      <c r="G2583" s="457"/>
      <c r="H2583" s="457"/>
      <c r="I2583" s="161"/>
    </row>
    <row r="2584" spans="1:9" ht="18.95" customHeight="1" x14ac:dyDescent="0.25">
      <c r="A2584" s="450"/>
      <c r="B2584" s="451"/>
      <c r="C2584" s="119"/>
      <c r="D2584" s="119" t="s">
        <v>984</v>
      </c>
      <c r="E2584" s="162"/>
      <c r="F2584" s="162"/>
      <c r="G2584" s="162"/>
      <c r="H2584" s="162"/>
      <c r="I2584" s="161"/>
    </row>
    <row r="2585" spans="1:9" ht="15" customHeight="1" x14ac:dyDescent="0.25">
      <c r="A2585" s="163" t="s">
        <v>1674</v>
      </c>
      <c r="B2585" s="120" t="s">
        <v>9</v>
      </c>
      <c r="C2585" s="227">
        <v>6</v>
      </c>
      <c r="D2585" s="228">
        <f>ROUND(6,2)</f>
        <v>6</v>
      </c>
      <c r="E2585" s="162"/>
      <c r="F2585" s="162"/>
      <c r="G2585" s="162"/>
      <c r="H2585" s="162"/>
      <c r="I2585" s="161"/>
    </row>
    <row r="2586" spans="1:9" ht="9.9499999999999993" customHeight="1" x14ac:dyDescent="0.25">
      <c r="A2586" s="164"/>
      <c r="B2586" s="121"/>
      <c r="C2586" s="122"/>
      <c r="D2586" s="123">
        <f>ROUND(SUM(D2585:D2585),2)</f>
        <v>6</v>
      </c>
      <c r="E2586" s="162"/>
      <c r="F2586" s="162"/>
      <c r="G2586" s="162"/>
      <c r="H2586" s="162"/>
      <c r="I2586" s="161"/>
    </row>
    <row r="2587" spans="1:9" ht="12" customHeight="1" x14ac:dyDescent="0.25">
      <c r="A2587" s="452"/>
      <c r="B2587" s="453"/>
      <c r="C2587" s="453"/>
      <c r="D2587" s="162"/>
      <c r="E2587" s="162"/>
      <c r="F2587" s="162"/>
      <c r="G2587" s="162"/>
      <c r="H2587" s="162"/>
      <c r="I2587" s="161"/>
    </row>
    <row r="2588" spans="1:9" ht="9.9499999999999993" customHeight="1" x14ac:dyDescent="0.25">
      <c r="A2588" s="165"/>
      <c r="B2588" s="162"/>
      <c r="C2588" s="162"/>
      <c r="D2588" s="458" t="str">
        <f>"TOTAL DA MEMÓRIA DE CÁLCULO: "&amp;TEXT(ROUND(SUM(D2586),2),"0,00")</f>
        <v>TOTAL DA MEMÓRIA DE CÁLCULO: 6,00</v>
      </c>
      <c r="E2588" s="458"/>
      <c r="F2588" s="458"/>
      <c r="G2588" s="458"/>
      <c r="H2588" s="458"/>
      <c r="I2588" s="161"/>
    </row>
    <row r="2589" spans="1:9" ht="30.95" customHeight="1" x14ac:dyDescent="0.25">
      <c r="A2589" s="452"/>
      <c r="B2589" s="453"/>
      <c r="C2589" s="453"/>
      <c r="D2589" s="453"/>
      <c r="E2589" s="162"/>
      <c r="F2589" s="162"/>
      <c r="G2589" s="162"/>
      <c r="H2589" s="162"/>
      <c r="I2589" s="161"/>
    </row>
    <row r="2590" spans="1:9" ht="15" customHeight="1" x14ac:dyDescent="0.25">
      <c r="A2590" s="456" t="s">
        <v>1675</v>
      </c>
      <c r="B2590" s="457"/>
      <c r="C2590" s="457"/>
      <c r="D2590" s="457"/>
      <c r="E2590" s="457"/>
      <c r="F2590" s="457"/>
      <c r="G2590" s="457"/>
      <c r="H2590" s="457"/>
      <c r="I2590" s="161"/>
    </row>
    <row r="2591" spans="1:9" ht="12.95" customHeight="1" x14ac:dyDescent="0.25">
      <c r="A2591" s="450"/>
      <c r="B2591" s="451"/>
      <c r="C2591" s="119"/>
      <c r="D2591" s="119" t="s">
        <v>984</v>
      </c>
      <c r="E2591" s="162"/>
      <c r="F2591" s="162"/>
      <c r="G2591" s="162"/>
      <c r="H2591" s="162"/>
      <c r="I2591" s="161"/>
    </row>
    <row r="2592" spans="1:9" ht="15" customHeight="1" x14ac:dyDescent="0.25">
      <c r="A2592" s="163" t="s">
        <v>1676</v>
      </c>
      <c r="B2592" s="120" t="s">
        <v>11</v>
      </c>
      <c r="C2592" s="227">
        <v>7</v>
      </c>
      <c r="D2592" s="228">
        <f>ROUND(7,2)</f>
        <v>7</v>
      </c>
      <c r="E2592" s="162"/>
      <c r="F2592" s="162"/>
      <c r="G2592" s="162"/>
      <c r="H2592" s="162"/>
      <c r="I2592" s="161"/>
    </row>
    <row r="2593" spans="1:9" ht="9.9499999999999993" customHeight="1" x14ac:dyDescent="0.25">
      <c r="A2593" s="164"/>
      <c r="B2593" s="121"/>
      <c r="C2593" s="122"/>
      <c r="D2593" s="123">
        <f>ROUND(SUM(D2592:D2592),2)</f>
        <v>7</v>
      </c>
      <c r="E2593" s="162"/>
      <c r="F2593" s="162"/>
      <c r="G2593" s="162"/>
      <c r="H2593" s="162"/>
      <c r="I2593" s="161"/>
    </row>
    <row r="2594" spans="1:9" ht="12" customHeight="1" x14ac:dyDescent="0.25">
      <c r="A2594" s="452"/>
      <c r="B2594" s="453"/>
      <c r="C2594" s="453"/>
      <c r="D2594" s="162"/>
      <c r="E2594" s="162"/>
      <c r="F2594" s="162"/>
      <c r="G2594" s="162"/>
      <c r="H2594" s="162"/>
      <c r="I2594" s="161"/>
    </row>
    <row r="2595" spans="1:9" ht="9.9499999999999993" customHeight="1" x14ac:dyDescent="0.25">
      <c r="A2595" s="165"/>
      <c r="B2595" s="162"/>
      <c r="C2595" s="162"/>
      <c r="D2595" s="458" t="str">
        <f>"TOTAL DA MEMÓRIA DE CÁLCULO: "&amp;TEXT(ROUND(SUM(D2593),2),"0,00")</f>
        <v>TOTAL DA MEMÓRIA DE CÁLCULO: 7,00</v>
      </c>
      <c r="E2595" s="458"/>
      <c r="F2595" s="458"/>
      <c r="G2595" s="458"/>
      <c r="H2595" s="458"/>
      <c r="I2595" s="161"/>
    </row>
    <row r="2596" spans="1:9" ht="20.100000000000001" customHeight="1" x14ac:dyDescent="0.25">
      <c r="A2596" s="452"/>
      <c r="B2596" s="453"/>
      <c r="C2596" s="453"/>
      <c r="D2596" s="453"/>
      <c r="E2596" s="162"/>
      <c r="F2596" s="162"/>
      <c r="G2596" s="162"/>
      <c r="H2596" s="162"/>
      <c r="I2596" s="161"/>
    </row>
    <row r="2597" spans="1:9" ht="15" customHeight="1" x14ac:dyDescent="0.25">
      <c r="A2597" s="456" t="s">
        <v>1677</v>
      </c>
      <c r="B2597" s="457"/>
      <c r="C2597" s="457"/>
      <c r="D2597" s="457"/>
      <c r="E2597" s="457"/>
      <c r="F2597" s="457"/>
      <c r="G2597" s="457"/>
      <c r="H2597" s="457"/>
      <c r="I2597" s="161"/>
    </row>
    <row r="2598" spans="1:9" ht="18.95" customHeight="1" x14ac:dyDescent="0.25">
      <c r="A2598" s="450"/>
      <c r="B2598" s="451"/>
      <c r="C2598" s="119"/>
      <c r="D2598" s="119" t="s">
        <v>984</v>
      </c>
      <c r="E2598" s="162"/>
      <c r="F2598" s="162"/>
      <c r="G2598" s="162"/>
      <c r="H2598" s="162"/>
      <c r="I2598" s="161"/>
    </row>
    <row r="2599" spans="1:9" ht="15" customHeight="1" x14ac:dyDescent="0.25">
      <c r="A2599" s="163" t="s">
        <v>1678</v>
      </c>
      <c r="B2599" s="120" t="s">
        <v>9</v>
      </c>
      <c r="C2599" s="227">
        <v>6</v>
      </c>
      <c r="D2599" s="228">
        <f>ROUND(6,2)</f>
        <v>6</v>
      </c>
      <c r="E2599" s="162"/>
      <c r="F2599" s="162"/>
      <c r="G2599" s="162"/>
      <c r="H2599" s="162"/>
      <c r="I2599" s="161"/>
    </row>
    <row r="2600" spans="1:9" ht="9.9499999999999993" customHeight="1" x14ac:dyDescent="0.25">
      <c r="A2600" s="164"/>
      <c r="B2600" s="121"/>
      <c r="C2600" s="122"/>
      <c r="D2600" s="123">
        <f>ROUND(SUM(D2599:D2599),2)</f>
        <v>6</v>
      </c>
      <c r="E2600" s="162"/>
      <c r="F2600" s="162"/>
      <c r="G2600" s="162"/>
      <c r="H2600" s="162"/>
      <c r="I2600" s="161"/>
    </row>
    <row r="2601" spans="1:9" ht="12" customHeight="1" x14ac:dyDescent="0.25">
      <c r="A2601" s="452"/>
      <c r="B2601" s="453"/>
      <c r="C2601" s="453"/>
      <c r="D2601" s="162"/>
      <c r="E2601" s="162"/>
      <c r="F2601" s="162"/>
      <c r="G2601" s="162"/>
      <c r="H2601" s="162"/>
      <c r="I2601" s="161"/>
    </row>
    <row r="2602" spans="1:9" ht="9.9499999999999993" customHeight="1" x14ac:dyDescent="0.25">
      <c r="A2602" s="165"/>
      <c r="B2602" s="162"/>
      <c r="C2602" s="162"/>
      <c r="D2602" s="458" t="str">
        <f>"TOTAL DA MEMÓRIA DE CÁLCULO: "&amp;TEXT(ROUND(SUM(D2600),2),"0,00")</f>
        <v>TOTAL DA MEMÓRIA DE CÁLCULO: 6,00</v>
      </c>
      <c r="E2602" s="458"/>
      <c r="F2602" s="458"/>
      <c r="G2602" s="458"/>
      <c r="H2602" s="458"/>
      <c r="I2602" s="161"/>
    </row>
    <row r="2603" spans="1:9" ht="20.100000000000001" customHeight="1" x14ac:dyDescent="0.25">
      <c r="A2603" s="452"/>
      <c r="B2603" s="453"/>
      <c r="C2603" s="453"/>
      <c r="D2603" s="453"/>
      <c r="E2603" s="162"/>
      <c r="F2603" s="162"/>
      <c r="G2603" s="162"/>
      <c r="H2603" s="162"/>
      <c r="I2603" s="161"/>
    </row>
    <row r="2604" spans="1:9" ht="15" customHeight="1" x14ac:dyDescent="0.25">
      <c r="A2604" s="456" t="s">
        <v>1679</v>
      </c>
      <c r="B2604" s="457"/>
      <c r="C2604" s="457"/>
      <c r="D2604" s="457"/>
      <c r="E2604" s="457"/>
      <c r="F2604" s="457"/>
      <c r="G2604" s="457"/>
      <c r="H2604" s="457"/>
      <c r="I2604" s="161"/>
    </row>
    <row r="2605" spans="1:9" ht="18.95" customHeight="1" x14ac:dyDescent="0.25">
      <c r="A2605" s="450"/>
      <c r="B2605" s="451"/>
      <c r="C2605" s="119"/>
      <c r="D2605" s="119" t="s">
        <v>984</v>
      </c>
      <c r="E2605" s="162"/>
      <c r="F2605" s="162"/>
      <c r="G2605" s="162"/>
      <c r="H2605" s="162"/>
      <c r="I2605" s="161"/>
    </row>
    <row r="2606" spans="1:9" ht="15" customHeight="1" x14ac:dyDescent="0.25">
      <c r="A2606" s="163" t="s">
        <v>1680</v>
      </c>
      <c r="B2606" s="120" t="s">
        <v>1681</v>
      </c>
      <c r="C2606" s="227">
        <v>320</v>
      </c>
      <c r="D2606" s="228">
        <f>ROUND(320,2)</f>
        <v>320</v>
      </c>
      <c r="E2606" s="162"/>
      <c r="F2606" s="162"/>
      <c r="G2606" s="162"/>
      <c r="H2606" s="162"/>
      <c r="I2606" s="161"/>
    </row>
    <row r="2607" spans="1:9" ht="9.9499999999999993" customHeight="1" x14ac:dyDescent="0.25">
      <c r="A2607" s="164"/>
      <c r="B2607" s="121"/>
      <c r="C2607" s="122"/>
      <c r="D2607" s="123">
        <f>ROUND(SUM(D2606:D2606),2)</f>
        <v>320</v>
      </c>
      <c r="E2607" s="162"/>
      <c r="F2607" s="162"/>
      <c r="G2607" s="162"/>
      <c r="H2607" s="162"/>
      <c r="I2607" s="161"/>
    </row>
    <row r="2608" spans="1:9" ht="12" customHeight="1" x14ac:dyDescent="0.25">
      <c r="A2608" s="452"/>
      <c r="B2608" s="453"/>
      <c r="C2608" s="453"/>
      <c r="D2608" s="162"/>
      <c r="E2608" s="162"/>
      <c r="F2608" s="162"/>
      <c r="G2608" s="162"/>
      <c r="H2608" s="162"/>
      <c r="I2608" s="161"/>
    </row>
    <row r="2609" spans="1:9" ht="9.9499999999999993" customHeight="1" x14ac:dyDescent="0.25">
      <c r="A2609" s="165"/>
      <c r="B2609" s="162"/>
      <c r="C2609" s="162"/>
      <c r="D2609" s="458" t="str">
        <f>"TOTAL DA MEMÓRIA DE CÁLCULO: "&amp;TEXT(ROUND(SUM(D2607),2),"0,00")</f>
        <v>TOTAL DA MEMÓRIA DE CÁLCULO: 320,00</v>
      </c>
      <c r="E2609" s="458"/>
      <c r="F2609" s="458"/>
      <c r="G2609" s="458"/>
      <c r="H2609" s="458"/>
      <c r="I2609" s="161"/>
    </row>
    <row r="2610" spans="1:9" ht="30.95" customHeight="1" x14ac:dyDescent="0.25">
      <c r="A2610" s="452"/>
      <c r="B2610" s="453"/>
      <c r="C2610" s="453"/>
      <c r="D2610" s="453"/>
      <c r="E2610" s="162"/>
      <c r="F2610" s="162"/>
      <c r="G2610" s="162"/>
      <c r="H2610" s="162"/>
      <c r="I2610" s="161"/>
    </row>
    <row r="2611" spans="1:9" ht="15" customHeight="1" x14ac:dyDescent="0.25">
      <c r="A2611" s="456" t="s">
        <v>1682</v>
      </c>
      <c r="B2611" s="457"/>
      <c r="C2611" s="457"/>
      <c r="D2611" s="457"/>
      <c r="E2611" s="457"/>
      <c r="F2611" s="457"/>
      <c r="G2611" s="457"/>
      <c r="H2611" s="457"/>
      <c r="I2611" s="161"/>
    </row>
    <row r="2612" spans="1:9" ht="12.95" customHeight="1" x14ac:dyDescent="0.25">
      <c r="A2612" s="450"/>
      <c r="B2612" s="451"/>
      <c r="C2612" s="119"/>
      <c r="D2612" s="119" t="s">
        <v>984</v>
      </c>
      <c r="E2612" s="162"/>
      <c r="F2612" s="162"/>
      <c r="G2612" s="162"/>
      <c r="H2612" s="162"/>
      <c r="I2612" s="161"/>
    </row>
    <row r="2613" spans="1:9" ht="6" customHeight="1" x14ac:dyDescent="0.25">
      <c r="A2613" s="163" t="s">
        <v>1683</v>
      </c>
      <c r="B2613" s="120" t="s">
        <v>1684</v>
      </c>
      <c r="C2613" s="459">
        <v>150</v>
      </c>
      <c r="D2613" s="460">
        <f>ROUND(150,2)</f>
        <v>150</v>
      </c>
      <c r="E2613" s="162"/>
      <c r="F2613" s="162"/>
      <c r="G2613" s="162"/>
      <c r="H2613" s="162"/>
      <c r="I2613" s="161"/>
    </row>
    <row r="2614" spans="1:9" ht="15" customHeight="1" x14ac:dyDescent="0.25">
      <c r="A2614" s="166"/>
      <c r="B2614" s="124"/>
      <c r="C2614" s="459"/>
      <c r="D2614" s="460"/>
      <c r="E2614" s="162"/>
      <c r="F2614" s="162"/>
      <c r="G2614" s="162"/>
      <c r="H2614" s="162"/>
      <c r="I2614" s="161"/>
    </row>
    <row r="2615" spans="1:9" ht="9.9499999999999993" customHeight="1" x14ac:dyDescent="0.25">
      <c r="A2615" s="164"/>
      <c r="B2615" s="121"/>
      <c r="C2615" s="122"/>
      <c r="D2615" s="123">
        <f>ROUND(SUM(D2613:D2614),2)</f>
        <v>150</v>
      </c>
      <c r="E2615" s="162"/>
      <c r="F2615" s="162"/>
      <c r="G2615" s="162"/>
      <c r="H2615" s="162"/>
      <c r="I2615" s="161"/>
    </row>
    <row r="2616" spans="1:9" ht="12" customHeight="1" x14ac:dyDescent="0.25">
      <c r="A2616" s="452"/>
      <c r="B2616" s="453"/>
      <c r="C2616" s="453"/>
      <c r="D2616" s="162"/>
      <c r="E2616" s="162"/>
      <c r="F2616" s="162"/>
      <c r="G2616" s="162"/>
      <c r="H2616" s="162"/>
      <c r="I2616" s="161"/>
    </row>
    <row r="2617" spans="1:9" ht="9.9499999999999993" customHeight="1" x14ac:dyDescent="0.25">
      <c r="A2617" s="165"/>
      <c r="B2617" s="162"/>
      <c r="C2617" s="162"/>
      <c r="D2617" s="458" t="str">
        <f>"TOTAL DA MEMÓRIA DE CÁLCULO: "&amp;TEXT(ROUND(SUM(D2615),2),"0,00")</f>
        <v>TOTAL DA MEMÓRIA DE CÁLCULO: 150,00</v>
      </c>
      <c r="E2617" s="458"/>
      <c r="F2617" s="458"/>
      <c r="G2617" s="458"/>
      <c r="H2617" s="458"/>
      <c r="I2617" s="161"/>
    </row>
    <row r="2618" spans="1:9" ht="30.95" customHeight="1" x14ac:dyDescent="0.25">
      <c r="A2618" s="452"/>
      <c r="B2618" s="453"/>
      <c r="C2618" s="453"/>
      <c r="D2618" s="453"/>
      <c r="E2618" s="162"/>
      <c r="F2618" s="162"/>
      <c r="G2618" s="162"/>
      <c r="H2618" s="162"/>
      <c r="I2618" s="161"/>
    </row>
    <row r="2619" spans="1:9" ht="15" customHeight="1" x14ac:dyDescent="0.25">
      <c r="A2619" s="456" t="s">
        <v>1685</v>
      </c>
      <c r="B2619" s="457"/>
      <c r="C2619" s="457"/>
      <c r="D2619" s="457"/>
      <c r="E2619" s="457"/>
      <c r="F2619" s="457"/>
      <c r="G2619" s="457"/>
      <c r="H2619" s="457"/>
      <c r="I2619" s="161"/>
    </row>
    <row r="2620" spans="1:9" ht="12.95" customHeight="1" x14ac:dyDescent="0.25">
      <c r="A2620" s="450"/>
      <c r="B2620" s="451"/>
      <c r="C2620" s="119"/>
      <c r="D2620" s="119" t="s">
        <v>984</v>
      </c>
      <c r="E2620" s="162"/>
      <c r="F2620" s="162"/>
      <c r="G2620" s="162"/>
      <c r="H2620" s="162"/>
      <c r="I2620" s="161"/>
    </row>
    <row r="2621" spans="1:9" ht="15" customHeight="1" x14ac:dyDescent="0.25">
      <c r="A2621" s="163" t="s">
        <v>1686</v>
      </c>
      <c r="B2621" s="120" t="s">
        <v>1607</v>
      </c>
      <c r="C2621" s="227">
        <v>20</v>
      </c>
      <c r="D2621" s="228">
        <f>ROUND(20,2)</f>
        <v>20</v>
      </c>
      <c r="E2621" s="162"/>
      <c r="F2621" s="162"/>
      <c r="G2621" s="162"/>
      <c r="H2621" s="162"/>
      <c r="I2621" s="161"/>
    </row>
    <row r="2622" spans="1:9" ht="9.9499999999999993" customHeight="1" x14ac:dyDescent="0.25">
      <c r="A2622" s="164"/>
      <c r="B2622" s="121"/>
      <c r="C2622" s="122"/>
      <c r="D2622" s="123">
        <f>ROUND(SUM(D2621:D2621),2)</f>
        <v>20</v>
      </c>
      <c r="E2622" s="162"/>
      <c r="F2622" s="162"/>
      <c r="G2622" s="162"/>
      <c r="H2622" s="162"/>
      <c r="I2622" s="161"/>
    </row>
    <row r="2623" spans="1:9" ht="12" customHeight="1" x14ac:dyDescent="0.25">
      <c r="A2623" s="452"/>
      <c r="B2623" s="453"/>
      <c r="C2623" s="453"/>
      <c r="D2623" s="162"/>
      <c r="E2623" s="162"/>
      <c r="F2623" s="162"/>
      <c r="G2623" s="162"/>
      <c r="H2623" s="162"/>
      <c r="I2623" s="161"/>
    </row>
    <row r="2624" spans="1:9" ht="9.9499999999999993" customHeight="1" x14ac:dyDescent="0.25">
      <c r="A2624" s="165"/>
      <c r="B2624" s="162"/>
      <c r="C2624" s="162"/>
      <c r="D2624" s="458" t="str">
        <f>"TOTAL DA MEMÓRIA DE CÁLCULO: "&amp;TEXT(ROUND(SUM(D2622),2),"0,00")</f>
        <v>TOTAL DA MEMÓRIA DE CÁLCULO: 20,00</v>
      </c>
      <c r="E2624" s="458"/>
      <c r="F2624" s="458"/>
      <c r="G2624" s="458"/>
      <c r="H2624" s="458"/>
      <c r="I2624" s="161"/>
    </row>
    <row r="2625" spans="1:9" ht="30.95" customHeight="1" x14ac:dyDescent="0.25">
      <c r="A2625" s="452"/>
      <c r="B2625" s="453"/>
      <c r="C2625" s="453"/>
      <c r="D2625" s="453"/>
      <c r="E2625" s="162"/>
      <c r="F2625" s="162"/>
      <c r="G2625" s="162"/>
      <c r="H2625" s="162"/>
      <c r="I2625" s="161"/>
    </row>
    <row r="2626" spans="1:9" ht="15" customHeight="1" x14ac:dyDescent="0.25">
      <c r="A2626" s="456" t="s">
        <v>1687</v>
      </c>
      <c r="B2626" s="457"/>
      <c r="C2626" s="457"/>
      <c r="D2626" s="457"/>
      <c r="E2626" s="457"/>
      <c r="F2626" s="457"/>
      <c r="G2626" s="457"/>
      <c r="H2626" s="457"/>
      <c r="I2626" s="161"/>
    </row>
    <row r="2627" spans="1:9" ht="18.95" customHeight="1" x14ac:dyDescent="0.25">
      <c r="A2627" s="450"/>
      <c r="B2627" s="451"/>
      <c r="C2627" s="119"/>
      <c r="D2627" s="119" t="s">
        <v>984</v>
      </c>
      <c r="E2627" s="162"/>
      <c r="F2627" s="162"/>
      <c r="G2627" s="162"/>
      <c r="H2627" s="162"/>
      <c r="I2627" s="161"/>
    </row>
    <row r="2628" spans="1:9" ht="15" customHeight="1" x14ac:dyDescent="0.25">
      <c r="A2628" s="163" t="s">
        <v>1688</v>
      </c>
      <c r="B2628" s="120" t="s">
        <v>9</v>
      </c>
      <c r="C2628" s="227">
        <v>6</v>
      </c>
      <c r="D2628" s="228">
        <f>ROUND(6,2)</f>
        <v>6</v>
      </c>
      <c r="E2628" s="162"/>
      <c r="F2628" s="162"/>
      <c r="G2628" s="162"/>
      <c r="H2628" s="162"/>
      <c r="I2628" s="161"/>
    </row>
    <row r="2629" spans="1:9" ht="9.9499999999999993" customHeight="1" x14ac:dyDescent="0.25">
      <c r="A2629" s="164"/>
      <c r="B2629" s="121"/>
      <c r="C2629" s="122"/>
      <c r="D2629" s="123">
        <f>ROUND(SUM(D2628:D2628),2)</f>
        <v>6</v>
      </c>
      <c r="E2629" s="162"/>
      <c r="F2629" s="162"/>
      <c r="G2629" s="162"/>
      <c r="H2629" s="162"/>
      <c r="I2629" s="161"/>
    </row>
    <row r="2630" spans="1:9" ht="12" customHeight="1" x14ac:dyDescent="0.25">
      <c r="A2630" s="452"/>
      <c r="B2630" s="453"/>
      <c r="C2630" s="453"/>
      <c r="D2630" s="162"/>
      <c r="E2630" s="162"/>
      <c r="F2630" s="162"/>
      <c r="G2630" s="162"/>
      <c r="H2630" s="162"/>
      <c r="I2630" s="161"/>
    </row>
    <row r="2631" spans="1:9" ht="9.9499999999999993" customHeight="1" x14ac:dyDescent="0.25">
      <c r="A2631" s="165"/>
      <c r="B2631" s="162"/>
      <c r="C2631" s="162"/>
      <c r="D2631" s="458" t="str">
        <f>"TOTAL DA MEMÓRIA DE CÁLCULO: "&amp;TEXT(ROUND(SUM(D2629),2),"0,00")</f>
        <v>TOTAL DA MEMÓRIA DE CÁLCULO: 6,00</v>
      </c>
      <c r="E2631" s="458"/>
      <c r="F2631" s="458"/>
      <c r="G2631" s="458"/>
      <c r="H2631" s="458"/>
      <c r="I2631" s="161"/>
    </row>
    <row r="2632" spans="1:9" ht="20.100000000000001" customHeight="1" x14ac:dyDescent="0.25">
      <c r="A2632" s="452"/>
      <c r="B2632" s="453"/>
      <c r="C2632" s="453"/>
      <c r="D2632" s="162"/>
      <c r="E2632" s="162"/>
      <c r="F2632" s="162"/>
      <c r="G2632" s="162"/>
      <c r="H2632" s="162"/>
      <c r="I2632" s="161"/>
    </row>
    <row r="2633" spans="1:9" ht="15" customHeight="1" x14ac:dyDescent="0.25">
      <c r="A2633" s="299" t="s">
        <v>4415</v>
      </c>
      <c r="B2633" s="454" t="str">
        <f>'PLANILHA ORCAMENTARIA'!D159</f>
        <v>TOMADA DE REDE RJ45 - FORNECIMENTO E INSTALAÇÃO. AF_08/2025</v>
      </c>
      <c r="C2633" s="455"/>
      <c r="D2633" s="455"/>
      <c r="E2633" s="300"/>
      <c r="F2633" s="300"/>
      <c r="G2633" s="300"/>
      <c r="H2633" s="300"/>
      <c r="I2633" s="161"/>
    </row>
    <row r="2634" spans="1:9" ht="12.95" customHeight="1" x14ac:dyDescent="0.25">
      <c r="A2634" s="450"/>
      <c r="B2634" s="451"/>
      <c r="C2634" s="119"/>
      <c r="D2634" s="119" t="s">
        <v>984</v>
      </c>
      <c r="E2634" s="162"/>
      <c r="F2634" s="162"/>
      <c r="G2634" s="162"/>
      <c r="H2634" s="162"/>
      <c r="I2634" s="161"/>
    </row>
    <row r="2635" spans="1:9" x14ac:dyDescent="0.25">
      <c r="A2635" s="163"/>
      <c r="B2635" s="120"/>
      <c r="C2635" s="227">
        <v>12</v>
      </c>
      <c r="D2635" s="228">
        <f>C2635</f>
        <v>12</v>
      </c>
      <c r="E2635" s="162"/>
      <c r="F2635" s="162"/>
      <c r="G2635" s="162"/>
      <c r="H2635" s="162"/>
      <c r="I2635" s="161"/>
    </row>
    <row r="2636" spans="1:9" ht="9.9499999999999993" customHeight="1" x14ac:dyDescent="0.25">
      <c r="A2636" s="164"/>
      <c r="B2636" s="121"/>
      <c r="C2636" s="122"/>
      <c r="D2636" s="123">
        <f>D2635</f>
        <v>12</v>
      </c>
      <c r="E2636" s="162"/>
      <c r="F2636" s="162"/>
      <c r="G2636" s="162"/>
      <c r="H2636" s="162"/>
      <c r="I2636" s="161"/>
    </row>
    <row r="2637" spans="1:9" ht="20.100000000000001" customHeight="1" x14ac:dyDescent="0.25">
      <c r="A2637" s="452"/>
      <c r="B2637" s="453"/>
      <c r="C2637" s="453"/>
      <c r="D2637" s="453"/>
      <c r="E2637" s="162"/>
      <c r="F2637" s="162"/>
      <c r="G2637" s="162"/>
      <c r="H2637" s="162"/>
      <c r="I2637" s="161"/>
    </row>
    <row r="2638" spans="1:9" ht="20.100000000000001" customHeight="1" x14ac:dyDescent="0.25">
      <c r="A2638" s="452"/>
      <c r="B2638" s="453"/>
      <c r="C2638" s="453"/>
      <c r="D2638" s="162"/>
      <c r="E2638" s="162"/>
      <c r="F2638" s="162"/>
      <c r="G2638" s="162"/>
      <c r="H2638" s="162"/>
      <c r="I2638" s="161"/>
    </row>
    <row r="2639" spans="1:9" ht="15" customHeight="1" x14ac:dyDescent="0.25">
      <c r="A2639" s="299" t="s">
        <v>4344</v>
      </c>
      <c r="B2639" s="454" t="str">
        <f>'PLANILHA ORCAMENTARIA'!D160</f>
        <v>Eletroduto flexível corrugado diâmetro 1", Amarelo ? Tigreflex ou equivalente</v>
      </c>
      <c r="C2639" s="455"/>
      <c r="D2639" s="455"/>
      <c r="E2639" s="300"/>
      <c r="F2639" s="300"/>
      <c r="G2639" s="300"/>
      <c r="H2639" s="300"/>
      <c r="I2639" s="161"/>
    </row>
    <row r="2640" spans="1:9" ht="12.95" customHeight="1" x14ac:dyDescent="0.25">
      <c r="A2640" s="450"/>
      <c r="B2640" s="451"/>
      <c r="C2640" s="119" t="s">
        <v>72</v>
      </c>
      <c r="D2640" s="119" t="s">
        <v>984</v>
      </c>
      <c r="E2640" s="162"/>
      <c r="F2640" s="162"/>
      <c r="G2640" s="162"/>
      <c r="H2640" s="162"/>
      <c r="I2640" s="161"/>
    </row>
    <row r="2641" spans="1:9" x14ac:dyDescent="0.25">
      <c r="A2641" s="163"/>
      <c r="B2641" s="120"/>
      <c r="C2641" s="227">
        <v>100</v>
      </c>
      <c r="D2641" s="228">
        <f>C2641</f>
        <v>100</v>
      </c>
      <c r="E2641" s="162"/>
      <c r="F2641" s="162"/>
      <c r="G2641" s="162"/>
      <c r="H2641" s="162"/>
      <c r="I2641" s="161"/>
    </row>
    <row r="2642" spans="1:9" ht="9.9499999999999993" customHeight="1" x14ac:dyDescent="0.25">
      <c r="A2642" s="164"/>
      <c r="B2642" s="121"/>
      <c r="C2642" s="122"/>
      <c r="D2642" s="123">
        <f>D2641</f>
        <v>100</v>
      </c>
      <c r="E2642" s="162"/>
      <c r="F2642" s="162"/>
      <c r="G2642" s="162"/>
      <c r="H2642" s="162"/>
      <c r="I2642" s="161"/>
    </row>
    <row r="2643" spans="1:9" ht="20.100000000000001" customHeight="1" x14ac:dyDescent="0.25">
      <c r="A2643" s="452"/>
      <c r="B2643" s="453"/>
      <c r="C2643" s="453"/>
      <c r="D2643" s="453"/>
      <c r="E2643" s="162"/>
      <c r="F2643" s="162"/>
      <c r="G2643" s="162"/>
      <c r="H2643" s="162"/>
      <c r="I2643" s="161"/>
    </row>
    <row r="2644" spans="1:9" ht="20.100000000000001" customHeight="1" x14ac:dyDescent="0.25">
      <c r="A2644" s="452"/>
      <c r="B2644" s="453"/>
      <c r="C2644" s="453"/>
      <c r="D2644" s="162"/>
      <c r="E2644" s="162"/>
      <c r="F2644" s="162"/>
      <c r="G2644" s="162"/>
      <c r="H2644" s="162"/>
      <c r="I2644" s="161"/>
    </row>
    <row r="2645" spans="1:9" ht="15" customHeight="1" x14ac:dyDescent="0.25">
      <c r="A2645" s="299" t="s">
        <v>4345</v>
      </c>
      <c r="B2645" s="454" t="str">
        <f>'PLANILHA ORCAMENTARIA'!D161</f>
        <v>Eletroduto PEAD parede simples, corrugado, cor preta, diâmetro 1.1/2", referencia Kanaflex, Plastibras ou equivalente</v>
      </c>
      <c r="C2645" s="455"/>
      <c r="D2645" s="455"/>
      <c r="E2645" s="300"/>
      <c r="F2645" s="300"/>
      <c r="G2645" s="300"/>
      <c r="H2645" s="300"/>
      <c r="I2645" s="161"/>
    </row>
    <row r="2646" spans="1:9" ht="12.95" customHeight="1" x14ac:dyDescent="0.25">
      <c r="A2646" s="450"/>
      <c r="B2646" s="451"/>
      <c r="C2646" s="119" t="s">
        <v>72</v>
      </c>
      <c r="D2646" s="119" t="s">
        <v>984</v>
      </c>
      <c r="E2646" s="162"/>
      <c r="F2646" s="162"/>
      <c r="G2646" s="162"/>
      <c r="H2646" s="162"/>
      <c r="I2646" s="161"/>
    </row>
    <row r="2647" spans="1:9" x14ac:dyDescent="0.25">
      <c r="A2647" s="163"/>
      <c r="B2647" s="120"/>
      <c r="C2647" s="227">
        <v>100</v>
      </c>
      <c r="D2647" s="228">
        <f>C2647</f>
        <v>100</v>
      </c>
      <c r="E2647" s="162"/>
      <c r="F2647" s="162"/>
      <c r="G2647" s="162"/>
      <c r="H2647" s="162"/>
      <c r="I2647" s="161"/>
    </row>
    <row r="2648" spans="1:9" ht="9.9499999999999993" customHeight="1" x14ac:dyDescent="0.25">
      <c r="A2648" s="164"/>
      <c r="B2648" s="121"/>
      <c r="C2648" s="122"/>
      <c r="D2648" s="123">
        <f>D2647</f>
        <v>100</v>
      </c>
      <c r="E2648" s="162"/>
      <c r="F2648" s="162"/>
      <c r="G2648" s="162"/>
      <c r="H2648" s="162"/>
      <c r="I2648" s="161"/>
    </row>
    <row r="2649" spans="1:9" ht="20.100000000000001" customHeight="1" x14ac:dyDescent="0.25">
      <c r="A2649" s="452"/>
      <c r="B2649" s="453"/>
      <c r="C2649" s="453"/>
      <c r="D2649" s="453"/>
      <c r="E2649" s="162"/>
      <c r="F2649" s="162"/>
      <c r="G2649" s="162"/>
      <c r="H2649" s="162"/>
      <c r="I2649" s="161"/>
    </row>
    <row r="2650" spans="1:9" ht="20.100000000000001" customHeight="1" x14ac:dyDescent="0.25">
      <c r="A2650" s="452"/>
      <c r="B2650" s="453"/>
      <c r="C2650" s="453"/>
      <c r="D2650" s="162"/>
      <c r="E2650" s="162"/>
      <c r="F2650" s="162"/>
      <c r="G2650" s="162"/>
      <c r="H2650" s="162"/>
      <c r="I2650" s="161"/>
    </row>
    <row r="2651" spans="1:9" ht="15" customHeight="1" x14ac:dyDescent="0.25">
      <c r="A2651" s="299" t="s">
        <v>4346</v>
      </c>
      <c r="B2651" s="454" t="str">
        <f>'PLANILHA ORCAMENTARIA'!D162</f>
        <v>CABO ELETRÔNICO CATEGORIA 5E, INSTALADO EM EDIFICAÇÃO INSTITUCIONAL - FORNECIMENTO E INSTALAÇÃO. AF_08/2025</v>
      </c>
      <c r="C2651" s="455"/>
      <c r="D2651" s="455"/>
      <c r="E2651" s="300"/>
      <c r="F2651" s="300"/>
      <c r="G2651" s="300"/>
      <c r="H2651" s="300"/>
      <c r="I2651" s="161"/>
    </row>
    <row r="2652" spans="1:9" ht="12.95" customHeight="1" x14ac:dyDescent="0.25">
      <c r="A2652" s="450"/>
      <c r="B2652" s="451"/>
      <c r="C2652" s="119" t="s">
        <v>786</v>
      </c>
      <c r="D2652" s="119" t="s">
        <v>984</v>
      </c>
      <c r="E2652" s="162"/>
      <c r="F2652" s="162"/>
      <c r="G2652" s="162"/>
      <c r="H2652" s="162"/>
      <c r="I2652" s="161"/>
    </row>
    <row r="2653" spans="1:9" x14ac:dyDescent="0.25">
      <c r="A2653" s="163"/>
      <c r="B2653" s="120"/>
      <c r="C2653" s="227">
        <v>120</v>
      </c>
      <c r="D2653" s="228">
        <f>C2653</f>
        <v>120</v>
      </c>
      <c r="E2653" s="162"/>
      <c r="F2653" s="162"/>
      <c r="G2653" s="162"/>
      <c r="H2653" s="162"/>
      <c r="I2653" s="161"/>
    </row>
    <row r="2654" spans="1:9" ht="9.9499999999999993" customHeight="1" x14ac:dyDescent="0.25">
      <c r="A2654" s="164"/>
      <c r="B2654" s="121"/>
      <c r="C2654" s="122"/>
      <c r="D2654" s="123">
        <f>D2653</f>
        <v>120</v>
      </c>
      <c r="E2654" s="162"/>
      <c r="F2654" s="162"/>
      <c r="G2654" s="162"/>
      <c r="H2654" s="162"/>
      <c r="I2654" s="161"/>
    </row>
    <row r="2655" spans="1:9" ht="20.100000000000001" customHeight="1" x14ac:dyDescent="0.25">
      <c r="A2655" s="452"/>
      <c r="B2655" s="453"/>
      <c r="C2655" s="453"/>
      <c r="D2655" s="453"/>
      <c r="E2655" s="162"/>
      <c r="F2655" s="162"/>
      <c r="G2655" s="162"/>
      <c r="H2655" s="162"/>
      <c r="I2655" s="161"/>
    </row>
    <row r="2656" spans="1:9" ht="15" customHeight="1" x14ac:dyDescent="0.25">
      <c r="A2656" s="299" t="s">
        <v>4347</v>
      </c>
      <c r="B2656" s="463" t="str">
        <f>'PLANILHA ORCAMENTARIA'!D163</f>
        <v>Fornecimento e instalação de Mini Rack de Parede Padrão 19" - 16 U´s x 570mm</v>
      </c>
      <c r="C2656" s="455"/>
      <c r="D2656" s="455"/>
      <c r="E2656" s="300"/>
      <c r="F2656" s="300"/>
      <c r="G2656" s="300"/>
      <c r="H2656" s="300"/>
      <c r="I2656" s="161"/>
    </row>
    <row r="2657" spans="1:9" ht="12.95" customHeight="1" x14ac:dyDescent="0.25">
      <c r="A2657" s="450"/>
      <c r="B2657" s="451"/>
      <c r="C2657" s="119"/>
      <c r="D2657" s="119" t="s">
        <v>984</v>
      </c>
      <c r="E2657" s="162"/>
      <c r="F2657" s="162"/>
      <c r="G2657" s="162"/>
      <c r="H2657" s="162"/>
      <c r="I2657" s="161"/>
    </row>
    <row r="2658" spans="1:9" x14ac:dyDescent="0.25">
      <c r="A2658" s="163"/>
      <c r="B2658" s="120"/>
      <c r="C2658" s="227">
        <v>1</v>
      </c>
      <c r="D2658" s="228">
        <f>C2658</f>
        <v>1</v>
      </c>
      <c r="E2658" s="162"/>
      <c r="F2658" s="162"/>
      <c r="G2658" s="162"/>
      <c r="H2658" s="162"/>
      <c r="I2658" s="161"/>
    </row>
    <row r="2659" spans="1:9" ht="9.9499999999999993" customHeight="1" x14ac:dyDescent="0.25">
      <c r="A2659" s="164"/>
      <c r="B2659" s="121"/>
      <c r="C2659" s="122"/>
      <c r="D2659" s="123">
        <f>D2658</f>
        <v>1</v>
      </c>
      <c r="E2659" s="162"/>
      <c r="F2659" s="162"/>
      <c r="G2659" s="162"/>
      <c r="H2659" s="162"/>
      <c r="I2659" s="161"/>
    </row>
    <row r="2660" spans="1:9" ht="20.100000000000001" customHeight="1" x14ac:dyDescent="0.25">
      <c r="A2660" s="452"/>
      <c r="B2660" s="453"/>
      <c r="C2660" s="453"/>
      <c r="D2660" s="453"/>
      <c r="E2660" s="162"/>
      <c r="F2660" s="162"/>
      <c r="G2660" s="162"/>
      <c r="H2660" s="162"/>
      <c r="I2660" s="161"/>
    </row>
    <row r="2661" spans="1:9" ht="20.100000000000001" customHeight="1" x14ac:dyDescent="0.25">
      <c r="A2661" s="452"/>
      <c r="B2661" s="453"/>
      <c r="C2661" s="453"/>
      <c r="D2661" s="162"/>
      <c r="E2661" s="162"/>
      <c r="F2661" s="162"/>
      <c r="G2661" s="162"/>
      <c r="H2661" s="162"/>
      <c r="I2661" s="161"/>
    </row>
    <row r="2662" spans="1:9" ht="15" customHeight="1" x14ac:dyDescent="0.25">
      <c r="A2662" s="299" t="s">
        <v>4348</v>
      </c>
      <c r="B2662" s="454" t="str">
        <f>'PLANILHA ORCAMENTARIA'!D164</f>
        <v>Tampa cega 1u para Rack 19"</v>
      </c>
      <c r="C2662" s="455"/>
      <c r="D2662" s="455"/>
      <c r="E2662" s="300"/>
      <c r="F2662" s="300"/>
      <c r="G2662" s="300"/>
      <c r="H2662" s="300"/>
      <c r="I2662" s="161"/>
    </row>
    <row r="2663" spans="1:9" ht="12.95" customHeight="1" x14ac:dyDescent="0.25">
      <c r="A2663" s="450"/>
      <c r="B2663" s="451"/>
      <c r="C2663" s="119"/>
      <c r="D2663" s="119" t="s">
        <v>984</v>
      </c>
      <c r="E2663" s="162"/>
      <c r="F2663" s="162"/>
      <c r="G2663" s="162"/>
      <c r="H2663" s="162"/>
      <c r="I2663" s="161"/>
    </row>
    <row r="2664" spans="1:9" x14ac:dyDescent="0.25">
      <c r="A2664" s="163"/>
      <c r="B2664" s="120"/>
      <c r="C2664" s="227">
        <v>5</v>
      </c>
      <c r="D2664" s="228">
        <f>C2664</f>
        <v>5</v>
      </c>
      <c r="E2664" s="162"/>
      <c r="F2664" s="162"/>
      <c r="G2664" s="162"/>
      <c r="H2664" s="162"/>
      <c r="I2664" s="161"/>
    </row>
    <row r="2665" spans="1:9" ht="9.9499999999999993" customHeight="1" x14ac:dyDescent="0.25">
      <c r="A2665" s="164"/>
      <c r="B2665" s="121"/>
      <c r="C2665" s="122"/>
      <c r="D2665" s="123">
        <f>D2664</f>
        <v>5</v>
      </c>
      <c r="E2665" s="162"/>
      <c r="F2665" s="162"/>
      <c r="G2665" s="162"/>
      <c r="H2665" s="162"/>
      <c r="I2665" s="161"/>
    </row>
    <row r="2666" spans="1:9" ht="20.100000000000001" customHeight="1" x14ac:dyDescent="0.25">
      <c r="A2666" s="452"/>
      <c r="B2666" s="453"/>
      <c r="C2666" s="453"/>
      <c r="D2666" s="453"/>
      <c r="E2666" s="162"/>
      <c r="F2666" s="162"/>
      <c r="G2666" s="162"/>
      <c r="H2666" s="162"/>
      <c r="I2666" s="161"/>
    </row>
    <row r="2667" spans="1:9" ht="20.100000000000001" customHeight="1" x14ac:dyDescent="0.25">
      <c r="A2667" s="452"/>
      <c r="B2667" s="453"/>
      <c r="C2667" s="453"/>
      <c r="D2667" s="162"/>
      <c r="E2667" s="162"/>
      <c r="F2667" s="162"/>
      <c r="G2667" s="162"/>
      <c r="H2667" s="162"/>
      <c r="I2667" s="161"/>
    </row>
    <row r="2668" spans="1:9" ht="15" customHeight="1" x14ac:dyDescent="0.25">
      <c r="A2668" s="299" t="s">
        <v>4349</v>
      </c>
      <c r="B2668" s="454" t="str">
        <f>'PLANILHA ORCAMENTARIA'!D165</f>
        <v>Régua com 4 tomadas elétricas para montagem em Rack 19".</v>
      </c>
      <c r="C2668" s="455"/>
      <c r="D2668" s="455"/>
      <c r="E2668" s="300"/>
      <c r="F2668" s="300"/>
      <c r="G2668" s="300"/>
      <c r="H2668" s="300"/>
      <c r="I2668" s="161"/>
    </row>
    <row r="2669" spans="1:9" ht="12.95" customHeight="1" x14ac:dyDescent="0.25">
      <c r="A2669" s="450"/>
      <c r="B2669" s="451"/>
      <c r="C2669" s="119"/>
      <c r="D2669" s="119" t="s">
        <v>984</v>
      </c>
      <c r="E2669" s="162"/>
      <c r="F2669" s="162"/>
      <c r="G2669" s="162"/>
      <c r="H2669" s="162"/>
      <c r="I2669" s="161"/>
    </row>
    <row r="2670" spans="1:9" x14ac:dyDescent="0.25">
      <c r="A2670" s="163"/>
      <c r="B2670" s="120"/>
      <c r="C2670" s="227">
        <v>1</v>
      </c>
      <c r="D2670" s="228">
        <f>C2670</f>
        <v>1</v>
      </c>
      <c r="E2670" s="162"/>
      <c r="F2670" s="162"/>
      <c r="G2670" s="162"/>
      <c r="H2670" s="162"/>
      <c r="I2670" s="161"/>
    </row>
    <row r="2671" spans="1:9" ht="9.9499999999999993" customHeight="1" x14ac:dyDescent="0.25">
      <c r="A2671" s="164"/>
      <c r="B2671" s="121"/>
      <c r="C2671" s="122"/>
      <c r="D2671" s="123">
        <f>D2670</f>
        <v>1</v>
      </c>
      <c r="E2671" s="162"/>
      <c r="F2671" s="162"/>
      <c r="G2671" s="162"/>
      <c r="H2671" s="162"/>
      <c r="I2671" s="161"/>
    </row>
    <row r="2672" spans="1:9" ht="20.100000000000001" customHeight="1" x14ac:dyDescent="0.25">
      <c r="A2672" s="452"/>
      <c r="B2672" s="453"/>
      <c r="C2672" s="453"/>
      <c r="D2672" s="453"/>
      <c r="E2672" s="162"/>
      <c r="F2672" s="162"/>
      <c r="G2672" s="162"/>
      <c r="H2672" s="162"/>
      <c r="I2672" s="161"/>
    </row>
    <row r="2673" spans="1:9" ht="20.100000000000001" customHeight="1" x14ac:dyDescent="0.25">
      <c r="A2673" s="452"/>
      <c r="B2673" s="453"/>
      <c r="C2673" s="453"/>
      <c r="D2673" s="162"/>
      <c r="E2673" s="162"/>
      <c r="F2673" s="162"/>
      <c r="G2673" s="162"/>
      <c r="H2673" s="162"/>
      <c r="I2673" s="161"/>
    </row>
    <row r="2674" spans="1:9" ht="15" customHeight="1" x14ac:dyDescent="0.25">
      <c r="A2674" s="299" t="s">
        <v>4350</v>
      </c>
      <c r="B2674" s="454" t="str">
        <f>'PLANILHA ORCAMENTARIA'!D167</f>
        <v>Patch Panel 24 Portas RJ45/IDC Cat.5e, inclusive fixação em Rack 19"</v>
      </c>
      <c r="C2674" s="455"/>
      <c r="D2674" s="455"/>
      <c r="E2674" s="300"/>
      <c r="F2674" s="300"/>
      <c r="G2674" s="300"/>
      <c r="H2674" s="300"/>
      <c r="I2674" s="161"/>
    </row>
    <row r="2675" spans="1:9" ht="12.95" customHeight="1" x14ac:dyDescent="0.25">
      <c r="A2675" s="450"/>
      <c r="B2675" s="451"/>
      <c r="C2675" s="119"/>
      <c r="D2675" s="119" t="s">
        <v>984</v>
      </c>
      <c r="E2675" s="162"/>
      <c r="F2675" s="162"/>
      <c r="G2675" s="162"/>
      <c r="H2675" s="162"/>
      <c r="I2675" s="161"/>
    </row>
    <row r="2676" spans="1:9" x14ac:dyDescent="0.25">
      <c r="A2676" s="163"/>
      <c r="B2676" s="120"/>
      <c r="C2676" s="227">
        <v>2</v>
      </c>
      <c r="D2676" s="228">
        <f>C2676</f>
        <v>2</v>
      </c>
      <c r="E2676" s="162"/>
      <c r="F2676" s="162"/>
      <c r="G2676" s="162"/>
      <c r="H2676" s="162"/>
      <c r="I2676" s="161"/>
    </row>
    <row r="2677" spans="1:9" ht="9.9499999999999993" customHeight="1" x14ac:dyDescent="0.25">
      <c r="A2677" s="164"/>
      <c r="B2677" s="121"/>
      <c r="C2677" s="122"/>
      <c r="D2677" s="123">
        <f>D2676</f>
        <v>2</v>
      </c>
      <c r="E2677" s="162"/>
      <c r="F2677" s="162"/>
      <c r="G2677" s="162"/>
      <c r="H2677" s="162"/>
      <c r="I2677" s="161"/>
    </row>
    <row r="2678" spans="1:9" ht="20.100000000000001" customHeight="1" x14ac:dyDescent="0.25">
      <c r="A2678" s="452"/>
      <c r="B2678" s="453"/>
      <c r="C2678" s="453"/>
      <c r="D2678" s="453"/>
      <c r="E2678" s="162"/>
      <c r="F2678" s="162"/>
      <c r="G2678" s="162"/>
      <c r="H2678" s="162"/>
      <c r="I2678" s="161"/>
    </row>
    <row r="2679" spans="1:9" ht="20.100000000000001" customHeight="1" x14ac:dyDescent="0.25">
      <c r="A2679" s="452"/>
      <c r="B2679" s="453"/>
      <c r="C2679" s="453"/>
      <c r="D2679" s="162"/>
      <c r="E2679" s="162"/>
      <c r="F2679" s="162"/>
      <c r="G2679" s="162"/>
      <c r="H2679" s="162"/>
      <c r="I2679" s="161"/>
    </row>
    <row r="2680" spans="1:9" ht="15" customHeight="1" x14ac:dyDescent="0.25">
      <c r="A2680" s="299" t="s">
        <v>4351</v>
      </c>
      <c r="B2680" s="454" t="str">
        <f>'PLANILHA ORCAMENTARIA'!D168</f>
        <v>Patch Cord Multilan Extra Flexível CAT 5e U/UTP RJ-45 - 1,50 m</v>
      </c>
      <c r="C2680" s="455"/>
      <c r="D2680" s="455"/>
      <c r="E2680" s="300"/>
      <c r="F2680" s="300"/>
      <c r="G2680" s="300"/>
      <c r="H2680" s="300"/>
      <c r="I2680" s="161"/>
    </row>
    <row r="2681" spans="1:9" ht="12.95" customHeight="1" x14ac:dyDescent="0.25">
      <c r="A2681" s="450"/>
      <c r="B2681" s="451"/>
      <c r="C2681" s="119"/>
      <c r="D2681" s="119" t="s">
        <v>984</v>
      </c>
      <c r="E2681" s="162"/>
      <c r="F2681" s="162"/>
      <c r="G2681" s="162"/>
      <c r="H2681" s="162"/>
      <c r="I2681" s="161"/>
    </row>
    <row r="2682" spans="1:9" x14ac:dyDescent="0.25">
      <c r="A2682" s="163"/>
      <c r="B2682" s="120"/>
      <c r="C2682" s="227">
        <v>1</v>
      </c>
      <c r="D2682" s="228">
        <f>C2682</f>
        <v>1</v>
      </c>
      <c r="E2682" s="162"/>
      <c r="F2682" s="162"/>
      <c r="G2682" s="162"/>
      <c r="H2682" s="162"/>
      <c r="I2682" s="161"/>
    </row>
    <row r="2683" spans="1:9" ht="9.9499999999999993" customHeight="1" x14ac:dyDescent="0.25">
      <c r="A2683" s="164"/>
      <c r="B2683" s="121"/>
      <c r="C2683" s="122"/>
      <c r="D2683" s="123">
        <f>D2682</f>
        <v>1</v>
      </c>
      <c r="E2683" s="162"/>
      <c r="F2683" s="162"/>
      <c r="G2683" s="162"/>
      <c r="H2683" s="162"/>
      <c r="I2683" s="161"/>
    </row>
    <row r="2684" spans="1:9" ht="20.100000000000001" customHeight="1" x14ac:dyDescent="0.25">
      <c r="A2684" s="452"/>
      <c r="B2684" s="453"/>
      <c r="C2684" s="453"/>
      <c r="D2684" s="453"/>
      <c r="E2684" s="162"/>
      <c r="F2684" s="162"/>
      <c r="G2684" s="162"/>
      <c r="H2684" s="162"/>
      <c r="I2684" s="161"/>
    </row>
    <row r="2685" spans="1:9" ht="20.100000000000001" customHeight="1" x14ac:dyDescent="0.25">
      <c r="A2685" s="452"/>
      <c r="B2685" s="453"/>
      <c r="C2685" s="453"/>
      <c r="D2685" s="162"/>
      <c r="E2685" s="162"/>
      <c r="F2685" s="162"/>
      <c r="G2685" s="162"/>
      <c r="H2685" s="162"/>
      <c r="I2685" s="161"/>
    </row>
    <row r="2686" spans="1:9" ht="15" customHeight="1" x14ac:dyDescent="0.25">
      <c r="A2686" s="299" t="s">
        <v>4352</v>
      </c>
      <c r="B2686" s="454" t="str">
        <f>'PLANILHA ORCAMENTARIA'!D169</f>
        <v>Switch ethernet, gerenciável, instalação em rack 19",com 12 portas elétricas 100/1000mbps, POE</v>
      </c>
      <c r="C2686" s="455"/>
      <c r="D2686" s="455"/>
      <c r="E2686" s="300"/>
      <c r="F2686" s="300"/>
      <c r="G2686" s="300"/>
      <c r="H2686" s="300"/>
      <c r="I2686" s="161"/>
    </row>
    <row r="2687" spans="1:9" ht="12.95" customHeight="1" x14ac:dyDescent="0.25">
      <c r="A2687" s="450"/>
      <c r="B2687" s="451"/>
      <c r="C2687" s="119" t="s">
        <v>786</v>
      </c>
      <c r="D2687" s="119" t="s">
        <v>984</v>
      </c>
      <c r="E2687" s="162"/>
      <c r="F2687" s="162"/>
      <c r="G2687" s="162"/>
      <c r="H2687" s="162"/>
      <c r="I2687" s="161"/>
    </row>
    <row r="2688" spans="1:9" x14ac:dyDescent="0.25">
      <c r="A2688" s="163"/>
      <c r="B2688" s="120"/>
      <c r="C2688" s="227">
        <v>9</v>
      </c>
      <c r="D2688" s="228">
        <f>C2688</f>
        <v>9</v>
      </c>
      <c r="E2688" s="162"/>
      <c r="F2688" s="162"/>
      <c r="G2688" s="162"/>
      <c r="H2688" s="162"/>
      <c r="I2688" s="161"/>
    </row>
    <row r="2689" spans="1:9" ht="9.9499999999999993" customHeight="1" x14ac:dyDescent="0.25">
      <c r="A2689" s="164"/>
      <c r="B2689" s="121"/>
      <c r="C2689" s="122"/>
      <c r="D2689" s="123">
        <f>D2688</f>
        <v>9</v>
      </c>
      <c r="E2689" s="162"/>
      <c r="F2689" s="162"/>
      <c r="G2689" s="162"/>
      <c r="H2689" s="162"/>
      <c r="I2689" s="161"/>
    </row>
    <row r="2690" spans="1:9" ht="20.100000000000001" customHeight="1" x14ac:dyDescent="0.25">
      <c r="A2690" s="452"/>
      <c r="B2690" s="453"/>
      <c r="C2690" s="453"/>
      <c r="D2690" s="453"/>
      <c r="E2690" s="162"/>
      <c r="F2690" s="162"/>
      <c r="G2690" s="162"/>
      <c r="H2690" s="162"/>
      <c r="I2690" s="161"/>
    </row>
    <row r="2691" spans="1:9" ht="15" customHeight="1" x14ac:dyDescent="0.25">
      <c r="A2691" s="299" t="s">
        <v>4353</v>
      </c>
      <c r="B2691" s="454" t="str">
        <f>'PLANILHA ORCAMENTARIA'!D169</f>
        <v>Switch ethernet, gerenciável, instalação em rack 19",com 12 portas elétricas 100/1000mbps, POE</v>
      </c>
      <c r="C2691" s="455"/>
      <c r="D2691" s="455"/>
      <c r="E2691" s="300"/>
      <c r="F2691" s="300"/>
      <c r="G2691" s="300"/>
      <c r="H2691" s="300"/>
      <c r="I2691" s="161"/>
    </row>
    <row r="2692" spans="1:9" ht="12.95" customHeight="1" x14ac:dyDescent="0.25">
      <c r="A2692" s="450"/>
      <c r="B2692" s="451"/>
      <c r="C2692" s="119" t="s">
        <v>72</v>
      </c>
      <c r="D2692" s="119" t="s">
        <v>984</v>
      </c>
      <c r="E2692" s="162"/>
      <c r="F2692" s="162"/>
      <c r="G2692" s="162"/>
      <c r="H2692" s="162"/>
      <c r="I2692" s="161"/>
    </row>
    <row r="2693" spans="1:9" x14ac:dyDescent="0.25">
      <c r="A2693" s="163"/>
      <c r="B2693" s="120"/>
      <c r="C2693" s="227">
        <v>1</v>
      </c>
      <c r="D2693" s="228">
        <f>C2693</f>
        <v>1</v>
      </c>
      <c r="E2693" s="162"/>
      <c r="F2693" s="162"/>
      <c r="G2693" s="162"/>
      <c r="H2693" s="162"/>
      <c r="I2693" s="161"/>
    </row>
    <row r="2694" spans="1:9" ht="9.9499999999999993" customHeight="1" x14ac:dyDescent="0.25">
      <c r="A2694" s="164"/>
      <c r="B2694" s="121"/>
      <c r="C2694" s="122"/>
      <c r="D2694" s="123">
        <f>D2693</f>
        <v>1</v>
      </c>
      <c r="E2694" s="162"/>
      <c r="F2694" s="162"/>
      <c r="G2694" s="162"/>
      <c r="H2694" s="162"/>
      <c r="I2694" s="161"/>
    </row>
    <row r="2695" spans="1:9" ht="20.100000000000001" customHeight="1" x14ac:dyDescent="0.25">
      <c r="A2695" s="452"/>
      <c r="B2695" s="453"/>
      <c r="C2695" s="453"/>
      <c r="D2695" s="453"/>
      <c r="E2695" s="162"/>
      <c r="F2695" s="162"/>
      <c r="G2695" s="162"/>
      <c r="H2695" s="162"/>
      <c r="I2695" s="161"/>
    </row>
    <row r="2696" spans="1:9" ht="20.100000000000001" customHeight="1" x14ac:dyDescent="0.25">
      <c r="A2696" s="452"/>
      <c r="B2696" s="453"/>
      <c r="C2696" s="453"/>
      <c r="D2696" s="162"/>
      <c r="E2696" s="162"/>
      <c r="F2696" s="162"/>
      <c r="G2696" s="162"/>
      <c r="H2696" s="162"/>
      <c r="I2696" s="161"/>
    </row>
    <row r="2697" spans="1:9" ht="15" customHeight="1" x14ac:dyDescent="0.25">
      <c r="A2697" s="299" t="s">
        <v>4354</v>
      </c>
      <c r="B2697" s="454" t="str">
        <f>'PLANILHA ORCAMENTARIA'!D170</f>
        <v>CAIXA DE PASSAGEM METALICA DE SOBREPOR COM TAMPA PARAFUSADA, DIMENSOES 40 X UN 40 X 15 CM</v>
      </c>
      <c r="C2697" s="455"/>
      <c r="D2697" s="455"/>
      <c r="E2697" s="300"/>
      <c r="F2697" s="300"/>
      <c r="G2697" s="300"/>
      <c r="H2697" s="300"/>
      <c r="I2697" s="161"/>
    </row>
    <row r="2698" spans="1:9" ht="12.95" customHeight="1" x14ac:dyDescent="0.25">
      <c r="A2698" s="450"/>
      <c r="B2698" s="451"/>
      <c r="C2698" s="119"/>
      <c r="D2698" s="119" t="s">
        <v>984</v>
      </c>
      <c r="E2698" s="162"/>
      <c r="F2698" s="162"/>
      <c r="G2698" s="162"/>
      <c r="H2698" s="162"/>
      <c r="I2698" s="161"/>
    </row>
    <row r="2699" spans="1:9" x14ac:dyDescent="0.25">
      <c r="A2699" s="163"/>
      <c r="B2699" s="120"/>
      <c r="C2699" s="227">
        <v>1</v>
      </c>
      <c r="D2699" s="228">
        <f>C2699</f>
        <v>1</v>
      </c>
      <c r="E2699" s="162"/>
      <c r="F2699" s="162"/>
      <c r="G2699" s="162"/>
      <c r="H2699" s="162"/>
      <c r="I2699" s="161"/>
    </row>
    <row r="2700" spans="1:9" ht="9.9499999999999993" customHeight="1" x14ac:dyDescent="0.25">
      <c r="A2700" s="164"/>
      <c r="B2700" s="121"/>
      <c r="C2700" s="122"/>
      <c r="D2700" s="123">
        <f>D2699</f>
        <v>1</v>
      </c>
      <c r="E2700" s="162"/>
      <c r="F2700" s="162"/>
      <c r="G2700" s="162"/>
      <c r="H2700" s="162"/>
      <c r="I2700" s="161"/>
    </row>
    <row r="2701" spans="1:9" ht="20.100000000000001" customHeight="1" x14ac:dyDescent="0.25">
      <c r="A2701" s="452"/>
      <c r="B2701" s="453"/>
      <c r="C2701" s="453"/>
      <c r="D2701" s="453"/>
      <c r="E2701" s="162"/>
      <c r="F2701" s="162"/>
      <c r="G2701" s="162"/>
      <c r="H2701" s="162"/>
      <c r="I2701" s="161"/>
    </row>
    <row r="2702" spans="1:9" ht="20.100000000000001" customHeight="1" x14ac:dyDescent="0.25">
      <c r="A2702" s="452"/>
      <c r="B2702" s="453"/>
      <c r="C2702" s="453"/>
      <c r="D2702" s="162"/>
      <c r="E2702" s="162"/>
      <c r="F2702" s="162"/>
      <c r="G2702" s="162"/>
      <c r="H2702" s="162"/>
      <c r="I2702" s="161"/>
    </row>
    <row r="2703" spans="1:9" ht="15" customHeight="1" x14ac:dyDescent="0.25">
      <c r="A2703" s="299" t="s">
        <v>4355</v>
      </c>
      <c r="B2703" s="454" t="str">
        <f>'PLANILHA ORCAMENTARIA'!D171</f>
        <v>CAIXA DE PASSAGEM METALICA DE SOBREPOR COM TAMPA PARAFUSADA, DIMENSOES 20 X UN 20 X 10 CM</v>
      </c>
      <c r="C2703" s="455"/>
      <c r="D2703" s="455"/>
      <c r="E2703" s="300"/>
      <c r="F2703" s="300"/>
      <c r="G2703" s="300"/>
      <c r="H2703" s="300"/>
      <c r="I2703" s="161"/>
    </row>
    <row r="2704" spans="1:9" ht="12.95" customHeight="1" x14ac:dyDescent="0.25">
      <c r="A2704" s="450"/>
      <c r="B2704" s="451"/>
      <c r="C2704" s="119"/>
      <c r="D2704" s="119" t="s">
        <v>984</v>
      </c>
      <c r="E2704" s="162"/>
      <c r="F2704" s="162"/>
      <c r="G2704" s="162"/>
      <c r="H2704" s="162"/>
      <c r="I2704" s="161"/>
    </row>
    <row r="2705" spans="1:9" x14ac:dyDescent="0.25">
      <c r="A2705" s="163"/>
      <c r="B2705" s="120"/>
      <c r="C2705" s="227">
        <v>5</v>
      </c>
      <c r="D2705" s="228">
        <f>C2705</f>
        <v>5</v>
      </c>
      <c r="E2705" s="162"/>
      <c r="F2705" s="162"/>
      <c r="G2705" s="162"/>
      <c r="H2705" s="162"/>
      <c r="I2705" s="161"/>
    </row>
    <row r="2706" spans="1:9" ht="9.9499999999999993" customHeight="1" x14ac:dyDescent="0.25">
      <c r="A2706" s="164"/>
      <c r="B2706" s="121"/>
      <c r="C2706" s="122"/>
      <c r="D2706" s="123">
        <f>D2705</f>
        <v>5</v>
      </c>
      <c r="E2706" s="162"/>
      <c r="F2706" s="162"/>
      <c r="G2706" s="162"/>
      <c r="H2706" s="162"/>
      <c r="I2706" s="161"/>
    </row>
    <row r="2707" spans="1:9" ht="20.100000000000001" customHeight="1" x14ac:dyDescent="0.25">
      <c r="A2707" s="452"/>
      <c r="B2707" s="453"/>
      <c r="C2707" s="453"/>
      <c r="D2707" s="453"/>
      <c r="E2707" s="162"/>
      <c r="F2707" s="162"/>
      <c r="G2707" s="162"/>
      <c r="H2707" s="162"/>
      <c r="I2707" s="161"/>
    </row>
    <row r="2708" spans="1:9" ht="20.100000000000001" customHeight="1" x14ac:dyDescent="0.25">
      <c r="A2708" s="452"/>
      <c r="B2708" s="453"/>
      <c r="C2708" s="453"/>
      <c r="D2708" s="162"/>
      <c r="E2708" s="162"/>
      <c r="F2708" s="162"/>
      <c r="G2708" s="162"/>
      <c r="H2708" s="162"/>
      <c r="I2708" s="161"/>
    </row>
    <row r="2709" spans="1:9" ht="20.100000000000001" customHeight="1" x14ac:dyDescent="0.25">
      <c r="A2709" s="452"/>
      <c r="B2709" s="453"/>
      <c r="C2709" s="453"/>
      <c r="D2709" s="453"/>
      <c r="E2709" s="162"/>
      <c r="F2709" s="162"/>
      <c r="G2709" s="162"/>
      <c r="H2709" s="162"/>
      <c r="I2709" s="161"/>
    </row>
    <row r="2710" spans="1:9" ht="20.100000000000001" customHeight="1" x14ac:dyDescent="0.25">
      <c r="A2710" s="452"/>
      <c r="B2710" s="453"/>
      <c r="C2710" s="453"/>
      <c r="D2710" s="453"/>
      <c r="E2710" s="162"/>
      <c r="F2710" s="162"/>
      <c r="G2710" s="162"/>
      <c r="H2710" s="162"/>
      <c r="I2710" s="161"/>
    </row>
    <row r="2711" spans="1:9" ht="9.9499999999999993" customHeight="1" x14ac:dyDescent="0.25">
      <c r="A2711" s="456" t="s">
        <v>1689</v>
      </c>
      <c r="B2711" s="457"/>
      <c r="C2711" s="457"/>
      <c r="D2711" s="457"/>
      <c r="E2711" s="457"/>
      <c r="F2711" s="457"/>
      <c r="G2711" s="457"/>
      <c r="H2711" s="457"/>
      <c r="I2711" s="161"/>
    </row>
    <row r="2712" spans="1:9" ht="20.100000000000001" customHeight="1" x14ac:dyDescent="0.25">
      <c r="A2712" s="452"/>
      <c r="B2712" s="453"/>
      <c r="C2712" s="453"/>
      <c r="D2712" s="162"/>
      <c r="E2712" s="162"/>
      <c r="F2712" s="162"/>
      <c r="G2712" s="162"/>
      <c r="H2712" s="162"/>
      <c r="I2712" s="161"/>
    </row>
    <row r="2713" spans="1:9" ht="15" customHeight="1" x14ac:dyDescent="0.25">
      <c r="A2713" s="456" t="s">
        <v>1690</v>
      </c>
      <c r="B2713" s="457"/>
      <c r="C2713" s="457"/>
      <c r="D2713" s="457"/>
      <c r="E2713" s="457"/>
      <c r="F2713" s="457"/>
      <c r="G2713" s="457"/>
      <c r="H2713" s="457"/>
      <c r="I2713" s="161"/>
    </row>
    <row r="2714" spans="1:9" ht="12.95" customHeight="1" x14ac:dyDescent="0.25">
      <c r="A2714" s="450"/>
      <c r="B2714" s="451"/>
      <c r="C2714" s="119"/>
      <c r="D2714" s="119" t="s">
        <v>984</v>
      </c>
      <c r="E2714" s="162"/>
      <c r="F2714" s="162"/>
      <c r="G2714" s="162"/>
      <c r="H2714" s="162"/>
      <c r="I2714" s="161"/>
    </row>
    <row r="2715" spans="1:9" ht="15" customHeight="1" x14ac:dyDescent="0.25">
      <c r="A2715" s="163" t="s">
        <v>1691</v>
      </c>
      <c r="B2715" s="120" t="s">
        <v>4</v>
      </c>
      <c r="C2715" s="227">
        <v>3</v>
      </c>
      <c r="D2715" s="228">
        <f>ROUND(3,2)</f>
        <v>3</v>
      </c>
      <c r="E2715" s="162"/>
      <c r="F2715" s="162"/>
      <c r="G2715" s="162"/>
      <c r="H2715" s="162"/>
      <c r="I2715" s="161"/>
    </row>
    <row r="2716" spans="1:9" ht="9.9499999999999993" customHeight="1" x14ac:dyDescent="0.25">
      <c r="A2716" s="164"/>
      <c r="B2716" s="121"/>
      <c r="C2716" s="122"/>
      <c r="D2716" s="123">
        <f>ROUND(SUM(D2715:D2715),2)</f>
        <v>3</v>
      </c>
      <c r="E2716" s="162"/>
      <c r="F2716" s="162"/>
      <c r="G2716" s="162"/>
      <c r="H2716" s="162"/>
      <c r="I2716" s="161"/>
    </row>
    <row r="2717" spans="1:9" ht="12" customHeight="1" x14ac:dyDescent="0.25">
      <c r="A2717" s="452"/>
      <c r="B2717" s="453"/>
      <c r="C2717" s="453"/>
      <c r="D2717" s="162"/>
      <c r="E2717" s="162"/>
      <c r="F2717" s="162"/>
      <c r="G2717" s="162"/>
      <c r="H2717" s="162"/>
      <c r="I2717" s="161"/>
    </row>
    <row r="2718" spans="1:9" ht="9.9499999999999993" customHeight="1" x14ac:dyDescent="0.25">
      <c r="A2718" s="165"/>
      <c r="B2718" s="162"/>
      <c r="C2718" s="162"/>
      <c r="D2718" s="458" t="str">
        <f>"TOTAL DA MEMÓRIA DE CÁLCULO: "&amp;TEXT(ROUND(SUM(D2716),2),"0,00")</f>
        <v>TOTAL DA MEMÓRIA DE CÁLCULO: 3,00</v>
      </c>
      <c r="E2718" s="458"/>
      <c r="F2718" s="458"/>
      <c r="G2718" s="458"/>
      <c r="H2718" s="458"/>
      <c r="I2718" s="161"/>
    </row>
    <row r="2719" spans="1:9" ht="20.100000000000001" customHeight="1" x14ac:dyDescent="0.25">
      <c r="A2719" s="452"/>
      <c r="B2719" s="453"/>
      <c r="C2719" s="453"/>
      <c r="D2719" s="453"/>
      <c r="E2719" s="162"/>
      <c r="F2719" s="162"/>
      <c r="G2719" s="162"/>
      <c r="H2719" s="162"/>
      <c r="I2719" s="161"/>
    </row>
    <row r="2720" spans="1:9" ht="15" customHeight="1" x14ac:dyDescent="0.25">
      <c r="A2720" s="456" t="s">
        <v>1692</v>
      </c>
      <c r="B2720" s="457"/>
      <c r="C2720" s="457"/>
      <c r="D2720" s="457"/>
      <c r="E2720" s="457"/>
      <c r="F2720" s="457"/>
      <c r="G2720" s="457"/>
      <c r="H2720" s="457"/>
      <c r="I2720" s="161"/>
    </row>
    <row r="2721" spans="1:9" ht="12.95" customHeight="1" x14ac:dyDescent="0.25">
      <c r="A2721" s="450"/>
      <c r="B2721" s="451"/>
      <c r="C2721" s="119"/>
      <c r="D2721" s="119" t="s">
        <v>984</v>
      </c>
      <c r="E2721" s="162"/>
      <c r="F2721" s="162"/>
      <c r="G2721" s="162"/>
      <c r="H2721" s="162"/>
      <c r="I2721" s="161"/>
    </row>
    <row r="2722" spans="1:9" ht="15" customHeight="1" x14ac:dyDescent="0.25">
      <c r="A2722" s="163" t="s">
        <v>1693</v>
      </c>
      <c r="B2722" s="120" t="s">
        <v>0</v>
      </c>
      <c r="C2722" s="227">
        <v>1</v>
      </c>
      <c r="D2722" s="228">
        <f>ROUND(1,2)</f>
        <v>1</v>
      </c>
      <c r="E2722" s="162"/>
      <c r="F2722" s="162"/>
      <c r="G2722" s="162"/>
      <c r="H2722" s="162"/>
      <c r="I2722" s="161"/>
    </row>
    <row r="2723" spans="1:9" ht="9.9499999999999993" customHeight="1" x14ac:dyDescent="0.25">
      <c r="A2723" s="164"/>
      <c r="B2723" s="121"/>
      <c r="C2723" s="122"/>
      <c r="D2723" s="123">
        <f>ROUND(SUM(D2722:D2722),2)</f>
        <v>1</v>
      </c>
      <c r="E2723" s="162"/>
      <c r="F2723" s="162"/>
      <c r="G2723" s="162"/>
      <c r="H2723" s="162"/>
      <c r="I2723" s="161"/>
    </row>
    <row r="2724" spans="1:9" ht="12" customHeight="1" x14ac:dyDescent="0.25">
      <c r="A2724" s="452"/>
      <c r="B2724" s="453"/>
      <c r="C2724" s="453"/>
      <c r="D2724" s="162"/>
      <c r="E2724" s="162"/>
      <c r="F2724" s="162"/>
      <c r="G2724" s="162"/>
      <c r="H2724" s="162"/>
      <c r="I2724" s="161"/>
    </row>
    <row r="2725" spans="1:9" ht="9.9499999999999993" customHeight="1" x14ac:dyDescent="0.25">
      <c r="A2725" s="165"/>
      <c r="B2725" s="162"/>
      <c r="C2725" s="162"/>
      <c r="D2725" s="458" t="str">
        <f>"TOTAL DA MEMÓRIA DE CÁLCULO: "&amp;TEXT(ROUND(SUM(D2723),2),"0,00")</f>
        <v>TOTAL DA MEMÓRIA DE CÁLCULO: 1,00</v>
      </c>
      <c r="E2725" s="458"/>
      <c r="F2725" s="458"/>
      <c r="G2725" s="458"/>
      <c r="H2725" s="458"/>
      <c r="I2725" s="161"/>
    </row>
    <row r="2726" spans="1:9" ht="30.95" customHeight="1" x14ac:dyDescent="0.25">
      <c r="A2726" s="452"/>
      <c r="B2726" s="453"/>
      <c r="C2726" s="453"/>
      <c r="D2726" s="453"/>
      <c r="E2726" s="162"/>
      <c r="F2726" s="162"/>
      <c r="G2726" s="162"/>
      <c r="H2726" s="162"/>
      <c r="I2726" s="161"/>
    </row>
    <row r="2727" spans="1:9" ht="15" customHeight="1" x14ac:dyDescent="0.25">
      <c r="A2727" s="456" t="s">
        <v>1694</v>
      </c>
      <c r="B2727" s="457"/>
      <c r="C2727" s="457"/>
      <c r="D2727" s="457"/>
      <c r="E2727" s="457"/>
      <c r="F2727" s="457"/>
      <c r="G2727" s="457"/>
      <c r="H2727" s="457"/>
      <c r="I2727" s="161"/>
    </row>
    <row r="2728" spans="1:9" ht="12.95" customHeight="1" x14ac:dyDescent="0.25">
      <c r="A2728" s="450"/>
      <c r="B2728" s="451"/>
      <c r="C2728" s="119"/>
      <c r="D2728" s="119" t="s">
        <v>984</v>
      </c>
      <c r="E2728" s="162"/>
      <c r="F2728" s="162"/>
      <c r="G2728" s="162"/>
      <c r="H2728" s="162"/>
      <c r="I2728" s="161"/>
    </row>
    <row r="2729" spans="1:9" ht="6" customHeight="1" x14ac:dyDescent="0.25">
      <c r="A2729" s="163" t="s">
        <v>1695</v>
      </c>
      <c r="B2729" s="120" t="s">
        <v>1684</v>
      </c>
      <c r="C2729" s="459">
        <v>150</v>
      </c>
      <c r="D2729" s="460">
        <f>ROUND(150,2)</f>
        <v>150</v>
      </c>
      <c r="E2729" s="162"/>
      <c r="F2729" s="162"/>
      <c r="G2729" s="162"/>
      <c r="H2729" s="162"/>
      <c r="I2729" s="161"/>
    </row>
    <row r="2730" spans="1:9" ht="15" customHeight="1" x14ac:dyDescent="0.25">
      <c r="A2730" s="166"/>
      <c r="B2730" s="124"/>
      <c r="C2730" s="459"/>
      <c r="D2730" s="460"/>
      <c r="E2730" s="162"/>
      <c r="F2730" s="162"/>
      <c r="G2730" s="162"/>
      <c r="H2730" s="162"/>
      <c r="I2730" s="161"/>
    </row>
    <row r="2731" spans="1:9" ht="9.9499999999999993" customHeight="1" x14ac:dyDescent="0.25">
      <c r="A2731" s="164"/>
      <c r="B2731" s="121"/>
      <c r="C2731" s="122"/>
      <c r="D2731" s="123">
        <f>ROUND(SUM(D2729:D2730),2)</f>
        <v>150</v>
      </c>
      <c r="E2731" s="162"/>
      <c r="F2731" s="162"/>
      <c r="G2731" s="162"/>
      <c r="H2731" s="162"/>
      <c r="I2731" s="161"/>
    </row>
    <row r="2732" spans="1:9" ht="12" customHeight="1" x14ac:dyDescent="0.25">
      <c r="A2732" s="452"/>
      <c r="B2732" s="453"/>
      <c r="C2732" s="453"/>
      <c r="D2732" s="162"/>
      <c r="E2732" s="162"/>
      <c r="F2732" s="162"/>
      <c r="G2732" s="162"/>
      <c r="H2732" s="162"/>
      <c r="I2732" s="161"/>
    </row>
    <row r="2733" spans="1:9" ht="9.9499999999999993" customHeight="1" x14ac:dyDescent="0.25">
      <c r="A2733" s="165"/>
      <c r="B2733" s="162"/>
      <c r="C2733" s="162"/>
      <c r="D2733" s="458" t="str">
        <f>"TOTAL DA MEMÓRIA DE CÁLCULO: "&amp;TEXT(ROUND(SUM(D2731),2),"0,00")</f>
        <v>TOTAL DA MEMÓRIA DE CÁLCULO: 150,00</v>
      </c>
      <c r="E2733" s="458"/>
      <c r="F2733" s="458"/>
      <c r="G2733" s="458"/>
      <c r="H2733" s="458"/>
      <c r="I2733" s="161"/>
    </row>
    <row r="2734" spans="1:9" ht="30.95" customHeight="1" x14ac:dyDescent="0.25">
      <c r="A2734" s="452"/>
      <c r="B2734" s="453"/>
      <c r="C2734" s="453"/>
      <c r="D2734" s="453"/>
      <c r="E2734" s="162"/>
      <c r="F2734" s="162"/>
      <c r="G2734" s="162"/>
      <c r="H2734" s="162"/>
      <c r="I2734" s="161"/>
    </row>
    <row r="2735" spans="1:9" ht="15" customHeight="1" x14ac:dyDescent="0.25">
      <c r="A2735" s="456" t="s">
        <v>1696</v>
      </c>
      <c r="B2735" s="457"/>
      <c r="C2735" s="457"/>
      <c r="D2735" s="457"/>
      <c r="E2735" s="457"/>
      <c r="F2735" s="457"/>
      <c r="G2735" s="457"/>
      <c r="H2735" s="457"/>
      <c r="I2735" s="161"/>
    </row>
    <row r="2736" spans="1:9" ht="12.95" customHeight="1" x14ac:dyDescent="0.25">
      <c r="A2736" s="450"/>
      <c r="B2736" s="451"/>
      <c r="C2736" s="119"/>
      <c r="D2736" s="119" t="s">
        <v>984</v>
      </c>
      <c r="E2736" s="162"/>
      <c r="F2736" s="162"/>
      <c r="G2736" s="162"/>
      <c r="H2736" s="162"/>
      <c r="I2736" s="161"/>
    </row>
    <row r="2737" spans="1:9" ht="15" customHeight="1" x14ac:dyDescent="0.25">
      <c r="A2737" s="163" t="s">
        <v>1697</v>
      </c>
      <c r="B2737" s="120" t="s">
        <v>1571</v>
      </c>
      <c r="C2737" s="227">
        <v>80</v>
      </c>
      <c r="D2737" s="228">
        <f>ROUND(80,2)</f>
        <v>80</v>
      </c>
      <c r="E2737" s="162"/>
      <c r="F2737" s="162"/>
      <c r="G2737" s="162"/>
      <c r="H2737" s="162"/>
      <c r="I2737" s="161"/>
    </row>
    <row r="2738" spans="1:9" ht="9.9499999999999993" customHeight="1" x14ac:dyDescent="0.25">
      <c r="A2738" s="164"/>
      <c r="B2738" s="121"/>
      <c r="C2738" s="122"/>
      <c r="D2738" s="123">
        <f>ROUND(SUM(D2737:D2737),2)</f>
        <v>80</v>
      </c>
      <c r="E2738" s="162"/>
      <c r="F2738" s="162"/>
      <c r="G2738" s="162"/>
      <c r="H2738" s="162"/>
      <c r="I2738" s="161"/>
    </row>
    <row r="2739" spans="1:9" ht="12" customHeight="1" x14ac:dyDescent="0.25">
      <c r="A2739" s="452"/>
      <c r="B2739" s="453"/>
      <c r="C2739" s="453"/>
      <c r="D2739" s="162"/>
      <c r="E2739" s="162"/>
      <c r="F2739" s="162"/>
      <c r="G2739" s="162"/>
      <c r="H2739" s="162"/>
      <c r="I2739" s="161"/>
    </row>
    <row r="2740" spans="1:9" ht="9.9499999999999993" customHeight="1" x14ac:dyDescent="0.25">
      <c r="A2740" s="165"/>
      <c r="B2740" s="162"/>
      <c r="C2740" s="162"/>
      <c r="D2740" s="458" t="str">
        <f>"TOTAL DA MEMÓRIA DE CÁLCULO: "&amp;TEXT(ROUND(SUM(D2738),2),"0,00")</f>
        <v>TOTAL DA MEMÓRIA DE CÁLCULO: 80,00</v>
      </c>
      <c r="E2740" s="458"/>
      <c r="F2740" s="458"/>
      <c r="G2740" s="458"/>
      <c r="H2740" s="458"/>
      <c r="I2740" s="161"/>
    </row>
    <row r="2741" spans="1:9" ht="20.100000000000001" customHeight="1" x14ac:dyDescent="0.25">
      <c r="A2741" s="452"/>
      <c r="B2741" s="453"/>
      <c r="C2741" s="453"/>
      <c r="D2741" s="453"/>
      <c r="E2741" s="162"/>
      <c r="F2741" s="162"/>
      <c r="G2741" s="162"/>
      <c r="H2741" s="162"/>
      <c r="I2741" s="161"/>
    </row>
    <row r="2742" spans="1:9" ht="15" customHeight="1" x14ac:dyDescent="0.25">
      <c r="A2742" s="456" t="s">
        <v>1698</v>
      </c>
      <c r="B2742" s="457"/>
      <c r="C2742" s="457"/>
      <c r="D2742" s="457"/>
      <c r="E2742" s="457"/>
      <c r="F2742" s="457"/>
      <c r="G2742" s="457"/>
      <c r="H2742" s="457"/>
      <c r="I2742" s="161"/>
    </row>
    <row r="2743" spans="1:9" ht="18.95" customHeight="1" x14ac:dyDescent="0.25">
      <c r="A2743" s="450"/>
      <c r="B2743" s="451"/>
      <c r="C2743" s="119"/>
      <c r="D2743" s="119" t="s">
        <v>984</v>
      </c>
      <c r="E2743" s="162"/>
      <c r="F2743" s="162"/>
      <c r="G2743" s="162"/>
      <c r="H2743" s="162"/>
      <c r="I2743" s="161"/>
    </row>
    <row r="2744" spans="1:9" ht="15" customHeight="1" x14ac:dyDescent="0.25">
      <c r="A2744" s="163" t="s">
        <v>1699</v>
      </c>
      <c r="B2744" s="120" t="s">
        <v>13</v>
      </c>
      <c r="C2744" s="227">
        <v>8</v>
      </c>
      <c r="D2744" s="228">
        <f>ROUND(8,2)</f>
        <v>8</v>
      </c>
      <c r="E2744" s="162"/>
      <c r="F2744" s="162"/>
      <c r="G2744" s="162"/>
      <c r="H2744" s="162"/>
      <c r="I2744" s="161"/>
    </row>
    <row r="2745" spans="1:9" ht="9.9499999999999993" customHeight="1" x14ac:dyDescent="0.25">
      <c r="A2745" s="164"/>
      <c r="B2745" s="121"/>
      <c r="C2745" s="122"/>
      <c r="D2745" s="123">
        <f>ROUND(SUM(D2744:D2744),2)</f>
        <v>8</v>
      </c>
      <c r="E2745" s="162"/>
      <c r="F2745" s="162"/>
      <c r="G2745" s="162"/>
      <c r="H2745" s="162"/>
      <c r="I2745" s="161"/>
    </row>
    <row r="2746" spans="1:9" ht="12" customHeight="1" x14ac:dyDescent="0.25">
      <c r="A2746" s="452"/>
      <c r="B2746" s="453"/>
      <c r="C2746" s="453"/>
      <c r="D2746" s="162"/>
      <c r="E2746" s="162"/>
      <c r="F2746" s="162"/>
      <c r="G2746" s="162"/>
      <c r="H2746" s="162"/>
      <c r="I2746" s="161"/>
    </row>
    <row r="2747" spans="1:9" ht="9.9499999999999993" customHeight="1" x14ac:dyDescent="0.25">
      <c r="A2747" s="165"/>
      <c r="B2747" s="162"/>
      <c r="C2747" s="162"/>
      <c r="D2747" s="458" t="str">
        <f>"TOTAL DA MEMÓRIA DE CÁLCULO: "&amp;TEXT(ROUND(SUM(D2745),2),"0,00")</f>
        <v>TOTAL DA MEMÓRIA DE CÁLCULO: 8,00</v>
      </c>
      <c r="E2747" s="458"/>
      <c r="F2747" s="458"/>
      <c r="G2747" s="458"/>
      <c r="H2747" s="458"/>
      <c r="I2747" s="161"/>
    </row>
    <row r="2748" spans="1:9" ht="9.9499999999999993" customHeight="1" x14ac:dyDescent="0.25">
      <c r="A2748" s="165"/>
      <c r="B2748" s="162"/>
      <c r="C2748" s="162"/>
      <c r="D2748" s="229"/>
      <c r="E2748" s="229"/>
      <c r="F2748" s="229"/>
      <c r="G2748" s="229"/>
      <c r="H2748" s="229"/>
      <c r="I2748" s="161"/>
    </row>
    <row r="2749" spans="1:9" ht="15" customHeight="1" x14ac:dyDescent="0.25">
      <c r="A2749" s="299" t="s">
        <v>4329</v>
      </c>
      <c r="B2749" s="454" t="str">
        <f>'PLANILHA ORCAMENTARIA'!D178</f>
        <v>Perfil em alumínio esp. 2 mm para fixação de módulo solar fotovoltaico, inclusive fixação em telha.</v>
      </c>
      <c r="C2749" s="455"/>
      <c r="D2749" s="455"/>
      <c r="E2749" s="300"/>
      <c r="F2749" s="300"/>
      <c r="G2749" s="300"/>
      <c r="H2749" s="300"/>
      <c r="I2749" s="161"/>
    </row>
    <row r="2750" spans="1:9" ht="12.95" customHeight="1" x14ac:dyDescent="0.25">
      <c r="A2750" s="450"/>
      <c r="B2750" s="451"/>
      <c r="C2750" s="119"/>
      <c r="D2750" s="119" t="s">
        <v>984</v>
      </c>
      <c r="E2750" s="162"/>
      <c r="F2750" s="162"/>
      <c r="G2750" s="162"/>
      <c r="H2750" s="162"/>
      <c r="I2750" s="161"/>
    </row>
    <row r="2751" spans="1:9" x14ac:dyDescent="0.25">
      <c r="A2751" s="163"/>
      <c r="B2751" s="120"/>
      <c r="C2751" s="227">
        <v>390</v>
      </c>
      <c r="D2751" s="228">
        <f>C2751</f>
        <v>390</v>
      </c>
      <c r="E2751" s="162"/>
      <c r="F2751" s="162"/>
      <c r="G2751" s="162"/>
      <c r="H2751" s="162"/>
      <c r="I2751" s="161"/>
    </row>
    <row r="2752" spans="1:9" ht="9.9499999999999993" customHeight="1" x14ac:dyDescent="0.25">
      <c r="A2752" s="164"/>
      <c r="B2752" s="121"/>
      <c r="C2752" s="122"/>
      <c r="D2752" s="123">
        <f>D2751</f>
        <v>390</v>
      </c>
      <c r="E2752" s="162"/>
      <c r="F2752" s="162"/>
      <c r="G2752" s="162"/>
      <c r="H2752" s="162"/>
      <c r="I2752" s="161"/>
    </row>
    <row r="2753" spans="1:9" ht="20.100000000000001" customHeight="1" x14ac:dyDescent="0.25">
      <c r="A2753" s="452"/>
      <c r="B2753" s="453"/>
      <c r="C2753" s="453"/>
      <c r="D2753" s="453"/>
      <c r="E2753" s="162"/>
      <c r="F2753" s="162"/>
      <c r="G2753" s="162"/>
      <c r="H2753" s="162"/>
      <c r="I2753" s="161"/>
    </row>
    <row r="2754" spans="1:9" ht="9.9499999999999993" customHeight="1" x14ac:dyDescent="0.25">
      <c r="A2754" s="165"/>
      <c r="B2754" s="162"/>
      <c r="C2754" s="162"/>
      <c r="D2754" s="229"/>
      <c r="E2754" s="229"/>
      <c r="F2754" s="229"/>
      <c r="G2754" s="229"/>
      <c r="H2754" s="229"/>
      <c r="I2754" s="161"/>
    </row>
    <row r="2755" spans="1:9" ht="15" customHeight="1" x14ac:dyDescent="0.25">
      <c r="A2755" s="299" t="s">
        <v>4330</v>
      </c>
      <c r="B2755" s="454" t="str">
        <f>'PLANILHA ORCAMENTARIA'!D179</f>
        <v>Presilha em alumínio para fixação lateral 40mm do módulo solar (completo)</v>
      </c>
      <c r="C2755" s="455"/>
      <c r="D2755" s="455"/>
      <c r="E2755" s="300"/>
      <c r="F2755" s="300"/>
      <c r="G2755" s="300"/>
      <c r="H2755" s="300"/>
      <c r="I2755" s="161"/>
    </row>
    <row r="2756" spans="1:9" ht="12.95" customHeight="1" x14ac:dyDescent="0.25">
      <c r="A2756" s="450"/>
      <c r="B2756" s="451"/>
      <c r="C2756" s="119"/>
      <c r="D2756" s="119" t="s">
        <v>984</v>
      </c>
      <c r="E2756" s="162"/>
      <c r="F2756" s="162"/>
      <c r="G2756" s="162"/>
      <c r="H2756" s="162"/>
      <c r="I2756" s="161"/>
    </row>
    <row r="2757" spans="1:9" x14ac:dyDescent="0.25">
      <c r="A2757" s="163"/>
      <c r="B2757" s="120"/>
      <c r="C2757" s="227">
        <v>120</v>
      </c>
      <c r="D2757" s="228">
        <f>C2757</f>
        <v>120</v>
      </c>
      <c r="E2757" s="162"/>
      <c r="F2757" s="162"/>
      <c r="G2757" s="162"/>
      <c r="H2757" s="162"/>
      <c r="I2757" s="161"/>
    </row>
    <row r="2758" spans="1:9" ht="9.9499999999999993" customHeight="1" x14ac:dyDescent="0.25">
      <c r="A2758" s="164"/>
      <c r="B2758" s="121"/>
      <c r="C2758" s="122"/>
      <c r="D2758" s="123">
        <f>D2757</f>
        <v>120</v>
      </c>
      <c r="E2758" s="162"/>
      <c r="F2758" s="162"/>
      <c r="G2758" s="162"/>
      <c r="H2758" s="162"/>
      <c r="I2758" s="161"/>
    </row>
    <row r="2759" spans="1:9" ht="20.100000000000001" customHeight="1" x14ac:dyDescent="0.25">
      <c r="A2759" s="452"/>
      <c r="B2759" s="453"/>
      <c r="C2759" s="453"/>
      <c r="D2759" s="453"/>
      <c r="E2759" s="162"/>
      <c r="F2759" s="162"/>
      <c r="G2759" s="162"/>
      <c r="H2759" s="162"/>
      <c r="I2759" s="161"/>
    </row>
    <row r="2760" spans="1:9" ht="9.9499999999999993" customHeight="1" x14ac:dyDescent="0.25">
      <c r="A2760" s="165"/>
      <c r="B2760" s="162"/>
      <c r="C2760" s="162"/>
      <c r="D2760" s="229"/>
      <c r="E2760" s="229"/>
      <c r="F2760" s="229"/>
      <c r="G2760" s="229"/>
      <c r="H2760" s="229"/>
      <c r="I2760" s="161"/>
    </row>
    <row r="2761" spans="1:9" ht="15" customHeight="1" x14ac:dyDescent="0.25">
      <c r="A2761" s="299" t="s">
        <v>4331</v>
      </c>
      <c r="B2761" s="454" t="str">
        <f>'PLANILHA ORCAMENTARIA'!D180</f>
        <v>Junção para perfil em alumínio para painéis solares, inclusive parafusos sextavados M8, porcas sextavadas M8 e arruelas lisas e de pressão M8 em aço inox AISI 304</v>
      </c>
      <c r="C2761" s="455"/>
      <c r="D2761" s="455"/>
      <c r="E2761" s="300"/>
      <c r="F2761" s="300"/>
      <c r="G2761" s="300"/>
      <c r="H2761" s="300"/>
      <c r="I2761" s="161"/>
    </row>
    <row r="2762" spans="1:9" ht="12.95" customHeight="1" x14ac:dyDescent="0.25">
      <c r="A2762" s="450"/>
      <c r="B2762" s="451"/>
      <c r="C2762" s="119"/>
      <c r="D2762" s="119" t="s">
        <v>984</v>
      </c>
      <c r="E2762" s="162"/>
      <c r="F2762" s="162"/>
      <c r="G2762" s="162"/>
      <c r="H2762" s="162"/>
      <c r="I2762" s="161"/>
    </row>
    <row r="2763" spans="1:9" x14ac:dyDescent="0.25">
      <c r="A2763" s="163"/>
      <c r="B2763" s="120"/>
      <c r="C2763" s="227">
        <v>120</v>
      </c>
      <c r="D2763" s="228">
        <f>C2763</f>
        <v>120</v>
      </c>
      <c r="E2763" s="162"/>
      <c r="F2763" s="162"/>
      <c r="G2763" s="162"/>
      <c r="H2763" s="162"/>
      <c r="I2763" s="161"/>
    </row>
    <row r="2764" spans="1:9" ht="9.9499999999999993" customHeight="1" x14ac:dyDescent="0.25">
      <c r="A2764" s="164"/>
      <c r="B2764" s="121"/>
      <c r="C2764" s="122"/>
      <c r="D2764" s="123">
        <f>D2763</f>
        <v>120</v>
      </c>
      <c r="E2764" s="162"/>
      <c r="F2764" s="162"/>
      <c r="G2764" s="162"/>
      <c r="H2764" s="162"/>
      <c r="I2764" s="161"/>
    </row>
    <row r="2765" spans="1:9" ht="20.100000000000001" customHeight="1" x14ac:dyDescent="0.25">
      <c r="A2765" s="452"/>
      <c r="B2765" s="453"/>
      <c r="C2765" s="453"/>
      <c r="D2765" s="453"/>
      <c r="E2765" s="162"/>
      <c r="F2765" s="162"/>
      <c r="G2765" s="162"/>
      <c r="H2765" s="162"/>
      <c r="I2765" s="161"/>
    </row>
    <row r="2766" spans="1:9" ht="9.9499999999999993" customHeight="1" x14ac:dyDescent="0.25">
      <c r="A2766" s="165"/>
      <c r="B2766" s="162"/>
      <c r="C2766" s="162"/>
      <c r="D2766" s="229"/>
      <c r="E2766" s="229"/>
      <c r="F2766" s="229"/>
      <c r="G2766" s="229"/>
      <c r="H2766" s="229"/>
      <c r="I2766" s="161"/>
    </row>
    <row r="2767" spans="1:9" ht="15" customHeight="1" x14ac:dyDescent="0.25">
      <c r="A2767" s="299" t="s">
        <v>4332</v>
      </c>
      <c r="B2767" s="454" t="str">
        <f>'PLANILHA ORCAMENTARIA'!D181</f>
        <v>Poliuretano flexível bisnaga 360g TEL-5905, marca de referência Termotécnica ou equivalente</v>
      </c>
      <c r="C2767" s="455"/>
      <c r="D2767" s="455"/>
      <c r="E2767" s="300"/>
      <c r="F2767" s="300"/>
      <c r="G2767" s="300"/>
      <c r="H2767" s="300"/>
      <c r="I2767" s="161"/>
    </row>
    <row r="2768" spans="1:9" ht="12.95" customHeight="1" x14ac:dyDescent="0.25">
      <c r="A2768" s="450"/>
      <c r="B2768" s="451"/>
      <c r="C2768" s="119"/>
      <c r="D2768" s="119" t="s">
        <v>984</v>
      </c>
      <c r="E2768" s="162"/>
      <c r="F2768" s="162"/>
      <c r="G2768" s="162"/>
      <c r="H2768" s="162"/>
      <c r="I2768" s="161"/>
    </row>
    <row r="2769" spans="1:9" x14ac:dyDescent="0.25">
      <c r="A2769" s="163"/>
      <c r="B2769" s="120"/>
      <c r="C2769" s="227">
        <v>32</v>
      </c>
      <c r="D2769" s="228">
        <f>C2769</f>
        <v>32</v>
      </c>
      <c r="E2769" s="162"/>
      <c r="F2769" s="162"/>
      <c r="G2769" s="162"/>
      <c r="H2769" s="162"/>
      <c r="I2769" s="161"/>
    </row>
    <row r="2770" spans="1:9" ht="9.9499999999999993" customHeight="1" x14ac:dyDescent="0.25">
      <c r="A2770" s="164"/>
      <c r="B2770" s="121"/>
      <c r="C2770" s="122"/>
      <c r="D2770" s="123">
        <f>D2769</f>
        <v>32</v>
      </c>
      <c r="E2770" s="162"/>
      <c r="F2770" s="162"/>
      <c r="G2770" s="162"/>
      <c r="H2770" s="162"/>
      <c r="I2770" s="161"/>
    </row>
    <row r="2771" spans="1:9" ht="20.100000000000001" customHeight="1" x14ac:dyDescent="0.25">
      <c r="A2771" s="452"/>
      <c r="B2771" s="453"/>
      <c r="C2771" s="453"/>
      <c r="D2771" s="453"/>
      <c r="E2771" s="162"/>
      <c r="F2771" s="162"/>
      <c r="G2771" s="162"/>
      <c r="H2771" s="162"/>
      <c r="I2771" s="161"/>
    </row>
    <row r="2772" spans="1:9" ht="9.9499999999999993" customHeight="1" x14ac:dyDescent="0.25">
      <c r="A2772" s="165"/>
      <c r="B2772" s="162"/>
      <c r="C2772" s="162"/>
      <c r="D2772" s="229"/>
      <c r="E2772" s="229"/>
      <c r="F2772" s="229"/>
      <c r="G2772" s="229"/>
      <c r="H2772" s="229"/>
      <c r="I2772" s="161"/>
    </row>
    <row r="2773" spans="1:9" ht="15" customHeight="1" x14ac:dyDescent="0.25">
      <c r="A2773" s="299" t="s">
        <v>4333</v>
      </c>
      <c r="B2773" s="454" t="str">
        <f>'PLANILHA ORCAMENTARIA'!D182</f>
        <v>Chave seccionadora DC rotativa 20A, 4 polos, 1200VDC, para trilho DIN 35</v>
      </c>
      <c r="C2773" s="455"/>
      <c r="D2773" s="455"/>
      <c r="E2773" s="300"/>
      <c r="F2773" s="300"/>
      <c r="G2773" s="300"/>
      <c r="H2773" s="300"/>
      <c r="I2773" s="161"/>
    </row>
    <row r="2774" spans="1:9" ht="12.95" customHeight="1" x14ac:dyDescent="0.25">
      <c r="A2774" s="450"/>
      <c r="B2774" s="451"/>
      <c r="C2774" s="119"/>
      <c r="D2774" s="119" t="s">
        <v>984</v>
      </c>
      <c r="E2774" s="162"/>
      <c r="F2774" s="162"/>
      <c r="G2774" s="162"/>
      <c r="H2774" s="162"/>
      <c r="I2774" s="161"/>
    </row>
    <row r="2775" spans="1:9" x14ac:dyDescent="0.25">
      <c r="A2775" s="163"/>
      <c r="B2775" s="120"/>
      <c r="C2775" s="227">
        <v>1</v>
      </c>
      <c r="D2775" s="228">
        <f>C2775</f>
        <v>1</v>
      </c>
      <c r="E2775" s="162"/>
      <c r="F2775" s="162"/>
      <c r="G2775" s="162"/>
      <c r="H2775" s="162"/>
      <c r="I2775" s="161"/>
    </row>
    <row r="2776" spans="1:9" ht="9.9499999999999993" customHeight="1" x14ac:dyDescent="0.25">
      <c r="A2776" s="164"/>
      <c r="B2776" s="121"/>
      <c r="C2776" s="122"/>
      <c r="D2776" s="123">
        <f>D2775</f>
        <v>1</v>
      </c>
      <c r="E2776" s="162"/>
      <c r="F2776" s="162"/>
      <c r="G2776" s="162"/>
      <c r="H2776" s="162"/>
      <c r="I2776" s="161"/>
    </row>
    <row r="2777" spans="1:9" ht="20.100000000000001" customHeight="1" x14ac:dyDescent="0.25">
      <c r="A2777" s="452"/>
      <c r="B2777" s="453"/>
      <c r="C2777" s="453"/>
      <c r="D2777" s="453"/>
      <c r="E2777" s="162"/>
      <c r="F2777" s="162"/>
      <c r="G2777" s="162"/>
      <c r="H2777" s="162"/>
      <c r="I2777" s="161"/>
    </row>
    <row r="2778" spans="1:9" ht="9.9499999999999993" customHeight="1" x14ac:dyDescent="0.25">
      <c r="A2778" s="165"/>
      <c r="B2778" s="162"/>
      <c r="C2778" s="162"/>
      <c r="D2778" s="229"/>
      <c r="E2778" s="229"/>
      <c r="F2778" s="229"/>
      <c r="G2778" s="229"/>
      <c r="H2778" s="229"/>
      <c r="I2778" s="161"/>
    </row>
    <row r="2779" spans="1:9" ht="15" customHeight="1" x14ac:dyDescent="0.25">
      <c r="A2779" s="299" t="s">
        <v>4334</v>
      </c>
      <c r="B2779" s="454" t="str">
        <f>'PLANILHA ORCAMENTARIA'!D183</f>
        <v>Dispositivo de proteção contra surto (DPS) monopolar tipo II, tensão nominal 175VCA, corrente de surto máxima 20KA, marcas CLAMPER, SIEMENS, ELETROMAR</v>
      </c>
      <c r="C2779" s="455"/>
      <c r="D2779" s="455"/>
      <c r="E2779" s="300"/>
      <c r="F2779" s="300"/>
      <c r="G2779" s="300"/>
      <c r="H2779" s="300"/>
      <c r="I2779" s="161"/>
    </row>
    <row r="2780" spans="1:9" ht="12.95" customHeight="1" x14ac:dyDescent="0.25">
      <c r="A2780" s="450"/>
      <c r="B2780" s="451"/>
      <c r="C2780" s="119"/>
      <c r="D2780" s="119" t="s">
        <v>984</v>
      </c>
      <c r="E2780" s="162"/>
      <c r="F2780" s="162"/>
      <c r="G2780" s="162"/>
      <c r="H2780" s="162"/>
      <c r="I2780" s="161"/>
    </row>
    <row r="2781" spans="1:9" x14ac:dyDescent="0.25">
      <c r="A2781" s="163"/>
      <c r="B2781" s="120"/>
      <c r="C2781" s="227">
        <v>4</v>
      </c>
      <c r="D2781" s="228">
        <f>C2781</f>
        <v>4</v>
      </c>
      <c r="E2781" s="162"/>
      <c r="F2781" s="162"/>
      <c r="G2781" s="162"/>
      <c r="H2781" s="162"/>
      <c r="I2781" s="161"/>
    </row>
    <row r="2782" spans="1:9" ht="9.9499999999999993" customHeight="1" x14ac:dyDescent="0.25">
      <c r="A2782" s="164"/>
      <c r="B2782" s="121"/>
      <c r="C2782" s="122"/>
      <c r="D2782" s="123">
        <f>D2781</f>
        <v>4</v>
      </c>
      <c r="E2782" s="162"/>
      <c r="F2782" s="162"/>
      <c r="G2782" s="162"/>
      <c r="H2782" s="162"/>
      <c r="I2782" s="161"/>
    </row>
    <row r="2783" spans="1:9" ht="20.100000000000001" customHeight="1" x14ac:dyDescent="0.25">
      <c r="A2783" s="452"/>
      <c r="B2783" s="453"/>
      <c r="C2783" s="453"/>
      <c r="D2783" s="453"/>
      <c r="E2783" s="162"/>
      <c r="F2783" s="162"/>
      <c r="G2783" s="162"/>
      <c r="H2783" s="162"/>
      <c r="I2783" s="161"/>
    </row>
    <row r="2784" spans="1:9" ht="9.9499999999999993" customHeight="1" x14ac:dyDescent="0.25">
      <c r="A2784" s="165"/>
      <c r="B2784" s="162"/>
      <c r="C2784" s="162"/>
      <c r="D2784" s="229"/>
      <c r="E2784" s="229"/>
      <c r="F2784" s="229"/>
      <c r="G2784" s="229"/>
      <c r="H2784" s="229"/>
      <c r="I2784" s="161"/>
    </row>
    <row r="2785" spans="1:9" ht="15" customHeight="1" x14ac:dyDescent="0.25">
      <c r="A2785" s="299" t="s">
        <v>4335</v>
      </c>
      <c r="B2785" s="454" t="str">
        <f>'PLANILHA ORCAMENTARIA'!D184</f>
        <v>Disjuntor Compacto em caixa moldada tripolar 200 A - 25KA 220CA (NBR IEC 60947-2), Ref. Siemens, GE, Schneider ou equivalente</v>
      </c>
      <c r="C2785" s="455"/>
      <c r="D2785" s="455"/>
      <c r="E2785" s="300"/>
      <c r="F2785" s="300"/>
      <c r="G2785" s="300"/>
      <c r="H2785" s="300"/>
      <c r="I2785" s="161"/>
    </row>
    <row r="2786" spans="1:9" ht="12.95" customHeight="1" x14ac:dyDescent="0.25">
      <c r="A2786" s="450"/>
      <c r="B2786" s="451"/>
      <c r="C2786" s="119"/>
      <c r="D2786" s="119" t="s">
        <v>984</v>
      </c>
      <c r="E2786" s="162"/>
      <c r="F2786" s="162"/>
      <c r="G2786" s="162"/>
      <c r="H2786" s="162"/>
      <c r="I2786" s="161"/>
    </row>
    <row r="2787" spans="1:9" x14ac:dyDescent="0.25">
      <c r="A2787" s="163"/>
      <c r="B2787" s="120"/>
      <c r="C2787" s="227">
        <v>4</v>
      </c>
      <c r="D2787" s="228">
        <f>C2787</f>
        <v>4</v>
      </c>
      <c r="E2787" s="162"/>
      <c r="F2787" s="162"/>
      <c r="G2787" s="162"/>
      <c r="H2787" s="162"/>
      <c r="I2787" s="161"/>
    </row>
    <row r="2788" spans="1:9" ht="9.9499999999999993" customHeight="1" x14ac:dyDescent="0.25">
      <c r="A2788" s="164"/>
      <c r="B2788" s="121"/>
      <c r="C2788" s="122"/>
      <c r="D2788" s="123">
        <f>D2787</f>
        <v>4</v>
      </c>
      <c r="E2788" s="162"/>
      <c r="F2788" s="162"/>
      <c r="G2788" s="162"/>
      <c r="H2788" s="162"/>
      <c r="I2788" s="161"/>
    </row>
    <row r="2789" spans="1:9" ht="20.100000000000001" customHeight="1" x14ac:dyDescent="0.25">
      <c r="A2789" s="452"/>
      <c r="B2789" s="453"/>
      <c r="C2789" s="453"/>
      <c r="D2789" s="453"/>
      <c r="E2789" s="162"/>
      <c r="F2789" s="162"/>
      <c r="G2789" s="162"/>
      <c r="H2789" s="162"/>
      <c r="I2789" s="161"/>
    </row>
    <row r="2790" spans="1:9" ht="9.9499999999999993" customHeight="1" x14ac:dyDescent="0.25">
      <c r="A2790" s="165"/>
      <c r="B2790" s="162"/>
      <c r="C2790" s="162"/>
      <c r="D2790" s="229"/>
      <c r="E2790" s="229"/>
      <c r="F2790" s="229"/>
      <c r="G2790" s="229"/>
      <c r="H2790" s="229"/>
      <c r="I2790" s="161"/>
    </row>
    <row r="2791" spans="1:9" ht="15" customHeight="1" x14ac:dyDescent="0.25">
      <c r="A2791" s="299" t="s">
        <v>4336</v>
      </c>
      <c r="B2791" s="454" t="str">
        <f>'PLANILHA ORCAMENTARIA'!D185</f>
        <v>Fornecimento de fusível 20A gPV DC 1000VDC, 10kA, 10 x 38 mm</v>
      </c>
      <c r="C2791" s="455"/>
      <c r="D2791" s="455"/>
      <c r="E2791" s="300"/>
      <c r="F2791" s="300"/>
      <c r="G2791" s="300"/>
      <c r="H2791" s="300"/>
      <c r="I2791" s="161"/>
    </row>
    <row r="2792" spans="1:9" ht="12.95" customHeight="1" x14ac:dyDescent="0.25">
      <c r="A2792" s="450"/>
      <c r="B2792" s="451"/>
      <c r="C2792" s="119"/>
      <c r="D2792" s="119" t="s">
        <v>984</v>
      </c>
      <c r="E2792" s="162"/>
      <c r="F2792" s="162"/>
      <c r="G2792" s="162"/>
      <c r="H2792" s="162"/>
      <c r="I2792" s="161"/>
    </row>
    <row r="2793" spans="1:9" x14ac:dyDescent="0.25">
      <c r="A2793" s="163"/>
      <c r="B2793" s="120"/>
      <c r="C2793" s="227">
        <v>4</v>
      </c>
      <c r="D2793" s="228">
        <f>C2793</f>
        <v>4</v>
      </c>
      <c r="E2793" s="162"/>
      <c r="F2793" s="162"/>
      <c r="G2793" s="162"/>
      <c r="H2793" s="162"/>
      <c r="I2793" s="161"/>
    </row>
    <row r="2794" spans="1:9" ht="9.9499999999999993" customHeight="1" x14ac:dyDescent="0.25">
      <c r="A2794" s="164"/>
      <c r="B2794" s="121"/>
      <c r="C2794" s="122"/>
      <c r="D2794" s="123">
        <f>D2793</f>
        <v>4</v>
      </c>
      <c r="E2794" s="162"/>
      <c r="F2794" s="162"/>
      <c r="G2794" s="162"/>
      <c r="H2794" s="162"/>
      <c r="I2794" s="161"/>
    </row>
    <row r="2795" spans="1:9" ht="20.100000000000001" customHeight="1" x14ac:dyDescent="0.25">
      <c r="A2795" s="452"/>
      <c r="B2795" s="453"/>
      <c r="C2795" s="453"/>
      <c r="D2795" s="453"/>
      <c r="E2795" s="162"/>
      <c r="F2795" s="162"/>
      <c r="G2795" s="162"/>
      <c r="H2795" s="162"/>
      <c r="I2795" s="161"/>
    </row>
    <row r="2796" spans="1:9" ht="9.9499999999999993" customHeight="1" x14ac:dyDescent="0.25">
      <c r="A2796" s="165"/>
      <c r="B2796" s="162"/>
      <c r="C2796" s="162"/>
      <c r="D2796" s="229"/>
      <c r="E2796" s="229"/>
      <c r="F2796" s="229"/>
      <c r="G2796" s="229"/>
      <c r="H2796" s="229"/>
      <c r="I2796" s="161"/>
    </row>
    <row r="2797" spans="1:9" ht="15" customHeight="1" x14ac:dyDescent="0.25">
      <c r="A2797" s="299" t="s">
        <v>4337</v>
      </c>
      <c r="B2797" s="454" t="str">
        <f>'PLANILHA ORCAMENTARIA'!D186</f>
        <v>Porta Fusível fotovoltaico para trilho DIN 35, 32A, 1000VDC, cartucho 10 x 38 mm</v>
      </c>
      <c r="C2797" s="455"/>
      <c r="D2797" s="455"/>
      <c r="E2797" s="300"/>
      <c r="F2797" s="300"/>
      <c r="G2797" s="300"/>
      <c r="H2797" s="300"/>
      <c r="I2797" s="161"/>
    </row>
    <row r="2798" spans="1:9" ht="12.95" customHeight="1" x14ac:dyDescent="0.25">
      <c r="A2798" s="450"/>
      <c r="B2798" s="451"/>
      <c r="C2798" s="119"/>
      <c r="D2798" s="119" t="s">
        <v>984</v>
      </c>
      <c r="E2798" s="162"/>
      <c r="F2798" s="162"/>
      <c r="G2798" s="162"/>
      <c r="H2798" s="162"/>
      <c r="I2798" s="161"/>
    </row>
    <row r="2799" spans="1:9" x14ac:dyDescent="0.25">
      <c r="A2799" s="163"/>
      <c r="B2799" s="120"/>
      <c r="C2799" s="227">
        <v>4</v>
      </c>
      <c r="D2799" s="228">
        <f>C2799</f>
        <v>4</v>
      </c>
      <c r="E2799" s="162"/>
      <c r="F2799" s="162"/>
      <c r="G2799" s="162"/>
      <c r="H2799" s="162"/>
      <c r="I2799" s="161"/>
    </row>
    <row r="2800" spans="1:9" ht="9.9499999999999993" customHeight="1" x14ac:dyDescent="0.25">
      <c r="A2800" s="164"/>
      <c r="B2800" s="121"/>
      <c r="C2800" s="122"/>
      <c r="D2800" s="123">
        <f>D2799</f>
        <v>4</v>
      </c>
      <c r="E2800" s="162"/>
      <c r="F2800" s="162"/>
      <c r="G2800" s="162"/>
      <c r="H2800" s="162"/>
      <c r="I2800" s="161"/>
    </row>
    <row r="2801" spans="1:9" ht="20.100000000000001" customHeight="1" x14ac:dyDescent="0.25">
      <c r="A2801" s="452"/>
      <c r="B2801" s="453"/>
      <c r="C2801" s="453"/>
      <c r="D2801" s="453"/>
      <c r="E2801" s="162"/>
      <c r="F2801" s="162"/>
      <c r="G2801" s="162"/>
      <c r="H2801" s="162"/>
      <c r="I2801" s="161"/>
    </row>
    <row r="2802" spans="1:9" ht="9.9499999999999993" customHeight="1" x14ac:dyDescent="0.25">
      <c r="A2802" s="165"/>
      <c r="B2802" s="162"/>
      <c r="C2802" s="162"/>
      <c r="D2802" s="229"/>
      <c r="E2802" s="229"/>
      <c r="F2802" s="229"/>
      <c r="G2802" s="229"/>
      <c r="H2802" s="229"/>
      <c r="I2802" s="161"/>
    </row>
    <row r="2803" spans="1:9" ht="15" customHeight="1" x14ac:dyDescent="0.25">
      <c r="A2803" s="299" t="s">
        <v>4338</v>
      </c>
      <c r="B2803" s="454" t="str">
        <f>'PLANILHA ORCAMENTARIA'!D181</f>
        <v>Poliuretano flexível bisnaga 360g TEL-5905, marca de referência Termotécnica ou equivalente</v>
      </c>
      <c r="C2803" s="455"/>
      <c r="D2803" s="455"/>
      <c r="E2803" s="300"/>
      <c r="F2803" s="300"/>
      <c r="G2803" s="300"/>
      <c r="H2803" s="300"/>
      <c r="I2803" s="161"/>
    </row>
    <row r="2804" spans="1:9" ht="12.95" customHeight="1" x14ac:dyDescent="0.25">
      <c r="A2804" s="450"/>
      <c r="B2804" s="451"/>
      <c r="C2804" s="119"/>
      <c r="D2804" s="119" t="s">
        <v>984</v>
      </c>
      <c r="E2804" s="162"/>
      <c r="F2804" s="162"/>
      <c r="G2804" s="162"/>
      <c r="H2804" s="162"/>
      <c r="I2804" s="161"/>
    </row>
    <row r="2805" spans="1:9" x14ac:dyDescent="0.25">
      <c r="A2805" s="163"/>
      <c r="B2805" s="120"/>
      <c r="C2805" s="227">
        <v>1</v>
      </c>
      <c r="D2805" s="228">
        <f>C2805</f>
        <v>1</v>
      </c>
      <c r="E2805" s="162"/>
      <c r="F2805" s="162"/>
      <c r="G2805" s="162"/>
      <c r="H2805" s="162"/>
      <c r="I2805" s="161"/>
    </row>
    <row r="2806" spans="1:9" ht="9.9499999999999993" customHeight="1" x14ac:dyDescent="0.25">
      <c r="A2806" s="164"/>
      <c r="B2806" s="121"/>
      <c r="C2806" s="122"/>
      <c r="D2806" s="123">
        <f>D2805</f>
        <v>1</v>
      </c>
      <c r="E2806" s="162"/>
      <c r="F2806" s="162"/>
      <c r="G2806" s="162"/>
      <c r="H2806" s="162"/>
      <c r="I2806" s="161"/>
    </row>
    <row r="2807" spans="1:9" ht="20.100000000000001" customHeight="1" x14ac:dyDescent="0.25">
      <c r="A2807" s="452"/>
      <c r="B2807" s="453"/>
      <c r="C2807" s="453"/>
      <c r="D2807" s="453"/>
      <c r="E2807" s="162"/>
      <c r="F2807" s="162"/>
      <c r="G2807" s="162"/>
      <c r="H2807" s="162"/>
      <c r="I2807" s="161"/>
    </row>
    <row r="2808" spans="1:9" ht="9.9499999999999993" customHeight="1" x14ac:dyDescent="0.25">
      <c r="A2808" s="165"/>
      <c r="B2808" s="162"/>
      <c r="C2808" s="162"/>
      <c r="D2808" s="229"/>
      <c r="E2808" s="229"/>
      <c r="F2808" s="229"/>
      <c r="G2808" s="229"/>
      <c r="H2808" s="229"/>
      <c r="I2808" s="161"/>
    </row>
    <row r="2809" spans="1:9" ht="15" customHeight="1" x14ac:dyDescent="0.25">
      <c r="A2809" s="299" t="s">
        <v>4339</v>
      </c>
      <c r="B2809" s="454" t="str">
        <f>'PLANILHA ORCAMENTARIA'!D188</f>
        <v>Quadro de fabricação especial 80x60x25cm em chapa de aço de 1,5mm (16 MSG), IP-65, corrente máxima 275 A, capacidade p/ 34 dispositivos modulares padrão DIN, barram. trifásico, barras de N+T, com porta, placa de acrílico, e trinco</v>
      </c>
      <c r="C2809" s="455"/>
      <c r="D2809" s="455"/>
      <c r="E2809" s="300"/>
      <c r="F2809" s="300"/>
      <c r="G2809" s="300"/>
      <c r="H2809" s="300"/>
      <c r="I2809" s="161"/>
    </row>
    <row r="2810" spans="1:9" ht="12.95" customHeight="1" x14ac:dyDescent="0.25">
      <c r="A2810" s="450"/>
      <c r="B2810" s="451"/>
      <c r="C2810" s="119"/>
      <c r="D2810" s="119" t="s">
        <v>984</v>
      </c>
      <c r="E2810" s="162"/>
      <c r="F2810" s="162"/>
      <c r="G2810" s="162"/>
      <c r="H2810" s="162"/>
      <c r="I2810" s="161"/>
    </row>
    <row r="2811" spans="1:9" x14ac:dyDescent="0.25">
      <c r="A2811" s="163"/>
      <c r="B2811" s="120"/>
      <c r="C2811" s="227">
        <v>1</v>
      </c>
      <c r="D2811" s="228">
        <f>C2811</f>
        <v>1</v>
      </c>
      <c r="E2811" s="162"/>
      <c r="F2811" s="162"/>
      <c r="G2811" s="162"/>
      <c r="H2811" s="162"/>
      <c r="I2811" s="161"/>
    </row>
    <row r="2812" spans="1:9" ht="9.9499999999999993" customHeight="1" x14ac:dyDescent="0.25">
      <c r="A2812" s="164"/>
      <c r="B2812" s="121"/>
      <c r="C2812" s="122"/>
      <c r="D2812" s="123">
        <f>D2811</f>
        <v>1</v>
      </c>
      <c r="E2812" s="162"/>
      <c r="F2812" s="162"/>
      <c r="G2812" s="162"/>
      <c r="H2812" s="162"/>
      <c r="I2812" s="161"/>
    </row>
    <row r="2813" spans="1:9" ht="20.100000000000001" customHeight="1" x14ac:dyDescent="0.25">
      <c r="A2813" s="452"/>
      <c r="B2813" s="453"/>
      <c r="C2813" s="453"/>
      <c r="D2813" s="453"/>
      <c r="E2813" s="162"/>
      <c r="F2813" s="162"/>
      <c r="G2813" s="162"/>
      <c r="H2813" s="162"/>
      <c r="I2813" s="161"/>
    </row>
    <row r="2814" spans="1:9" ht="9.9499999999999993" customHeight="1" x14ac:dyDescent="0.25">
      <c r="A2814" s="456" t="s">
        <v>1700</v>
      </c>
      <c r="B2814" s="457"/>
      <c r="C2814" s="457"/>
      <c r="D2814" s="457"/>
      <c r="E2814" s="457"/>
      <c r="F2814" s="457"/>
      <c r="G2814" s="457"/>
      <c r="H2814" s="457"/>
      <c r="I2814" s="161"/>
    </row>
    <row r="2815" spans="1:9" ht="42.95" customHeight="1" x14ac:dyDescent="0.25">
      <c r="A2815" s="452"/>
      <c r="B2815" s="453"/>
      <c r="C2815" s="453"/>
      <c r="D2815" s="162"/>
      <c r="E2815" s="162"/>
      <c r="F2815" s="162"/>
      <c r="G2815" s="162"/>
      <c r="H2815" s="162"/>
      <c r="I2815" s="161"/>
    </row>
    <row r="2816" spans="1:9" ht="15" customHeight="1" x14ac:dyDescent="0.25">
      <c r="A2816" s="456" t="s">
        <v>1701</v>
      </c>
      <c r="B2816" s="457"/>
      <c r="C2816" s="457"/>
      <c r="D2816" s="457"/>
      <c r="E2816" s="457"/>
      <c r="F2816" s="457"/>
      <c r="G2816" s="457"/>
      <c r="H2816" s="457"/>
      <c r="I2816" s="161"/>
    </row>
    <row r="2817" spans="1:9" ht="12.95" customHeight="1" x14ac:dyDescent="0.25">
      <c r="A2817" s="450"/>
      <c r="B2817" s="451"/>
      <c r="C2817" s="119"/>
      <c r="D2817" s="119" t="s">
        <v>984</v>
      </c>
      <c r="E2817" s="162"/>
      <c r="F2817" s="162"/>
      <c r="G2817" s="162"/>
      <c r="H2817" s="162"/>
      <c r="I2817" s="161"/>
    </row>
    <row r="2818" spans="1:9" ht="15" customHeight="1" x14ac:dyDescent="0.25">
      <c r="A2818" s="163" t="s">
        <v>1078</v>
      </c>
      <c r="B2818" s="120" t="s">
        <v>11</v>
      </c>
      <c r="C2818" s="227">
        <v>7</v>
      </c>
      <c r="D2818" s="228">
        <f>ROUND(7,2)</f>
        <v>7</v>
      </c>
      <c r="E2818" s="162"/>
      <c r="F2818" s="162"/>
      <c r="G2818" s="162"/>
      <c r="H2818" s="162"/>
      <c r="I2818" s="161"/>
    </row>
    <row r="2819" spans="1:9" ht="9.9499999999999993" customHeight="1" x14ac:dyDescent="0.25">
      <c r="A2819" s="164"/>
      <c r="B2819" s="121"/>
      <c r="C2819" s="122"/>
      <c r="D2819" s="123">
        <f>ROUND(SUM(D2818:D2818),2)</f>
        <v>7</v>
      </c>
      <c r="E2819" s="162"/>
      <c r="F2819" s="162"/>
      <c r="G2819" s="162"/>
      <c r="H2819" s="162"/>
      <c r="I2819" s="161"/>
    </row>
    <row r="2820" spans="1:9" ht="12" customHeight="1" x14ac:dyDescent="0.25">
      <c r="A2820" s="452"/>
      <c r="B2820" s="453"/>
      <c r="C2820" s="453"/>
      <c r="D2820" s="162"/>
      <c r="E2820" s="162"/>
      <c r="F2820" s="162"/>
      <c r="G2820" s="162"/>
      <c r="H2820" s="162"/>
      <c r="I2820" s="161"/>
    </row>
    <row r="2821" spans="1:9" ht="12" customHeight="1" x14ac:dyDescent="0.25">
      <c r="A2821" s="461" t="s">
        <v>4311</v>
      </c>
      <c r="B2821" s="462"/>
      <c r="C2821" s="462"/>
      <c r="D2821" s="458" t="str">
        <f>"TOTAL DA MEMÓRIA DE CÁLCULO: "&amp;TEXT(ROUND(SUM(D2819),2),"0,00")</f>
        <v>TOTAL DA MEMÓRIA DE CÁLCULO: 7,00</v>
      </c>
      <c r="E2821" s="458"/>
      <c r="F2821" s="458"/>
      <c r="G2821" s="458"/>
      <c r="H2821" s="458"/>
      <c r="I2821" s="161"/>
    </row>
    <row r="2822" spans="1:9" ht="9.9499999999999993" customHeight="1" x14ac:dyDescent="0.25">
      <c r="A2822" s="461"/>
      <c r="B2822" s="462"/>
      <c r="C2822" s="462"/>
      <c r="D2822" s="162"/>
      <c r="E2822" s="162"/>
      <c r="F2822" s="162"/>
      <c r="G2822" s="162"/>
      <c r="H2822" s="162"/>
      <c r="I2822" s="161"/>
    </row>
    <row r="2823" spans="1:9" ht="30.95" customHeight="1" x14ac:dyDescent="0.25">
      <c r="A2823" s="452"/>
      <c r="B2823" s="453"/>
      <c r="C2823" s="453"/>
      <c r="D2823" s="453"/>
      <c r="E2823" s="162"/>
      <c r="F2823" s="162"/>
      <c r="G2823" s="162"/>
      <c r="H2823" s="162"/>
      <c r="I2823" s="161"/>
    </row>
    <row r="2824" spans="1:9" ht="15" customHeight="1" x14ac:dyDescent="0.25">
      <c r="A2824" s="456" t="s">
        <v>1702</v>
      </c>
      <c r="B2824" s="457"/>
      <c r="C2824" s="457"/>
      <c r="D2824" s="457"/>
      <c r="E2824" s="457"/>
      <c r="F2824" s="457"/>
      <c r="G2824" s="457"/>
      <c r="H2824" s="457"/>
      <c r="I2824" s="161"/>
    </row>
    <row r="2825" spans="1:9" ht="12.95" customHeight="1" x14ac:dyDescent="0.25">
      <c r="A2825" s="450"/>
      <c r="B2825" s="451"/>
      <c r="C2825" s="119"/>
      <c r="D2825" s="119" t="s">
        <v>984</v>
      </c>
      <c r="E2825" s="162"/>
      <c r="F2825" s="162"/>
      <c r="G2825" s="162"/>
      <c r="H2825" s="162"/>
      <c r="I2825" s="161"/>
    </row>
    <row r="2826" spans="1:9" ht="15" customHeight="1" x14ac:dyDescent="0.25">
      <c r="A2826" s="163" t="s">
        <v>1078</v>
      </c>
      <c r="B2826" s="120" t="s">
        <v>0</v>
      </c>
      <c r="C2826" s="227">
        <v>1</v>
      </c>
      <c r="D2826" s="228">
        <f>ROUND(1,2)</f>
        <v>1</v>
      </c>
      <c r="E2826" s="162"/>
      <c r="F2826" s="162"/>
      <c r="G2826" s="162"/>
      <c r="H2826" s="162"/>
      <c r="I2826" s="161"/>
    </row>
    <row r="2827" spans="1:9" ht="9.9499999999999993" customHeight="1" x14ac:dyDescent="0.25">
      <c r="A2827" s="164"/>
      <c r="B2827" s="121"/>
      <c r="C2827" s="122"/>
      <c r="D2827" s="123">
        <f>ROUND(SUM(D2826:D2826),2)</f>
        <v>1</v>
      </c>
      <c r="E2827" s="162"/>
      <c r="F2827" s="162"/>
      <c r="G2827" s="162"/>
      <c r="H2827" s="162"/>
      <c r="I2827" s="161"/>
    </row>
    <row r="2828" spans="1:9" ht="12" customHeight="1" x14ac:dyDescent="0.25">
      <c r="A2828" s="452"/>
      <c r="B2828" s="453"/>
      <c r="C2828" s="453"/>
      <c r="D2828" s="162"/>
      <c r="E2828" s="162"/>
      <c r="F2828" s="162"/>
      <c r="G2828" s="162"/>
      <c r="H2828" s="162"/>
      <c r="I2828" s="161"/>
    </row>
    <row r="2829" spans="1:9" ht="12" customHeight="1" x14ac:dyDescent="0.25">
      <c r="A2829" s="461" t="s">
        <v>4311</v>
      </c>
      <c r="B2829" s="462"/>
      <c r="C2829" s="462"/>
      <c r="D2829" s="458" t="str">
        <f>"TOTAL DA MEMÓRIA DE CÁLCULO: "&amp;TEXT(ROUND(SUM(D2827),2),"0,00")</f>
        <v>TOTAL DA MEMÓRIA DE CÁLCULO: 1,00</v>
      </c>
      <c r="E2829" s="458"/>
      <c r="F2829" s="458"/>
      <c r="G2829" s="458"/>
      <c r="H2829" s="458"/>
      <c r="I2829" s="161"/>
    </row>
    <row r="2830" spans="1:9" ht="9.9499999999999993" customHeight="1" x14ac:dyDescent="0.25">
      <c r="A2830" s="461"/>
      <c r="B2830" s="462"/>
      <c r="C2830" s="462"/>
      <c r="D2830" s="162"/>
      <c r="E2830" s="162"/>
      <c r="F2830" s="162"/>
      <c r="G2830" s="162"/>
      <c r="H2830" s="162"/>
      <c r="I2830" s="161"/>
    </row>
    <row r="2831" spans="1:9" ht="30.95" customHeight="1" x14ac:dyDescent="0.25">
      <c r="A2831" s="452"/>
      <c r="B2831" s="453"/>
      <c r="C2831" s="453"/>
      <c r="D2831" s="453"/>
      <c r="E2831" s="162"/>
      <c r="F2831" s="162"/>
      <c r="G2831" s="162"/>
      <c r="H2831" s="162"/>
      <c r="I2831" s="161"/>
    </row>
    <row r="2832" spans="1:9" ht="15" customHeight="1" x14ac:dyDescent="0.25">
      <c r="A2832" s="456" t="s">
        <v>1703</v>
      </c>
      <c r="B2832" s="457"/>
      <c r="C2832" s="457"/>
      <c r="D2832" s="457"/>
      <c r="E2832" s="457"/>
      <c r="F2832" s="457"/>
      <c r="G2832" s="457"/>
      <c r="H2832" s="457"/>
      <c r="I2832" s="161"/>
    </row>
    <row r="2833" spans="1:9" ht="12.95" customHeight="1" x14ac:dyDescent="0.25">
      <c r="A2833" s="450"/>
      <c r="B2833" s="451"/>
      <c r="C2833" s="119"/>
      <c r="D2833" s="119" t="s">
        <v>984</v>
      </c>
      <c r="E2833" s="162"/>
      <c r="F2833" s="162"/>
      <c r="G2833" s="162"/>
      <c r="H2833" s="162"/>
      <c r="I2833" s="161"/>
    </row>
    <row r="2834" spans="1:9" ht="15" customHeight="1" x14ac:dyDescent="0.25">
      <c r="A2834" s="163" t="s">
        <v>1078</v>
      </c>
      <c r="B2834" s="120" t="s">
        <v>1704</v>
      </c>
      <c r="C2834" s="227">
        <v>39</v>
      </c>
      <c r="D2834" s="228">
        <f>ROUND(39,2)</f>
        <v>39</v>
      </c>
      <c r="E2834" s="162"/>
      <c r="F2834" s="162"/>
      <c r="G2834" s="162"/>
      <c r="H2834" s="162"/>
      <c r="I2834" s="161"/>
    </row>
    <row r="2835" spans="1:9" ht="9.9499999999999993" customHeight="1" x14ac:dyDescent="0.25">
      <c r="A2835" s="164"/>
      <c r="B2835" s="121"/>
      <c r="C2835" s="122"/>
      <c r="D2835" s="123">
        <f>ROUND(SUM(D2834:D2834),2)</f>
        <v>39</v>
      </c>
      <c r="E2835" s="162"/>
      <c r="F2835" s="162"/>
      <c r="G2835" s="162"/>
      <c r="H2835" s="162"/>
      <c r="I2835" s="161"/>
    </row>
    <row r="2836" spans="1:9" ht="12" customHeight="1" x14ac:dyDescent="0.25">
      <c r="A2836" s="452"/>
      <c r="B2836" s="453"/>
      <c r="C2836" s="453"/>
      <c r="D2836" s="162"/>
      <c r="E2836" s="162"/>
      <c r="F2836" s="162"/>
      <c r="G2836" s="162"/>
      <c r="H2836" s="162"/>
      <c r="I2836" s="161"/>
    </row>
    <row r="2837" spans="1:9" ht="12" customHeight="1" x14ac:dyDescent="0.25">
      <c r="A2837" s="461" t="s">
        <v>4311</v>
      </c>
      <c r="B2837" s="462"/>
      <c r="C2837" s="462"/>
      <c r="D2837" s="458" t="str">
        <f>"TOTAL DA MEMÓRIA DE CÁLCULO: "&amp;TEXT(ROUND(SUM(D2835),2),"0,00")</f>
        <v>TOTAL DA MEMÓRIA DE CÁLCULO: 39,00</v>
      </c>
      <c r="E2837" s="458"/>
      <c r="F2837" s="458"/>
      <c r="G2837" s="458"/>
      <c r="H2837" s="458"/>
      <c r="I2837" s="161"/>
    </row>
    <row r="2838" spans="1:9" ht="9.9499999999999993" customHeight="1" x14ac:dyDescent="0.25">
      <c r="A2838" s="461"/>
      <c r="B2838" s="462"/>
      <c r="C2838" s="462"/>
      <c r="D2838" s="162"/>
      <c r="E2838" s="162"/>
      <c r="F2838" s="162"/>
      <c r="G2838" s="162"/>
      <c r="H2838" s="162"/>
      <c r="I2838" s="161"/>
    </row>
    <row r="2839" spans="1:9" ht="42.95" customHeight="1" x14ac:dyDescent="0.25">
      <c r="A2839" s="452"/>
      <c r="B2839" s="453"/>
      <c r="C2839" s="453"/>
      <c r="D2839" s="453"/>
      <c r="E2839" s="162"/>
      <c r="F2839" s="162"/>
      <c r="G2839" s="162"/>
      <c r="H2839" s="162"/>
      <c r="I2839" s="161"/>
    </row>
    <row r="2840" spans="1:9" ht="15" customHeight="1" x14ac:dyDescent="0.25">
      <c r="A2840" s="456" t="s">
        <v>1705</v>
      </c>
      <c r="B2840" s="457"/>
      <c r="C2840" s="457"/>
      <c r="D2840" s="457"/>
      <c r="E2840" s="457"/>
      <c r="F2840" s="457"/>
      <c r="G2840" s="457"/>
      <c r="H2840" s="457"/>
      <c r="I2840" s="161"/>
    </row>
    <row r="2841" spans="1:9" ht="12.95" customHeight="1" x14ac:dyDescent="0.25">
      <c r="A2841" s="450"/>
      <c r="B2841" s="451"/>
      <c r="C2841" s="119"/>
      <c r="D2841" s="119" t="s">
        <v>984</v>
      </c>
      <c r="E2841" s="162"/>
      <c r="F2841" s="162"/>
      <c r="G2841" s="162"/>
      <c r="H2841" s="162"/>
      <c r="I2841" s="161"/>
    </row>
    <row r="2842" spans="1:9" ht="15" customHeight="1" x14ac:dyDescent="0.25">
      <c r="A2842" s="163" t="s">
        <v>1078</v>
      </c>
      <c r="B2842" s="120" t="s">
        <v>1567</v>
      </c>
      <c r="C2842" s="227">
        <v>40</v>
      </c>
      <c r="D2842" s="228">
        <f>ROUND(40,2)</f>
        <v>40</v>
      </c>
      <c r="E2842" s="162"/>
      <c r="F2842" s="162"/>
      <c r="G2842" s="162"/>
      <c r="H2842" s="162"/>
      <c r="I2842" s="161"/>
    </row>
    <row r="2843" spans="1:9" ht="9.9499999999999993" customHeight="1" x14ac:dyDescent="0.25">
      <c r="A2843" s="164"/>
      <c r="B2843" s="121"/>
      <c r="C2843" s="122"/>
      <c r="D2843" s="123">
        <f>ROUND(SUM(D2842:D2842),2)</f>
        <v>40</v>
      </c>
      <c r="E2843" s="162"/>
      <c r="F2843" s="162"/>
      <c r="G2843" s="162"/>
      <c r="H2843" s="162"/>
      <c r="I2843" s="161"/>
    </row>
    <row r="2844" spans="1:9" ht="12" customHeight="1" x14ac:dyDescent="0.25">
      <c r="A2844" s="452"/>
      <c r="B2844" s="453"/>
      <c r="C2844" s="453"/>
      <c r="D2844" s="162"/>
      <c r="E2844" s="162"/>
      <c r="F2844" s="162"/>
      <c r="G2844" s="162"/>
      <c r="H2844" s="162"/>
      <c r="I2844" s="161"/>
    </row>
    <row r="2845" spans="1:9" ht="12" customHeight="1" x14ac:dyDescent="0.25">
      <c r="A2845" s="461" t="s">
        <v>4311</v>
      </c>
      <c r="B2845" s="462"/>
      <c r="C2845" s="462"/>
      <c r="D2845" s="458" t="str">
        <f>"TOTAL DA MEMÓRIA DE CÁLCULO: "&amp;TEXT(ROUND(SUM(D2843),2),"0,00")</f>
        <v>TOTAL DA MEMÓRIA DE CÁLCULO: 40,00</v>
      </c>
      <c r="E2845" s="458"/>
      <c r="F2845" s="458"/>
      <c r="G2845" s="458"/>
      <c r="H2845" s="458"/>
      <c r="I2845" s="161"/>
    </row>
    <row r="2846" spans="1:9" ht="9.9499999999999993" customHeight="1" x14ac:dyDescent="0.25">
      <c r="A2846" s="461"/>
      <c r="B2846" s="462"/>
      <c r="C2846" s="462"/>
      <c r="D2846" s="162"/>
      <c r="E2846" s="162"/>
      <c r="F2846" s="162"/>
      <c r="G2846" s="162"/>
      <c r="H2846" s="162"/>
      <c r="I2846" s="161"/>
    </row>
    <row r="2847" spans="1:9" ht="20.100000000000001" customHeight="1" x14ac:dyDescent="0.25">
      <c r="A2847" s="452"/>
      <c r="B2847" s="453"/>
      <c r="C2847" s="453"/>
      <c r="D2847" s="453"/>
      <c r="E2847" s="162"/>
      <c r="F2847" s="162"/>
      <c r="G2847" s="162"/>
      <c r="H2847" s="162"/>
      <c r="I2847" s="161"/>
    </row>
    <row r="2848" spans="1:9" ht="9.9499999999999993" customHeight="1" x14ac:dyDescent="0.25">
      <c r="A2848" s="165"/>
      <c r="B2848" s="162"/>
      <c r="C2848" s="162"/>
      <c r="D2848" s="229"/>
      <c r="E2848" s="229"/>
      <c r="F2848" s="229"/>
      <c r="G2848" s="229"/>
      <c r="H2848" s="229"/>
      <c r="I2848" s="161"/>
    </row>
    <row r="2849" spans="1:9" ht="15" customHeight="1" x14ac:dyDescent="0.25">
      <c r="A2849" s="299" t="s">
        <v>4340</v>
      </c>
      <c r="B2849" s="454" t="str">
        <f>'PLANILHA ORCAMENTARIA'!D194</f>
        <v>Sensor infravermelho (receptor + transmissor) ativo para uso externo, com proteção contra violação, alcance mínimo de 40 metros , montado em caixa de embutir na alvenaria 2"x4"</v>
      </c>
      <c r="C2849" s="455"/>
      <c r="D2849" s="455"/>
      <c r="E2849" s="300"/>
      <c r="F2849" s="300"/>
      <c r="G2849" s="300"/>
      <c r="H2849" s="300"/>
      <c r="I2849" s="161"/>
    </row>
    <row r="2850" spans="1:9" ht="12.95" customHeight="1" x14ac:dyDescent="0.25">
      <c r="A2850" s="450"/>
      <c r="B2850" s="451"/>
      <c r="C2850" s="119"/>
      <c r="D2850" s="119" t="s">
        <v>984</v>
      </c>
      <c r="E2850" s="162"/>
      <c r="F2850" s="162"/>
      <c r="G2850" s="162"/>
      <c r="H2850" s="162"/>
      <c r="I2850" s="161"/>
    </row>
    <row r="2851" spans="1:9" x14ac:dyDescent="0.25">
      <c r="A2851" s="163"/>
      <c r="B2851" s="120"/>
      <c r="C2851" s="227">
        <v>12</v>
      </c>
      <c r="D2851" s="228">
        <f>C2851</f>
        <v>12</v>
      </c>
      <c r="E2851" s="162"/>
      <c r="F2851" s="162"/>
      <c r="G2851" s="162"/>
      <c r="H2851" s="162"/>
      <c r="I2851" s="161"/>
    </row>
    <row r="2852" spans="1:9" ht="9.9499999999999993" customHeight="1" x14ac:dyDescent="0.25">
      <c r="A2852" s="164"/>
      <c r="B2852" s="121"/>
      <c r="C2852" s="122"/>
      <c r="D2852" s="123">
        <f>D2851</f>
        <v>12</v>
      </c>
      <c r="E2852" s="162"/>
      <c r="F2852" s="162"/>
      <c r="G2852" s="162"/>
      <c r="H2852" s="162"/>
      <c r="I2852" s="161"/>
    </row>
    <row r="2853" spans="1:9" ht="20.100000000000001" customHeight="1" x14ac:dyDescent="0.25">
      <c r="A2853" s="452"/>
      <c r="B2853" s="453"/>
      <c r="C2853" s="453"/>
      <c r="D2853" s="453"/>
      <c r="E2853" s="162"/>
      <c r="F2853" s="162"/>
      <c r="G2853" s="162"/>
      <c r="H2853" s="162"/>
      <c r="I2853" s="161"/>
    </row>
    <row r="2854" spans="1:9" ht="9.9499999999999993" customHeight="1" x14ac:dyDescent="0.25">
      <c r="A2854" s="165"/>
      <c r="B2854" s="162"/>
      <c r="C2854" s="162"/>
      <c r="D2854" s="229"/>
      <c r="E2854" s="229"/>
      <c r="F2854" s="229"/>
      <c r="G2854" s="229"/>
      <c r="H2854" s="229"/>
      <c r="I2854" s="161"/>
    </row>
    <row r="2855" spans="1:9" ht="15" customHeight="1" x14ac:dyDescent="0.25">
      <c r="A2855" s="299" t="s">
        <v>4341</v>
      </c>
      <c r="B2855" s="454" t="str">
        <f>'PLANILHA ORCAMENTARIA'!D195</f>
        <v>Sirene eletrônica média tipo corneta em ABS, IP52 ? 12 e 24V ? Fornecimento e instalação</v>
      </c>
      <c r="C2855" s="455"/>
      <c r="D2855" s="455"/>
      <c r="E2855" s="300"/>
      <c r="F2855" s="300"/>
      <c r="G2855" s="300"/>
      <c r="H2855" s="300"/>
      <c r="I2855" s="161"/>
    </row>
    <row r="2856" spans="1:9" ht="12.95" customHeight="1" x14ac:dyDescent="0.25">
      <c r="A2856" s="450"/>
      <c r="B2856" s="451"/>
      <c r="C2856" s="119"/>
      <c r="D2856" s="119" t="s">
        <v>984</v>
      </c>
      <c r="E2856" s="162"/>
      <c r="F2856" s="162"/>
      <c r="G2856" s="162"/>
      <c r="H2856" s="162"/>
      <c r="I2856" s="161"/>
    </row>
    <row r="2857" spans="1:9" x14ac:dyDescent="0.25">
      <c r="A2857" s="163"/>
      <c r="B2857" s="120"/>
      <c r="C2857" s="227">
        <v>1</v>
      </c>
      <c r="D2857" s="228">
        <f>C2857</f>
        <v>1</v>
      </c>
      <c r="E2857" s="162"/>
      <c r="F2857" s="162"/>
      <c r="G2857" s="162"/>
      <c r="H2857" s="162"/>
      <c r="I2857" s="161"/>
    </row>
    <row r="2858" spans="1:9" ht="9.9499999999999993" customHeight="1" x14ac:dyDescent="0.25">
      <c r="A2858" s="164"/>
      <c r="B2858" s="121"/>
      <c r="C2858" s="122"/>
      <c r="D2858" s="123">
        <f>D2857</f>
        <v>1</v>
      </c>
      <c r="E2858" s="162"/>
      <c r="F2858" s="162"/>
      <c r="G2858" s="162"/>
      <c r="H2858" s="162"/>
      <c r="I2858" s="161"/>
    </row>
    <row r="2859" spans="1:9" ht="20.100000000000001" customHeight="1" x14ac:dyDescent="0.25">
      <c r="A2859" s="452"/>
      <c r="B2859" s="453"/>
      <c r="C2859" s="453"/>
      <c r="D2859" s="453"/>
      <c r="E2859" s="162"/>
      <c r="F2859" s="162"/>
      <c r="G2859" s="162"/>
      <c r="H2859" s="162"/>
      <c r="I2859" s="161"/>
    </row>
    <row r="2860" spans="1:9" ht="9.9499999999999993" customHeight="1" x14ac:dyDescent="0.25">
      <c r="A2860" s="165"/>
      <c r="B2860" s="162"/>
      <c r="C2860" s="162"/>
      <c r="D2860" s="229"/>
      <c r="E2860" s="229"/>
      <c r="F2860" s="229"/>
      <c r="G2860" s="229"/>
      <c r="H2860" s="229"/>
      <c r="I2860" s="161"/>
    </row>
    <row r="2861" spans="1:9" ht="15" customHeight="1" x14ac:dyDescent="0.25">
      <c r="A2861" s="299" t="s">
        <v>4342</v>
      </c>
      <c r="B2861" s="454" t="str">
        <f>'PLANILHA ORCAMENTARIA'!D196</f>
        <v>Central de alarme monitorada com 8 zonas, com placa de expansão + 8 zonas, teclado e fonte 220Vca / 12Vcc.</v>
      </c>
      <c r="C2861" s="455"/>
      <c r="D2861" s="455"/>
      <c r="E2861" s="300"/>
      <c r="F2861" s="300"/>
      <c r="G2861" s="300"/>
      <c r="H2861" s="300"/>
      <c r="I2861" s="161"/>
    </row>
    <row r="2862" spans="1:9" ht="12.95" customHeight="1" x14ac:dyDescent="0.25">
      <c r="A2862" s="450"/>
      <c r="B2862" s="451"/>
      <c r="C2862" s="119"/>
      <c r="D2862" s="119" t="s">
        <v>984</v>
      </c>
      <c r="E2862" s="162"/>
      <c r="F2862" s="162"/>
      <c r="G2862" s="162"/>
      <c r="H2862" s="162"/>
      <c r="I2862" s="161"/>
    </row>
    <row r="2863" spans="1:9" x14ac:dyDescent="0.25">
      <c r="A2863" s="163"/>
      <c r="B2863" s="120"/>
      <c r="C2863" s="227">
        <v>1</v>
      </c>
      <c r="D2863" s="228">
        <f>C2863</f>
        <v>1</v>
      </c>
      <c r="E2863" s="162"/>
      <c r="F2863" s="162"/>
      <c r="G2863" s="162"/>
      <c r="H2863" s="162"/>
      <c r="I2863" s="161"/>
    </row>
    <row r="2864" spans="1:9" ht="9.9499999999999993" customHeight="1" x14ac:dyDescent="0.25">
      <c r="A2864" s="164"/>
      <c r="B2864" s="121"/>
      <c r="C2864" s="122"/>
      <c r="D2864" s="123">
        <f>D2863</f>
        <v>1</v>
      </c>
      <c r="E2864" s="162"/>
      <c r="F2864" s="162"/>
      <c r="G2864" s="162"/>
      <c r="H2864" s="162"/>
      <c r="I2864" s="161"/>
    </row>
    <row r="2865" spans="1:9" ht="20.100000000000001" customHeight="1" x14ac:dyDescent="0.25">
      <c r="A2865" s="452"/>
      <c r="B2865" s="453"/>
      <c r="C2865" s="453"/>
      <c r="D2865" s="453"/>
      <c r="E2865" s="162"/>
      <c r="F2865" s="162"/>
      <c r="G2865" s="162"/>
      <c r="H2865" s="162"/>
      <c r="I2865" s="161"/>
    </row>
    <row r="2866" spans="1:9" ht="9.9499999999999993" customHeight="1" x14ac:dyDescent="0.25">
      <c r="A2866" s="165"/>
      <c r="B2866" s="162"/>
      <c r="C2866" s="162"/>
      <c r="D2866" s="229"/>
      <c r="E2866" s="229"/>
      <c r="F2866" s="229"/>
      <c r="G2866" s="229"/>
      <c r="H2866" s="229"/>
      <c r="I2866" s="161"/>
    </row>
    <row r="2867" spans="1:9" ht="15" customHeight="1" x14ac:dyDescent="0.25">
      <c r="A2867" s="299" t="s">
        <v>4343</v>
      </c>
      <c r="B2867" s="454" t="str">
        <f>'PLANILHA ORCAMENTARIA'!D197</f>
        <v>Cabo de energia , classe de tensão 0,6/1kV, temperatura máxima em serviço contínuo 90 graus Celsius, formado por condutor de fios de cobre nu, têmpera mole,encordoamento classe 5, isolação em HEPR,  conforme NBR 13248 , 1 x 2C#1,0  mm²-Ref.: PRYSMIAN ou equivalente - azul. Ref.: Prysmian ou Similar</v>
      </c>
      <c r="C2867" s="455"/>
      <c r="D2867" s="455"/>
      <c r="E2867" s="300"/>
      <c r="F2867" s="300"/>
      <c r="G2867" s="300"/>
      <c r="H2867" s="300"/>
      <c r="I2867" s="161"/>
    </row>
    <row r="2868" spans="1:9" ht="12.95" customHeight="1" x14ac:dyDescent="0.25">
      <c r="A2868" s="450"/>
      <c r="B2868" s="451"/>
      <c r="C2868" s="119"/>
      <c r="D2868" s="119" t="s">
        <v>984</v>
      </c>
      <c r="E2868" s="162"/>
      <c r="F2868" s="162"/>
      <c r="G2868" s="162"/>
      <c r="H2868" s="162"/>
      <c r="I2868" s="161"/>
    </row>
    <row r="2869" spans="1:9" x14ac:dyDescent="0.25">
      <c r="A2869" s="163"/>
      <c r="B2869" s="120"/>
      <c r="C2869" s="227">
        <v>230</v>
      </c>
      <c r="D2869" s="228">
        <f>C2869</f>
        <v>230</v>
      </c>
      <c r="E2869" s="162"/>
      <c r="F2869" s="162"/>
      <c r="G2869" s="162"/>
      <c r="H2869" s="162"/>
      <c r="I2869" s="161"/>
    </row>
    <row r="2870" spans="1:9" ht="9.9499999999999993" customHeight="1" x14ac:dyDescent="0.25">
      <c r="A2870" s="164"/>
      <c r="B2870" s="121"/>
      <c r="C2870" s="122"/>
      <c r="D2870" s="123">
        <f>D2869</f>
        <v>230</v>
      </c>
      <c r="E2870" s="162"/>
      <c r="F2870" s="162"/>
      <c r="G2870" s="162"/>
      <c r="H2870" s="162"/>
      <c r="I2870" s="161"/>
    </row>
    <row r="2871" spans="1:9" ht="20.100000000000001" customHeight="1" x14ac:dyDescent="0.25">
      <c r="A2871" s="452"/>
      <c r="B2871" s="453"/>
      <c r="C2871" s="453"/>
      <c r="D2871" s="453"/>
      <c r="E2871" s="162"/>
      <c r="F2871" s="162"/>
      <c r="G2871" s="162"/>
      <c r="H2871" s="162"/>
      <c r="I2871" s="161"/>
    </row>
    <row r="2872" spans="1:9" ht="20.100000000000001" customHeight="1" x14ac:dyDescent="0.25">
      <c r="A2872" s="452"/>
      <c r="B2872" s="453"/>
      <c r="C2872" s="453"/>
      <c r="D2872" s="453"/>
      <c r="E2872" s="162"/>
      <c r="F2872" s="162"/>
      <c r="G2872" s="162"/>
      <c r="H2872" s="162"/>
      <c r="I2872" s="161"/>
    </row>
    <row r="2873" spans="1:9" ht="9.9499999999999993" customHeight="1" x14ac:dyDescent="0.25">
      <c r="A2873" s="456" t="s">
        <v>1706</v>
      </c>
      <c r="B2873" s="457"/>
      <c r="C2873" s="457"/>
      <c r="D2873" s="457"/>
      <c r="E2873" s="457"/>
      <c r="F2873" s="457"/>
      <c r="G2873" s="457"/>
      <c r="H2873" s="457"/>
      <c r="I2873" s="161"/>
    </row>
    <row r="2874" spans="1:9" ht="20.100000000000001" customHeight="1" x14ac:dyDescent="0.25">
      <c r="A2874" s="452"/>
      <c r="B2874" s="453"/>
      <c r="C2874" s="453"/>
      <c r="D2874" s="162"/>
      <c r="E2874" s="162"/>
      <c r="F2874" s="162"/>
      <c r="G2874" s="162"/>
      <c r="H2874" s="162"/>
      <c r="I2874" s="161"/>
    </row>
    <row r="2875" spans="1:9" ht="9.9499999999999993" customHeight="1" x14ac:dyDescent="0.25">
      <c r="A2875" s="456" t="s">
        <v>1707</v>
      </c>
      <c r="B2875" s="457"/>
      <c r="C2875" s="457"/>
      <c r="D2875" s="457"/>
      <c r="E2875" s="457"/>
      <c r="F2875" s="457"/>
      <c r="G2875" s="457"/>
      <c r="H2875" s="457"/>
      <c r="I2875" s="161"/>
    </row>
    <row r="2876" spans="1:9" ht="20.100000000000001" customHeight="1" x14ac:dyDescent="0.25">
      <c r="A2876" s="452"/>
      <c r="B2876" s="453"/>
      <c r="C2876" s="453"/>
      <c r="D2876" s="162"/>
      <c r="E2876" s="162"/>
      <c r="F2876" s="162"/>
      <c r="G2876" s="162"/>
      <c r="H2876" s="162"/>
      <c r="I2876" s="161"/>
    </row>
    <row r="2877" spans="1:9" ht="15" customHeight="1" x14ac:dyDescent="0.25">
      <c r="A2877" s="456" t="s">
        <v>1708</v>
      </c>
      <c r="B2877" s="457"/>
      <c r="C2877" s="457"/>
      <c r="D2877" s="457"/>
      <c r="E2877" s="457"/>
      <c r="F2877" s="457"/>
      <c r="G2877" s="457"/>
      <c r="H2877" s="457"/>
      <c r="I2877" s="161"/>
    </row>
    <row r="2878" spans="1:9" ht="12.95" customHeight="1" x14ac:dyDescent="0.25">
      <c r="A2878" s="450" t="s">
        <v>1052</v>
      </c>
      <c r="B2878" s="451"/>
      <c r="C2878" s="119"/>
      <c r="D2878" s="119" t="s">
        <v>984</v>
      </c>
      <c r="E2878" s="162"/>
      <c r="F2878" s="162"/>
      <c r="G2878" s="162"/>
      <c r="H2878" s="162"/>
      <c r="I2878" s="161"/>
    </row>
    <row r="2879" spans="1:9" ht="12.95" customHeight="1" x14ac:dyDescent="0.25">
      <c r="A2879" s="163" t="s">
        <v>1709</v>
      </c>
      <c r="B2879" s="120" t="s">
        <v>1710</v>
      </c>
      <c r="C2879" s="227">
        <v>71.33</v>
      </c>
      <c r="D2879" s="228">
        <f>ROUND(71.33,2)</f>
        <v>71.33</v>
      </c>
      <c r="E2879" s="162"/>
      <c r="F2879" s="162"/>
      <c r="G2879" s="162"/>
      <c r="H2879" s="162"/>
      <c r="I2879" s="161"/>
    </row>
    <row r="2880" spans="1:9" ht="12.95" customHeight="1" x14ac:dyDescent="0.25">
      <c r="A2880" s="163" t="s">
        <v>1711</v>
      </c>
      <c r="B2880" s="120" t="s">
        <v>1712</v>
      </c>
      <c r="C2880" s="227">
        <v>83.8</v>
      </c>
      <c r="D2880" s="228">
        <f>ROUND(83.8,2)</f>
        <v>83.8</v>
      </c>
      <c r="E2880" s="162"/>
      <c r="F2880" s="162"/>
      <c r="G2880" s="162"/>
      <c r="H2880" s="162"/>
      <c r="I2880" s="161"/>
    </row>
    <row r="2881" spans="1:9" ht="12.95" customHeight="1" x14ac:dyDescent="0.25">
      <c r="A2881" s="163" t="s">
        <v>1713</v>
      </c>
      <c r="B2881" s="120" t="s">
        <v>1714</v>
      </c>
      <c r="C2881" s="227">
        <v>94.08</v>
      </c>
      <c r="D2881" s="228">
        <f>ROUND(94.08,2)</f>
        <v>94.08</v>
      </c>
      <c r="E2881" s="162"/>
      <c r="F2881" s="162"/>
      <c r="G2881" s="162"/>
      <c r="H2881" s="162"/>
      <c r="I2881" s="161"/>
    </row>
    <row r="2882" spans="1:9" ht="12.95" customHeight="1" x14ac:dyDescent="0.25">
      <c r="A2882" s="163" t="s">
        <v>1715</v>
      </c>
      <c r="B2882" s="120" t="s">
        <v>1716</v>
      </c>
      <c r="C2882" s="227">
        <v>47.26</v>
      </c>
      <c r="D2882" s="228">
        <f>ROUND(47.26,2)</f>
        <v>47.26</v>
      </c>
      <c r="E2882" s="162"/>
      <c r="F2882" s="162"/>
      <c r="G2882" s="162"/>
      <c r="H2882" s="162"/>
      <c r="I2882" s="161"/>
    </row>
    <row r="2883" spans="1:9" ht="12.95" customHeight="1" x14ac:dyDescent="0.25">
      <c r="A2883" s="163" t="s">
        <v>1717</v>
      </c>
      <c r="B2883" s="120" t="s">
        <v>1718</v>
      </c>
      <c r="C2883" s="227">
        <v>56.92</v>
      </c>
      <c r="D2883" s="228">
        <f>ROUND(56.92,2)</f>
        <v>56.92</v>
      </c>
      <c r="E2883" s="162"/>
      <c r="F2883" s="162"/>
      <c r="G2883" s="162"/>
      <c r="H2883" s="162"/>
      <c r="I2883" s="161"/>
    </row>
    <row r="2884" spans="1:9" ht="12.95" customHeight="1" x14ac:dyDescent="0.25">
      <c r="A2884" s="163" t="s">
        <v>1719</v>
      </c>
      <c r="B2884" s="120" t="s">
        <v>1720</v>
      </c>
      <c r="C2884" s="227">
        <v>22.58</v>
      </c>
      <c r="D2884" s="228">
        <f>ROUND(22.58,2)</f>
        <v>22.58</v>
      </c>
      <c r="E2884" s="162"/>
      <c r="F2884" s="162"/>
      <c r="G2884" s="162"/>
      <c r="H2884" s="162"/>
      <c r="I2884" s="161"/>
    </row>
    <row r="2885" spans="1:9" ht="6" customHeight="1" x14ac:dyDescent="0.25">
      <c r="A2885" s="163" t="s">
        <v>1721</v>
      </c>
      <c r="B2885" s="120" t="s">
        <v>1722</v>
      </c>
      <c r="C2885" s="459">
        <v>758.97</v>
      </c>
      <c r="D2885" s="460">
        <f>ROUND(758.97,2)</f>
        <v>758.97</v>
      </c>
      <c r="E2885" s="162"/>
      <c r="F2885" s="162"/>
      <c r="G2885" s="162"/>
      <c r="H2885" s="162"/>
      <c r="I2885" s="161"/>
    </row>
    <row r="2886" spans="1:9" ht="15" customHeight="1" x14ac:dyDescent="0.25">
      <c r="A2886" s="166"/>
      <c r="B2886" s="124"/>
      <c r="C2886" s="459"/>
      <c r="D2886" s="460"/>
      <c r="E2886" s="162"/>
      <c r="F2886" s="162"/>
      <c r="G2886" s="162"/>
      <c r="H2886" s="162"/>
      <c r="I2886" s="161"/>
    </row>
    <row r="2887" spans="1:9" ht="9.9499999999999993" customHeight="1" x14ac:dyDescent="0.25">
      <c r="A2887" s="164" t="s">
        <v>1052</v>
      </c>
      <c r="B2887" s="121"/>
      <c r="C2887" s="122"/>
      <c r="D2887" s="123">
        <f>ROUND(SUM(D2879:D2886),2)</f>
        <v>1134.94</v>
      </c>
      <c r="E2887" s="162"/>
      <c r="F2887" s="162"/>
      <c r="G2887" s="162"/>
      <c r="H2887" s="162"/>
      <c r="I2887" s="161"/>
    </row>
    <row r="2888" spans="1:9" ht="15" customHeight="1" x14ac:dyDescent="0.25">
      <c r="A2888" s="452"/>
      <c r="B2888" s="453"/>
      <c r="C2888" s="453"/>
      <c r="D2888" s="162"/>
      <c r="E2888" s="162"/>
      <c r="F2888" s="162"/>
      <c r="G2888" s="162"/>
      <c r="H2888" s="162"/>
      <c r="I2888" s="161"/>
    </row>
    <row r="2889" spans="1:9" ht="12.95" customHeight="1" x14ac:dyDescent="0.25">
      <c r="A2889" s="450" t="s">
        <v>1071</v>
      </c>
      <c r="B2889" s="451"/>
      <c r="C2889" s="119"/>
      <c r="D2889" s="119" t="s">
        <v>984</v>
      </c>
      <c r="E2889" s="162"/>
      <c r="F2889" s="162"/>
      <c r="G2889" s="162"/>
      <c r="H2889" s="162"/>
      <c r="I2889" s="161"/>
    </row>
    <row r="2890" spans="1:9" ht="12.95" customHeight="1" x14ac:dyDescent="0.25">
      <c r="A2890" s="163" t="s">
        <v>1709</v>
      </c>
      <c r="B2890" s="120" t="s">
        <v>1723</v>
      </c>
      <c r="C2890" s="227">
        <v>86.55</v>
      </c>
      <c r="D2890" s="228">
        <f>ROUND(86.55,2)</f>
        <v>86.55</v>
      </c>
      <c r="E2890" s="162"/>
      <c r="F2890" s="162"/>
      <c r="G2890" s="162"/>
      <c r="H2890" s="162"/>
      <c r="I2890" s="161"/>
    </row>
    <row r="2891" spans="1:9" ht="12.95" customHeight="1" x14ac:dyDescent="0.25">
      <c r="A2891" s="163" t="s">
        <v>1711</v>
      </c>
      <c r="B2891" s="120" t="s">
        <v>1724</v>
      </c>
      <c r="C2891" s="227">
        <v>73.430000000000007</v>
      </c>
      <c r="D2891" s="228">
        <f>ROUND(73.43,2)</f>
        <v>73.430000000000007</v>
      </c>
      <c r="E2891" s="162"/>
      <c r="F2891" s="162"/>
      <c r="G2891" s="162"/>
      <c r="H2891" s="162"/>
      <c r="I2891" s="161"/>
    </row>
    <row r="2892" spans="1:9" ht="12.95" customHeight="1" x14ac:dyDescent="0.25">
      <c r="A2892" s="163" t="s">
        <v>1713</v>
      </c>
      <c r="B2892" s="120" t="s">
        <v>1725</v>
      </c>
      <c r="C2892" s="227">
        <v>80.91</v>
      </c>
      <c r="D2892" s="228">
        <f>ROUND(80.91,2)</f>
        <v>80.91</v>
      </c>
      <c r="E2892" s="162"/>
      <c r="F2892" s="162"/>
      <c r="G2892" s="162"/>
      <c r="H2892" s="162"/>
      <c r="I2892" s="161"/>
    </row>
    <row r="2893" spans="1:9" ht="12.95" customHeight="1" x14ac:dyDescent="0.25">
      <c r="A2893" s="163" t="s">
        <v>1715</v>
      </c>
      <c r="B2893" s="120" t="s">
        <v>1726</v>
      </c>
      <c r="C2893" s="227">
        <v>7.46</v>
      </c>
      <c r="D2893" s="228">
        <f>ROUND(7.46,2)</f>
        <v>7.46</v>
      </c>
      <c r="E2893" s="162"/>
      <c r="F2893" s="162"/>
      <c r="G2893" s="162"/>
      <c r="H2893" s="162"/>
      <c r="I2893" s="161"/>
    </row>
    <row r="2894" spans="1:9" ht="6" customHeight="1" x14ac:dyDescent="0.25">
      <c r="A2894" s="163" t="s">
        <v>1721</v>
      </c>
      <c r="B2894" s="120" t="s">
        <v>1727</v>
      </c>
      <c r="C2894" s="459">
        <v>527.89</v>
      </c>
      <c r="D2894" s="460">
        <f>ROUND(527.89,2)</f>
        <v>527.89</v>
      </c>
      <c r="E2894" s="162"/>
      <c r="F2894" s="162"/>
      <c r="G2894" s="162"/>
      <c r="H2894" s="162"/>
      <c r="I2894" s="161"/>
    </row>
    <row r="2895" spans="1:9" ht="15" customHeight="1" x14ac:dyDescent="0.25">
      <c r="A2895" s="166"/>
      <c r="B2895" s="124"/>
      <c r="C2895" s="459"/>
      <c r="D2895" s="460"/>
      <c r="E2895" s="162"/>
      <c r="F2895" s="162"/>
      <c r="G2895" s="162"/>
      <c r="H2895" s="162"/>
      <c r="I2895" s="161"/>
    </row>
    <row r="2896" spans="1:9" ht="9.9499999999999993" customHeight="1" x14ac:dyDescent="0.25">
      <c r="A2896" s="164" t="s">
        <v>1071</v>
      </c>
      <c r="B2896" s="121"/>
      <c r="C2896" s="122"/>
      <c r="D2896" s="123">
        <f>ROUND(SUM(D2890:D2895),2)</f>
        <v>776.24</v>
      </c>
      <c r="E2896" s="162"/>
      <c r="F2896" s="162"/>
      <c r="G2896" s="162"/>
      <c r="H2896" s="162"/>
      <c r="I2896" s="161"/>
    </row>
    <row r="2897" spans="1:9" ht="17.100000000000001" customHeight="1" x14ac:dyDescent="0.25">
      <c r="A2897" s="452"/>
      <c r="B2897" s="453"/>
      <c r="C2897" s="453"/>
      <c r="D2897" s="162"/>
      <c r="E2897" s="162"/>
      <c r="F2897" s="162"/>
      <c r="G2897" s="162"/>
      <c r="H2897" s="162"/>
      <c r="I2897" s="161"/>
    </row>
    <row r="2898" spans="1:9" ht="12" customHeight="1" x14ac:dyDescent="0.25">
      <c r="A2898" s="461" t="s">
        <v>4312</v>
      </c>
      <c r="B2898" s="462"/>
      <c r="C2898" s="462"/>
      <c r="D2898" s="458" t="str">
        <f>"TOTAL DA MEMÓRIA DE CÁLCULO: "&amp;TEXT(ROUND(SUM(D2887,D2896),2),"0,00")</f>
        <v>TOTAL DA MEMÓRIA DE CÁLCULO: 1911,18</v>
      </c>
      <c r="E2898" s="458"/>
      <c r="F2898" s="458"/>
      <c r="G2898" s="458"/>
      <c r="H2898" s="458"/>
      <c r="I2898" s="161"/>
    </row>
    <row r="2899" spans="1:9" ht="9.9499999999999993" customHeight="1" x14ac:dyDescent="0.25">
      <c r="A2899" s="461"/>
      <c r="B2899" s="462"/>
      <c r="C2899" s="462"/>
      <c r="D2899" s="162"/>
      <c r="E2899" s="162"/>
      <c r="F2899" s="162"/>
      <c r="G2899" s="162"/>
      <c r="H2899" s="162"/>
      <c r="I2899" s="161"/>
    </row>
    <row r="2900" spans="1:9" ht="30.95" customHeight="1" x14ac:dyDescent="0.25">
      <c r="A2900" s="452"/>
      <c r="B2900" s="453"/>
      <c r="C2900" s="453"/>
      <c r="D2900" s="453"/>
      <c r="E2900" s="162"/>
      <c r="F2900" s="162"/>
      <c r="G2900" s="162"/>
      <c r="H2900" s="162"/>
      <c r="I2900" s="161"/>
    </row>
    <row r="2901" spans="1:9" ht="15" customHeight="1" x14ac:dyDescent="0.25">
      <c r="A2901" s="456" t="s">
        <v>1728</v>
      </c>
      <c r="B2901" s="457"/>
      <c r="C2901" s="457"/>
      <c r="D2901" s="457"/>
      <c r="E2901" s="457"/>
      <c r="F2901" s="457"/>
      <c r="G2901" s="457"/>
      <c r="H2901" s="457"/>
      <c r="I2901" s="161"/>
    </row>
    <row r="2902" spans="1:9" ht="12.95" customHeight="1" x14ac:dyDescent="0.25">
      <c r="A2902" s="450" t="s">
        <v>1052</v>
      </c>
      <c r="B2902" s="451"/>
      <c r="C2902" s="119" t="s">
        <v>1007</v>
      </c>
      <c r="D2902" s="119" t="s">
        <v>1024</v>
      </c>
      <c r="E2902" s="119" t="s">
        <v>984</v>
      </c>
      <c r="F2902" s="162"/>
      <c r="G2902" s="162"/>
      <c r="H2902" s="162"/>
      <c r="I2902" s="161"/>
    </row>
    <row r="2903" spans="1:9" ht="12.95" customHeight="1" x14ac:dyDescent="0.25">
      <c r="A2903" s="163" t="s">
        <v>1709</v>
      </c>
      <c r="B2903" s="120" t="s">
        <v>1046</v>
      </c>
      <c r="C2903" s="227">
        <v>71.33</v>
      </c>
      <c r="D2903" s="227">
        <v>0.06</v>
      </c>
      <c r="E2903" s="228">
        <f t="shared" ref="E2903:E2909" si="2">ROUND(C2903*D2903,2)</f>
        <v>4.28</v>
      </c>
      <c r="F2903" s="162"/>
      <c r="G2903" s="162"/>
      <c r="H2903" s="162"/>
      <c r="I2903" s="161"/>
    </row>
    <row r="2904" spans="1:9" ht="12.95" customHeight="1" x14ac:dyDescent="0.25">
      <c r="A2904" s="163" t="s">
        <v>1711</v>
      </c>
      <c r="B2904" s="120" t="s">
        <v>1046</v>
      </c>
      <c r="C2904" s="227">
        <v>83.8</v>
      </c>
      <c r="D2904" s="227">
        <v>0.06</v>
      </c>
      <c r="E2904" s="228">
        <f t="shared" si="2"/>
        <v>5.03</v>
      </c>
      <c r="F2904" s="162"/>
      <c r="G2904" s="162"/>
      <c r="H2904" s="162"/>
      <c r="I2904" s="161"/>
    </row>
    <row r="2905" spans="1:9" ht="12.95" customHeight="1" x14ac:dyDescent="0.25">
      <c r="A2905" s="163" t="s">
        <v>1713</v>
      </c>
      <c r="B2905" s="120" t="s">
        <v>1046</v>
      </c>
      <c r="C2905" s="227">
        <v>94.08</v>
      </c>
      <c r="D2905" s="227">
        <v>0.06</v>
      </c>
      <c r="E2905" s="228">
        <f t="shared" si="2"/>
        <v>5.64</v>
      </c>
      <c r="F2905" s="162"/>
      <c r="G2905" s="162"/>
      <c r="H2905" s="162"/>
      <c r="I2905" s="161"/>
    </row>
    <row r="2906" spans="1:9" ht="12.95" customHeight="1" x14ac:dyDescent="0.25">
      <c r="A2906" s="163" t="s">
        <v>1715</v>
      </c>
      <c r="B2906" s="120" t="s">
        <v>1046</v>
      </c>
      <c r="C2906" s="227">
        <v>47.26</v>
      </c>
      <c r="D2906" s="227">
        <v>0.06</v>
      </c>
      <c r="E2906" s="228">
        <f t="shared" si="2"/>
        <v>2.84</v>
      </c>
      <c r="F2906" s="162"/>
      <c r="G2906" s="162"/>
      <c r="H2906" s="162"/>
      <c r="I2906" s="161"/>
    </row>
    <row r="2907" spans="1:9" ht="12.95" customHeight="1" x14ac:dyDescent="0.25">
      <c r="A2907" s="163" t="s">
        <v>1717</v>
      </c>
      <c r="B2907" s="120" t="s">
        <v>1046</v>
      </c>
      <c r="C2907" s="227">
        <v>56.92</v>
      </c>
      <c r="D2907" s="227">
        <v>0.06</v>
      </c>
      <c r="E2907" s="228">
        <f t="shared" si="2"/>
        <v>3.42</v>
      </c>
      <c r="F2907" s="162"/>
      <c r="G2907" s="162"/>
      <c r="H2907" s="162"/>
      <c r="I2907" s="161"/>
    </row>
    <row r="2908" spans="1:9" ht="12.95" customHeight="1" x14ac:dyDescent="0.25">
      <c r="A2908" s="163" t="s">
        <v>1719</v>
      </c>
      <c r="B2908" s="120" t="s">
        <v>1046</v>
      </c>
      <c r="C2908" s="227">
        <v>22.58</v>
      </c>
      <c r="D2908" s="227">
        <v>0.06</v>
      </c>
      <c r="E2908" s="228">
        <f t="shared" si="2"/>
        <v>1.35</v>
      </c>
      <c r="F2908" s="162"/>
      <c r="G2908" s="162"/>
      <c r="H2908" s="162"/>
      <c r="I2908" s="161"/>
    </row>
    <row r="2909" spans="1:9" ht="6" customHeight="1" x14ac:dyDescent="0.25">
      <c r="A2909" s="163" t="s">
        <v>1721</v>
      </c>
      <c r="B2909" s="120" t="s">
        <v>1046</v>
      </c>
      <c r="C2909" s="459">
        <v>758.97</v>
      </c>
      <c r="D2909" s="459">
        <v>0.06</v>
      </c>
      <c r="E2909" s="460">
        <f t="shared" si="2"/>
        <v>45.54</v>
      </c>
      <c r="F2909" s="162"/>
      <c r="G2909" s="162"/>
      <c r="H2909" s="162"/>
      <c r="I2909" s="161"/>
    </row>
    <row r="2910" spans="1:9" ht="15" customHeight="1" x14ac:dyDescent="0.25">
      <c r="A2910" s="166"/>
      <c r="B2910" s="124"/>
      <c r="C2910" s="459"/>
      <c r="D2910" s="459"/>
      <c r="E2910" s="460"/>
      <c r="F2910" s="162"/>
      <c r="G2910" s="162"/>
      <c r="H2910" s="162"/>
      <c r="I2910" s="161"/>
    </row>
    <row r="2911" spans="1:9" ht="9.9499999999999993" customHeight="1" x14ac:dyDescent="0.25">
      <c r="A2911" s="164" t="s">
        <v>1052</v>
      </c>
      <c r="B2911" s="121"/>
      <c r="C2911" s="122"/>
      <c r="D2911" s="122"/>
      <c r="E2911" s="123">
        <f>ROUND(SUM(E2903:E2910),2)</f>
        <v>68.099999999999994</v>
      </c>
      <c r="F2911" s="162"/>
      <c r="G2911" s="162"/>
      <c r="H2911" s="162"/>
      <c r="I2911" s="161"/>
    </row>
    <row r="2912" spans="1:9" ht="15" customHeight="1" x14ac:dyDescent="0.25">
      <c r="A2912" s="452"/>
      <c r="B2912" s="453"/>
      <c r="C2912" s="453"/>
      <c r="D2912" s="162"/>
      <c r="E2912" s="162"/>
      <c r="F2912" s="162"/>
      <c r="G2912" s="162"/>
      <c r="H2912" s="162"/>
      <c r="I2912" s="161"/>
    </row>
    <row r="2913" spans="1:9" ht="12.95" customHeight="1" x14ac:dyDescent="0.25">
      <c r="A2913" s="450" t="s">
        <v>1071</v>
      </c>
      <c r="B2913" s="451"/>
      <c r="C2913" s="119" t="s">
        <v>1007</v>
      </c>
      <c r="D2913" s="119" t="s">
        <v>1024</v>
      </c>
      <c r="E2913" s="119" t="s">
        <v>984</v>
      </c>
      <c r="F2913" s="162"/>
      <c r="G2913" s="162"/>
      <c r="H2913" s="162"/>
      <c r="I2913" s="161"/>
    </row>
    <row r="2914" spans="1:9" ht="12.95" customHeight="1" x14ac:dyDescent="0.25">
      <c r="A2914" s="163" t="s">
        <v>1709</v>
      </c>
      <c r="B2914" s="120" t="s">
        <v>1046</v>
      </c>
      <c r="C2914" s="227">
        <v>86.55</v>
      </c>
      <c r="D2914" s="227">
        <v>0.06</v>
      </c>
      <c r="E2914" s="228">
        <f>ROUND(C2914*D2914,2)</f>
        <v>5.19</v>
      </c>
      <c r="F2914" s="162"/>
      <c r="G2914" s="162"/>
      <c r="H2914" s="162"/>
      <c r="I2914" s="161"/>
    </row>
    <row r="2915" spans="1:9" ht="12.95" customHeight="1" x14ac:dyDescent="0.25">
      <c r="A2915" s="163" t="s">
        <v>1711</v>
      </c>
      <c r="B2915" s="120" t="s">
        <v>1046</v>
      </c>
      <c r="C2915" s="227">
        <v>73.430000000000007</v>
      </c>
      <c r="D2915" s="227">
        <v>0.06</v>
      </c>
      <c r="E2915" s="228">
        <f>ROUND(C2915*D2915,2)</f>
        <v>4.41</v>
      </c>
      <c r="F2915" s="162"/>
      <c r="G2915" s="162"/>
      <c r="H2915" s="162"/>
      <c r="I2915" s="161"/>
    </row>
    <row r="2916" spans="1:9" ht="12.95" customHeight="1" x14ac:dyDescent="0.25">
      <c r="A2916" s="163" t="s">
        <v>1713</v>
      </c>
      <c r="B2916" s="120" t="s">
        <v>1046</v>
      </c>
      <c r="C2916" s="227">
        <v>80.91</v>
      </c>
      <c r="D2916" s="227">
        <v>0.06</v>
      </c>
      <c r="E2916" s="228">
        <f>ROUND(C2916*D2916,2)</f>
        <v>4.8499999999999996</v>
      </c>
      <c r="F2916" s="162"/>
      <c r="G2916" s="162"/>
      <c r="H2916" s="162"/>
      <c r="I2916" s="161"/>
    </row>
    <row r="2917" spans="1:9" ht="12.95" customHeight="1" x14ac:dyDescent="0.25">
      <c r="A2917" s="163" t="s">
        <v>1715</v>
      </c>
      <c r="B2917" s="120" t="s">
        <v>1046</v>
      </c>
      <c r="C2917" s="227">
        <v>7.46</v>
      </c>
      <c r="D2917" s="227">
        <v>0.06</v>
      </c>
      <c r="E2917" s="228">
        <f>ROUND(C2917*D2917,2)</f>
        <v>0.45</v>
      </c>
      <c r="F2917" s="162"/>
      <c r="G2917" s="162"/>
      <c r="H2917" s="162"/>
      <c r="I2917" s="161"/>
    </row>
    <row r="2918" spans="1:9" ht="6" customHeight="1" x14ac:dyDescent="0.25">
      <c r="A2918" s="163" t="s">
        <v>1721</v>
      </c>
      <c r="B2918" s="120" t="s">
        <v>1046</v>
      </c>
      <c r="C2918" s="459">
        <v>527.89</v>
      </c>
      <c r="D2918" s="459">
        <v>0.06</v>
      </c>
      <c r="E2918" s="460">
        <f>ROUND(C2918*D2918,2)</f>
        <v>31.67</v>
      </c>
      <c r="F2918" s="162"/>
      <c r="G2918" s="162"/>
      <c r="H2918" s="162"/>
      <c r="I2918" s="161"/>
    </row>
    <row r="2919" spans="1:9" ht="15" customHeight="1" x14ac:dyDescent="0.25">
      <c r="A2919" s="166"/>
      <c r="B2919" s="124"/>
      <c r="C2919" s="459"/>
      <c r="D2919" s="459"/>
      <c r="E2919" s="460"/>
      <c r="F2919" s="162"/>
      <c r="G2919" s="162"/>
      <c r="H2919" s="162"/>
      <c r="I2919" s="161"/>
    </row>
    <row r="2920" spans="1:9" ht="9.9499999999999993" customHeight="1" x14ac:dyDescent="0.25">
      <c r="A2920" s="164" t="s">
        <v>1071</v>
      </c>
      <c r="B2920" s="121"/>
      <c r="C2920" s="122"/>
      <c r="D2920" s="122"/>
      <c r="E2920" s="123">
        <f>ROUND(SUM(E2914:E2919),2)</f>
        <v>46.57</v>
      </c>
      <c r="F2920" s="162"/>
      <c r="G2920" s="162"/>
      <c r="H2920" s="162"/>
      <c r="I2920" s="161"/>
    </row>
    <row r="2921" spans="1:9" ht="12" customHeight="1" x14ac:dyDescent="0.25">
      <c r="A2921" s="452"/>
      <c r="B2921" s="453"/>
      <c r="C2921" s="453"/>
      <c r="D2921" s="162"/>
      <c r="E2921" s="162"/>
      <c r="F2921" s="162"/>
      <c r="G2921" s="162"/>
      <c r="H2921" s="162"/>
      <c r="I2921" s="161"/>
    </row>
    <row r="2922" spans="1:9" ht="12" customHeight="1" x14ac:dyDescent="0.25">
      <c r="A2922" s="461" t="s">
        <v>4313</v>
      </c>
      <c r="B2922" s="462"/>
      <c r="C2922" s="462"/>
      <c r="D2922" s="458" t="str">
        <f>"TOTAL DA MEMÓRIA DE CÁLCULO: "&amp;TEXT(ROUND(SUM(E2911,E2920),2),"0,00")</f>
        <v>TOTAL DA MEMÓRIA DE CÁLCULO: 114,67</v>
      </c>
      <c r="E2922" s="458"/>
      <c r="F2922" s="458"/>
      <c r="G2922" s="458"/>
      <c r="H2922" s="458"/>
      <c r="I2922" s="161"/>
    </row>
    <row r="2923" spans="1:9" ht="9.9499999999999993" customHeight="1" x14ac:dyDescent="0.25">
      <c r="A2923" s="461"/>
      <c r="B2923" s="462"/>
      <c r="C2923" s="462"/>
      <c r="D2923" s="462" t="s">
        <v>1729</v>
      </c>
      <c r="E2923" s="462"/>
      <c r="F2923" s="462"/>
      <c r="G2923" s="462"/>
      <c r="H2923" s="462"/>
      <c r="I2923" s="161"/>
    </row>
    <row r="2924" spans="1:9" ht="30.95" customHeight="1" x14ac:dyDescent="0.25">
      <c r="A2924" s="452"/>
      <c r="B2924" s="453"/>
      <c r="C2924" s="453"/>
      <c r="D2924" s="453"/>
      <c r="E2924" s="162"/>
      <c r="F2924" s="162"/>
      <c r="G2924" s="162"/>
      <c r="H2924" s="162"/>
      <c r="I2924" s="161"/>
    </row>
    <row r="2925" spans="1:9" ht="15" customHeight="1" x14ac:dyDescent="0.25">
      <c r="A2925" s="456" t="s">
        <v>1730</v>
      </c>
      <c r="B2925" s="457"/>
      <c r="C2925" s="457"/>
      <c r="D2925" s="457"/>
      <c r="E2925" s="457"/>
      <c r="F2925" s="457"/>
      <c r="G2925" s="457"/>
      <c r="H2925" s="457"/>
      <c r="I2925" s="161"/>
    </row>
    <row r="2926" spans="1:9" ht="18.95" customHeight="1" x14ac:dyDescent="0.25">
      <c r="A2926" s="450" t="s">
        <v>1052</v>
      </c>
      <c r="B2926" s="451"/>
      <c r="C2926" s="119"/>
      <c r="D2926" s="119" t="s">
        <v>984</v>
      </c>
      <c r="E2926" s="162"/>
      <c r="F2926" s="162"/>
      <c r="G2926" s="162"/>
      <c r="H2926" s="162"/>
      <c r="I2926" s="161"/>
    </row>
    <row r="2927" spans="1:9" ht="12.95" customHeight="1" x14ac:dyDescent="0.25">
      <c r="A2927" s="163" t="s">
        <v>1731</v>
      </c>
      <c r="B2927" s="120" t="s">
        <v>1732</v>
      </c>
      <c r="C2927" s="227">
        <v>197.01</v>
      </c>
      <c r="D2927" s="228">
        <f>ROUND(197.01,2)</f>
        <v>197.01</v>
      </c>
      <c r="E2927" s="162"/>
      <c r="F2927" s="162"/>
      <c r="G2927" s="162"/>
      <c r="H2927" s="162"/>
      <c r="I2927" s="161"/>
    </row>
    <row r="2928" spans="1:9" ht="12.95" customHeight="1" x14ac:dyDescent="0.25">
      <c r="A2928" s="163" t="s">
        <v>1733</v>
      </c>
      <c r="B2928" s="120" t="s">
        <v>1734</v>
      </c>
      <c r="C2928" s="227">
        <v>53.67</v>
      </c>
      <c r="D2928" s="228">
        <f>ROUND(53.67,2)</f>
        <v>53.67</v>
      </c>
      <c r="E2928" s="162"/>
      <c r="F2928" s="162"/>
      <c r="G2928" s="162"/>
      <c r="H2928" s="162"/>
      <c r="I2928" s="161"/>
    </row>
    <row r="2929" spans="1:9" ht="12.95" customHeight="1" x14ac:dyDescent="0.25">
      <c r="A2929" s="163" t="s">
        <v>1735</v>
      </c>
      <c r="B2929" s="120" t="s">
        <v>1736</v>
      </c>
      <c r="C2929" s="227">
        <v>27.21</v>
      </c>
      <c r="D2929" s="228">
        <f>ROUND(27.21,2)</f>
        <v>27.21</v>
      </c>
      <c r="E2929" s="162"/>
      <c r="F2929" s="162"/>
      <c r="G2929" s="162"/>
      <c r="H2929" s="162"/>
      <c r="I2929" s="161"/>
    </row>
    <row r="2930" spans="1:9" ht="12.95" customHeight="1" x14ac:dyDescent="0.25">
      <c r="A2930" s="163" t="s">
        <v>1737</v>
      </c>
      <c r="B2930" s="120" t="s">
        <v>1738</v>
      </c>
      <c r="C2930" s="227">
        <v>40.549999999999997</v>
      </c>
      <c r="D2930" s="228">
        <f>ROUND(40.55,2)</f>
        <v>40.549999999999997</v>
      </c>
      <c r="E2930" s="162"/>
      <c r="F2930" s="162"/>
      <c r="G2930" s="162"/>
      <c r="H2930" s="162"/>
      <c r="I2930" s="161"/>
    </row>
    <row r="2931" spans="1:9" ht="12.95" customHeight="1" x14ac:dyDescent="0.25">
      <c r="A2931" s="163" t="s">
        <v>1739</v>
      </c>
      <c r="B2931" s="120" t="s">
        <v>1740</v>
      </c>
      <c r="C2931" s="227">
        <v>46.92</v>
      </c>
      <c r="D2931" s="228">
        <f>ROUND(46.92,2)</f>
        <v>46.92</v>
      </c>
      <c r="E2931" s="162"/>
      <c r="F2931" s="162"/>
      <c r="G2931" s="162"/>
      <c r="H2931" s="162"/>
      <c r="I2931" s="161"/>
    </row>
    <row r="2932" spans="1:9" ht="12.95" customHeight="1" x14ac:dyDescent="0.25">
      <c r="A2932" s="163" t="s">
        <v>1741</v>
      </c>
      <c r="B2932" s="120" t="s">
        <v>1742</v>
      </c>
      <c r="C2932" s="227">
        <v>28.68</v>
      </c>
      <c r="D2932" s="228">
        <f>ROUND(28.68,2)</f>
        <v>28.68</v>
      </c>
      <c r="E2932" s="162"/>
      <c r="F2932" s="162"/>
      <c r="G2932" s="162"/>
      <c r="H2932" s="162"/>
      <c r="I2932" s="161"/>
    </row>
    <row r="2933" spans="1:9" ht="12.95" customHeight="1" x14ac:dyDescent="0.25">
      <c r="A2933" s="163" t="s">
        <v>1743</v>
      </c>
      <c r="B2933" s="120" t="s">
        <v>1744</v>
      </c>
      <c r="C2933" s="227">
        <v>33.07</v>
      </c>
      <c r="D2933" s="228">
        <f>ROUND(33.07,2)</f>
        <v>33.07</v>
      </c>
      <c r="E2933" s="162"/>
      <c r="F2933" s="162"/>
      <c r="G2933" s="162"/>
      <c r="H2933" s="162"/>
      <c r="I2933" s="161"/>
    </row>
    <row r="2934" spans="1:9" ht="12.95" customHeight="1" x14ac:dyDescent="0.25">
      <c r="A2934" s="163" t="s">
        <v>1745</v>
      </c>
      <c r="B2934" s="120" t="s">
        <v>1746</v>
      </c>
      <c r="C2934" s="227">
        <v>32.369999999999997</v>
      </c>
      <c r="D2934" s="228">
        <f>ROUND(32.37,2)</f>
        <v>32.369999999999997</v>
      </c>
      <c r="E2934" s="162"/>
      <c r="F2934" s="162"/>
      <c r="G2934" s="162"/>
      <c r="H2934" s="162"/>
      <c r="I2934" s="161"/>
    </row>
    <row r="2935" spans="1:9" ht="12.95" customHeight="1" x14ac:dyDescent="0.25">
      <c r="A2935" s="163" t="s">
        <v>1747</v>
      </c>
      <c r="B2935" s="120" t="s">
        <v>1748</v>
      </c>
      <c r="C2935" s="227">
        <v>39.92</v>
      </c>
      <c r="D2935" s="228">
        <f>ROUND(39.92,2)</f>
        <v>39.92</v>
      </c>
      <c r="E2935" s="162"/>
      <c r="F2935" s="162"/>
      <c r="G2935" s="162"/>
      <c r="H2935" s="162"/>
      <c r="I2935" s="161"/>
    </row>
    <row r="2936" spans="1:9" ht="15" customHeight="1" x14ac:dyDescent="0.25">
      <c r="A2936" s="163" t="s">
        <v>1749</v>
      </c>
      <c r="B2936" s="120" t="s">
        <v>1750</v>
      </c>
      <c r="C2936" s="227">
        <v>39.5</v>
      </c>
      <c r="D2936" s="228">
        <f>ROUND(39.5,2)</f>
        <v>39.5</v>
      </c>
      <c r="E2936" s="162"/>
      <c r="F2936" s="162"/>
      <c r="G2936" s="162"/>
      <c r="H2936" s="162"/>
      <c r="I2936" s="161"/>
    </row>
    <row r="2937" spans="1:9" ht="9.9499999999999993" customHeight="1" x14ac:dyDescent="0.25">
      <c r="A2937" s="164" t="s">
        <v>1052</v>
      </c>
      <c r="B2937" s="121"/>
      <c r="C2937" s="122"/>
      <c r="D2937" s="123">
        <f>ROUND(SUM(D2927:D2936),2)</f>
        <v>538.9</v>
      </c>
      <c r="E2937" s="162"/>
      <c r="F2937" s="162"/>
      <c r="G2937" s="162"/>
      <c r="H2937" s="162"/>
      <c r="I2937" s="161"/>
    </row>
    <row r="2938" spans="1:9" ht="15" customHeight="1" x14ac:dyDescent="0.25">
      <c r="A2938" s="452"/>
      <c r="B2938" s="453"/>
      <c r="C2938" s="453"/>
      <c r="D2938" s="162"/>
      <c r="E2938" s="162"/>
      <c r="F2938" s="162"/>
      <c r="G2938" s="162"/>
      <c r="H2938" s="162"/>
      <c r="I2938" s="161"/>
    </row>
    <row r="2939" spans="1:9" ht="18.95" customHeight="1" x14ac:dyDescent="0.25">
      <c r="A2939" s="450" t="s">
        <v>1071</v>
      </c>
      <c r="B2939" s="451"/>
      <c r="C2939" s="119"/>
      <c r="D2939" s="119" t="s">
        <v>984</v>
      </c>
      <c r="E2939" s="162"/>
      <c r="F2939" s="162"/>
      <c r="G2939" s="162"/>
      <c r="H2939" s="162"/>
      <c r="I2939" s="161"/>
    </row>
    <row r="2940" spans="1:9" ht="12.95" customHeight="1" x14ac:dyDescent="0.25">
      <c r="A2940" s="163" t="s">
        <v>1731</v>
      </c>
      <c r="B2940" s="120" t="s">
        <v>1751</v>
      </c>
      <c r="C2940" s="227">
        <v>201.21</v>
      </c>
      <c r="D2940" s="228">
        <f>ROUND(201.21,2)</f>
        <v>201.21</v>
      </c>
      <c r="E2940" s="162"/>
      <c r="F2940" s="162"/>
      <c r="G2940" s="162"/>
      <c r="H2940" s="162"/>
      <c r="I2940" s="161"/>
    </row>
    <row r="2941" spans="1:9" ht="12.95" customHeight="1" x14ac:dyDescent="0.25">
      <c r="A2941" s="163" t="s">
        <v>1752</v>
      </c>
      <c r="B2941" s="120" t="s">
        <v>1753</v>
      </c>
      <c r="C2941" s="227">
        <v>56.24</v>
      </c>
      <c r="D2941" s="228">
        <f>ROUND(56.24,2)</f>
        <v>56.24</v>
      </c>
      <c r="E2941" s="162"/>
      <c r="F2941" s="162"/>
      <c r="G2941" s="162"/>
      <c r="H2941" s="162"/>
      <c r="I2941" s="161"/>
    </row>
    <row r="2942" spans="1:9" ht="15" customHeight="1" x14ac:dyDescent="0.25">
      <c r="A2942" s="163" t="s">
        <v>1754</v>
      </c>
      <c r="B2942" s="120" t="s">
        <v>1755</v>
      </c>
      <c r="C2942" s="227">
        <v>35.049999999999997</v>
      </c>
      <c r="D2942" s="228">
        <f>ROUND(35.05,2)</f>
        <v>35.049999999999997</v>
      </c>
      <c r="E2942" s="162"/>
      <c r="F2942" s="162"/>
      <c r="G2942" s="162"/>
      <c r="H2942" s="162"/>
      <c r="I2942" s="161"/>
    </row>
    <row r="2943" spans="1:9" ht="9.9499999999999993" customHeight="1" x14ac:dyDescent="0.25">
      <c r="A2943" s="164" t="s">
        <v>1071</v>
      </c>
      <c r="B2943" s="121"/>
      <c r="C2943" s="122"/>
      <c r="D2943" s="123">
        <f>ROUND(SUM(D2940:D2942),2)</f>
        <v>292.5</v>
      </c>
      <c r="E2943" s="162"/>
      <c r="F2943" s="162"/>
      <c r="G2943" s="162"/>
      <c r="H2943" s="162"/>
      <c r="I2943" s="161"/>
    </row>
    <row r="2944" spans="1:9" ht="12" customHeight="1" x14ac:dyDescent="0.25">
      <c r="A2944" s="452"/>
      <c r="B2944" s="453"/>
      <c r="C2944" s="453"/>
      <c r="D2944" s="162"/>
      <c r="E2944" s="162"/>
      <c r="F2944" s="162"/>
      <c r="G2944" s="162"/>
      <c r="H2944" s="162"/>
      <c r="I2944" s="161"/>
    </row>
    <row r="2945" spans="1:9" ht="12" customHeight="1" x14ac:dyDescent="0.25">
      <c r="A2945" s="461" t="s">
        <v>4314</v>
      </c>
      <c r="B2945" s="462"/>
      <c r="C2945" s="462"/>
      <c r="D2945" s="458" t="str">
        <f>"TOTAL DA MEMÓRIA DE CÁLCULO: "&amp;TEXT(ROUND(SUM(D2937,D2943),2),"0,00")</f>
        <v>TOTAL DA MEMÓRIA DE CÁLCULO: 831,40</v>
      </c>
      <c r="E2945" s="458"/>
      <c r="F2945" s="458"/>
      <c r="G2945" s="458"/>
      <c r="H2945" s="458"/>
      <c r="I2945" s="161"/>
    </row>
    <row r="2946" spans="1:9" ht="9.9499999999999993" customHeight="1" x14ac:dyDescent="0.25">
      <c r="A2946" s="461"/>
      <c r="B2946" s="462"/>
      <c r="C2946" s="462"/>
      <c r="D2946" s="162"/>
      <c r="E2946" s="162"/>
      <c r="F2946" s="162"/>
      <c r="G2946" s="162"/>
      <c r="H2946" s="162"/>
      <c r="I2946" s="161"/>
    </row>
    <row r="2947" spans="1:9" ht="20.100000000000001" customHeight="1" x14ac:dyDescent="0.25">
      <c r="A2947" s="452"/>
      <c r="B2947" s="453"/>
      <c r="C2947" s="453"/>
      <c r="D2947" s="453"/>
      <c r="E2947" s="162"/>
      <c r="F2947" s="162"/>
      <c r="G2947" s="162"/>
      <c r="H2947" s="162"/>
      <c r="I2947" s="161"/>
    </row>
    <row r="2948" spans="1:9" ht="15" customHeight="1" x14ac:dyDescent="0.25">
      <c r="A2948" s="456" t="s">
        <v>1756</v>
      </c>
      <c r="B2948" s="457"/>
      <c r="C2948" s="457"/>
      <c r="D2948" s="457"/>
      <c r="E2948" s="457"/>
      <c r="F2948" s="457"/>
      <c r="G2948" s="457"/>
      <c r="H2948" s="457"/>
      <c r="I2948" s="161"/>
    </row>
    <row r="2949" spans="1:9" ht="18.95" customHeight="1" x14ac:dyDescent="0.25">
      <c r="A2949" s="450" t="s">
        <v>1052</v>
      </c>
      <c r="B2949" s="451"/>
      <c r="C2949" s="119" t="s">
        <v>1059</v>
      </c>
      <c r="D2949" s="119" t="s">
        <v>147</v>
      </c>
      <c r="E2949" s="119" t="s">
        <v>1024</v>
      </c>
      <c r="F2949" s="119" t="s">
        <v>984</v>
      </c>
      <c r="G2949" s="162"/>
      <c r="H2949" s="162"/>
      <c r="I2949" s="161"/>
    </row>
    <row r="2950" spans="1:9" ht="12.95" customHeight="1" x14ac:dyDescent="0.25">
      <c r="A2950" s="163" t="s">
        <v>1731</v>
      </c>
      <c r="B2950" s="120" t="s">
        <v>1757</v>
      </c>
      <c r="C2950" s="227">
        <v>197.01</v>
      </c>
      <c r="D2950" s="227">
        <v>0.12</v>
      </c>
      <c r="E2950" s="227">
        <v>0.2</v>
      </c>
      <c r="F2950" s="228">
        <f t="shared" ref="F2950:F2959" si="3">ROUND(C2950*(D2950+E2950),2)</f>
        <v>63.04</v>
      </c>
      <c r="G2950" s="162"/>
      <c r="H2950" s="162"/>
      <c r="I2950" s="161"/>
    </row>
    <row r="2951" spans="1:9" ht="12.95" customHeight="1" x14ac:dyDescent="0.25">
      <c r="A2951" s="163" t="s">
        <v>1733</v>
      </c>
      <c r="B2951" s="120" t="s">
        <v>1757</v>
      </c>
      <c r="C2951" s="227">
        <v>53.67</v>
      </c>
      <c r="D2951" s="227">
        <v>0.12</v>
      </c>
      <c r="E2951" s="227">
        <v>0.2</v>
      </c>
      <c r="F2951" s="228">
        <f t="shared" si="3"/>
        <v>17.170000000000002</v>
      </c>
      <c r="G2951" s="162"/>
      <c r="H2951" s="162"/>
      <c r="I2951" s="161"/>
    </row>
    <row r="2952" spans="1:9" ht="12.95" customHeight="1" x14ac:dyDescent="0.25">
      <c r="A2952" s="163" t="s">
        <v>1735</v>
      </c>
      <c r="B2952" s="120" t="s">
        <v>1757</v>
      </c>
      <c r="C2952" s="227">
        <v>27.21</v>
      </c>
      <c r="D2952" s="227">
        <v>0.12</v>
      </c>
      <c r="E2952" s="227">
        <v>0.2</v>
      </c>
      <c r="F2952" s="228">
        <f t="shared" si="3"/>
        <v>8.7100000000000009</v>
      </c>
      <c r="G2952" s="162"/>
      <c r="H2952" s="162"/>
      <c r="I2952" s="161"/>
    </row>
    <row r="2953" spans="1:9" ht="12.95" customHeight="1" x14ac:dyDescent="0.25">
      <c r="A2953" s="163" t="s">
        <v>1737</v>
      </c>
      <c r="B2953" s="120" t="s">
        <v>1757</v>
      </c>
      <c r="C2953" s="227">
        <v>40.549999999999997</v>
      </c>
      <c r="D2953" s="227">
        <v>0.12</v>
      </c>
      <c r="E2953" s="227">
        <v>0.2</v>
      </c>
      <c r="F2953" s="228">
        <f t="shared" si="3"/>
        <v>12.98</v>
      </c>
      <c r="G2953" s="162"/>
      <c r="H2953" s="162"/>
      <c r="I2953" s="161"/>
    </row>
    <row r="2954" spans="1:9" ht="12.95" customHeight="1" x14ac:dyDescent="0.25">
      <c r="A2954" s="163" t="s">
        <v>1739</v>
      </c>
      <c r="B2954" s="120" t="s">
        <v>1757</v>
      </c>
      <c r="C2954" s="227">
        <v>46.92</v>
      </c>
      <c r="D2954" s="227">
        <v>0.12</v>
      </c>
      <c r="E2954" s="227">
        <v>0.2</v>
      </c>
      <c r="F2954" s="228">
        <f t="shared" si="3"/>
        <v>15.01</v>
      </c>
      <c r="G2954" s="162"/>
      <c r="H2954" s="162"/>
      <c r="I2954" s="161"/>
    </row>
    <row r="2955" spans="1:9" ht="12.95" customHeight="1" x14ac:dyDescent="0.25">
      <c r="A2955" s="163" t="s">
        <v>1741</v>
      </c>
      <c r="B2955" s="120" t="s">
        <v>1757</v>
      </c>
      <c r="C2955" s="227">
        <v>28.68</v>
      </c>
      <c r="D2955" s="227">
        <v>0.12</v>
      </c>
      <c r="E2955" s="227">
        <v>0.2</v>
      </c>
      <c r="F2955" s="228">
        <f t="shared" si="3"/>
        <v>9.18</v>
      </c>
      <c r="G2955" s="162"/>
      <c r="H2955" s="162"/>
      <c r="I2955" s="161"/>
    </row>
    <row r="2956" spans="1:9" ht="12.95" customHeight="1" x14ac:dyDescent="0.25">
      <c r="A2956" s="163" t="s">
        <v>1743</v>
      </c>
      <c r="B2956" s="120" t="s">
        <v>1757</v>
      </c>
      <c r="C2956" s="227">
        <v>33.07</v>
      </c>
      <c r="D2956" s="227">
        <v>0.12</v>
      </c>
      <c r="E2956" s="227">
        <v>0.2</v>
      </c>
      <c r="F2956" s="228">
        <f t="shared" si="3"/>
        <v>10.58</v>
      </c>
      <c r="G2956" s="162"/>
      <c r="H2956" s="162"/>
      <c r="I2956" s="161"/>
    </row>
    <row r="2957" spans="1:9" ht="12.95" customHeight="1" x14ac:dyDescent="0.25">
      <c r="A2957" s="163" t="s">
        <v>1745</v>
      </c>
      <c r="B2957" s="120" t="s">
        <v>1757</v>
      </c>
      <c r="C2957" s="227">
        <v>32.369999999999997</v>
      </c>
      <c r="D2957" s="227">
        <v>0.12</v>
      </c>
      <c r="E2957" s="227">
        <v>0.2</v>
      </c>
      <c r="F2957" s="228">
        <f t="shared" si="3"/>
        <v>10.36</v>
      </c>
      <c r="G2957" s="162"/>
      <c r="H2957" s="162"/>
      <c r="I2957" s="161"/>
    </row>
    <row r="2958" spans="1:9" ht="12.95" customHeight="1" x14ac:dyDescent="0.25">
      <c r="A2958" s="163" t="s">
        <v>1747</v>
      </c>
      <c r="B2958" s="120" t="s">
        <v>1757</v>
      </c>
      <c r="C2958" s="227">
        <v>39.92</v>
      </c>
      <c r="D2958" s="227">
        <v>0.12</v>
      </c>
      <c r="E2958" s="227">
        <v>0.2</v>
      </c>
      <c r="F2958" s="228">
        <f t="shared" si="3"/>
        <v>12.77</v>
      </c>
      <c r="G2958" s="162"/>
      <c r="H2958" s="162"/>
      <c r="I2958" s="161"/>
    </row>
    <row r="2959" spans="1:9" ht="15" customHeight="1" x14ac:dyDescent="0.25">
      <c r="A2959" s="163" t="s">
        <v>1749</v>
      </c>
      <c r="B2959" s="120" t="s">
        <v>1757</v>
      </c>
      <c r="C2959" s="227">
        <v>39.5</v>
      </c>
      <c r="D2959" s="227">
        <v>0.12</v>
      </c>
      <c r="E2959" s="227">
        <v>0.2</v>
      </c>
      <c r="F2959" s="228">
        <f t="shared" si="3"/>
        <v>12.64</v>
      </c>
      <c r="G2959" s="162"/>
      <c r="H2959" s="162"/>
      <c r="I2959" s="161"/>
    </row>
    <row r="2960" spans="1:9" ht="9.9499999999999993" customHeight="1" x14ac:dyDescent="0.25">
      <c r="A2960" s="164" t="s">
        <v>1052</v>
      </c>
      <c r="B2960" s="121"/>
      <c r="C2960" s="122"/>
      <c r="D2960" s="122"/>
      <c r="E2960" s="122"/>
      <c r="F2960" s="123">
        <f>ROUND(SUM(F2950:F2959),2)</f>
        <v>172.44</v>
      </c>
      <c r="G2960" s="162"/>
      <c r="H2960" s="162"/>
      <c r="I2960" s="161"/>
    </row>
    <row r="2961" spans="1:9" ht="15" customHeight="1" x14ac:dyDescent="0.25">
      <c r="A2961" s="452"/>
      <c r="B2961" s="453"/>
      <c r="C2961" s="453"/>
      <c r="D2961" s="162"/>
      <c r="E2961" s="162"/>
      <c r="F2961" s="162"/>
      <c r="G2961" s="162"/>
      <c r="H2961" s="162"/>
      <c r="I2961" s="161"/>
    </row>
    <row r="2962" spans="1:9" ht="18.95" customHeight="1" x14ac:dyDescent="0.25">
      <c r="A2962" s="450" t="s">
        <v>1071</v>
      </c>
      <c r="B2962" s="451"/>
      <c r="C2962" s="119" t="s">
        <v>1059</v>
      </c>
      <c r="D2962" s="119" t="s">
        <v>147</v>
      </c>
      <c r="E2962" s="119" t="s">
        <v>1024</v>
      </c>
      <c r="F2962" s="119" t="s">
        <v>984</v>
      </c>
      <c r="G2962" s="162"/>
      <c r="H2962" s="162"/>
      <c r="I2962" s="161"/>
    </row>
    <row r="2963" spans="1:9" ht="12.95" customHeight="1" x14ac:dyDescent="0.25">
      <c r="A2963" s="163" t="s">
        <v>1731</v>
      </c>
      <c r="B2963" s="120" t="s">
        <v>1757</v>
      </c>
      <c r="C2963" s="227">
        <v>201.21</v>
      </c>
      <c r="D2963" s="227">
        <v>0.12</v>
      </c>
      <c r="E2963" s="227">
        <v>0.2</v>
      </c>
      <c r="F2963" s="228">
        <f>ROUND(C2963*(D2963+E2963),2)</f>
        <v>64.39</v>
      </c>
      <c r="G2963" s="162"/>
      <c r="H2963" s="162"/>
      <c r="I2963" s="161"/>
    </row>
    <row r="2964" spans="1:9" ht="12.95" customHeight="1" x14ac:dyDescent="0.25">
      <c r="A2964" s="163" t="s">
        <v>1752</v>
      </c>
      <c r="B2964" s="120" t="s">
        <v>1757</v>
      </c>
      <c r="C2964" s="227">
        <v>56.24</v>
      </c>
      <c r="D2964" s="227">
        <v>0.12</v>
      </c>
      <c r="E2964" s="227">
        <v>0.2</v>
      </c>
      <c r="F2964" s="228">
        <f>ROUND(C2964*(D2964+E2964),2)</f>
        <v>18</v>
      </c>
      <c r="G2964" s="162"/>
      <c r="H2964" s="162"/>
      <c r="I2964" s="161"/>
    </row>
    <row r="2965" spans="1:9" ht="15" customHeight="1" x14ac:dyDescent="0.25">
      <c r="A2965" s="163" t="s">
        <v>1754</v>
      </c>
      <c r="B2965" s="120" t="s">
        <v>1757</v>
      </c>
      <c r="C2965" s="227">
        <v>35.049999999999997</v>
      </c>
      <c r="D2965" s="227">
        <v>0.12</v>
      </c>
      <c r="E2965" s="227">
        <v>0.2</v>
      </c>
      <c r="F2965" s="228">
        <f>ROUND(C2965*(D2965+E2965),2)</f>
        <v>11.22</v>
      </c>
      <c r="G2965" s="162"/>
      <c r="H2965" s="162"/>
      <c r="I2965" s="161"/>
    </row>
    <row r="2966" spans="1:9" ht="9.9499999999999993" customHeight="1" x14ac:dyDescent="0.25">
      <c r="A2966" s="164" t="s">
        <v>1071</v>
      </c>
      <c r="B2966" s="121"/>
      <c r="C2966" s="122"/>
      <c r="D2966" s="122"/>
      <c r="E2966" s="122"/>
      <c r="F2966" s="123">
        <f>ROUND(SUM(F2963:F2965),2)</f>
        <v>93.61</v>
      </c>
      <c r="G2966" s="162"/>
      <c r="H2966" s="162"/>
      <c r="I2966" s="161"/>
    </row>
    <row r="2967" spans="1:9" ht="12" customHeight="1" x14ac:dyDescent="0.25">
      <c r="A2967" s="452"/>
      <c r="B2967" s="453"/>
      <c r="C2967" s="453"/>
      <c r="D2967" s="162"/>
      <c r="E2967" s="162"/>
      <c r="F2967" s="162"/>
      <c r="G2967" s="162"/>
      <c r="H2967" s="162"/>
      <c r="I2967" s="161"/>
    </row>
    <row r="2968" spans="1:9" ht="12" customHeight="1" x14ac:dyDescent="0.25">
      <c r="A2968" s="461" t="s">
        <v>4314</v>
      </c>
      <c r="B2968" s="462"/>
      <c r="C2968" s="462"/>
      <c r="D2968" s="458" t="str">
        <f>"TOTAL DA MEMÓRIA DE CÁLCULO: "&amp;TEXT(ROUND(SUM(F2960,F2966),2),"0,00")</f>
        <v>TOTAL DA MEMÓRIA DE CÁLCULO: 266,05</v>
      </c>
      <c r="E2968" s="458"/>
      <c r="F2968" s="458"/>
      <c r="G2968" s="458"/>
      <c r="H2968" s="458"/>
      <c r="I2968" s="161"/>
    </row>
    <row r="2969" spans="1:9" ht="9.9499999999999993" customHeight="1" x14ac:dyDescent="0.25">
      <c r="A2969" s="461"/>
      <c r="B2969" s="462"/>
      <c r="C2969" s="462"/>
      <c r="D2969" s="162"/>
      <c r="E2969" s="162"/>
      <c r="F2969" s="162"/>
      <c r="G2969" s="162"/>
      <c r="H2969" s="162"/>
      <c r="I2969" s="161"/>
    </row>
    <row r="2970" spans="1:9" ht="42.95" customHeight="1" x14ac:dyDescent="0.25">
      <c r="A2970" s="452"/>
      <c r="B2970" s="453"/>
      <c r="C2970" s="453"/>
      <c r="D2970" s="453"/>
      <c r="E2970" s="162"/>
      <c r="F2970" s="162"/>
      <c r="G2970" s="162"/>
      <c r="H2970" s="162"/>
      <c r="I2970" s="161"/>
    </row>
    <row r="2971" spans="1:9" ht="15" customHeight="1" x14ac:dyDescent="0.25">
      <c r="A2971" s="456" t="s">
        <v>1758</v>
      </c>
      <c r="B2971" s="457"/>
      <c r="C2971" s="457"/>
      <c r="D2971" s="457"/>
      <c r="E2971" s="457"/>
      <c r="F2971" s="457"/>
      <c r="G2971" s="457"/>
      <c r="H2971" s="457"/>
      <c r="I2971" s="161"/>
    </row>
    <row r="2972" spans="1:9" ht="12.95" customHeight="1" x14ac:dyDescent="0.25">
      <c r="A2972" s="450" t="s">
        <v>1052</v>
      </c>
      <c r="B2972" s="451"/>
      <c r="C2972" s="119"/>
      <c r="D2972" s="119" t="s">
        <v>984</v>
      </c>
      <c r="E2972" s="162"/>
      <c r="F2972" s="162"/>
      <c r="G2972" s="162"/>
      <c r="H2972" s="162"/>
      <c r="I2972" s="161"/>
    </row>
    <row r="2973" spans="1:9" ht="12.95" customHeight="1" x14ac:dyDescent="0.25">
      <c r="A2973" s="163" t="s">
        <v>1709</v>
      </c>
      <c r="B2973" s="120" t="s">
        <v>1710</v>
      </c>
      <c r="C2973" s="227">
        <v>71.33</v>
      </c>
      <c r="D2973" s="228">
        <f>ROUND(71.33,2)</f>
        <v>71.33</v>
      </c>
      <c r="E2973" s="162"/>
      <c r="F2973" s="162"/>
      <c r="G2973" s="162"/>
      <c r="H2973" s="162"/>
      <c r="I2973" s="161"/>
    </row>
    <row r="2974" spans="1:9" ht="12.95" customHeight="1" x14ac:dyDescent="0.25">
      <c r="A2974" s="163" t="s">
        <v>1711</v>
      </c>
      <c r="B2974" s="120" t="s">
        <v>1712</v>
      </c>
      <c r="C2974" s="227">
        <v>83.8</v>
      </c>
      <c r="D2974" s="228">
        <f>ROUND(83.8,2)</f>
        <v>83.8</v>
      </c>
      <c r="E2974" s="162"/>
      <c r="F2974" s="162"/>
      <c r="G2974" s="162"/>
      <c r="H2974" s="162"/>
      <c r="I2974" s="161"/>
    </row>
    <row r="2975" spans="1:9" ht="12.95" customHeight="1" x14ac:dyDescent="0.25">
      <c r="A2975" s="163" t="s">
        <v>1713</v>
      </c>
      <c r="B2975" s="120" t="s">
        <v>1714</v>
      </c>
      <c r="C2975" s="227">
        <v>94.08</v>
      </c>
      <c r="D2975" s="228">
        <f>ROUND(94.08,2)</f>
        <v>94.08</v>
      </c>
      <c r="E2975" s="162"/>
      <c r="F2975" s="162"/>
      <c r="G2975" s="162"/>
      <c r="H2975" s="162"/>
      <c r="I2975" s="161"/>
    </row>
    <row r="2976" spans="1:9" ht="12.95" customHeight="1" x14ac:dyDescent="0.25">
      <c r="A2976" s="163" t="s">
        <v>1715</v>
      </c>
      <c r="B2976" s="120" t="s">
        <v>1716</v>
      </c>
      <c r="C2976" s="227">
        <v>47.26</v>
      </c>
      <c r="D2976" s="228">
        <f>ROUND(47.26,2)</f>
        <v>47.26</v>
      </c>
      <c r="E2976" s="162"/>
      <c r="F2976" s="162"/>
      <c r="G2976" s="162"/>
      <c r="H2976" s="162"/>
      <c r="I2976" s="161"/>
    </row>
    <row r="2977" spans="1:9" ht="12.95" customHeight="1" x14ac:dyDescent="0.25">
      <c r="A2977" s="163" t="s">
        <v>1717</v>
      </c>
      <c r="B2977" s="120" t="s">
        <v>1718</v>
      </c>
      <c r="C2977" s="227">
        <v>56.92</v>
      </c>
      <c r="D2977" s="228">
        <f>ROUND(56.92,2)</f>
        <v>56.92</v>
      </c>
      <c r="E2977" s="162"/>
      <c r="F2977" s="162"/>
      <c r="G2977" s="162"/>
      <c r="H2977" s="162"/>
      <c r="I2977" s="161"/>
    </row>
    <row r="2978" spans="1:9" ht="12.95" customHeight="1" x14ac:dyDescent="0.25">
      <c r="A2978" s="163" t="s">
        <v>1719</v>
      </c>
      <c r="B2978" s="120" t="s">
        <v>1720</v>
      </c>
      <c r="C2978" s="227">
        <v>22.58</v>
      </c>
      <c r="D2978" s="228">
        <f>ROUND(22.58,2)</f>
        <v>22.58</v>
      </c>
      <c r="E2978" s="162"/>
      <c r="F2978" s="162"/>
      <c r="G2978" s="162"/>
      <c r="H2978" s="162"/>
      <c r="I2978" s="161"/>
    </row>
    <row r="2979" spans="1:9" ht="6" customHeight="1" x14ac:dyDescent="0.25">
      <c r="A2979" s="163" t="s">
        <v>1721</v>
      </c>
      <c r="B2979" s="120" t="s">
        <v>1722</v>
      </c>
      <c r="C2979" s="459">
        <v>758.97</v>
      </c>
      <c r="D2979" s="460">
        <f>ROUND(758.97,2)</f>
        <v>758.97</v>
      </c>
      <c r="E2979" s="162"/>
      <c r="F2979" s="162"/>
      <c r="G2979" s="162"/>
      <c r="H2979" s="162"/>
      <c r="I2979" s="161"/>
    </row>
    <row r="2980" spans="1:9" ht="15" customHeight="1" x14ac:dyDescent="0.25">
      <c r="A2980" s="166"/>
      <c r="B2980" s="124"/>
      <c r="C2980" s="459"/>
      <c r="D2980" s="460"/>
      <c r="E2980" s="162"/>
      <c r="F2980" s="162"/>
      <c r="G2980" s="162"/>
      <c r="H2980" s="162"/>
      <c r="I2980" s="161"/>
    </row>
    <row r="2981" spans="1:9" ht="9.9499999999999993" customHeight="1" x14ac:dyDescent="0.25">
      <c r="A2981" s="164" t="s">
        <v>1052</v>
      </c>
      <c r="B2981" s="121"/>
      <c r="C2981" s="122"/>
      <c r="D2981" s="123">
        <f>ROUND(SUM(D2973:D2980),2)</f>
        <v>1134.94</v>
      </c>
      <c r="E2981" s="162"/>
      <c r="F2981" s="162"/>
      <c r="G2981" s="162"/>
      <c r="H2981" s="162"/>
      <c r="I2981" s="161"/>
    </row>
    <row r="2982" spans="1:9" ht="15" customHeight="1" x14ac:dyDescent="0.25">
      <c r="A2982" s="452"/>
      <c r="B2982" s="453"/>
      <c r="C2982" s="453"/>
      <c r="D2982" s="162"/>
      <c r="E2982" s="162"/>
      <c r="F2982" s="162"/>
      <c r="G2982" s="162"/>
      <c r="H2982" s="162"/>
      <c r="I2982" s="161"/>
    </row>
    <row r="2983" spans="1:9" ht="12.95" customHeight="1" x14ac:dyDescent="0.25">
      <c r="A2983" s="450" t="s">
        <v>1071</v>
      </c>
      <c r="B2983" s="451"/>
      <c r="C2983" s="119"/>
      <c r="D2983" s="119" t="s">
        <v>984</v>
      </c>
      <c r="E2983" s="162"/>
      <c r="F2983" s="162"/>
      <c r="G2983" s="162"/>
      <c r="H2983" s="162"/>
      <c r="I2983" s="161"/>
    </row>
    <row r="2984" spans="1:9" ht="12.95" customHeight="1" x14ac:dyDescent="0.25">
      <c r="A2984" s="163" t="s">
        <v>1709</v>
      </c>
      <c r="B2984" s="120" t="s">
        <v>1723</v>
      </c>
      <c r="C2984" s="227">
        <v>86.55</v>
      </c>
      <c r="D2984" s="228">
        <f>ROUND(86.55,2)</f>
        <v>86.55</v>
      </c>
      <c r="E2984" s="162"/>
      <c r="F2984" s="162"/>
      <c r="G2984" s="162"/>
      <c r="H2984" s="162"/>
      <c r="I2984" s="161"/>
    </row>
    <row r="2985" spans="1:9" ht="12.95" customHeight="1" x14ac:dyDescent="0.25">
      <c r="A2985" s="163" t="s">
        <v>1711</v>
      </c>
      <c r="B2985" s="120" t="s">
        <v>1724</v>
      </c>
      <c r="C2985" s="227">
        <v>73.430000000000007</v>
      </c>
      <c r="D2985" s="228">
        <f>ROUND(73.43,2)</f>
        <v>73.430000000000007</v>
      </c>
      <c r="E2985" s="162"/>
      <c r="F2985" s="162"/>
      <c r="G2985" s="162"/>
      <c r="H2985" s="162"/>
      <c r="I2985" s="161"/>
    </row>
    <row r="2986" spans="1:9" ht="12.95" customHeight="1" x14ac:dyDescent="0.25">
      <c r="A2986" s="163" t="s">
        <v>1713</v>
      </c>
      <c r="B2986" s="120" t="s">
        <v>1725</v>
      </c>
      <c r="C2986" s="227">
        <v>80.91</v>
      </c>
      <c r="D2986" s="228">
        <f>ROUND(80.91,2)</f>
        <v>80.91</v>
      </c>
      <c r="E2986" s="162"/>
      <c r="F2986" s="162"/>
      <c r="G2986" s="162"/>
      <c r="H2986" s="162"/>
      <c r="I2986" s="161"/>
    </row>
    <row r="2987" spans="1:9" ht="12.95" customHeight="1" x14ac:dyDescent="0.25">
      <c r="A2987" s="163" t="s">
        <v>1715</v>
      </c>
      <c r="B2987" s="120" t="s">
        <v>1726</v>
      </c>
      <c r="C2987" s="227">
        <v>7.46</v>
      </c>
      <c r="D2987" s="228">
        <f>ROUND(7.46,2)</f>
        <v>7.46</v>
      </c>
      <c r="E2987" s="162"/>
      <c r="F2987" s="162"/>
      <c r="G2987" s="162"/>
      <c r="H2987" s="162"/>
      <c r="I2987" s="161"/>
    </row>
    <row r="2988" spans="1:9" ht="6" customHeight="1" x14ac:dyDescent="0.25">
      <c r="A2988" s="163" t="s">
        <v>1721</v>
      </c>
      <c r="B2988" s="120" t="s">
        <v>1727</v>
      </c>
      <c r="C2988" s="459">
        <v>527.89</v>
      </c>
      <c r="D2988" s="460">
        <f>ROUND(527.89,2)</f>
        <v>527.89</v>
      </c>
      <c r="E2988" s="162"/>
      <c r="F2988" s="162"/>
      <c r="G2988" s="162"/>
      <c r="H2988" s="162"/>
      <c r="I2988" s="161"/>
    </row>
    <row r="2989" spans="1:9" ht="15" customHeight="1" x14ac:dyDescent="0.25">
      <c r="A2989" s="166"/>
      <c r="B2989" s="124"/>
      <c r="C2989" s="459"/>
      <c r="D2989" s="460"/>
      <c r="E2989" s="162"/>
      <c r="F2989" s="162"/>
      <c r="G2989" s="162"/>
      <c r="H2989" s="162"/>
      <c r="I2989" s="161"/>
    </row>
    <row r="2990" spans="1:9" ht="9.9499999999999993" customHeight="1" x14ac:dyDescent="0.25">
      <c r="A2990" s="164" t="s">
        <v>1071</v>
      </c>
      <c r="B2990" s="121"/>
      <c r="C2990" s="122"/>
      <c r="D2990" s="123">
        <f>ROUND(SUM(D2984:D2989),2)</f>
        <v>776.24</v>
      </c>
      <c r="E2990" s="162"/>
      <c r="F2990" s="162"/>
      <c r="G2990" s="162"/>
      <c r="H2990" s="162"/>
      <c r="I2990" s="161"/>
    </row>
    <row r="2991" spans="1:9" ht="17.100000000000001" customHeight="1" x14ac:dyDescent="0.25">
      <c r="A2991" s="452"/>
      <c r="B2991" s="453"/>
      <c r="C2991" s="453"/>
      <c r="D2991" s="162"/>
      <c r="E2991" s="162"/>
      <c r="F2991" s="162"/>
      <c r="G2991" s="162"/>
      <c r="H2991" s="162"/>
      <c r="I2991" s="161"/>
    </row>
    <row r="2992" spans="1:9" ht="12" customHeight="1" x14ac:dyDescent="0.25">
      <c r="A2992" s="461" t="s">
        <v>4312</v>
      </c>
      <c r="B2992" s="462"/>
      <c r="C2992" s="462"/>
      <c r="D2992" s="458" t="str">
        <f>"TOTAL DA MEMÓRIA DE CÁLCULO: "&amp;TEXT(ROUND(SUM(D2981,D2990),2),"0,00")</f>
        <v>TOTAL DA MEMÓRIA DE CÁLCULO: 1911,18</v>
      </c>
      <c r="E2992" s="458"/>
      <c r="F2992" s="458"/>
      <c r="G2992" s="458"/>
      <c r="H2992" s="458"/>
      <c r="I2992" s="161"/>
    </row>
    <row r="2993" spans="1:9" ht="9.9499999999999993" customHeight="1" x14ac:dyDescent="0.25">
      <c r="A2993" s="461"/>
      <c r="B2993" s="462"/>
      <c r="C2993" s="462"/>
      <c r="D2993" s="162"/>
      <c r="E2993" s="162"/>
      <c r="F2993" s="162"/>
      <c r="G2993" s="162"/>
      <c r="H2993" s="162"/>
      <c r="I2993" s="161"/>
    </row>
    <row r="2994" spans="1:9" ht="42.95" customHeight="1" x14ac:dyDescent="0.25">
      <c r="A2994" s="452"/>
      <c r="B2994" s="453"/>
      <c r="C2994" s="453"/>
      <c r="D2994" s="453"/>
      <c r="E2994" s="162"/>
      <c r="F2994" s="162"/>
      <c r="G2994" s="162"/>
      <c r="H2994" s="162"/>
      <c r="I2994" s="161"/>
    </row>
    <row r="2995" spans="1:9" ht="15" customHeight="1" x14ac:dyDescent="0.25">
      <c r="A2995" s="456" t="s">
        <v>1759</v>
      </c>
      <c r="B2995" s="457"/>
      <c r="C2995" s="457"/>
      <c r="D2995" s="457"/>
      <c r="E2995" s="457"/>
      <c r="F2995" s="457"/>
      <c r="G2995" s="457"/>
      <c r="H2995" s="457"/>
      <c r="I2995" s="161"/>
    </row>
    <row r="2996" spans="1:9" ht="12.95" customHeight="1" x14ac:dyDescent="0.25">
      <c r="A2996" s="450" t="s">
        <v>1052</v>
      </c>
      <c r="B2996" s="451"/>
      <c r="C2996" s="119"/>
      <c r="D2996" s="119" t="s">
        <v>984</v>
      </c>
      <c r="E2996" s="162"/>
      <c r="F2996" s="162"/>
      <c r="G2996" s="162"/>
      <c r="H2996" s="162"/>
      <c r="I2996" s="161"/>
    </row>
    <row r="2997" spans="1:9" ht="12.95" customHeight="1" x14ac:dyDescent="0.25">
      <c r="A2997" s="163" t="s">
        <v>1709</v>
      </c>
      <c r="B2997" s="120" t="s">
        <v>1710</v>
      </c>
      <c r="C2997" s="227">
        <v>71.33</v>
      </c>
      <c r="D2997" s="228">
        <f>ROUND(71.33,2)</f>
        <v>71.33</v>
      </c>
      <c r="E2997" s="162"/>
      <c r="F2997" s="162"/>
      <c r="G2997" s="162"/>
      <c r="H2997" s="162"/>
      <c r="I2997" s="161"/>
    </row>
    <row r="2998" spans="1:9" ht="12.95" customHeight="1" x14ac:dyDescent="0.25">
      <c r="A2998" s="163" t="s">
        <v>1711</v>
      </c>
      <c r="B2998" s="120" t="s">
        <v>1712</v>
      </c>
      <c r="C2998" s="227">
        <v>83.8</v>
      </c>
      <c r="D2998" s="228">
        <f>ROUND(83.8,2)</f>
        <v>83.8</v>
      </c>
      <c r="E2998" s="162"/>
      <c r="F2998" s="162"/>
      <c r="G2998" s="162"/>
      <c r="H2998" s="162"/>
      <c r="I2998" s="161"/>
    </row>
    <row r="2999" spans="1:9" ht="12.95" customHeight="1" x14ac:dyDescent="0.25">
      <c r="A2999" s="163" t="s">
        <v>1713</v>
      </c>
      <c r="B2999" s="120" t="s">
        <v>1714</v>
      </c>
      <c r="C2999" s="227">
        <v>94.08</v>
      </c>
      <c r="D2999" s="228">
        <f>ROUND(94.08,2)</f>
        <v>94.08</v>
      </c>
      <c r="E2999" s="162"/>
      <c r="F2999" s="162"/>
      <c r="G2999" s="162"/>
      <c r="H2999" s="162"/>
      <c r="I2999" s="161"/>
    </row>
    <row r="3000" spans="1:9" ht="12.95" customHeight="1" x14ac:dyDescent="0.25">
      <c r="A3000" s="163" t="s">
        <v>1715</v>
      </c>
      <c r="B3000" s="120" t="s">
        <v>1716</v>
      </c>
      <c r="C3000" s="227">
        <v>47.26</v>
      </c>
      <c r="D3000" s="228">
        <f>ROUND(47.26,2)</f>
        <v>47.26</v>
      </c>
      <c r="E3000" s="162"/>
      <c r="F3000" s="162"/>
      <c r="G3000" s="162"/>
      <c r="H3000" s="162"/>
      <c r="I3000" s="161"/>
    </row>
    <row r="3001" spans="1:9" ht="12.95" customHeight="1" x14ac:dyDescent="0.25">
      <c r="A3001" s="163" t="s">
        <v>1717</v>
      </c>
      <c r="B3001" s="120" t="s">
        <v>1718</v>
      </c>
      <c r="C3001" s="227">
        <v>56.92</v>
      </c>
      <c r="D3001" s="228">
        <f>ROUND(56.92,2)</f>
        <v>56.92</v>
      </c>
      <c r="E3001" s="162"/>
      <c r="F3001" s="162"/>
      <c r="G3001" s="162"/>
      <c r="H3001" s="162"/>
      <c r="I3001" s="161"/>
    </row>
    <row r="3002" spans="1:9" ht="15" customHeight="1" x14ac:dyDescent="0.25">
      <c r="A3002" s="163" t="s">
        <v>1719</v>
      </c>
      <c r="B3002" s="120" t="s">
        <v>1720</v>
      </c>
      <c r="C3002" s="227">
        <v>22.58</v>
      </c>
      <c r="D3002" s="228">
        <f>ROUND(22.58,2)</f>
        <v>22.58</v>
      </c>
      <c r="E3002" s="162"/>
      <c r="F3002" s="162"/>
      <c r="G3002" s="162"/>
      <c r="H3002" s="162"/>
      <c r="I3002" s="161"/>
    </row>
    <row r="3003" spans="1:9" ht="9.9499999999999993" customHeight="1" x14ac:dyDescent="0.25">
      <c r="A3003" s="164" t="s">
        <v>1052</v>
      </c>
      <c r="B3003" s="121"/>
      <c r="C3003" s="122"/>
      <c r="D3003" s="123">
        <f>ROUND(SUM(D2997:D3002),2)</f>
        <v>375.97</v>
      </c>
      <c r="E3003" s="162"/>
      <c r="F3003" s="162"/>
      <c r="G3003" s="162"/>
      <c r="H3003" s="162"/>
      <c r="I3003" s="161"/>
    </row>
    <row r="3004" spans="1:9" ht="15" customHeight="1" x14ac:dyDescent="0.25">
      <c r="A3004" s="452"/>
      <c r="B3004" s="453"/>
      <c r="C3004" s="453"/>
      <c r="D3004" s="162"/>
      <c r="E3004" s="162"/>
      <c r="F3004" s="162"/>
      <c r="G3004" s="162"/>
      <c r="H3004" s="162"/>
      <c r="I3004" s="161"/>
    </row>
    <row r="3005" spans="1:9" ht="12.95" customHeight="1" x14ac:dyDescent="0.25">
      <c r="A3005" s="450" t="s">
        <v>1071</v>
      </c>
      <c r="B3005" s="451"/>
      <c r="C3005" s="119"/>
      <c r="D3005" s="119" t="s">
        <v>984</v>
      </c>
      <c r="E3005" s="162"/>
      <c r="F3005" s="162"/>
      <c r="G3005" s="162"/>
      <c r="H3005" s="162"/>
      <c r="I3005" s="161"/>
    </row>
    <row r="3006" spans="1:9" ht="12.95" customHeight="1" x14ac:dyDescent="0.25">
      <c r="A3006" s="163" t="s">
        <v>1709</v>
      </c>
      <c r="B3006" s="120" t="s">
        <v>1723</v>
      </c>
      <c r="C3006" s="227">
        <v>86.55</v>
      </c>
      <c r="D3006" s="228">
        <f>ROUND(86.55,2)</f>
        <v>86.55</v>
      </c>
      <c r="E3006" s="162"/>
      <c r="F3006" s="162"/>
      <c r="G3006" s="162"/>
      <c r="H3006" s="162"/>
      <c r="I3006" s="161"/>
    </row>
    <row r="3007" spans="1:9" ht="12.95" customHeight="1" x14ac:dyDescent="0.25">
      <c r="A3007" s="163" t="s">
        <v>1711</v>
      </c>
      <c r="B3007" s="120" t="s">
        <v>1724</v>
      </c>
      <c r="C3007" s="227">
        <v>73.430000000000007</v>
      </c>
      <c r="D3007" s="228">
        <f>ROUND(73.43,2)</f>
        <v>73.430000000000007</v>
      </c>
      <c r="E3007" s="162"/>
      <c r="F3007" s="162"/>
      <c r="G3007" s="162"/>
      <c r="H3007" s="162"/>
      <c r="I3007" s="161"/>
    </row>
    <row r="3008" spans="1:9" ht="12.95" customHeight="1" x14ac:dyDescent="0.25">
      <c r="A3008" s="163" t="s">
        <v>1713</v>
      </c>
      <c r="B3008" s="120" t="s">
        <v>1725</v>
      </c>
      <c r="C3008" s="227">
        <v>80.91</v>
      </c>
      <c r="D3008" s="228">
        <f>ROUND(80.91,2)</f>
        <v>80.91</v>
      </c>
      <c r="E3008" s="162"/>
      <c r="F3008" s="162"/>
      <c r="G3008" s="162"/>
      <c r="H3008" s="162"/>
      <c r="I3008" s="161"/>
    </row>
    <row r="3009" spans="1:9" ht="15" customHeight="1" x14ac:dyDescent="0.25">
      <c r="A3009" s="163" t="s">
        <v>1715</v>
      </c>
      <c r="B3009" s="120" t="s">
        <v>1726</v>
      </c>
      <c r="C3009" s="227">
        <v>7.46</v>
      </c>
      <c r="D3009" s="228">
        <f>ROUND(7.46,2)</f>
        <v>7.46</v>
      </c>
      <c r="E3009" s="162"/>
      <c r="F3009" s="162"/>
      <c r="G3009" s="162"/>
      <c r="H3009" s="162"/>
      <c r="I3009" s="161"/>
    </row>
    <row r="3010" spans="1:9" ht="9.9499999999999993" customHeight="1" x14ac:dyDescent="0.25">
      <c r="A3010" s="164" t="s">
        <v>1071</v>
      </c>
      <c r="B3010" s="121"/>
      <c r="C3010" s="122"/>
      <c r="D3010" s="123">
        <f>ROUND(SUM(D3006:D3009),2)</f>
        <v>248.35</v>
      </c>
      <c r="E3010" s="162"/>
      <c r="F3010" s="162"/>
      <c r="G3010" s="162"/>
      <c r="H3010" s="162"/>
      <c r="I3010" s="161"/>
    </row>
    <row r="3011" spans="1:9" ht="17.100000000000001" customHeight="1" x14ac:dyDescent="0.25">
      <c r="A3011" s="452"/>
      <c r="B3011" s="453"/>
      <c r="C3011" s="453"/>
      <c r="D3011" s="162"/>
      <c r="E3011" s="162"/>
      <c r="F3011" s="162"/>
      <c r="G3011" s="162"/>
      <c r="H3011" s="162"/>
      <c r="I3011" s="161"/>
    </row>
    <row r="3012" spans="1:9" ht="12" customHeight="1" x14ac:dyDescent="0.25">
      <c r="A3012" s="461" t="s">
        <v>4312</v>
      </c>
      <c r="B3012" s="462"/>
      <c r="C3012" s="462"/>
      <c r="D3012" s="458" t="str">
        <f>"TOTAL DA MEMÓRIA DE CÁLCULO: "&amp;TEXT(ROUND(SUM(D3003,D3010),2),"0,00")</f>
        <v>TOTAL DA MEMÓRIA DE CÁLCULO: 624,32</v>
      </c>
      <c r="E3012" s="458"/>
      <c r="F3012" s="458"/>
      <c r="G3012" s="458"/>
      <c r="H3012" s="458"/>
      <c r="I3012" s="161"/>
    </row>
    <row r="3013" spans="1:9" ht="9.9499999999999993" customHeight="1" x14ac:dyDescent="0.25">
      <c r="A3013" s="461"/>
      <c r="B3013" s="462"/>
      <c r="C3013" s="462"/>
      <c r="D3013" s="162"/>
      <c r="E3013" s="162"/>
      <c r="F3013" s="162"/>
      <c r="G3013" s="162"/>
      <c r="H3013" s="162"/>
      <c r="I3013" s="161"/>
    </row>
    <row r="3014" spans="1:9" ht="42.95" customHeight="1" x14ac:dyDescent="0.25">
      <c r="A3014" s="452"/>
      <c r="B3014" s="453"/>
      <c r="C3014" s="453"/>
      <c r="D3014" s="453"/>
      <c r="E3014" s="162"/>
      <c r="F3014" s="162"/>
      <c r="G3014" s="162"/>
      <c r="H3014" s="162"/>
      <c r="I3014" s="161"/>
    </row>
    <row r="3015" spans="1:9" ht="15" customHeight="1" x14ac:dyDescent="0.25">
      <c r="A3015" s="456" t="s">
        <v>1760</v>
      </c>
      <c r="B3015" s="457"/>
      <c r="C3015" s="457"/>
      <c r="D3015" s="457"/>
      <c r="E3015" s="457"/>
      <c r="F3015" s="457"/>
      <c r="G3015" s="457"/>
      <c r="H3015" s="457"/>
      <c r="I3015" s="161"/>
    </row>
    <row r="3016" spans="1:9" ht="12.95" customHeight="1" x14ac:dyDescent="0.25">
      <c r="A3016" s="450" t="s">
        <v>1052</v>
      </c>
      <c r="B3016" s="451"/>
      <c r="C3016" s="119"/>
      <c r="D3016" s="119" t="s">
        <v>984</v>
      </c>
      <c r="E3016" s="162"/>
      <c r="F3016" s="162"/>
      <c r="G3016" s="162"/>
      <c r="H3016" s="162"/>
      <c r="I3016" s="161"/>
    </row>
    <row r="3017" spans="1:9" ht="6" customHeight="1" x14ac:dyDescent="0.25">
      <c r="A3017" s="163" t="s">
        <v>1721</v>
      </c>
      <c r="B3017" s="120" t="s">
        <v>1722</v>
      </c>
      <c r="C3017" s="459">
        <v>758.97</v>
      </c>
      <c r="D3017" s="460">
        <f>ROUND(758.97,2)</f>
        <v>758.97</v>
      </c>
      <c r="E3017" s="162"/>
      <c r="F3017" s="162"/>
      <c r="G3017" s="162"/>
      <c r="H3017" s="162"/>
      <c r="I3017" s="161"/>
    </row>
    <row r="3018" spans="1:9" ht="15" customHeight="1" x14ac:dyDescent="0.25">
      <c r="A3018" s="166"/>
      <c r="B3018" s="124"/>
      <c r="C3018" s="459"/>
      <c r="D3018" s="460"/>
      <c r="E3018" s="162"/>
      <c r="F3018" s="162"/>
      <c r="G3018" s="162"/>
      <c r="H3018" s="162"/>
      <c r="I3018" s="161"/>
    </row>
    <row r="3019" spans="1:9" ht="9.9499999999999993" customHeight="1" x14ac:dyDescent="0.25">
      <c r="A3019" s="164" t="s">
        <v>1052</v>
      </c>
      <c r="B3019" s="121"/>
      <c r="C3019" s="122"/>
      <c r="D3019" s="123">
        <f>ROUND(SUM(D3017:D3018),2)</f>
        <v>758.97</v>
      </c>
      <c r="E3019" s="162"/>
      <c r="F3019" s="162"/>
      <c r="G3019" s="162"/>
      <c r="H3019" s="162"/>
      <c r="I3019" s="161"/>
    </row>
    <row r="3020" spans="1:9" ht="15" customHeight="1" x14ac:dyDescent="0.25">
      <c r="A3020" s="452"/>
      <c r="B3020" s="453"/>
      <c r="C3020" s="453"/>
      <c r="D3020" s="162"/>
      <c r="E3020" s="162"/>
      <c r="F3020" s="162"/>
      <c r="G3020" s="162"/>
      <c r="H3020" s="162"/>
      <c r="I3020" s="161"/>
    </row>
    <row r="3021" spans="1:9" ht="12.95" customHeight="1" x14ac:dyDescent="0.25">
      <c r="A3021" s="450" t="s">
        <v>1071</v>
      </c>
      <c r="B3021" s="451"/>
      <c r="C3021" s="119"/>
      <c r="D3021" s="119" t="s">
        <v>984</v>
      </c>
      <c r="E3021" s="162"/>
      <c r="F3021" s="162"/>
      <c r="G3021" s="162"/>
      <c r="H3021" s="162"/>
      <c r="I3021" s="161"/>
    </row>
    <row r="3022" spans="1:9" ht="6" customHeight="1" x14ac:dyDescent="0.25">
      <c r="A3022" s="163" t="s">
        <v>1721</v>
      </c>
      <c r="B3022" s="120" t="s">
        <v>1727</v>
      </c>
      <c r="C3022" s="459">
        <v>527.89</v>
      </c>
      <c r="D3022" s="460">
        <f>ROUND(527.89,2)</f>
        <v>527.89</v>
      </c>
      <c r="E3022" s="162"/>
      <c r="F3022" s="162"/>
      <c r="G3022" s="162"/>
      <c r="H3022" s="162"/>
      <c r="I3022" s="161"/>
    </row>
    <row r="3023" spans="1:9" ht="15" customHeight="1" x14ac:dyDescent="0.25">
      <c r="A3023" s="166"/>
      <c r="B3023" s="124"/>
      <c r="C3023" s="459"/>
      <c r="D3023" s="460"/>
      <c r="E3023" s="162"/>
      <c r="F3023" s="162"/>
      <c r="G3023" s="162"/>
      <c r="H3023" s="162"/>
      <c r="I3023" s="161"/>
    </row>
    <row r="3024" spans="1:9" ht="9.9499999999999993" customHeight="1" x14ac:dyDescent="0.25">
      <c r="A3024" s="164" t="s">
        <v>1071</v>
      </c>
      <c r="B3024" s="121"/>
      <c r="C3024" s="122"/>
      <c r="D3024" s="123">
        <f>ROUND(SUM(D3022:D3023),2)</f>
        <v>527.89</v>
      </c>
      <c r="E3024" s="162"/>
      <c r="F3024" s="162"/>
      <c r="G3024" s="162"/>
      <c r="H3024" s="162"/>
      <c r="I3024" s="161"/>
    </row>
    <row r="3025" spans="1:9" ht="17.100000000000001" customHeight="1" x14ac:dyDescent="0.25">
      <c r="A3025" s="452"/>
      <c r="B3025" s="453"/>
      <c r="C3025" s="453"/>
      <c r="D3025" s="162"/>
      <c r="E3025" s="162"/>
      <c r="F3025" s="162"/>
      <c r="G3025" s="162"/>
      <c r="H3025" s="162"/>
      <c r="I3025" s="161"/>
    </row>
    <row r="3026" spans="1:9" ht="12" customHeight="1" x14ac:dyDescent="0.25">
      <c r="A3026" s="461" t="s">
        <v>4312</v>
      </c>
      <c r="B3026" s="462"/>
      <c r="C3026" s="462"/>
      <c r="D3026" s="458" t="str">
        <f>"TOTAL DA MEMÓRIA DE CÁLCULO: "&amp;TEXT(ROUND(SUM(D3019,D3024),2),"0,00")</f>
        <v>TOTAL DA MEMÓRIA DE CÁLCULO: 1286,86</v>
      </c>
      <c r="E3026" s="458"/>
      <c r="F3026" s="458"/>
      <c r="G3026" s="458"/>
      <c r="H3026" s="458"/>
      <c r="I3026" s="161"/>
    </row>
    <row r="3027" spans="1:9" ht="9.9499999999999993" customHeight="1" x14ac:dyDescent="0.25">
      <c r="A3027" s="461"/>
      <c r="B3027" s="462"/>
      <c r="C3027" s="462"/>
      <c r="D3027" s="162"/>
      <c r="E3027" s="162"/>
      <c r="F3027" s="162"/>
      <c r="G3027" s="162"/>
      <c r="H3027" s="162"/>
      <c r="I3027" s="161"/>
    </row>
    <row r="3028" spans="1:9" ht="30.95" customHeight="1" x14ac:dyDescent="0.25">
      <c r="A3028" s="452"/>
      <c r="B3028" s="453"/>
      <c r="C3028" s="453"/>
      <c r="D3028" s="453"/>
      <c r="E3028" s="162"/>
      <c r="F3028" s="162"/>
      <c r="G3028" s="162"/>
      <c r="H3028" s="162"/>
      <c r="I3028" s="161"/>
    </row>
    <row r="3029" spans="1:9" ht="15" customHeight="1" x14ac:dyDescent="0.25">
      <c r="A3029" s="456" t="s">
        <v>1761</v>
      </c>
      <c r="B3029" s="457"/>
      <c r="C3029" s="457"/>
      <c r="D3029" s="457"/>
      <c r="E3029" s="457"/>
      <c r="F3029" s="457"/>
      <c r="G3029" s="457"/>
      <c r="H3029" s="457"/>
      <c r="I3029" s="161"/>
    </row>
    <row r="3030" spans="1:9" ht="12.95" customHeight="1" x14ac:dyDescent="0.25">
      <c r="A3030" s="450"/>
      <c r="B3030" s="451"/>
      <c r="C3030" s="119" t="s">
        <v>68</v>
      </c>
      <c r="D3030" s="119" t="s">
        <v>984</v>
      </c>
      <c r="E3030" s="162"/>
      <c r="F3030" s="162"/>
      <c r="G3030" s="162"/>
      <c r="H3030" s="162"/>
      <c r="I3030" s="161"/>
    </row>
    <row r="3031" spans="1:9" ht="6" customHeight="1" x14ac:dyDescent="0.25">
      <c r="A3031" s="163" t="s">
        <v>1762</v>
      </c>
      <c r="B3031" s="120" t="s">
        <v>1763</v>
      </c>
      <c r="C3031" s="459">
        <v>971</v>
      </c>
      <c r="D3031" s="460">
        <f>ROUND(C3031/6,2)</f>
        <v>161.83000000000001</v>
      </c>
      <c r="E3031" s="162"/>
      <c r="F3031" s="162"/>
      <c r="G3031" s="162"/>
      <c r="H3031" s="162"/>
      <c r="I3031" s="161"/>
    </row>
    <row r="3032" spans="1:9" ht="12.95" customHeight="1" x14ac:dyDescent="0.25">
      <c r="A3032" s="166"/>
      <c r="B3032" s="124"/>
      <c r="C3032" s="459"/>
      <c r="D3032" s="460"/>
      <c r="E3032" s="162"/>
      <c r="F3032" s="162"/>
      <c r="G3032" s="162"/>
      <c r="H3032" s="162"/>
      <c r="I3032" s="161"/>
    </row>
    <row r="3033" spans="1:9" ht="6" customHeight="1" x14ac:dyDescent="0.25">
      <c r="A3033" s="163" t="s">
        <v>1764</v>
      </c>
      <c r="B3033" s="120" t="s">
        <v>1763</v>
      </c>
      <c r="C3033" s="459">
        <v>2868</v>
      </c>
      <c r="D3033" s="460">
        <f>ROUND(C3033/6,2)</f>
        <v>478</v>
      </c>
      <c r="E3033" s="162"/>
      <c r="F3033" s="162"/>
      <c r="G3033" s="162"/>
      <c r="H3033" s="162"/>
      <c r="I3033" s="161"/>
    </row>
    <row r="3034" spans="1:9" ht="15" customHeight="1" x14ac:dyDescent="0.25">
      <c r="A3034" s="166"/>
      <c r="B3034" s="124"/>
      <c r="C3034" s="459"/>
      <c r="D3034" s="460"/>
      <c r="E3034" s="162"/>
      <c r="F3034" s="162"/>
      <c r="G3034" s="162"/>
      <c r="H3034" s="162"/>
      <c r="I3034" s="161"/>
    </row>
    <row r="3035" spans="1:9" ht="9.9499999999999993" customHeight="1" x14ac:dyDescent="0.25">
      <c r="A3035" s="164"/>
      <c r="B3035" s="121"/>
      <c r="C3035" s="122"/>
      <c r="D3035" s="123">
        <f>ROUND(SUM(D3031:D3034),2)</f>
        <v>639.83000000000004</v>
      </c>
      <c r="E3035" s="162"/>
      <c r="F3035" s="162"/>
      <c r="G3035" s="162"/>
      <c r="H3035" s="162"/>
      <c r="I3035" s="161"/>
    </row>
    <row r="3036" spans="1:9" ht="26.1" customHeight="1" x14ac:dyDescent="0.25">
      <c r="A3036" s="452"/>
      <c r="B3036" s="453"/>
      <c r="C3036" s="453"/>
      <c r="D3036" s="162"/>
      <c r="E3036" s="162"/>
      <c r="F3036" s="162"/>
      <c r="G3036" s="162"/>
      <c r="H3036" s="162"/>
      <c r="I3036" s="161"/>
    </row>
    <row r="3037" spans="1:9" ht="12" customHeight="1" x14ac:dyDescent="0.25">
      <c r="A3037" s="461" t="s">
        <v>4315</v>
      </c>
      <c r="B3037" s="462"/>
      <c r="C3037" s="462"/>
      <c r="D3037" s="458" t="str">
        <f>"TOTAL DA MEMÓRIA DE CÁLCULO: "&amp;TEXT(ROUND(SUM(D3035),2),"0,00")</f>
        <v>TOTAL DA MEMÓRIA DE CÁLCULO: 639,83</v>
      </c>
      <c r="E3037" s="458"/>
      <c r="F3037" s="458"/>
      <c r="G3037" s="458"/>
      <c r="H3037" s="458"/>
      <c r="I3037" s="161"/>
    </row>
    <row r="3038" spans="1:9" ht="9.9499999999999993" customHeight="1" x14ac:dyDescent="0.25">
      <c r="A3038" s="461"/>
      <c r="B3038" s="462"/>
      <c r="C3038" s="462"/>
      <c r="D3038" s="162"/>
      <c r="E3038" s="162"/>
      <c r="F3038" s="162"/>
      <c r="G3038" s="162"/>
      <c r="H3038" s="162"/>
      <c r="I3038" s="161"/>
    </row>
    <row r="3039" spans="1:9" ht="30.95" customHeight="1" x14ac:dyDescent="0.25">
      <c r="A3039" s="452"/>
      <c r="B3039" s="453"/>
      <c r="C3039" s="453"/>
      <c r="D3039" s="453"/>
      <c r="E3039" s="162"/>
      <c r="F3039" s="162"/>
      <c r="G3039" s="162"/>
      <c r="H3039" s="162"/>
      <c r="I3039" s="161"/>
    </row>
    <row r="3040" spans="1:9" ht="15" customHeight="1" x14ac:dyDescent="0.25">
      <c r="A3040" s="456" t="s">
        <v>1765</v>
      </c>
      <c r="B3040" s="457"/>
      <c r="C3040" s="457"/>
      <c r="D3040" s="457"/>
      <c r="E3040" s="457"/>
      <c r="F3040" s="457"/>
      <c r="G3040" s="457"/>
      <c r="H3040" s="457"/>
      <c r="I3040" s="161"/>
    </row>
    <row r="3041" spans="1:9" ht="12.95" customHeight="1" x14ac:dyDescent="0.25">
      <c r="A3041" s="450"/>
      <c r="B3041" s="451"/>
      <c r="C3041" s="119" t="s">
        <v>1078</v>
      </c>
      <c r="D3041" s="119" t="s">
        <v>1007</v>
      </c>
      <c r="E3041" s="119" t="s">
        <v>984</v>
      </c>
      <c r="F3041" s="162"/>
      <c r="G3041" s="162"/>
      <c r="H3041" s="162"/>
      <c r="I3041" s="161"/>
    </row>
    <row r="3042" spans="1:9" ht="15" customHeight="1" x14ac:dyDescent="0.25">
      <c r="A3042" s="163" t="s">
        <v>569</v>
      </c>
      <c r="B3042" s="120" t="s">
        <v>1766</v>
      </c>
      <c r="C3042" s="227">
        <v>4</v>
      </c>
      <c r="D3042" s="227">
        <v>2.25</v>
      </c>
      <c r="E3042" s="228">
        <f>ROUND(C3042*D3042,2)</f>
        <v>9</v>
      </c>
      <c r="F3042" s="162"/>
      <c r="G3042" s="162"/>
      <c r="H3042" s="162"/>
      <c r="I3042" s="161"/>
    </row>
    <row r="3043" spans="1:9" ht="9.9499999999999993" customHeight="1" x14ac:dyDescent="0.25">
      <c r="A3043" s="164"/>
      <c r="B3043" s="121"/>
      <c r="C3043" s="122"/>
      <c r="D3043" s="122"/>
      <c r="E3043" s="123">
        <f>ROUND(SUM(E3042:E3042),2)</f>
        <v>9</v>
      </c>
      <c r="F3043" s="162"/>
      <c r="G3043" s="162"/>
      <c r="H3043" s="162"/>
      <c r="I3043" s="161"/>
    </row>
    <row r="3044" spans="1:9" ht="12" customHeight="1" x14ac:dyDescent="0.25">
      <c r="A3044" s="452"/>
      <c r="B3044" s="453"/>
      <c r="C3044" s="453"/>
      <c r="D3044" s="162"/>
      <c r="E3044" s="162"/>
      <c r="F3044" s="162"/>
      <c r="G3044" s="162"/>
      <c r="H3044" s="162"/>
      <c r="I3044" s="161"/>
    </row>
    <row r="3045" spans="1:9" ht="9.9499999999999993" customHeight="1" x14ac:dyDescent="0.25">
      <c r="A3045" s="165"/>
      <c r="B3045" s="162"/>
      <c r="C3045" s="162"/>
      <c r="D3045" s="458" t="str">
        <f>"TOTAL DA MEMÓRIA DE CÁLCULO: "&amp;TEXT(ROUND(SUM(E3043),2),"0,00")</f>
        <v>TOTAL DA MEMÓRIA DE CÁLCULO: 9,00</v>
      </c>
      <c r="E3045" s="458"/>
      <c r="F3045" s="458"/>
      <c r="G3045" s="458"/>
      <c r="H3045" s="458"/>
      <c r="I3045" s="161"/>
    </row>
    <row r="3046" spans="1:9" ht="54.95" customHeight="1" x14ac:dyDescent="0.25">
      <c r="A3046" s="452"/>
      <c r="B3046" s="453"/>
      <c r="C3046" s="453"/>
      <c r="D3046" s="453"/>
      <c r="E3046" s="162"/>
      <c r="F3046" s="162"/>
      <c r="G3046" s="162"/>
      <c r="H3046" s="162"/>
      <c r="I3046" s="161"/>
    </row>
    <row r="3047" spans="1:9" ht="15" customHeight="1" x14ac:dyDescent="0.25">
      <c r="A3047" s="456" t="s">
        <v>1767</v>
      </c>
      <c r="B3047" s="457"/>
      <c r="C3047" s="457"/>
      <c r="D3047" s="457"/>
      <c r="E3047" s="457"/>
      <c r="F3047" s="457"/>
      <c r="G3047" s="457"/>
      <c r="H3047" s="457"/>
      <c r="I3047" s="161"/>
    </row>
    <row r="3048" spans="1:9" ht="12.95" customHeight="1" x14ac:dyDescent="0.25">
      <c r="A3048" s="450"/>
      <c r="B3048" s="451"/>
      <c r="C3048" s="119"/>
      <c r="D3048" s="119" t="s">
        <v>984</v>
      </c>
      <c r="E3048" s="162"/>
      <c r="F3048" s="162"/>
      <c r="G3048" s="162"/>
      <c r="H3048" s="162"/>
      <c r="I3048" s="161"/>
    </row>
    <row r="3049" spans="1:9" ht="6" customHeight="1" x14ac:dyDescent="0.25">
      <c r="A3049" s="163" t="s">
        <v>1169</v>
      </c>
      <c r="B3049" s="120" t="s">
        <v>1768</v>
      </c>
      <c r="C3049" s="459">
        <v>229</v>
      </c>
      <c r="D3049" s="460">
        <f>ROUND(229,2)</f>
        <v>229</v>
      </c>
      <c r="E3049" s="162"/>
      <c r="F3049" s="162"/>
      <c r="G3049" s="162"/>
      <c r="H3049" s="162"/>
      <c r="I3049" s="161"/>
    </row>
    <row r="3050" spans="1:9" ht="15" customHeight="1" x14ac:dyDescent="0.25">
      <c r="A3050" s="166"/>
      <c r="B3050" s="124"/>
      <c r="C3050" s="459"/>
      <c r="D3050" s="460"/>
      <c r="E3050" s="162"/>
      <c r="F3050" s="162"/>
      <c r="G3050" s="162"/>
      <c r="H3050" s="162"/>
      <c r="I3050" s="161"/>
    </row>
    <row r="3051" spans="1:9" ht="9.9499999999999993" customHeight="1" x14ac:dyDescent="0.25">
      <c r="A3051" s="164"/>
      <c r="B3051" s="121"/>
      <c r="C3051" s="122"/>
      <c r="D3051" s="123">
        <f>ROUND(SUM(D3049:D3050),2)</f>
        <v>229</v>
      </c>
      <c r="E3051" s="162"/>
      <c r="F3051" s="162"/>
      <c r="G3051" s="162"/>
      <c r="H3051" s="162"/>
      <c r="I3051" s="161"/>
    </row>
    <row r="3052" spans="1:9" ht="12" customHeight="1" x14ac:dyDescent="0.25">
      <c r="A3052" s="452"/>
      <c r="B3052" s="453"/>
      <c r="C3052" s="453"/>
      <c r="D3052" s="162"/>
      <c r="E3052" s="162"/>
      <c r="F3052" s="162"/>
      <c r="G3052" s="162"/>
      <c r="H3052" s="162"/>
      <c r="I3052" s="161"/>
    </row>
    <row r="3053" spans="1:9" ht="9.9499999999999993" customHeight="1" x14ac:dyDescent="0.25">
      <c r="A3053" s="165"/>
      <c r="B3053" s="162"/>
      <c r="C3053" s="162"/>
      <c r="D3053" s="458" t="str">
        <f>"TOTAL DA MEMÓRIA DE CÁLCULO: "&amp;TEXT(ROUND(SUM(D3051),2),"0,00")</f>
        <v>TOTAL DA MEMÓRIA DE CÁLCULO: 229,00</v>
      </c>
      <c r="E3053" s="458"/>
      <c r="F3053" s="458"/>
      <c r="G3053" s="458"/>
      <c r="H3053" s="458"/>
      <c r="I3053" s="161"/>
    </row>
    <row r="3054" spans="1:9" ht="42.95" customHeight="1" x14ac:dyDescent="0.25">
      <c r="A3054" s="452"/>
      <c r="B3054" s="453"/>
      <c r="C3054" s="453"/>
      <c r="D3054" s="453"/>
      <c r="E3054" s="162"/>
      <c r="F3054" s="162"/>
      <c r="G3054" s="162"/>
      <c r="H3054" s="162"/>
      <c r="I3054" s="161"/>
    </row>
    <row r="3055" spans="1:9" ht="15" customHeight="1" x14ac:dyDescent="0.25">
      <c r="A3055" s="456" t="s">
        <v>1769</v>
      </c>
      <c r="B3055" s="457"/>
      <c r="C3055" s="457"/>
      <c r="D3055" s="457"/>
      <c r="E3055" s="457"/>
      <c r="F3055" s="457"/>
      <c r="G3055" s="457"/>
      <c r="H3055" s="457"/>
      <c r="I3055" s="161"/>
    </row>
    <row r="3056" spans="1:9" ht="12.95" customHeight="1" x14ac:dyDescent="0.25">
      <c r="A3056" s="450"/>
      <c r="B3056" s="451"/>
      <c r="C3056" s="119" t="s">
        <v>1087</v>
      </c>
      <c r="D3056" s="119" t="s">
        <v>1025</v>
      </c>
      <c r="E3056" s="119" t="s">
        <v>1088</v>
      </c>
      <c r="F3056" s="119" t="s">
        <v>984</v>
      </c>
      <c r="G3056" s="162"/>
      <c r="H3056" s="162"/>
      <c r="I3056" s="161"/>
    </row>
    <row r="3057" spans="1:9" ht="6" customHeight="1" x14ac:dyDescent="0.25">
      <c r="A3057" s="163" t="s">
        <v>1770</v>
      </c>
      <c r="B3057" s="120" t="s">
        <v>1090</v>
      </c>
      <c r="C3057" s="459">
        <v>114.67</v>
      </c>
      <c r="D3057" s="459">
        <v>1.26</v>
      </c>
      <c r="E3057" s="459">
        <v>1.7</v>
      </c>
      <c r="F3057" s="460">
        <f>ROUND(C3057*D3057*E3057,2)</f>
        <v>245.62</v>
      </c>
      <c r="G3057" s="162"/>
      <c r="H3057" s="162"/>
      <c r="I3057" s="161"/>
    </row>
    <row r="3058" spans="1:9" ht="15" customHeight="1" x14ac:dyDescent="0.25">
      <c r="A3058" s="166"/>
      <c r="B3058" s="124"/>
      <c r="C3058" s="459"/>
      <c r="D3058" s="459"/>
      <c r="E3058" s="459"/>
      <c r="F3058" s="460"/>
      <c r="G3058" s="162"/>
      <c r="H3058" s="162"/>
      <c r="I3058" s="161"/>
    </row>
    <row r="3059" spans="1:9" ht="9.9499999999999993" customHeight="1" x14ac:dyDescent="0.25">
      <c r="A3059" s="164"/>
      <c r="B3059" s="121"/>
      <c r="C3059" s="122"/>
      <c r="D3059" s="122"/>
      <c r="E3059" s="122"/>
      <c r="F3059" s="123">
        <f>ROUND(SUM(F3057:F3058),2)</f>
        <v>245.62</v>
      </c>
      <c r="G3059" s="162"/>
      <c r="H3059" s="162"/>
      <c r="I3059" s="161"/>
    </row>
    <row r="3060" spans="1:9" ht="51" customHeight="1" x14ac:dyDescent="0.25">
      <c r="A3060" s="452"/>
      <c r="B3060" s="453"/>
      <c r="C3060" s="453"/>
      <c r="D3060" s="162"/>
      <c r="E3060" s="162"/>
      <c r="F3060" s="162"/>
      <c r="G3060" s="162"/>
      <c r="H3060" s="162"/>
      <c r="I3060" s="161"/>
    </row>
    <row r="3061" spans="1:9" ht="12" customHeight="1" x14ac:dyDescent="0.25">
      <c r="A3061" s="461" t="s">
        <v>4316</v>
      </c>
      <c r="B3061" s="462"/>
      <c r="C3061" s="462"/>
      <c r="D3061" s="458" t="str">
        <f>"TOTAL DA MEMÓRIA DE CÁLCULO: "&amp;TEXT(ROUND(SUM(F3059),2),"0,00")</f>
        <v>TOTAL DA MEMÓRIA DE CÁLCULO: 245,62</v>
      </c>
      <c r="E3061" s="458"/>
      <c r="F3061" s="458"/>
      <c r="G3061" s="458"/>
      <c r="H3061" s="458"/>
      <c r="I3061" s="161"/>
    </row>
    <row r="3062" spans="1:9" ht="9.9499999999999993" customHeight="1" x14ac:dyDescent="0.25">
      <c r="A3062" s="461"/>
      <c r="B3062" s="462"/>
      <c r="C3062" s="462"/>
      <c r="D3062" s="162"/>
      <c r="E3062" s="162"/>
      <c r="F3062" s="162"/>
      <c r="G3062" s="162"/>
      <c r="H3062" s="162"/>
      <c r="I3062" s="161"/>
    </row>
    <row r="3063" spans="1:9" ht="30.95" customHeight="1" x14ac:dyDescent="0.25">
      <c r="A3063" s="452"/>
      <c r="B3063" s="453"/>
      <c r="C3063" s="453"/>
      <c r="D3063" s="453"/>
      <c r="E3063" s="162"/>
      <c r="F3063" s="162"/>
      <c r="G3063" s="162"/>
      <c r="H3063" s="162"/>
      <c r="I3063" s="161"/>
    </row>
    <row r="3064" spans="1:9" ht="15" customHeight="1" x14ac:dyDescent="0.25">
      <c r="A3064" s="456" t="s">
        <v>1771</v>
      </c>
      <c r="B3064" s="457"/>
      <c r="C3064" s="457"/>
      <c r="D3064" s="457"/>
      <c r="E3064" s="457"/>
      <c r="F3064" s="457"/>
      <c r="G3064" s="457"/>
      <c r="H3064" s="457"/>
      <c r="I3064" s="161"/>
    </row>
    <row r="3065" spans="1:9" ht="12.95" customHeight="1" x14ac:dyDescent="0.25">
      <c r="A3065" s="450" t="s">
        <v>1772</v>
      </c>
      <c r="B3065" s="451"/>
      <c r="C3065" s="119" t="s">
        <v>1087</v>
      </c>
      <c r="D3065" s="119" t="s">
        <v>1025</v>
      </c>
      <c r="E3065" s="119" t="s">
        <v>1088</v>
      </c>
      <c r="F3065" s="119" t="s">
        <v>1092</v>
      </c>
      <c r="G3065" s="119" t="s">
        <v>984</v>
      </c>
      <c r="H3065" s="162"/>
      <c r="I3065" s="161"/>
    </row>
    <row r="3066" spans="1:9" ht="6" customHeight="1" x14ac:dyDescent="0.25">
      <c r="A3066" s="163" t="s">
        <v>1770</v>
      </c>
      <c r="B3066" s="120" t="s">
        <v>1093</v>
      </c>
      <c r="C3066" s="459">
        <v>114.67</v>
      </c>
      <c r="D3066" s="459">
        <v>1.26</v>
      </c>
      <c r="E3066" s="459">
        <v>1.7</v>
      </c>
      <c r="F3066" s="459">
        <v>7.5</v>
      </c>
      <c r="G3066" s="460">
        <f>ROUND(C3066*D3066*E3066*F3066,2)</f>
        <v>1842.17</v>
      </c>
      <c r="H3066" s="162"/>
      <c r="I3066" s="161"/>
    </row>
    <row r="3067" spans="1:9" ht="15" customHeight="1" x14ac:dyDescent="0.25">
      <c r="A3067" s="166"/>
      <c r="B3067" s="124"/>
      <c r="C3067" s="459"/>
      <c r="D3067" s="459"/>
      <c r="E3067" s="459"/>
      <c r="F3067" s="459"/>
      <c r="G3067" s="460"/>
      <c r="H3067" s="162"/>
      <c r="I3067" s="161"/>
    </row>
    <row r="3068" spans="1:9" ht="9.9499999999999993" customHeight="1" x14ac:dyDescent="0.25">
      <c r="A3068" s="164" t="s">
        <v>1772</v>
      </c>
      <c r="B3068" s="121"/>
      <c r="C3068" s="122"/>
      <c r="D3068" s="122"/>
      <c r="E3068" s="122"/>
      <c r="F3068" s="122"/>
      <c r="G3068" s="123">
        <f>ROUND(SUM(G3066:G3067),2)</f>
        <v>1842.17</v>
      </c>
      <c r="H3068" s="162"/>
      <c r="I3068" s="161"/>
    </row>
    <row r="3069" spans="1:9" ht="12" customHeight="1" x14ac:dyDescent="0.25">
      <c r="A3069" s="452"/>
      <c r="B3069" s="453"/>
      <c r="C3069" s="453"/>
      <c r="D3069" s="162"/>
      <c r="E3069" s="162"/>
      <c r="F3069" s="162"/>
      <c r="G3069" s="162"/>
      <c r="H3069" s="162"/>
      <c r="I3069" s="161"/>
    </row>
    <row r="3070" spans="1:9" ht="12" customHeight="1" x14ac:dyDescent="0.25">
      <c r="A3070" s="461" t="s">
        <v>4317</v>
      </c>
      <c r="B3070" s="462"/>
      <c r="C3070" s="462"/>
      <c r="D3070" s="458" t="str">
        <f>"TOTAL DA MEMÓRIA DE CÁLCULO: "&amp;TEXT(ROUND(SUM(G3068),2),"0,00")</f>
        <v>TOTAL DA MEMÓRIA DE CÁLCULO: 1842,17</v>
      </c>
      <c r="E3070" s="458"/>
      <c r="F3070" s="458"/>
      <c r="G3070" s="458"/>
      <c r="H3070" s="458"/>
      <c r="I3070" s="161"/>
    </row>
    <row r="3071" spans="1:9" ht="9.9499999999999993" customHeight="1" x14ac:dyDescent="0.25">
      <c r="A3071" s="461"/>
      <c r="B3071" s="462"/>
      <c r="C3071" s="462"/>
      <c r="D3071" s="162"/>
      <c r="E3071" s="162"/>
      <c r="F3071" s="162"/>
      <c r="G3071" s="162"/>
      <c r="H3071" s="162"/>
      <c r="I3071" s="161"/>
    </row>
    <row r="3072" spans="1:9" ht="20.100000000000001" customHeight="1" x14ac:dyDescent="0.25">
      <c r="A3072" s="452"/>
      <c r="B3072" s="453"/>
      <c r="C3072" s="453"/>
      <c r="D3072" s="453"/>
      <c r="E3072" s="162"/>
      <c r="F3072" s="162"/>
      <c r="G3072" s="162"/>
      <c r="H3072" s="162"/>
      <c r="I3072" s="161"/>
    </row>
    <row r="3073" spans="1:9" ht="9.9499999999999993" customHeight="1" x14ac:dyDescent="0.25">
      <c r="A3073" s="456" t="s">
        <v>1773</v>
      </c>
      <c r="B3073" s="457"/>
      <c r="C3073" s="457"/>
      <c r="D3073" s="457"/>
      <c r="E3073" s="457"/>
      <c r="F3073" s="457"/>
      <c r="G3073" s="457"/>
      <c r="H3073" s="457"/>
      <c r="I3073" s="161"/>
    </row>
    <row r="3074" spans="1:9" ht="30.95" customHeight="1" x14ac:dyDescent="0.25">
      <c r="A3074" s="452"/>
      <c r="B3074" s="453"/>
      <c r="C3074" s="453"/>
      <c r="D3074" s="162"/>
      <c r="E3074" s="162"/>
      <c r="F3074" s="162"/>
      <c r="G3074" s="162"/>
      <c r="H3074" s="162"/>
      <c r="I3074" s="161"/>
    </row>
    <row r="3075" spans="1:9" ht="15" customHeight="1" x14ac:dyDescent="0.25">
      <c r="A3075" s="456" t="s">
        <v>1774</v>
      </c>
      <c r="B3075" s="457"/>
      <c r="C3075" s="457"/>
      <c r="D3075" s="457"/>
      <c r="E3075" s="457"/>
      <c r="F3075" s="457"/>
      <c r="G3075" s="457"/>
      <c r="H3075" s="457"/>
      <c r="I3075" s="161"/>
    </row>
    <row r="3076" spans="1:9" ht="12.95" customHeight="1" x14ac:dyDescent="0.25">
      <c r="A3076" s="450" t="s">
        <v>1052</v>
      </c>
      <c r="B3076" s="451"/>
      <c r="C3076" s="119"/>
      <c r="D3076" s="119" t="s">
        <v>984</v>
      </c>
      <c r="E3076" s="162"/>
      <c r="F3076" s="162"/>
      <c r="G3076" s="162"/>
      <c r="H3076" s="162"/>
      <c r="I3076" s="161"/>
    </row>
    <row r="3077" spans="1:9" ht="6" customHeight="1" x14ac:dyDescent="0.25">
      <c r="A3077" s="163" t="s">
        <v>1775</v>
      </c>
      <c r="B3077" s="120" t="s">
        <v>1776</v>
      </c>
      <c r="C3077" s="459">
        <v>547.25</v>
      </c>
      <c r="D3077" s="460">
        <f>ROUND(547.25,2)</f>
        <v>547.25</v>
      </c>
      <c r="E3077" s="162"/>
      <c r="F3077" s="162"/>
      <c r="G3077" s="162"/>
      <c r="H3077" s="162"/>
      <c r="I3077" s="161"/>
    </row>
    <row r="3078" spans="1:9" ht="15" customHeight="1" x14ac:dyDescent="0.25">
      <c r="A3078" s="166"/>
      <c r="B3078" s="124"/>
      <c r="C3078" s="459"/>
      <c r="D3078" s="460"/>
      <c r="E3078" s="162"/>
      <c r="F3078" s="162"/>
      <c r="G3078" s="162"/>
      <c r="H3078" s="162"/>
      <c r="I3078" s="161"/>
    </row>
    <row r="3079" spans="1:9" ht="9.9499999999999993" customHeight="1" x14ac:dyDescent="0.25">
      <c r="A3079" s="164" t="s">
        <v>1052</v>
      </c>
      <c r="B3079" s="121"/>
      <c r="C3079" s="122"/>
      <c r="D3079" s="123">
        <f>ROUND(SUM(D3077:D3078),2)</f>
        <v>547.25</v>
      </c>
      <c r="E3079" s="162"/>
      <c r="F3079" s="162"/>
      <c r="G3079" s="162"/>
      <c r="H3079" s="162"/>
      <c r="I3079" s="161"/>
    </row>
    <row r="3080" spans="1:9" ht="15" customHeight="1" x14ac:dyDescent="0.25">
      <c r="A3080" s="452"/>
      <c r="B3080" s="453"/>
      <c r="C3080" s="453"/>
      <c r="D3080" s="162"/>
      <c r="E3080" s="162"/>
      <c r="F3080" s="162"/>
      <c r="G3080" s="162"/>
      <c r="H3080" s="162"/>
      <c r="I3080" s="161"/>
    </row>
    <row r="3081" spans="1:9" ht="12.95" customHeight="1" x14ac:dyDescent="0.25">
      <c r="A3081" s="450" t="s">
        <v>1071</v>
      </c>
      <c r="B3081" s="451"/>
      <c r="C3081" s="119"/>
      <c r="D3081" s="119" t="s">
        <v>984</v>
      </c>
      <c r="E3081" s="162"/>
      <c r="F3081" s="162"/>
      <c r="G3081" s="162"/>
      <c r="H3081" s="162"/>
      <c r="I3081" s="161"/>
    </row>
    <row r="3082" spans="1:9" ht="6" customHeight="1" x14ac:dyDescent="0.25">
      <c r="A3082" s="163" t="s">
        <v>1775</v>
      </c>
      <c r="B3082" s="120" t="s">
        <v>1777</v>
      </c>
      <c r="C3082" s="459">
        <v>204.9</v>
      </c>
      <c r="D3082" s="460">
        <f>ROUND(204.9,2)</f>
        <v>204.9</v>
      </c>
      <c r="E3082" s="162"/>
      <c r="F3082" s="162"/>
      <c r="G3082" s="162"/>
      <c r="H3082" s="162"/>
      <c r="I3082" s="161"/>
    </row>
    <row r="3083" spans="1:9" ht="15" customHeight="1" x14ac:dyDescent="0.25">
      <c r="A3083" s="166"/>
      <c r="B3083" s="124"/>
      <c r="C3083" s="459"/>
      <c r="D3083" s="460"/>
      <c r="E3083" s="162"/>
      <c r="F3083" s="162"/>
      <c r="G3083" s="162"/>
      <c r="H3083" s="162"/>
      <c r="I3083" s="161"/>
    </row>
    <row r="3084" spans="1:9" ht="9.9499999999999993" customHeight="1" x14ac:dyDescent="0.25">
      <c r="A3084" s="164" t="s">
        <v>1071</v>
      </c>
      <c r="B3084" s="121"/>
      <c r="C3084" s="122"/>
      <c r="D3084" s="123">
        <f>ROUND(SUM(D3082:D3083),2)</f>
        <v>204.9</v>
      </c>
      <c r="E3084" s="162"/>
      <c r="F3084" s="162"/>
      <c r="G3084" s="162"/>
      <c r="H3084" s="162"/>
      <c r="I3084" s="161"/>
    </row>
    <row r="3085" spans="1:9" ht="15" customHeight="1" x14ac:dyDescent="0.25">
      <c r="A3085" s="452"/>
      <c r="B3085" s="453"/>
      <c r="C3085" s="453"/>
      <c r="D3085" s="162"/>
      <c r="E3085" s="162"/>
      <c r="F3085" s="162"/>
      <c r="G3085" s="162"/>
      <c r="H3085" s="162"/>
      <c r="I3085" s="161"/>
    </row>
    <row r="3086" spans="1:9" ht="12.95" customHeight="1" x14ac:dyDescent="0.25">
      <c r="A3086" s="450" t="s">
        <v>1778</v>
      </c>
      <c r="B3086" s="451"/>
      <c r="C3086" s="119"/>
      <c r="D3086" s="119" t="s">
        <v>984</v>
      </c>
      <c r="E3086" s="162"/>
      <c r="F3086" s="162"/>
      <c r="G3086" s="162"/>
      <c r="H3086" s="162"/>
      <c r="I3086" s="161"/>
    </row>
    <row r="3087" spans="1:9" ht="15" customHeight="1" x14ac:dyDescent="0.25">
      <c r="A3087" s="163" t="s">
        <v>1775</v>
      </c>
      <c r="B3087" s="120" t="s">
        <v>1779</v>
      </c>
      <c r="C3087" s="227">
        <v>1.56</v>
      </c>
      <c r="D3087" s="228">
        <f>ROUND(1.56,2)</f>
        <v>1.56</v>
      </c>
      <c r="E3087" s="162"/>
      <c r="F3087" s="162"/>
      <c r="G3087" s="162"/>
      <c r="H3087" s="162"/>
      <c r="I3087" s="161"/>
    </row>
    <row r="3088" spans="1:9" ht="9.9499999999999993" customHeight="1" x14ac:dyDescent="0.25">
      <c r="A3088" s="164" t="s">
        <v>1778</v>
      </c>
      <c r="B3088" s="121"/>
      <c r="C3088" s="122"/>
      <c r="D3088" s="123">
        <f>ROUND(SUM(D3087:D3087),2)</f>
        <v>1.56</v>
      </c>
      <c r="E3088" s="162"/>
      <c r="F3088" s="162"/>
      <c r="G3088" s="162"/>
      <c r="H3088" s="162"/>
      <c r="I3088" s="161"/>
    </row>
    <row r="3089" spans="1:9" ht="12" customHeight="1" x14ac:dyDescent="0.25">
      <c r="A3089" s="452"/>
      <c r="B3089" s="453"/>
      <c r="C3089" s="453"/>
      <c r="D3089" s="162"/>
      <c r="E3089" s="162"/>
      <c r="F3089" s="162"/>
      <c r="G3089" s="162"/>
      <c r="H3089" s="162"/>
      <c r="I3089" s="161"/>
    </row>
    <row r="3090" spans="1:9" ht="12" customHeight="1" x14ac:dyDescent="0.25">
      <c r="A3090" s="461" t="s">
        <v>4318</v>
      </c>
      <c r="B3090" s="462"/>
      <c r="C3090" s="462"/>
      <c r="D3090" s="458" t="str">
        <f>"TOTAL DA MEMÓRIA DE CÁLCULO: "&amp;TEXT(ROUND(SUM(D3079,D3084,D3088),2),"0,00")</f>
        <v>TOTAL DA MEMÓRIA DE CÁLCULO: 753,71</v>
      </c>
      <c r="E3090" s="458"/>
      <c r="F3090" s="458"/>
      <c r="G3090" s="458"/>
      <c r="H3090" s="458"/>
      <c r="I3090" s="161"/>
    </row>
    <row r="3091" spans="1:9" ht="9.9499999999999993" customHeight="1" x14ac:dyDescent="0.25">
      <c r="A3091" s="461"/>
      <c r="B3091" s="462"/>
      <c r="C3091" s="462"/>
      <c r="D3091" s="162"/>
      <c r="E3091" s="162"/>
      <c r="F3091" s="162"/>
      <c r="G3091" s="162"/>
      <c r="H3091" s="162"/>
      <c r="I3091" s="161"/>
    </row>
    <row r="3092" spans="1:9" ht="30.95" customHeight="1" x14ac:dyDescent="0.25">
      <c r="A3092" s="452"/>
      <c r="B3092" s="453"/>
      <c r="C3092" s="453"/>
      <c r="D3092" s="453"/>
      <c r="E3092" s="162"/>
      <c r="F3092" s="162"/>
      <c r="G3092" s="162"/>
      <c r="H3092" s="162"/>
      <c r="I3092" s="161"/>
    </row>
    <row r="3093" spans="1:9" ht="15" customHeight="1" x14ac:dyDescent="0.25">
      <c r="A3093" s="456" t="s">
        <v>1780</v>
      </c>
      <c r="B3093" s="457"/>
      <c r="C3093" s="457"/>
      <c r="D3093" s="457"/>
      <c r="E3093" s="457"/>
      <c r="F3093" s="457"/>
      <c r="G3093" s="457"/>
      <c r="H3093" s="457"/>
      <c r="I3093" s="161"/>
    </row>
    <row r="3094" spans="1:9" ht="12.95" customHeight="1" x14ac:dyDescent="0.25">
      <c r="A3094" s="450" t="s">
        <v>569</v>
      </c>
      <c r="B3094" s="451"/>
      <c r="C3094" s="119"/>
      <c r="D3094" s="119" t="s">
        <v>984</v>
      </c>
      <c r="E3094" s="162"/>
      <c r="F3094" s="162"/>
      <c r="G3094" s="162"/>
      <c r="H3094" s="162"/>
      <c r="I3094" s="161"/>
    </row>
    <row r="3095" spans="1:9" ht="15" customHeight="1" x14ac:dyDescent="0.25">
      <c r="A3095" s="163" t="s">
        <v>1781</v>
      </c>
      <c r="B3095" s="120" t="s">
        <v>1782</v>
      </c>
      <c r="C3095" s="227">
        <v>29</v>
      </c>
      <c r="D3095" s="228">
        <f>ROUND(29,2)</f>
        <v>29</v>
      </c>
      <c r="E3095" s="162"/>
      <c r="F3095" s="162"/>
      <c r="G3095" s="162"/>
      <c r="H3095" s="162"/>
      <c r="I3095" s="161"/>
    </row>
    <row r="3096" spans="1:9" ht="9.9499999999999993" customHeight="1" x14ac:dyDescent="0.25">
      <c r="A3096" s="164" t="s">
        <v>569</v>
      </c>
      <c r="B3096" s="121"/>
      <c r="C3096" s="122"/>
      <c r="D3096" s="123">
        <f>ROUND(SUM(D3095:D3095),2)</f>
        <v>29</v>
      </c>
      <c r="E3096" s="162"/>
      <c r="F3096" s="162"/>
      <c r="G3096" s="162"/>
      <c r="H3096" s="162"/>
      <c r="I3096" s="161"/>
    </row>
    <row r="3097" spans="1:9" ht="12" customHeight="1" x14ac:dyDescent="0.25">
      <c r="A3097" s="452"/>
      <c r="B3097" s="453"/>
      <c r="C3097" s="453"/>
      <c r="D3097" s="162"/>
      <c r="E3097" s="162"/>
      <c r="F3097" s="162"/>
      <c r="G3097" s="162"/>
      <c r="H3097" s="162"/>
      <c r="I3097" s="161"/>
    </row>
    <row r="3098" spans="1:9" ht="12" customHeight="1" x14ac:dyDescent="0.25">
      <c r="A3098" s="461" t="s">
        <v>4318</v>
      </c>
      <c r="B3098" s="462"/>
      <c r="C3098" s="462"/>
      <c r="D3098" s="458" t="str">
        <f>"TOTAL DA MEMÓRIA DE CÁLCULO: "&amp;TEXT(ROUND(SUM(D3096),2),"0,00")</f>
        <v>TOTAL DA MEMÓRIA DE CÁLCULO: 29,00</v>
      </c>
      <c r="E3098" s="458"/>
      <c r="F3098" s="458"/>
      <c r="G3098" s="458"/>
      <c r="H3098" s="458"/>
      <c r="I3098" s="161"/>
    </row>
    <row r="3099" spans="1:9" ht="9.9499999999999993" customHeight="1" x14ac:dyDescent="0.25">
      <c r="A3099" s="461"/>
      <c r="B3099" s="462"/>
      <c r="C3099" s="462"/>
      <c r="D3099" s="162"/>
      <c r="E3099" s="162"/>
      <c r="F3099" s="162"/>
      <c r="G3099" s="162"/>
      <c r="H3099" s="162"/>
      <c r="I3099" s="161"/>
    </row>
    <row r="3100" spans="1:9" ht="20.100000000000001" customHeight="1" x14ac:dyDescent="0.25">
      <c r="A3100" s="452"/>
      <c r="B3100" s="453"/>
      <c r="C3100" s="453"/>
      <c r="D3100" s="453"/>
      <c r="E3100" s="162"/>
      <c r="F3100" s="162"/>
      <c r="G3100" s="162"/>
      <c r="H3100" s="162"/>
      <c r="I3100" s="161"/>
    </row>
    <row r="3101" spans="1:9" ht="15" customHeight="1" x14ac:dyDescent="0.25">
      <c r="A3101" s="456" t="s">
        <v>1783</v>
      </c>
      <c r="B3101" s="457"/>
      <c r="C3101" s="457"/>
      <c r="D3101" s="457"/>
      <c r="E3101" s="457"/>
      <c r="F3101" s="457"/>
      <c r="G3101" s="457"/>
      <c r="H3101" s="457"/>
      <c r="I3101" s="161"/>
    </row>
    <row r="3102" spans="1:9" ht="12.95" customHeight="1" x14ac:dyDescent="0.25">
      <c r="A3102" s="450" t="s">
        <v>569</v>
      </c>
      <c r="B3102" s="451"/>
      <c r="C3102" s="119"/>
      <c r="D3102" s="119" t="s">
        <v>984</v>
      </c>
      <c r="E3102" s="162"/>
      <c r="F3102" s="162"/>
      <c r="G3102" s="162"/>
      <c r="H3102" s="162"/>
      <c r="I3102" s="161"/>
    </row>
    <row r="3103" spans="1:9" ht="12.95" customHeight="1" x14ac:dyDescent="0.25">
      <c r="A3103" s="163" t="s">
        <v>1784</v>
      </c>
      <c r="B3103" s="120" t="s">
        <v>1785</v>
      </c>
      <c r="C3103" s="227">
        <v>48</v>
      </c>
      <c r="D3103" s="228">
        <f>ROUND(48,2)</f>
        <v>48</v>
      </c>
      <c r="E3103" s="162"/>
      <c r="F3103" s="162"/>
      <c r="G3103" s="162"/>
      <c r="H3103" s="162"/>
      <c r="I3103" s="161"/>
    </row>
    <row r="3104" spans="1:9" ht="15" customHeight="1" x14ac:dyDescent="0.25">
      <c r="A3104" s="163" t="s">
        <v>1786</v>
      </c>
      <c r="B3104" s="120" t="s">
        <v>1787</v>
      </c>
      <c r="C3104" s="227">
        <v>38</v>
      </c>
      <c r="D3104" s="228">
        <f>ROUND(38,2)</f>
        <v>38</v>
      </c>
      <c r="E3104" s="162"/>
      <c r="F3104" s="162"/>
      <c r="G3104" s="162"/>
      <c r="H3104" s="162"/>
      <c r="I3104" s="161"/>
    </row>
    <row r="3105" spans="1:9" ht="9.9499999999999993" customHeight="1" x14ac:dyDescent="0.25">
      <c r="A3105" s="164" t="s">
        <v>569</v>
      </c>
      <c r="B3105" s="121"/>
      <c r="C3105" s="122"/>
      <c r="D3105" s="123">
        <f>ROUND(SUM(D3103:D3104),2)</f>
        <v>86</v>
      </c>
      <c r="E3105" s="162"/>
      <c r="F3105" s="162"/>
      <c r="G3105" s="162"/>
      <c r="H3105" s="162"/>
      <c r="I3105" s="161"/>
    </row>
    <row r="3106" spans="1:9" ht="12" customHeight="1" x14ac:dyDescent="0.25">
      <c r="A3106" s="452"/>
      <c r="B3106" s="453"/>
      <c r="C3106" s="453"/>
      <c r="D3106" s="162"/>
      <c r="E3106" s="162"/>
      <c r="F3106" s="162"/>
      <c r="G3106" s="162"/>
      <c r="H3106" s="162"/>
      <c r="I3106" s="161"/>
    </row>
    <row r="3107" spans="1:9" ht="12" customHeight="1" x14ac:dyDescent="0.25">
      <c r="A3107" s="461" t="s">
        <v>4318</v>
      </c>
      <c r="B3107" s="462"/>
      <c r="C3107" s="462"/>
      <c r="D3107" s="458" t="str">
        <f>"TOTAL DA MEMÓRIA DE CÁLCULO: "&amp;TEXT(ROUND(SUM(D3105),2),"0,00")</f>
        <v>TOTAL DA MEMÓRIA DE CÁLCULO: 86,00</v>
      </c>
      <c r="E3107" s="458"/>
      <c r="F3107" s="458"/>
      <c r="G3107" s="458"/>
      <c r="H3107" s="458"/>
      <c r="I3107" s="161"/>
    </row>
    <row r="3108" spans="1:9" ht="9.9499999999999993" customHeight="1" x14ac:dyDescent="0.25">
      <c r="A3108" s="461"/>
      <c r="B3108" s="462"/>
      <c r="C3108" s="462"/>
      <c r="D3108" s="162"/>
      <c r="E3108" s="162"/>
      <c r="F3108" s="162"/>
      <c r="G3108" s="162"/>
      <c r="H3108" s="162"/>
      <c r="I3108" s="161"/>
    </row>
    <row r="3109" spans="1:9" ht="30.95" customHeight="1" x14ac:dyDescent="0.25">
      <c r="A3109" s="452"/>
      <c r="B3109" s="453"/>
      <c r="C3109" s="453"/>
      <c r="D3109" s="453"/>
      <c r="E3109" s="162"/>
      <c r="F3109" s="162"/>
      <c r="G3109" s="162"/>
      <c r="H3109" s="162"/>
      <c r="I3109" s="161"/>
    </row>
    <row r="3110" spans="1:9" ht="15" customHeight="1" x14ac:dyDescent="0.25">
      <c r="A3110" s="456" t="s">
        <v>1788</v>
      </c>
      <c r="B3110" s="457"/>
      <c r="C3110" s="457"/>
      <c r="D3110" s="457"/>
      <c r="E3110" s="457"/>
      <c r="F3110" s="457"/>
      <c r="G3110" s="457"/>
      <c r="H3110" s="457"/>
      <c r="I3110" s="161"/>
    </row>
    <row r="3111" spans="1:9" ht="12.95" customHeight="1" x14ac:dyDescent="0.25">
      <c r="A3111" s="450" t="s">
        <v>569</v>
      </c>
      <c r="B3111" s="451"/>
      <c r="C3111" s="119"/>
      <c r="D3111" s="119" t="s">
        <v>984</v>
      </c>
      <c r="E3111" s="162"/>
      <c r="F3111" s="162"/>
      <c r="G3111" s="162"/>
      <c r="H3111" s="162"/>
      <c r="I3111" s="161"/>
    </row>
    <row r="3112" spans="1:9" ht="12.95" customHeight="1" x14ac:dyDescent="0.25">
      <c r="A3112" s="163" t="s">
        <v>1789</v>
      </c>
      <c r="B3112" s="120" t="s">
        <v>4</v>
      </c>
      <c r="C3112" s="227">
        <v>3</v>
      </c>
      <c r="D3112" s="228">
        <f>ROUND(3,2)</f>
        <v>3</v>
      </c>
      <c r="E3112" s="162"/>
      <c r="F3112" s="162"/>
      <c r="G3112" s="162"/>
      <c r="H3112" s="162"/>
      <c r="I3112" s="161"/>
    </row>
    <row r="3113" spans="1:9" ht="15" customHeight="1" x14ac:dyDescent="0.25">
      <c r="A3113" s="163" t="s">
        <v>1790</v>
      </c>
      <c r="B3113" s="120" t="s">
        <v>7</v>
      </c>
      <c r="C3113" s="227">
        <v>5</v>
      </c>
      <c r="D3113" s="228">
        <f>ROUND(5,2)</f>
        <v>5</v>
      </c>
      <c r="E3113" s="162"/>
      <c r="F3113" s="162"/>
      <c r="G3113" s="162"/>
      <c r="H3113" s="162"/>
      <c r="I3113" s="161"/>
    </row>
    <row r="3114" spans="1:9" ht="9.9499999999999993" customHeight="1" x14ac:dyDescent="0.25">
      <c r="A3114" s="164" t="s">
        <v>569</v>
      </c>
      <c r="B3114" s="121"/>
      <c r="C3114" s="122"/>
      <c r="D3114" s="123">
        <f>ROUND(SUM(D3112:D3113),2)</f>
        <v>8</v>
      </c>
      <c r="E3114" s="162"/>
      <c r="F3114" s="162"/>
      <c r="G3114" s="162"/>
      <c r="H3114" s="162"/>
      <c r="I3114" s="161"/>
    </row>
    <row r="3115" spans="1:9" ht="12" customHeight="1" x14ac:dyDescent="0.25">
      <c r="A3115" s="452"/>
      <c r="B3115" s="453"/>
      <c r="C3115" s="453"/>
      <c r="D3115" s="162"/>
      <c r="E3115" s="162"/>
      <c r="F3115" s="162"/>
      <c r="G3115" s="162"/>
      <c r="H3115" s="162"/>
      <c r="I3115" s="161"/>
    </row>
    <row r="3116" spans="1:9" ht="12" customHeight="1" x14ac:dyDescent="0.25">
      <c r="A3116" s="461" t="s">
        <v>4318</v>
      </c>
      <c r="B3116" s="462"/>
      <c r="C3116" s="462"/>
      <c r="D3116" s="458" t="str">
        <f>"TOTAL DA MEMÓRIA DE CÁLCULO: "&amp;TEXT(ROUND(SUM(D3114),2),"0,00")</f>
        <v>TOTAL DA MEMÓRIA DE CÁLCULO: 8,00</v>
      </c>
      <c r="E3116" s="458"/>
      <c r="F3116" s="458"/>
      <c r="G3116" s="458"/>
      <c r="H3116" s="458"/>
      <c r="I3116" s="161"/>
    </row>
    <row r="3117" spans="1:9" ht="9.9499999999999993" customHeight="1" x14ac:dyDescent="0.25">
      <c r="A3117" s="461"/>
      <c r="B3117" s="462"/>
      <c r="C3117" s="462"/>
      <c r="D3117" s="162"/>
      <c r="E3117" s="162"/>
      <c r="F3117" s="162"/>
      <c r="G3117" s="162"/>
      <c r="H3117" s="162"/>
      <c r="I3117" s="161"/>
    </row>
    <row r="3118" spans="1:9" ht="20.100000000000001" customHeight="1" x14ac:dyDescent="0.25">
      <c r="A3118" s="452"/>
      <c r="B3118" s="453"/>
      <c r="C3118" s="453"/>
      <c r="D3118" s="453"/>
      <c r="E3118" s="162"/>
      <c r="F3118" s="162"/>
      <c r="G3118" s="162"/>
      <c r="H3118" s="162"/>
      <c r="I3118" s="161"/>
    </row>
    <row r="3119" spans="1:9" ht="15" customHeight="1" x14ac:dyDescent="0.25">
      <c r="A3119" s="456" t="s">
        <v>1791</v>
      </c>
      <c r="B3119" s="457"/>
      <c r="C3119" s="457"/>
      <c r="D3119" s="457"/>
      <c r="E3119" s="457"/>
      <c r="F3119" s="457"/>
      <c r="G3119" s="457"/>
      <c r="H3119" s="457"/>
      <c r="I3119" s="161"/>
    </row>
    <row r="3120" spans="1:9" ht="12.95" customHeight="1" x14ac:dyDescent="0.25">
      <c r="A3120" s="450" t="s">
        <v>569</v>
      </c>
      <c r="B3120" s="451"/>
      <c r="C3120" s="119"/>
      <c r="D3120" s="119" t="s">
        <v>984</v>
      </c>
      <c r="E3120" s="162"/>
      <c r="F3120" s="162"/>
      <c r="G3120" s="162"/>
      <c r="H3120" s="162"/>
      <c r="I3120" s="161"/>
    </row>
    <row r="3121" spans="1:9" ht="12.95" customHeight="1" x14ac:dyDescent="0.25">
      <c r="A3121" s="163" t="s">
        <v>1792</v>
      </c>
      <c r="B3121" s="120" t="s">
        <v>1793</v>
      </c>
      <c r="C3121" s="227">
        <v>56</v>
      </c>
      <c r="D3121" s="228">
        <f>ROUND(56,2)</f>
        <v>56</v>
      </c>
      <c r="E3121" s="162"/>
      <c r="F3121" s="162"/>
      <c r="G3121" s="162"/>
      <c r="H3121" s="162"/>
      <c r="I3121" s="161"/>
    </row>
    <row r="3122" spans="1:9" ht="15" customHeight="1" x14ac:dyDescent="0.25">
      <c r="A3122" s="163" t="s">
        <v>1794</v>
      </c>
      <c r="B3122" s="120" t="s">
        <v>15</v>
      </c>
      <c r="C3122" s="227">
        <v>9</v>
      </c>
      <c r="D3122" s="228">
        <f>ROUND(9,2)</f>
        <v>9</v>
      </c>
      <c r="E3122" s="162"/>
      <c r="F3122" s="162"/>
      <c r="G3122" s="162"/>
      <c r="H3122" s="162"/>
      <c r="I3122" s="161"/>
    </row>
    <row r="3123" spans="1:9" ht="9.9499999999999993" customHeight="1" x14ac:dyDescent="0.25">
      <c r="A3123" s="164" t="s">
        <v>569</v>
      </c>
      <c r="B3123" s="121"/>
      <c r="C3123" s="122"/>
      <c r="D3123" s="123">
        <f>ROUND(SUM(D3121:D3122),2)</f>
        <v>65</v>
      </c>
      <c r="E3123" s="162"/>
      <c r="F3123" s="162"/>
      <c r="G3123" s="162"/>
      <c r="H3123" s="162"/>
      <c r="I3123" s="161"/>
    </row>
    <row r="3124" spans="1:9" ht="12" customHeight="1" x14ac:dyDescent="0.25">
      <c r="A3124" s="452"/>
      <c r="B3124" s="453"/>
      <c r="C3124" s="453"/>
      <c r="D3124" s="162"/>
      <c r="E3124" s="162"/>
      <c r="F3124" s="162"/>
      <c r="G3124" s="162"/>
      <c r="H3124" s="162"/>
      <c r="I3124" s="161"/>
    </row>
    <row r="3125" spans="1:9" ht="12" customHeight="1" x14ac:dyDescent="0.25">
      <c r="A3125" s="461" t="s">
        <v>4318</v>
      </c>
      <c r="B3125" s="462"/>
      <c r="C3125" s="462"/>
      <c r="D3125" s="458" t="str">
        <f>"TOTAL DA MEMÓRIA DE CÁLCULO: "&amp;TEXT(ROUND(SUM(D3123),2),"0,00")</f>
        <v>TOTAL DA MEMÓRIA DE CÁLCULO: 65,00</v>
      </c>
      <c r="E3125" s="458"/>
      <c r="F3125" s="458"/>
      <c r="G3125" s="458"/>
      <c r="H3125" s="458"/>
      <c r="I3125" s="161"/>
    </row>
    <row r="3126" spans="1:9" ht="9.9499999999999993" customHeight="1" x14ac:dyDescent="0.25">
      <c r="A3126" s="461"/>
      <c r="B3126" s="462"/>
      <c r="C3126" s="462"/>
      <c r="D3126" s="162"/>
      <c r="E3126" s="162"/>
      <c r="F3126" s="162"/>
      <c r="G3126" s="162"/>
      <c r="H3126" s="162"/>
      <c r="I3126" s="161"/>
    </row>
    <row r="3127" spans="1:9" ht="20.100000000000001" customHeight="1" x14ac:dyDescent="0.25">
      <c r="A3127" s="452"/>
      <c r="B3127" s="453"/>
      <c r="C3127" s="453"/>
      <c r="D3127" s="453"/>
      <c r="E3127" s="162"/>
      <c r="F3127" s="162"/>
      <c r="G3127" s="162"/>
      <c r="H3127" s="162"/>
      <c r="I3127" s="161"/>
    </row>
    <row r="3128" spans="1:9" ht="9.9499999999999993" customHeight="1" x14ac:dyDescent="0.25">
      <c r="A3128" s="456" t="s">
        <v>1795</v>
      </c>
      <c r="B3128" s="457"/>
      <c r="C3128" s="457"/>
      <c r="D3128" s="457"/>
      <c r="E3128" s="457"/>
      <c r="F3128" s="457"/>
      <c r="G3128" s="457"/>
      <c r="H3128" s="457"/>
      <c r="I3128" s="161"/>
    </row>
    <row r="3129" spans="1:9" ht="20.100000000000001" customHeight="1" x14ac:dyDescent="0.25">
      <c r="A3129" s="452"/>
      <c r="B3129" s="453"/>
      <c r="C3129" s="453"/>
      <c r="D3129" s="162"/>
      <c r="E3129" s="162"/>
      <c r="F3129" s="162"/>
      <c r="G3129" s="162"/>
      <c r="H3129" s="162"/>
      <c r="I3129" s="161"/>
    </row>
    <row r="3130" spans="1:9" ht="15" customHeight="1" x14ac:dyDescent="0.25">
      <c r="A3130" s="456" t="s">
        <v>1796</v>
      </c>
      <c r="B3130" s="457"/>
      <c r="C3130" s="457"/>
      <c r="D3130" s="457"/>
      <c r="E3130" s="457"/>
      <c r="F3130" s="457"/>
      <c r="G3130" s="457"/>
      <c r="H3130" s="457"/>
      <c r="I3130" s="161"/>
    </row>
    <row r="3131" spans="1:9" ht="12.95" customHeight="1" x14ac:dyDescent="0.25">
      <c r="A3131" s="450" t="s">
        <v>1052</v>
      </c>
      <c r="B3131" s="451"/>
      <c r="C3131" s="119"/>
      <c r="D3131" s="119" t="s">
        <v>984</v>
      </c>
      <c r="E3131" s="162"/>
      <c r="F3131" s="162"/>
      <c r="G3131" s="162"/>
      <c r="H3131" s="162"/>
      <c r="I3131" s="161"/>
    </row>
    <row r="3132" spans="1:9" ht="6" customHeight="1" x14ac:dyDescent="0.25">
      <c r="A3132" s="163" t="s">
        <v>1169</v>
      </c>
      <c r="B3132" s="120" t="s">
        <v>1797</v>
      </c>
      <c r="C3132" s="459">
        <v>1715.23</v>
      </c>
      <c r="D3132" s="460">
        <f>ROUND(1715.23,2)</f>
        <v>1715.23</v>
      </c>
      <c r="E3132" s="162"/>
      <c r="F3132" s="162"/>
      <c r="G3132" s="162"/>
      <c r="H3132" s="162"/>
      <c r="I3132" s="161"/>
    </row>
    <row r="3133" spans="1:9" ht="15" customHeight="1" x14ac:dyDescent="0.25">
      <c r="A3133" s="166"/>
      <c r="B3133" s="124"/>
      <c r="C3133" s="459"/>
      <c r="D3133" s="460"/>
      <c r="E3133" s="162"/>
      <c r="F3133" s="162"/>
      <c r="G3133" s="162"/>
      <c r="H3133" s="162"/>
      <c r="I3133" s="161"/>
    </row>
    <row r="3134" spans="1:9" ht="9.9499999999999993" customHeight="1" x14ac:dyDescent="0.25">
      <c r="A3134" s="164" t="s">
        <v>1052</v>
      </c>
      <c r="B3134" s="121"/>
      <c r="C3134" s="122"/>
      <c r="D3134" s="123">
        <f>ROUND(SUM(D3132:D3133),2)</f>
        <v>1715.23</v>
      </c>
      <c r="E3134" s="162"/>
      <c r="F3134" s="162"/>
      <c r="G3134" s="162"/>
      <c r="H3134" s="162"/>
      <c r="I3134" s="161"/>
    </row>
    <row r="3135" spans="1:9" ht="15" customHeight="1" x14ac:dyDescent="0.25">
      <c r="A3135" s="452"/>
      <c r="B3135" s="453"/>
      <c r="C3135" s="453"/>
      <c r="D3135" s="162"/>
      <c r="E3135" s="162"/>
      <c r="F3135" s="162"/>
      <c r="G3135" s="162"/>
      <c r="H3135" s="162"/>
      <c r="I3135" s="161"/>
    </row>
    <row r="3136" spans="1:9" ht="12.95" customHeight="1" x14ac:dyDescent="0.25">
      <c r="A3136" s="450" t="s">
        <v>1071</v>
      </c>
      <c r="B3136" s="451"/>
      <c r="C3136" s="119"/>
      <c r="D3136" s="119" t="s">
        <v>984</v>
      </c>
      <c r="E3136" s="162"/>
      <c r="F3136" s="162"/>
      <c r="G3136" s="162"/>
      <c r="H3136" s="162"/>
      <c r="I3136" s="161"/>
    </row>
    <row r="3137" spans="1:9" ht="6" customHeight="1" x14ac:dyDescent="0.25">
      <c r="A3137" s="163" t="s">
        <v>1169</v>
      </c>
      <c r="B3137" s="120" t="s">
        <v>1798</v>
      </c>
      <c r="C3137" s="459">
        <v>1356.56</v>
      </c>
      <c r="D3137" s="460">
        <f>ROUND(1356.56,2)</f>
        <v>1356.56</v>
      </c>
      <c r="E3137" s="162"/>
      <c r="F3137" s="162"/>
      <c r="G3137" s="162"/>
      <c r="H3137" s="162"/>
      <c r="I3137" s="161"/>
    </row>
    <row r="3138" spans="1:9" ht="15" customHeight="1" x14ac:dyDescent="0.25">
      <c r="A3138" s="166"/>
      <c r="B3138" s="124"/>
      <c r="C3138" s="459"/>
      <c r="D3138" s="460"/>
      <c r="E3138" s="162"/>
      <c r="F3138" s="162"/>
      <c r="G3138" s="162"/>
      <c r="H3138" s="162"/>
      <c r="I3138" s="161"/>
    </row>
    <row r="3139" spans="1:9" ht="9.9499999999999993" customHeight="1" x14ac:dyDescent="0.25">
      <c r="A3139" s="164" t="s">
        <v>1071</v>
      </c>
      <c r="B3139" s="121"/>
      <c r="C3139" s="122"/>
      <c r="D3139" s="123">
        <f>ROUND(SUM(D3137:D3138),2)</f>
        <v>1356.56</v>
      </c>
      <c r="E3139" s="162"/>
      <c r="F3139" s="162"/>
      <c r="G3139" s="162"/>
      <c r="H3139" s="162"/>
      <c r="I3139" s="161"/>
    </row>
    <row r="3140" spans="1:9" ht="12" customHeight="1" x14ac:dyDescent="0.25">
      <c r="A3140" s="452"/>
      <c r="B3140" s="453"/>
      <c r="C3140" s="453"/>
      <c r="D3140" s="162"/>
      <c r="E3140" s="162"/>
      <c r="F3140" s="162"/>
      <c r="G3140" s="162"/>
      <c r="H3140" s="162"/>
      <c r="I3140" s="161"/>
    </row>
    <row r="3141" spans="1:9" ht="12" customHeight="1" x14ac:dyDescent="0.25">
      <c r="A3141" s="461" t="s">
        <v>4319</v>
      </c>
      <c r="B3141" s="462"/>
      <c r="C3141" s="462"/>
      <c r="D3141" s="458" t="str">
        <f>"TOTAL DA MEMÓRIA DE CÁLCULO: "&amp;TEXT(ROUND(SUM(D3134,D3139),2),"0,00")</f>
        <v>TOTAL DA MEMÓRIA DE CÁLCULO: 3071,79</v>
      </c>
      <c r="E3141" s="458"/>
      <c r="F3141" s="458"/>
      <c r="G3141" s="458"/>
      <c r="H3141" s="458"/>
      <c r="I3141" s="161"/>
    </row>
    <row r="3142" spans="1:9" ht="9.9499999999999993" customHeight="1" x14ac:dyDescent="0.25">
      <c r="A3142" s="461"/>
      <c r="B3142" s="462"/>
      <c r="C3142" s="462"/>
      <c r="D3142" s="162"/>
      <c r="E3142" s="162"/>
      <c r="F3142" s="162"/>
      <c r="G3142" s="162"/>
      <c r="H3142" s="162"/>
      <c r="I3142" s="161"/>
    </row>
    <row r="3143" spans="1:9" ht="20.100000000000001" customHeight="1" x14ac:dyDescent="0.25">
      <c r="A3143" s="452"/>
      <c r="B3143" s="453"/>
      <c r="C3143" s="453"/>
      <c r="D3143" s="453"/>
      <c r="E3143" s="162"/>
      <c r="F3143" s="162"/>
      <c r="G3143" s="162"/>
      <c r="H3143" s="162"/>
      <c r="I3143" s="161"/>
    </row>
    <row r="3144" spans="1:9" ht="15" customHeight="1" x14ac:dyDescent="0.25">
      <c r="A3144" s="456" t="s">
        <v>1799</v>
      </c>
      <c r="B3144" s="457"/>
      <c r="C3144" s="457"/>
      <c r="D3144" s="457"/>
      <c r="E3144" s="457"/>
      <c r="F3144" s="457"/>
      <c r="G3144" s="457"/>
      <c r="H3144" s="457"/>
      <c r="I3144" s="161"/>
    </row>
    <row r="3145" spans="1:9" ht="12.95" customHeight="1" x14ac:dyDescent="0.25">
      <c r="A3145" s="450" t="s">
        <v>1800</v>
      </c>
      <c r="B3145" s="451"/>
      <c r="C3145" s="119"/>
      <c r="D3145" s="119" t="s">
        <v>984</v>
      </c>
      <c r="E3145" s="162"/>
      <c r="F3145" s="162"/>
      <c r="G3145" s="162"/>
      <c r="H3145" s="162"/>
      <c r="I3145" s="161"/>
    </row>
    <row r="3146" spans="1:9" x14ac:dyDescent="0.25">
      <c r="A3146" s="163" t="s">
        <v>1133</v>
      </c>
      <c r="B3146" s="120" t="s">
        <v>1801</v>
      </c>
      <c r="C3146" s="459">
        <v>480.02</v>
      </c>
      <c r="D3146" s="460">
        <f>ROUND(480.02,2)</f>
        <v>480.02</v>
      </c>
      <c r="E3146" s="162"/>
      <c r="F3146" s="162"/>
      <c r="G3146" s="162"/>
      <c r="H3146" s="162"/>
      <c r="I3146" s="161"/>
    </row>
    <row r="3147" spans="1:9" ht="15" customHeight="1" x14ac:dyDescent="0.25">
      <c r="A3147" s="166"/>
      <c r="B3147" s="124"/>
      <c r="C3147" s="459"/>
      <c r="D3147" s="460"/>
      <c r="E3147" s="162"/>
      <c r="F3147" s="162"/>
      <c r="G3147" s="162"/>
      <c r="H3147" s="162"/>
      <c r="I3147" s="161"/>
    </row>
    <row r="3148" spans="1:9" ht="9.9499999999999993" customHeight="1" x14ac:dyDescent="0.25">
      <c r="A3148" s="164" t="s">
        <v>1800</v>
      </c>
      <c r="B3148" s="121"/>
      <c r="C3148" s="122"/>
      <c r="D3148" s="123">
        <f>ROUND(SUM(D3146:D3147),2)</f>
        <v>480.02</v>
      </c>
      <c r="E3148" s="162"/>
      <c r="F3148" s="162"/>
      <c r="G3148" s="162"/>
      <c r="H3148" s="162"/>
      <c r="I3148" s="161"/>
    </row>
    <row r="3149" spans="1:9" ht="12" customHeight="1" x14ac:dyDescent="0.25">
      <c r="A3149" s="452"/>
      <c r="B3149" s="453"/>
      <c r="C3149" s="453"/>
      <c r="D3149" s="162"/>
      <c r="E3149" s="162"/>
      <c r="F3149" s="162"/>
      <c r="G3149" s="162"/>
      <c r="H3149" s="162"/>
      <c r="I3149" s="161"/>
    </row>
    <row r="3150" spans="1:9" ht="12" customHeight="1" x14ac:dyDescent="0.25">
      <c r="A3150" s="461" t="s">
        <v>4320</v>
      </c>
      <c r="B3150" s="462"/>
      <c r="C3150" s="462"/>
      <c r="D3150" s="458" t="str">
        <f>"TOTAL DA MEMÓRIA DE CÁLCULO: "&amp;TEXT(ROUND(SUM(D3148),2),"0,00")</f>
        <v>TOTAL DA MEMÓRIA DE CÁLCULO: 480,02</v>
      </c>
      <c r="E3150" s="458"/>
      <c r="F3150" s="458"/>
      <c r="G3150" s="458"/>
      <c r="H3150" s="458"/>
      <c r="I3150" s="161"/>
    </row>
    <row r="3151" spans="1:9" ht="9.9499999999999993" customHeight="1" thickBot="1" x14ac:dyDescent="0.3">
      <c r="A3151" s="464"/>
      <c r="B3151" s="465"/>
      <c r="C3151" s="465"/>
      <c r="D3151" s="358"/>
      <c r="E3151" s="358"/>
      <c r="F3151" s="358"/>
      <c r="G3151" s="358"/>
      <c r="H3151" s="358"/>
      <c r="I3151" s="359"/>
    </row>
  </sheetData>
  <mergeCells count="2118">
    <mergeCell ref="A1:I1"/>
    <mergeCell ref="A2:A5"/>
    <mergeCell ref="A3145:B3145"/>
    <mergeCell ref="C3146:C3147"/>
    <mergeCell ref="D3146:D3147"/>
    <mergeCell ref="A3149:C3149"/>
    <mergeCell ref="A3150:C3151"/>
    <mergeCell ref="D3150:H3150"/>
    <mergeCell ref="B2761:D2761"/>
    <mergeCell ref="A2762:B2762"/>
    <mergeCell ref="A2765:D2765"/>
    <mergeCell ref="B2767:D2767"/>
    <mergeCell ref="A2768:B2768"/>
    <mergeCell ref="A2771:D2771"/>
    <mergeCell ref="B2:F2"/>
    <mergeCell ref="B3:F3"/>
    <mergeCell ref="B4:F4"/>
    <mergeCell ref="G2:I2"/>
    <mergeCell ref="G3:I3"/>
    <mergeCell ref="G4:I4"/>
    <mergeCell ref="B5:F5"/>
    <mergeCell ref="G5:I5"/>
    <mergeCell ref="A3118:D3118"/>
    <mergeCell ref="A3119:H3119"/>
    <mergeCell ref="A3120:B3120"/>
    <mergeCell ref="A3124:C3124"/>
    <mergeCell ref="A3125:C3126"/>
    <mergeCell ref="D3125:H3125"/>
    <mergeCell ref="A3127:D3127"/>
    <mergeCell ref="A3128:H3128"/>
    <mergeCell ref="A3129:C3129"/>
    <mergeCell ref="A3130:H3130"/>
    <mergeCell ref="A3144:H3144"/>
    <mergeCell ref="A3093:H3093"/>
    <mergeCell ref="A3094:B3094"/>
    <mergeCell ref="A3097:C3097"/>
    <mergeCell ref="A3098:C3099"/>
    <mergeCell ref="D3098:H3098"/>
    <mergeCell ref="A3100:D3100"/>
    <mergeCell ref="A3101:H3101"/>
    <mergeCell ref="A3102:B3102"/>
    <mergeCell ref="A3106:C3106"/>
    <mergeCell ref="A3107:C3108"/>
    <mergeCell ref="D3107:H3107"/>
    <mergeCell ref="A3109:D3109"/>
    <mergeCell ref="A3110:H3110"/>
    <mergeCell ref="A3111:B3111"/>
    <mergeCell ref="A3115:C3115"/>
    <mergeCell ref="A3116:C3117"/>
    <mergeCell ref="D3116:H3116"/>
    <mergeCell ref="A3131:B3131"/>
    <mergeCell ref="C3132:C3133"/>
    <mergeCell ref="D3132:D3133"/>
    <mergeCell ref="A3135:C3135"/>
    <mergeCell ref="A3136:B3136"/>
    <mergeCell ref="C3137:C3138"/>
    <mergeCell ref="D3137:D3138"/>
    <mergeCell ref="A3055:H3055"/>
    <mergeCell ref="A3056:B3056"/>
    <mergeCell ref="C3057:C3058"/>
    <mergeCell ref="D3057:D3058"/>
    <mergeCell ref="E3057:E3058"/>
    <mergeCell ref="F3057:F3058"/>
    <mergeCell ref="A3060:C3060"/>
    <mergeCell ref="A3061:C3062"/>
    <mergeCell ref="D3061:H3061"/>
    <mergeCell ref="A3063:D3063"/>
    <mergeCell ref="A3064:H3064"/>
    <mergeCell ref="A3065:B3065"/>
    <mergeCell ref="A3140:C3140"/>
    <mergeCell ref="A3141:C3142"/>
    <mergeCell ref="D3141:H3141"/>
    <mergeCell ref="A3143:D3143"/>
    <mergeCell ref="A3075:H3075"/>
    <mergeCell ref="A3076:B3076"/>
    <mergeCell ref="C3077:C3078"/>
    <mergeCell ref="D3077:D3078"/>
    <mergeCell ref="A3080:C3080"/>
    <mergeCell ref="A3081:B3081"/>
    <mergeCell ref="C3082:C3083"/>
    <mergeCell ref="D3082:D3083"/>
    <mergeCell ref="A3085:C3085"/>
    <mergeCell ref="A3086:B3086"/>
    <mergeCell ref="A3089:C3089"/>
    <mergeCell ref="A3090:C3091"/>
    <mergeCell ref="D3090:H3090"/>
    <mergeCell ref="A3092:D3092"/>
    <mergeCell ref="C3066:C3067"/>
    <mergeCell ref="D3066:D3067"/>
    <mergeCell ref="E3066:E3067"/>
    <mergeCell ref="F3066:F3067"/>
    <mergeCell ref="G3066:G3067"/>
    <mergeCell ref="A3069:C3069"/>
    <mergeCell ref="A3070:C3071"/>
    <mergeCell ref="D3070:H3070"/>
    <mergeCell ref="A3072:D3072"/>
    <mergeCell ref="A3073:H3073"/>
    <mergeCell ref="A3074:C3074"/>
    <mergeCell ref="A3026:C3027"/>
    <mergeCell ref="D3026:H3026"/>
    <mergeCell ref="A3028:D3028"/>
    <mergeCell ref="A3029:H3029"/>
    <mergeCell ref="A3030:B3030"/>
    <mergeCell ref="C3031:C3032"/>
    <mergeCell ref="D3031:D3032"/>
    <mergeCell ref="C3033:C3034"/>
    <mergeCell ref="D3033:D3034"/>
    <mergeCell ref="A3036:C3036"/>
    <mergeCell ref="A3037:C3038"/>
    <mergeCell ref="D3037:H3037"/>
    <mergeCell ref="A3039:D3039"/>
    <mergeCell ref="A3040:H3040"/>
    <mergeCell ref="A3041:B3041"/>
    <mergeCell ref="A3044:C3044"/>
    <mergeCell ref="D3045:H3045"/>
    <mergeCell ref="C3049:C3050"/>
    <mergeCell ref="D3049:D3050"/>
    <mergeCell ref="A3052:C3052"/>
    <mergeCell ref="D3053:H3053"/>
    <mergeCell ref="A3054:D3054"/>
    <mergeCell ref="A2968:C2969"/>
    <mergeCell ref="D2968:H2968"/>
    <mergeCell ref="A2970:D2970"/>
    <mergeCell ref="A2971:H2971"/>
    <mergeCell ref="A2972:B2972"/>
    <mergeCell ref="C2979:C2980"/>
    <mergeCell ref="D2979:D2980"/>
    <mergeCell ref="A2982:C2982"/>
    <mergeCell ref="A2983:B2983"/>
    <mergeCell ref="A3046:D3046"/>
    <mergeCell ref="A3047:H3047"/>
    <mergeCell ref="A3048:B3048"/>
    <mergeCell ref="A2992:C2993"/>
    <mergeCell ref="D2992:H2992"/>
    <mergeCell ref="A2994:D2994"/>
    <mergeCell ref="A2995:H2995"/>
    <mergeCell ref="A2996:B2996"/>
    <mergeCell ref="A3004:C3004"/>
    <mergeCell ref="A3005:B3005"/>
    <mergeCell ref="A3011:C3011"/>
    <mergeCell ref="A3012:C3013"/>
    <mergeCell ref="D3012:H3012"/>
    <mergeCell ref="A3014:D3014"/>
    <mergeCell ref="A3015:H3015"/>
    <mergeCell ref="A3016:B3016"/>
    <mergeCell ref="C3017:C3018"/>
    <mergeCell ref="D3017:D3018"/>
    <mergeCell ref="A3020:C3020"/>
    <mergeCell ref="A3021:B3021"/>
    <mergeCell ref="C3022:C3023"/>
    <mergeCell ref="D3022:D3023"/>
    <mergeCell ref="A3025:C3025"/>
    <mergeCell ref="C2988:C2989"/>
    <mergeCell ref="D2988:D2989"/>
    <mergeCell ref="A2991:C2991"/>
    <mergeCell ref="A2900:D2900"/>
    <mergeCell ref="A2901:H2901"/>
    <mergeCell ref="A2902:B2902"/>
    <mergeCell ref="C2909:C2910"/>
    <mergeCell ref="D2909:D2910"/>
    <mergeCell ref="E2909:E2910"/>
    <mergeCell ref="A2912:C2912"/>
    <mergeCell ref="A2913:B2913"/>
    <mergeCell ref="C2918:C2919"/>
    <mergeCell ref="D2918:D2919"/>
    <mergeCell ref="E2918:E2919"/>
    <mergeCell ref="A2921:C2921"/>
    <mergeCell ref="A2922:C2923"/>
    <mergeCell ref="D2922:H2922"/>
    <mergeCell ref="D2923:H2923"/>
    <mergeCell ref="A2924:D2924"/>
    <mergeCell ref="A2925:H2925"/>
    <mergeCell ref="A2926:B2926"/>
    <mergeCell ref="A2938:C2938"/>
    <mergeCell ref="A2939:B2939"/>
    <mergeCell ref="A2944:C2944"/>
    <mergeCell ref="A2945:C2946"/>
    <mergeCell ref="D2945:H2945"/>
    <mergeCell ref="A2947:D2947"/>
    <mergeCell ref="A2948:H2948"/>
    <mergeCell ref="A2949:B2949"/>
    <mergeCell ref="A2961:C2961"/>
    <mergeCell ref="A2962:B2962"/>
    <mergeCell ref="A2967:C2967"/>
    <mergeCell ref="A2897:C2897"/>
    <mergeCell ref="A2898:C2899"/>
    <mergeCell ref="D2898:H2898"/>
    <mergeCell ref="D2747:H2747"/>
    <mergeCell ref="A2813:D2813"/>
    <mergeCell ref="A2814:H2814"/>
    <mergeCell ref="A2815:C2815"/>
    <mergeCell ref="A2816:H2816"/>
    <mergeCell ref="A2817:B2817"/>
    <mergeCell ref="A2820:C2820"/>
    <mergeCell ref="A2821:C2822"/>
    <mergeCell ref="D2821:H2821"/>
    <mergeCell ref="A2823:D2823"/>
    <mergeCell ref="A2824:H2824"/>
    <mergeCell ref="A2825:B2825"/>
    <mergeCell ref="A2828:C2828"/>
    <mergeCell ref="A2829:C2830"/>
    <mergeCell ref="D2829:H2829"/>
    <mergeCell ref="A2831:D2831"/>
    <mergeCell ref="A2832:H2832"/>
    <mergeCell ref="A2833:B2833"/>
    <mergeCell ref="A2836:C2836"/>
    <mergeCell ref="A2837:C2838"/>
    <mergeCell ref="D2837:H2837"/>
    <mergeCell ref="A2839:D2839"/>
    <mergeCell ref="A2840:H2840"/>
    <mergeCell ref="A2841:B2841"/>
    <mergeCell ref="A2844:C2844"/>
    <mergeCell ref="A2845:C2846"/>
    <mergeCell ref="D2845:H2845"/>
    <mergeCell ref="A2872:D2872"/>
    <mergeCell ref="A2873:H2873"/>
    <mergeCell ref="A2713:H2713"/>
    <mergeCell ref="A2714:B2714"/>
    <mergeCell ref="A2717:C2717"/>
    <mergeCell ref="D2718:H2718"/>
    <mergeCell ref="A2719:D2719"/>
    <mergeCell ref="A2720:H2720"/>
    <mergeCell ref="A2721:B2721"/>
    <mergeCell ref="A2724:C2724"/>
    <mergeCell ref="D2725:H2725"/>
    <mergeCell ref="A2726:D2726"/>
    <mergeCell ref="A2727:H2727"/>
    <mergeCell ref="A2728:B2728"/>
    <mergeCell ref="C2729:C2730"/>
    <mergeCell ref="D2729:D2730"/>
    <mergeCell ref="A2732:C2732"/>
    <mergeCell ref="C2894:C2895"/>
    <mergeCell ref="D2894:D2895"/>
    <mergeCell ref="A2874:C2874"/>
    <mergeCell ref="A2875:H2875"/>
    <mergeCell ref="A2876:C2876"/>
    <mergeCell ref="A2877:H2877"/>
    <mergeCell ref="A2878:B2878"/>
    <mergeCell ref="C2885:C2886"/>
    <mergeCell ref="D2885:D2886"/>
    <mergeCell ref="A2888:C2888"/>
    <mergeCell ref="A2889:B2889"/>
    <mergeCell ref="A2862:B2862"/>
    <mergeCell ref="A2865:D2865"/>
    <mergeCell ref="B2867:D2867"/>
    <mergeCell ref="A2868:B2868"/>
    <mergeCell ref="A2871:D2871"/>
    <mergeCell ref="B2785:D2785"/>
    <mergeCell ref="A2611:H2611"/>
    <mergeCell ref="A2742:H2742"/>
    <mergeCell ref="D2733:H2733"/>
    <mergeCell ref="A2734:D2734"/>
    <mergeCell ref="A2735:H2735"/>
    <mergeCell ref="A2736:B2736"/>
    <mergeCell ref="A2739:C2739"/>
    <mergeCell ref="D2740:H2740"/>
    <mergeCell ref="A2741:D2741"/>
    <mergeCell ref="A2652:B2652"/>
    <mergeCell ref="A2655:D2655"/>
    <mergeCell ref="B2656:D2656"/>
    <mergeCell ref="A2657:B2657"/>
    <mergeCell ref="A2660:D2660"/>
    <mergeCell ref="A2661:C2661"/>
    <mergeCell ref="B2662:D2662"/>
    <mergeCell ref="A2663:B2663"/>
    <mergeCell ref="A2616:C2616"/>
    <mergeCell ref="D2617:H2617"/>
    <mergeCell ref="A2618:D2618"/>
    <mergeCell ref="A2619:H2619"/>
    <mergeCell ref="A2620:B2620"/>
    <mergeCell ref="A2623:C2623"/>
    <mergeCell ref="D2624:H2624"/>
    <mergeCell ref="A2625:D2625"/>
    <mergeCell ref="A2626:H2626"/>
    <mergeCell ref="A2627:B2627"/>
    <mergeCell ref="A2630:C2630"/>
    <mergeCell ref="D2631:H2631"/>
    <mergeCell ref="A2710:D2710"/>
    <mergeCell ref="A2711:H2711"/>
    <mergeCell ref="A2712:C2712"/>
    <mergeCell ref="A2510:H2510"/>
    <mergeCell ref="A2511:B2511"/>
    <mergeCell ref="A2514:C2514"/>
    <mergeCell ref="D2515:H2515"/>
    <mergeCell ref="A2516:D2516"/>
    <mergeCell ref="A2517:H2517"/>
    <mergeCell ref="A2518:B2518"/>
    <mergeCell ref="A2521:C2521"/>
    <mergeCell ref="A2612:B2612"/>
    <mergeCell ref="C2613:C2614"/>
    <mergeCell ref="D2613:D2614"/>
    <mergeCell ref="A2525:B2525"/>
    <mergeCell ref="A2528:C2528"/>
    <mergeCell ref="D2529:H2529"/>
    <mergeCell ref="A2530:D2530"/>
    <mergeCell ref="A2531:H2531"/>
    <mergeCell ref="A2532:B2532"/>
    <mergeCell ref="A2535:C2535"/>
    <mergeCell ref="D2536:H2536"/>
    <mergeCell ref="A2537:D2537"/>
    <mergeCell ref="A2538:H2538"/>
    <mergeCell ref="A2539:B2539"/>
    <mergeCell ref="A2542:C2542"/>
    <mergeCell ref="D2543:H2543"/>
    <mergeCell ref="A2580:D2580"/>
    <mergeCell ref="A2581:H2581"/>
    <mergeCell ref="A2582:C2582"/>
    <mergeCell ref="A2583:H2583"/>
    <mergeCell ref="A2584:B2584"/>
    <mergeCell ref="A2587:C2587"/>
    <mergeCell ref="D2588:H2588"/>
    <mergeCell ref="A2589:D2589"/>
    <mergeCell ref="D2522:H2522"/>
    <mergeCell ref="A2523:D2523"/>
    <mergeCell ref="A2524:H2524"/>
    <mergeCell ref="D2390:H2390"/>
    <mergeCell ref="A2391:D2391"/>
    <mergeCell ref="A2392:H2392"/>
    <mergeCell ref="A2393:C2393"/>
    <mergeCell ref="A2394:H2394"/>
    <mergeCell ref="A2395:B2395"/>
    <mergeCell ref="C2396:C2397"/>
    <mergeCell ref="D2396:D2397"/>
    <mergeCell ref="E2396:E2397"/>
    <mergeCell ref="F2396:F2397"/>
    <mergeCell ref="A2399:C2399"/>
    <mergeCell ref="D2400:H2400"/>
    <mergeCell ref="A2401:D2401"/>
    <mergeCell ref="A2402:H2402"/>
    <mergeCell ref="A2403:B2403"/>
    <mergeCell ref="A2406:C2406"/>
    <mergeCell ref="D2407:H2407"/>
    <mergeCell ref="A2408:D2408"/>
    <mergeCell ref="A2409:H2409"/>
    <mergeCell ref="A2410:B2410"/>
    <mergeCell ref="C2411:C2412"/>
    <mergeCell ref="D2411:D2412"/>
    <mergeCell ref="E2411:E2412"/>
    <mergeCell ref="F2411:F2412"/>
    <mergeCell ref="A2414:C2414"/>
    <mergeCell ref="D2415:H2415"/>
    <mergeCell ref="A2416:D2416"/>
    <mergeCell ref="A2508:H2508"/>
    <mergeCell ref="A2509:C2509"/>
    <mergeCell ref="A2385:H2385"/>
    <mergeCell ref="A2386:B2386"/>
    <mergeCell ref="A2389:C2389"/>
    <mergeCell ref="A2331:D2331"/>
    <mergeCell ref="A2332:H2332"/>
    <mergeCell ref="A2333:B2333"/>
    <mergeCell ref="A2336:C2336"/>
    <mergeCell ref="D2337:H2337"/>
    <mergeCell ref="A2338:D2338"/>
    <mergeCell ref="A2339:H2339"/>
    <mergeCell ref="A2340:C2340"/>
    <mergeCell ref="A2341:H2341"/>
    <mergeCell ref="A2342:B2342"/>
    <mergeCell ref="A2347:C2347"/>
    <mergeCell ref="D2348:H2348"/>
    <mergeCell ref="A2349:D2349"/>
    <mergeCell ref="A2350:H2350"/>
    <mergeCell ref="A2351:B2351"/>
    <mergeCell ref="C2356:C2357"/>
    <mergeCell ref="D2356:D2357"/>
    <mergeCell ref="A2359:C2359"/>
    <mergeCell ref="D2360:H2360"/>
    <mergeCell ref="A2361:D2361"/>
    <mergeCell ref="A2362:H2362"/>
    <mergeCell ref="A2363:B2363"/>
    <mergeCell ref="A2366:C2366"/>
    <mergeCell ref="D2367:H2367"/>
    <mergeCell ref="A2368:D2368"/>
    <mergeCell ref="A2369:H2369"/>
    <mergeCell ref="A2370:C2370"/>
    <mergeCell ref="A2371:H2371"/>
    <mergeCell ref="A2372:B2372"/>
    <mergeCell ref="D2304:H2304"/>
    <mergeCell ref="A2305:D2305"/>
    <mergeCell ref="A2306:H2306"/>
    <mergeCell ref="A2307:B2307"/>
    <mergeCell ref="A2310:C2310"/>
    <mergeCell ref="D2311:H2311"/>
    <mergeCell ref="A2312:D2312"/>
    <mergeCell ref="A2313:H2313"/>
    <mergeCell ref="A2314:B2314"/>
    <mergeCell ref="A2317:C2317"/>
    <mergeCell ref="D2318:H2318"/>
    <mergeCell ref="A2319:D2319"/>
    <mergeCell ref="A2320:H2320"/>
    <mergeCell ref="A2384:C2384"/>
    <mergeCell ref="C2374:C2375"/>
    <mergeCell ref="D2374:D2375"/>
    <mergeCell ref="C2377:C2378"/>
    <mergeCell ref="D2377:D2378"/>
    <mergeCell ref="A2380:C2380"/>
    <mergeCell ref="D2381:H2381"/>
    <mergeCell ref="A2382:D2382"/>
    <mergeCell ref="A2383:H2383"/>
    <mergeCell ref="A2218:B2218"/>
    <mergeCell ref="A2221:C2221"/>
    <mergeCell ref="D2222:H2222"/>
    <mergeCell ref="A2223:D2223"/>
    <mergeCell ref="A2224:H2224"/>
    <mergeCell ref="A2321:B2321"/>
    <mergeCell ref="A2329:C2329"/>
    <mergeCell ref="D2330:H2330"/>
    <mergeCell ref="A2230:D2230"/>
    <mergeCell ref="A2231:H2231"/>
    <mergeCell ref="A2232:B2232"/>
    <mergeCell ref="A2235:C2235"/>
    <mergeCell ref="D2236:H2236"/>
    <mergeCell ref="A2237:D2237"/>
    <mergeCell ref="A2238:H2238"/>
    <mergeCell ref="A2239:C2239"/>
    <mergeCell ref="A2240:H2240"/>
    <mergeCell ref="A2241:B2241"/>
    <mergeCell ref="A2244:C2244"/>
    <mergeCell ref="D2245:H2245"/>
    <mergeCell ref="A2246:D2246"/>
    <mergeCell ref="A2247:H2247"/>
    <mergeCell ref="A2248:B2248"/>
    <mergeCell ref="A2251:C2251"/>
    <mergeCell ref="A2252:C2253"/>
    <mergeCell ref="D2252:H2252"/>
    <mergeCell ref="A2296:D2296"/>
    <mergeCell ref="A2297:H2297"/>
    <mergeCell ref="A2298:C2298"/>
    <mergeCell ref="A2299:H2299"/>
    <mergeCell ref="A2300:B2300"/>
    <mergeCell ref="A2303:C2303"/>
    <mergeCell ref="A2196:H2196"/>
    <mergeCell ref="A2197:B2197"/>
    <mergeCell ref="A2201:C2201"/>
    <mergeCell ref="D2202:H2202"/>
    <mergeCell ref="A2203:D2203"/>
    <mergeCell ref="A2204:H2204"/>
    <mergeCell ref="A2205:C2205"/>
    <mergeCell ref="A2206:H2206"/>
    <mergeCell ref="A2207:B2207"/>
    <mergeCell ref="A2210:C2210"/>
    <mergeCell ref="D2211:H2211"/>
    <mergeCell ref="A2212:D2212"/>
    <mergeCell ref="A2213:H2213"/>
    <mergeCell ref="A2214:C2214"/>
    <mergeCell ref="A2215:H2215"/>
    <mergeCell ref="A2216:C2216"/>
    <mergeCell ref="A2217:H2217"/>
    <mergeCell ref="D2097:H2097"/>
    <mergeCell ref="A2106:D2106"/>
    <mergeCell ref="A2131:H2131"/>
    <mergeCell ref="A2132:C2132"/>
    <mergeCell ref="A2133:H2133"/>
    <mergeCell ref="A2134:C2134"/>
    <mergeCell ref="A2135:H2135"/>
    <mergeCell ref="A2136:B2136"/>
    <mergeCell ref="A2139:C2139"/>
    <mergeCell ref="D2140:H2140"/>
    <mergeCell ref="A2141:D2141"/>
    <mergeCell ref="A2142:H2142"/>
    <mergeCell ref="A2143:B2143"/>
    <mergeCell ref="B2108:D2108"/>
    <mergeCell ref="A2109:B2109"/>
    <mergeCell ref="A2112:D2112"/>
    <mergeCell ref="A2113:C2113"/>
    <mergeCell ref="B2114:D2114"/>
    <mergeCell ref="A2115:B2115"/>
    <mergeCell ref="A2118:D2118"/>
    <mergeCell ref="A2125:C2125"/>
    <mergeCell ref="B2126:D2126"/>
    <mergeCell ref="A2127:B2127"/>
    <mergeCell ref="A2130:D2130"/>
    <mergeCell ref="A2119:C2119"/>
    <mergeCell ref="B2120:D2120"/>
    <mergeCell ref="A2121:B2121"/>
    <mergeCell ref="A2124:D2124"/>
    <mergeCell ref="A2075:H2075"/>
    <mergeCell ref="A2076:B2076"/>
    <mergeCell ref="A2079:C2079"/>
    <mergeCell ref="A2080:C2081"/>
    <mergeCell ref="D2080:H2080"/>
    <mergeCell ref="A2082:D2082"/>
    <mergeCell ref="A2083:H2083"/>
    <mergeCell ref="A2084:B2084"/>
    <mergeCell ref="A2087:C2087"/>
    <mergeCell ref="A2088:C2089"/>
    <mergeCell ref="D2088:H2088"/>
    <mergeCell ref="A2169:D2169"/>
    <mergeCell ref="A2170:H2170"/>
    <mergeCell ref="D2161:H2161"/>
    <mergeCell ref="A2162:D2162"/>
    <mergeCell ref="A2163:H2163"/>
    <mergeCell ref="A2164:B2164"/>
    <mergeCell ref="A2167:C2167"/>
    <mergeCell ref="D2168:H2168"/>
    <mergeCell ref="A2099:D2099"/>
    <mergeCell ref="A2100:H2100"/>
    <mergeCell ref="A2101:C2101"/>
    <mergeCell ref="A2103:B2103"/>
    <mergeCell ref="B2102:D2102"/>
    <mergeCell ref="A2107:C2107"/>
    <mergeCell ref="A2090:D2090"/>
    <mergeCell ref="A2091:H2091"/>
    <mergeCell ref="A2092:B2092"/>
    <mergeCell ref="C2093:C2094"/>
    <mergeCell ref="D2093:D2094"/>
    <mergeCell ref="A2096:C2096"/>
    <mergeCell ref="A2097:C2098"/>
    <mergeCell ref="A2050:D2050"/>
    <mergeCell ref="A2051:H2051"/>
    <mergeCell ref="A2052:B2052"/>
    <mergeCell ref="A2055:C2055"/>
    <mergeCell ref="A2056:C2057"/>
    <mergeCell ref="D2056:H2056"/>
    <mergeCell ref="A2066:D2066"/>
    <mergeCell ref="A2067:H2067"/>
    <mergeCell ref="A2068:B2068"/>
    <mergeCell ref="A2060:B2060"/>
    <mergeCell ref="A2063:C2063"/>
    <mergeCell ref="D2064:H2064"/>
    <mergeCell ref="A2065:D2065"/>
    <mergeCell ref="A2071:C2071"/>
    <mergeCell ref="A2072:C2073"/>
    <mergeCell ref="D2072:H2072"/>
    <mergeCell ref="A2074:D2074"/>
    <mergeCell ref="D2020:D2021"/>
    <mergeCell ref="A2023:C2023"/>
    <mergeCell ref="A2024:C2025"/>
    <mergeCell ref="D2024:H2024"/>
    <mergeCell ref="A2026:D2026"/>
    <mergeCell ref="A2027:H2027"/>
    <mergeCell ref="A2028:B2028"/>
    <mergeCell ref="A2035:H2035"/>
    <mergeCell ref="A2036:B2036"/>
    <mergeCell ref="A2039:C2039"/>
    <mergeCell ref="A2040:C2041"/>
    <mergeCell ref="D2040:H2040"/>
    <mergeCell ref="A2042:D2042"/>
    <mergeCell ref="A2043:H2043"/>
    <mergeCell ref="A2044:B2044"/>
    <mergeCell ref="A2047:C2047"/>
    <mergeCell ref="A2048:C2049"/>
    <mergeCell ref="D2048:H2048"/>
    <mergeCell ref="A1975:B1975"/>
    <mergeCell ref="A2031:C2031"/>
    <mergeCell ref="A2032:C2033"/>
    <mergeCell ref="D2032:H2032"/>
    <mergeCell ref="A2034:D2034"/>
    <mergeCell ref="A1988:H1988"/>
    <mergeCell ref="A1989:C1989"/>
    <mergeCell ref="A1990:H1990"/>
    <mergeCell ref="A1991:C1991"/>
    <mergeCell ref="A1992:H1992"/>
    <mergeCell ref="A1993:C1993"/>
    <mergeCell ref="A1994:H1994"/>
    <mergeCell ref="A1995:B1995"/>
    <mergeCell ref="A1998:C1998"/>
    <mergeCell ref="A1999:C2000"/>
    <mergeCell ref="D1999:H1999"/>
    <mergeCell ref="A2001:D2001"/>
    <mergeCell ref="A2002:H2002"/>
    <mergeCell ref="A2003:B2003"/>
    <mergeCell ref="A2006:C2006"/>
    <mergeCell ref="A2007:C2008"/>
    <mergeCell ref="D2007:H2007"/>
    <mergeCell ref="A2009:D2009"/>
    <mergeCell ref="A2010:H2010"/>
    <mergeCell ref="A2011:B2011"/>
    <mergeCell ref="A2014:C2014"/>
    <mergeCell ref="A2015:C2016"/>
    <mergeCell ref="D2015:H2015"/>
    <mergeCell ref="A2017:D2017"/>
    <mergeCell ref="A2018:H2018"/>
    <mergeCell ref="A2019:B2019"/>
    <mergeCell ref="C2020:C2021"/>
    <mergeCell ref="A1950:D1950"/>
    <mergeCell ref="A1951:H1951"/>
    <mergeCell ref="A1952:B1952"/>
    <mergeCell ref="A1955:C1955"/>
    <mergeCell ref="A1956:B1956"/>
    <mergeCell ref="A1959:C1959"/>
    <mergeCell ref="D1960:H1960"/>
    <mergeCell ref="A1961:D1961"/>
    <mergeCell ref="A1962:H1962"/>
    <mergeCell ref="A1963:B1963"/>
    <mergeCell ref="A1966:C1966"/>
    <mergeCell ref="A1967:B1967"/>
    <mergeCell ref="A1970:C1970"/>
    <mergeCell ref="A1971:C1972"/>
    <mergeCell ref="D1971:H1971"/>
    <mergeCell ref="A1973:D1973"/>
    <mergeCell ref="A1974:H1974"/>
    <mergeCell ref="A1904:B1904"/>
    <mergeCell ref="A1907:C1907"/>
    <mergeCell ref="D1908:H1908"/>
    <mergeCell ref="A1909:D1909"/>
    <mergeCell ref="A1910:H1910"/>
    <mergeCell ref="A1911:B1911"/>
    <mergeCell ref="A1914:C1914"/>
    <mergeCell ref="A1915:C1916"/>
    <mergeCell ref="D1915:H1915"/>
    <mergeCell ref="A1917:D1917"/>
    <mergeCell ref="A1978:C1978"/>
    <mergeCell ref="D1979:H1979"/>
    <mergeCell ref="A1987:D1987"/>
    <mergeCell ref="A1924:C1924"/>
    <mergeCell ref="A1925:C1926"/>
    <mergeCell ref="D1925:H1925"/>
    <mergeCell ref="A1927:D1927"/>
    <mergeCell ref="A1928:H1928"/>
    <mergeCell ref="A1929:B1929"/>
    <mergeCell ref="A1932:C1932"/>
    <mergeCell ref="A1933:C1934"/>
    <mergeCell ref="D1933:H1933"/>
    <mergeCell ref="A1935:D1935"/>
    <mergeCell ref="A1936:H1936"/>
    <mergeCell ref="A1937:B1937"/>
    <mergeCell ref="A1941:C1941"/>
    <mergeCell ref="D1942:H1942"/>
    <mergeCell ref="A1943:D1943"/>
    <mergeCell ref="A1944:H1944"/>
    <mergeCell ref="A1945:B1945"/>
    <mergeCell ref="A1948:C1948"/>
    <mergeCell ref="D1949:H1949"/>
    <mergeCell ref="A1865:C1865"/>
    <mergeCell ref="A1918:H1918"/>
    <mergeCell ref="A1919:B1919"/>
    <mergeCell ref="C1920:C1921"/>
    <mergeCell ref="D1920:D1921"/>
    <mergeCell ref="A1871:C1871"/>
    <mergeCell ref="A1872:C1873"/>
    <mergeCell ref="D1872:H1872"/>
    <mergeCell ref="A1874:D1874"/>
    <mergeCell ref="A1875:H1875"/>
    <mergeCell ref="A1876:B1876"/>
    <mergeCell ref="A1880:C1880"/>
    <mergeCell ref="D1881:H1881"/>
    <mergeCell ref="A1882:D1882"/>
    <mergeCell ref="A1883:H1883"/>
    <mergeCell ref="A1884:B1884"/>
    <mergeCell ref="A1887:C1887"/>
    <mergeCell ref="A1888:C1889"/>
    <mergeCell ref="D1888:H1888"/>
    <mergeCell ref="A1890:D1890"/>
    <mergeCell ref="A1891:H1891"/>
    <mergeCell ref="A1892:B1892"/>
    <mergeCell ref="C1893:C1894"/>
    <mergeCell ref="D1893:D1894"/>
    <mergeCell ref="E1893:E1894"/>
    <mergeCell ref="A1897:C1897"/>
    <mergeCell ref="A1898:C1899"/>
    <mergeCell ref="D1898:H1898"/>
    <mergeCell ref="A1900:D1900"/>
    <mergeCell ref="A1901:H1901"/>
    <mergeCell ref="A1902:C1902"/>
    <mergeCell ref="A1903:H1903"/>
    <mergeCell ref="E1836:E1837"/>
    <mergeCell ref="A1840:C1840"/>
    <mergeCell ref="A1841:B1841"/>
    <mergeCell ref="A1844:C1844"/>
    <mergeCell ref="A1845:C1846"/>
    <mergeCell ref="D1845:H1845"/>
    <mergeCell ref="A1847:D1847"/>
    <mergeCell ref="A1848:H1848"/>
    <mergeCell ref="A1849:B1849"/>
    <mergeCell ref="C1850:C1851"/>
    <mergeCell ref="D1850:D1851"/>
    <mergeCell ref="C1853:C1854"/>
    <mergeCell ref="D1853:D1854"/>
    <mergeCell ref="C1855:C1856"/>
    <mergeCell ref="D1855:D1856"/>
    <mergeCell ref="A1858:C1858"/>
    <mergeCell ref="A1859:B1859"/>
    <mergeCell ref="D1800:H1800"/>
    <mergeCell ref="A1801:D1801"/>
    <mergeCell ref="A1802:H1802"/>
    <mergeCell ref="A1803:B1803"/>
    <mergeCell ref="A1806:C1806"/>
    <mergeCell ref="D1807:H1807"/>
    <mergeCell ref="A1808:D1808"/>
    <mergeCell ref="A1809:H1809"/>
    <mergeCell ref="A1810:C1810"/>
    <mergeCell ref="A1811:H1811"/>
    <mergeCell ref="A1812:B1812"/>
    <mergeCell ref="C1813:C1814"/>
    <mergeCell ref="D1813:D1814"/>
    <mergeCell ref="A1866:B1866"/>
    <mergeCell ref="C1867:C1868"/>
    <mergeCell ref="D1867:D1868"/>
    <mergeCell ref="A1819:D1819"/>
    <mergeCell ref="A1820:H1820"/>
    <mergeCell ref="A1821:B1821"/>
    <mergeCell ref="C1822:C1823"/>
    <mergeCell ref="D1822:D1823"/>
    <mergeCell ref="E1822:E1823"/>
    <mergeCell ref="A1826:C1826"/>
    <mergeCell ref="A1827:B1827"/>
    <mergeCell ref="A1830:C1830"/>
    <mergeCell ref="A1831:C1832"/>
    <mergeCell ref="D1831:H1831"/>
    <mergeCell ref="A1833:D1833"/>
    <mergeCell ref="A1834:H1834"/>
    <mergeCell ref="A1835:B1835"/>
    <mergeCell ref="C1836:C1837"/>
    <mergeCell ref="D1836:D1837"/>
    <mergeCell ref="D1745:H1745"/>
    <mergeCell ref="A1746:D1746"/>
    <mergeCell ref="A1747:H1747"/>
    <mergeCell ref="A1748:B1748"/>
    <mergeCell ref="A1816:C1816"/>
    <mergeCell ref="A1817:C1818"/>
    <mergeCell ref="D1817:H1817"/>
    <mergeCell ref="A1758:H1758"/>
    <mergeCell ref="A1759:B1759"/>
    <mergeCell ref="A1762:C1762"/>
    <mergeCell ref="D1763:H1763"/>
    <mergeCell ref="A1764:D1764"/>
    <mergeCell ref="A1765:H1765"/>
    <mergeCell ref="A1766:C1766"/>
    <mergeCell ref="A1767:H1767"/>
    <mergeCell ref="A1768:B1768"/>
    <mergeCell ref="A1774:C1774"/>
    <mergeCell ref="D1775:H1775"/>
    <mergeCell ref="A1776:D1776"/>
    <mergeCell ref="A1777:H1777"/>
    <mergeCell ref="A1778:B1778"/>
    <mergeCell ref="A1782:C1782"/>
    <mergeCell ref="D1783:H1783"/>
    <mergeCell ref="A1784:D1784"/>
    <mergeCell ref="A1785:H1785"/>
    <mergeCell ref="A1786:B1786"/>
    <mergeCell ref="A1792:C1792"/>
    <mergeCell ref="D1793:H1793"/>
    <mergeCell ref="A1794:D1794"/>
    <mergeCell ref="A1795:H1795"/>
    <mergeCell ref="A1796:B1796"/>
    <mergeCell ref="A1799:C1799"/>
    <mergeCell ref="D1707:D1708"/>
    <mergeCell ref="A1711:C1711"/>
    <mergeCell ref="D1712:H1712"/>
    <mergeCell ref="A1713:D1713"/>
    <mergeCell ref="A1714:H1714"/>
    <mergeCell ref="A1715:B1715"/>
    <mergeCell ref="A1722:C1722"/>
    <mergeCell ref="D1723:H1723"/>
    <mergeCell ref="A1724:D1724"/>
    <mergeCell ref="A1725:H1725"/>
    <mergeCell ref="A1726:B1726"/>
    <mergeCell ref="A1733:C1733"/>
    <mergeCell ref="D1734:H1734"/>
    <mergeCell ref="A1735:D1735"/>
    <mergeCell ref="A1736:H1736"/>
    <mergeCell ref="A1737:B1737"/>
    <mergeCell ref="A1744:C1744"/>
    <mergeCell ref="A1665:C1666"/>
    <mergeCell ref="D1665:H1665"/>
    <mergeCell ref="A1667:D1667"/>
    <mergeCell ref="A1668:H1668"/>
    <mergeCell ref="A1669:B1669"/>
    <mergeCell ref="A1675:C1675"/>
    <mergeCell ref="A1676:C1677"/>
    <mergeCell ref="D1676:H1676"/>
    <mergeCell ref="A1678:D1678"/>
    <mergeCell ref="A1679:H1679"/>
    <mergeCell ref="A1680:B1680"/>
    <mergeCell ref="A1683:C1683"/>
    <mergeCell ref="D1684:H1684"/>
    <mergeCell ref="A1755:C1755"/>
    <mergeCell ref="D1756:H1756"/>
    <mergeCell ref="A1757:D1757"/>
    <mergeCell ref="A1685:D1685"/>
    <mergeCell ref="A1686:H1686"/>
    <mergeCell ref="A1687:B1687"/>
    <mergeCell ref="A1690:C1690"/>
    <mergeCell ref="D1691:H1691"/>
    <mergeCell ref="A1692:D1692"/>
    <mergeCell ref="A1693:H1693"/>
    <mergeCell ref="A1694:B1694"/>
    <mergeCell ref="A1700:C1700"/>
    <mergeCell ref="D1701:H1701"/>
    <mergeCell ref="A1702:D1702"/>
    <mergeCell ref="A1703:H1703"/>
    <mergeCell ref="A1704:C1704"/>
    <mergeCell ref="A1705:H1705"/>
    <mergeCell ref="A1706:B1706"/>
    <mergeCell ref="C1707:C1708"/>
    <mergeCell ref="D1630:H1630"/>
    <mergeCell ref="A1631:D1631"/>
    <mergeCell ref="A1632:H1632"/>
    <mergeCell ref="A1633:B1633"/>
    <mergeCell ref="A1636:C1636"/>
    <mergeCell ref="D1637:H1637"/>
    <mergeCell ref="A1638:D1638"/>
    <mergeCell ref="A1639:H1639"/>
    <mergeCell ref="A1640:B1640"/>
    <mergeCell ref="A1643:C1643"/>
    <mergeCell ref="D1644:H1644"/>
    <mergeCell ref="A1645:D1645"/>
    <mergeCell ref="A1646:H1646"/>
    <mergeCell ref="A1656:D1656"/>
    <mergeCell ref="A1657:H1657"/>
    <mergeCell ref="A1658:B1658"/>
    <mergeCell ref="A1664:C1664"/>
    <mergeCell ref="A1579:B1579"/>
    <mergeCell ref="A1582:C1582"/>
    <mergeCell ref="D1583:H1583"/>
    <mergeCell ref="A1647:B1647"/>
    <mergeCell ref="A1653:C1653"/>
    <mergeCell ref="A1654:C1655"/>
    <mergeCell ref="D1654:H1654"/>
    <mergeCell ref="A1591:C1591"/>
    <mergeCell ref="D1592:H1592"/>
    <mergeCell ref="A1593:D1593"/>
    <mergeCell ref="A1594:H1594"/>
    <mergeCell ref="A1595:C1595"/>
    <mergeCell ref="A1596:H1596"/>
    <mergeCell ref="A1597:B1597"/>
    <mergeCell ref="A1603:C1603"/>
    <mergeCell ref="A1604:C1605"/>
    <mergeCell ref="D1604:H1604"/>
    <mergeCell ref="A1606:D1606"/>
    <mergeCell ref="A1607:H1607"/>
    <mergeCell ref="A1608:B1608"/>
    <mergeCell ref="A1614:C1614"/>
    <mergeCell ref="A1615:C1616"/>
    <mergeCell ref="D1615:H1615"/>
    <mergeCell ref="A1617:D1617"/>
    <mergeCell ref="A1618:H1618"/>
    <mergeCell ref="A1619:B1619"/>
    <mergeCell ref="A1622:C1622"/>
    <mergeCell ref="D1623:H1623"/>
    <mergeCell ref="A1624:D1624"/>
    <mergeCell ref="A1625:H1625"/>
    <mergeCell ref="A1626:B1626"/>
    <mergeCell ref="A1629:C1629"/>
    <mergeCell ref="A1553:B1553"/>
    <mergeCell ref="A1556:C1556"/>
    <mergeCell ref="D1557:H1557"/>
    <mergeCell ref="A1558:D1558"/>
    <mergeCell ref="A1559:H1559"/>
    <mergeCell ref="A1560:B1560"/>
    <mergeCell ref="A1563:C1563"/>
    <mergeCell ref="D1564:H1564"/>
    <mergeCell ref="A1565:D1565"/>
    <mergeCell ref="A1566:H1566"/>
    <mergeCell ref="A1567:B1567"/>
    <mergeCell ref="A1573:C1573"/>
    <mergeCell ref="D1574:H1574"/>
    <mergeCell ref="A1575:D1575"/>
    <mergeCell ref="A1576:H1576"/>
    <mergeCell ref="A1577:C1577"/>
    <mergeCell ref="A1578:H1578"/>
    <mergeCell ref="A1503:B1503"/>
    <mergeCell ref="A1506:C1506"/>
    <mergeCell ref="D1507:H1507"/>
    <mergeCell ref="A1508:D1508"/>
    <mergeCell ref="A1509:H1509"/>
    <mergeCell ref="A1510:B1510"/>
    <mergeCell ref="A1513:C1513"/>
    <mergeCell ref="D1514:H1514"/>
    <mergeCell ref="A1515:D1515"/>
    <mergeCell ref="A1516:H1516"/>
    <mergeCell ref="A1584:D1584"/>
    <mergeCell ref="A1585:H1585"/>
    <mergeCell ref="A1586:B1586"/>
    <mergeCell ref="A1522:D1522"/>
    <mergeCell ref="A1523:H1523"/>
    <mergeCell ref="A1524:B1524"/>
    <mergeCell ref="A1530:C1530"/>
    <mergeCell ref="A1531:C1532"/>
    <mergeCell ref="D1531:H1531"/>
    <mergeCell ref="A1533:D1533"/>
    <mergeCell ref="A1534:H1534"/>
    <mergeCell ref="A1535:B1535"/>
    <mergeCell ref="A1541:C1541"/>
    <mergeCell ref="A1542:C1543"/>
    <mergeCell ref="D1542:H1542"/>
    <mergeCell ref="A1544:D1544"/>
    <mergeCell ref="A1545:H1545"/>
    <mergeCell ref="A1546:B1546"/>
    <mergeCell ref="A1549:C1549"/>
    <mergeCell ref="D1550:H1550"/>
    <mergeCell ref="A1551:D1551"/>
    <mergeCell ref="A1552:H1552"/>
    <mergeCell ref="A1446:B1446"/>
    <mergeCell ref="A1517:B1517"/>
    <mergeCell ref="A1520:C1520"/>
    <mergeCell ref="D1521:H1521"/>
    <mergeCell ref="A1452:D1452"/>
    <mergeCell ref="A1453:H1453"/>
    <mergeCell ref="A1454:B1454"/>
    <mergeCell ref="A1457:C1457"/>
    <mergeCell ref="A1458:C1459"/>
    <mergeCell ref="D1458:H1458"/>
    <mergeCell ref="A1460:D1460"/>
    <mergeCell ref="A1461:H1461"/>
    <mergeCell ref="A1462:C1462"/>
    <mergeCell ref="A1463:H1463"/>
    <mergeCell ref="A1464:B1464"/>
    <mergeCell ref="A1470:C1470"/>
    <mergeCell ref="A1471:C1472"/>
    <mergeCell ref="D1471:H1471"/>
    <mergeCell ref="A1473:D1473"/>
    <mergeCell ref="A1474:H1474"/>
    <mergeCell ref="A1475:B1475"/>
    <mergeCell ref="A1482:C1482"/>
    <mergeCell ref="A1483:C1484"/>
    <mergeCell ref="D1483:H1483"/>
    <mergeCell ref="A1485:D1485"/>
    <mergeCell ref="A1486:H1486"/>
    <mergeCell ref="A1487:B1487"/>
    <mergeCell ref="A1498:C1498"/>
    <mergeCell ref="A1499:C1500"/>
    <mergeCell ref="D1499:H1499"/>
    <mergeCell ref="A1501:D1501"/>
    <mergeCell ref="A1502:H1502"/>
    <mergeCell ref="D1421:H1421"/>
    <mergeCell ref="A1423:D1423"/>
    <mergeCell ref="A1424:H1424"/>
    <mergeCell ref="A1425:B1425"/>
    <mergeCell ref="A1428:C1428"/>
    <mergeCell ref="A1429:B1429"/>
    <mergeCell ref="A1433:C1433"/>
    <mergeCell ref="A1434:C1435"/>
    <mergeCell ref="D1434:H1434"/>
    <mergeCell ref="A1436:D1436"/>
    <mergeCell ref="A1437:H1437"/>
    <mergeCell ref="A1438:B1438"/>
    <mergeCell ref="A1441:C1441"/>
    <mergeCell ref="A1442:C1443"/>
    <mergeCell ref="D1442:H1442"/>
    <mergeCell ref="A1444:D1444"/>
    <mergeCell ref="A1445:H1445"/>
    <mergeCell ref="A1370:D1370"/>
    <mergeCell ref="A1371:H1371"/>
    <mergeCell ref="A1372:B1372"/>
    <mergeCell ref="A1375:C1375"/>
    <mergeCell ref="A1376:B1376"/>
    <mergeCell ref="A1379:C1379"/>
    <mergeCell ref="D1380:H1380"/>
    <mergeCell ref="A1381:D1381"/>
    <mergeCell ref="A1382:H1382"/>
    <mergeCell ref="A1383:C1383"/>
    <mergeCell ref="A1449:C1449"/>
    <mergeCell ref="A1450:C1451"/>
    <mergeCell ref="D1450:H1450"/>
    <mergeCell ref="A1390:B1390"/>
    <mergeCell ref="A1394:C1394"/>
    <mergeCell ref="A1395:C1396"/>
    <mergeCell ref="D1395:H1395"/>
    <mergeCell ref="A1397:D1397"/>
    <mergeCell ref="A1398:H1398"/>
    <mergeCell ref="A1399:B1399"/>
    <mergeCell ref="A1402:C1402"/>
    <mergeCell ref="A1403:B1403"/>
    <mergeCell ref="A1407:C1407"/>
    <mergeCell ref="A1408:C1409"/>
    <mergeCell ref="D1408:H1408"/>
    <mergeCell ref="A1410:D1410"/>
    <mergeCell ref="A1411:H1411"/>
    <mergeCell ref="A1412:B1412"/>
    <mergeCell ref="A1415:C1415"/>
    <mergeCell ref="A1416:B1416"/>
    <mergeCell ref="A1420:C1420"/>
    <mergeCell ref="A1421:C1422"/>
    <mergeCell ref="A1316:D1316"/>
    <mergeCell ref="A1317:H1317"/>
    <mergeCell ref="A1384:H1384"/>
    <mergeCell ref="A1385:B1385"/>
    <mergeCell ref="A1389:C1389"/>
    <mergeCell ref="A1327:D1327"/>
    <mergeCell ref="A1328:H1328"/>
    <mergeCell ref="A1329:B1329"/>
    <mergeCell ref="A1333:C1333"/>
    <mergeCell ref="A1334:B1334"/>
    <mergeCell ref="A1338:C1338"/>
    <mergeCell ref="A1339:C1340"/>
    <mergeCell ref="D1339:H1339"/>
    <mergeCell ref="A1341:D1341"/>
    <mergeCell ref="A1342:H1342"/>
    <mergeCell ref="A1343:B1343"/>
    <mergeCell ref="A1348:C1348"/>
    <mergeCell ref="A1349:C1350"/>
    <mergeCell ref="D1349:H1349"/>
    <mergeCell ref="A1351:D1351"/>
    <mergeCell ref="A1352:H1352"/>
    <mergeCell ref="A1353:B1353"/>
    <mergeCell ref="A1356:C1356"/>
    <mergeCell ref="A1357:C1358"/>
    <mergeCell ref="D1357:H1357"/>
    <mergeCell ref="A1359:D1359"/>
    <mergeCell ref="A1360:H1360"/>
    <mergeCell ref="A1361:B1361"/>
    <mergeCell ref="A1364:C1364"/>
    <mergeCell ref="A1365:B1365"/>
    <mergeCell ref="A1368:C1368"/>
    <mergeCell ref="D1369:H1369"/>
    <mergeCell ref="A1284:B1284"/>
    <mergeCell ref="A1288:C1288"/>
    <mergeCell ref="A1289:B1289"/>
    <mergeCell ref="A1293:C1293"/>
    <mergeCell ref="A1294:C1295"/>
    <mergeCell ref="D1294:H1294"/>
    <mergeCell ref="A1296:D1296"/>
    <mergeCell ref="A1297:H1297"/>
    <mergeCell ref="A1298:B1298"/>
    <mergeCell ref="A1304:C1304"/>
    <mergeCell ref="A1305:C1306"/>
    <mergeCell ref="D1305:H1305"/>
    <mergeCell ref="A1307:D1307"/>
    <mergeCell ref="A1308:H1308"/>
    <mergeCell ref="A1309:B1309"/>
    <mergeCell ref="A1313:C1313"/>
    <mergeCell ref="A1314:C1315"/>
    <mergeCell ref="D1314:H1314"/>
    <mergeCell ref="A1223:D1223"/>
    <mergeCell ref="A1224:H1224"/>
    <mergeCell ref="A1225:B1225"/>
    <mergeCell ref="A1229:C1229"/>
    <mergeCell ref="A1230:C1231"/>
    <mergeCell ref="D1230:H1230"/>
    <mergeCell ref="A1232:D1232"/>
    <mergeCell ref="A1233:H1233"/>
    <mergeCell ref="A1234:B1234"/>
    <mergeCell ref="A1242:C1242"/>
    <mergeCell ref="A1243:C1244"/>
    <mergeCell ref="A1318:B1318"/>
    <mergeCell ref="A1324:C1324"/>
    <mergeCell ref="A1325:C1326"/>
    <mergeCell ref="D1325:H1325"/>
    <mergeCell ref="A1263:B1263"/>
    <mergeCell ref="A1268:C1268"/>
    <mergeCell ref="A1269:C1270"/>
    <mergeCell ref="D1269:H1269"/>
    <mergeCell ref="A1271:D1271"/>
    <mergeCell ref="A1272:H1272"/>
    <mergeCell ref="A1273:B1273"/>
    <mergeCell ref="C1274:C1275"/>
    <mergeCell ref="D1274:D1275"/>
    <mergeCell ref="E1274:E1275"/>
    <mergeCell ref="A1277:C1277"/>
    <mergeCell ref="A1278:C1279"/>
    <mergeCell ref="D1278:H1278"/>
    <mergeCell ref="A1280:D1280"/>
    <mergeCell ref="A1281:H1281"/>
    <mergeCell ref="A1282:C1282"/>
    <mergeCell ref="A1283:H1283"/>
    <mergeCell ref="A1177:H1177"/>
    <mergeCell ref="A1259:C1260"/>
    <mergeCell ref="D1259:H1259"/>
    <mergeCell ref="A1261:D1261"/>
    <mergeCell ref="D1243:H1243"/>
    <mergeCell ref="A1245:D1245"/>
    <mergeCell ref="A1246:H1246"/>
    <mergeCell ref="A1247:B1247"/>
    <mergeCell ref="A1251:C1251"/>
    <mergeCell ref="A1252:B1252"/>
    <mergeCell ref="A1258:C1258"/>
    <mergeCell ref="A1262:H1262"/>
    <mergeCell ref="A1187:D1187"/>
    <mergeCell ref="A1188:H1188"/>
    <mergeCell ref="A1189:B1189"/>
    <mergeCell ref="A1192:C1192"/>
    <mergeCell ref="A1193:C1194"/>
    <mergeCell ref="D1193:H1193"/>
    <mergeCell ref="A1195:D1195"/>
    <mergeCell ref="A1196:H1196"/>
    <mergeCell ref="A1197:C1197"/>
    <mergeCell ref="A1198:H1198"/>
    <mergeCell ref="A1199:B1199"/>
    <mergeCell ref="A1207:C1207"/>
    <mergeCell ref="A1208:C1209"/>
    <mergeCell ref="D1208:H1208"/>
    <mergeCell ref="A1210:D1210"/>
    <mergeCell ref="A1211:H1211"/>
    <mergeCell ref="A1212:B1212"/>
    <mergeCell ref="A1220:C1220"/>
    <mergeCell ref="A1221:C1222"/>
    <mergeCell ref="D1221:H1221"/>
    <mergeCell ref="A1154:B1154"/>
    <mergeCell ref="A1157:C1157"/>
    <mergeCell ref="A1158:C1159"/>
    <mergeCell ref="D1158:H1158"/>
    <mergeCell ref="A1160:D1160"/>
    <mergeCell ref="A1161:H1161"/>
    <mergeCell ref="A1162:B1162"/>
    <mergeCell ref="A1165:C1165"/>
    <mergeCell ref="A1166:C1167"/>
    <mergeCell ref="D1166:H1166"/>
    <mergeCell ref="A1168:D1168"/>
    <mergeCell ref="A1169:H1169"/>
    <mergeCell ref="A1170:B1170"/>
    <mergeCell ref="A1173:C1173"/>
    <mergeCell ref="A1174:C1175"/>
    <mergeCell ref="D1174:H1174"/>
    <mergeCell ref="A1176:D1176"/>
    <mergeCell ref="D1109:H1109"/>
    <mergeCell ref="A1111:D1111"/>
    <mergeCell ref="A1112:H1112"/>
    <mergeCell ref="A1113:B1113"/>
    <mergeCell ref="A1116:C1116"/>
    <mergeCell ref="A1117:C1118"/>
    <mergeCell ref="D1117:H1117"/>
    <mergeCell ref="A1119:D1119"/>
    <mergeCell ref="A1120:H1120"/>
    <mergeCell ref="A1178:B1178"/>
    <mergeCell ref="A1184:C1184"/>
    <mergeCell ref="A1185:C1186"/>
    <mergeCell ref="D1185:H1185"/>
    <mergeCell ref="A1128:C1128"/>
    <mergeCell ref="A1129:C1130"/>
    <mergeCell ref="D1129:H1129"/>
    <mergeCell ref="A1131:D1131"/>
    <mergeCell ref="A1132:H1132"/>
    <mergeCell ref="A1133:B1133"/>
    <mergeCell ref="A1136:C1136"/>
    <mergeCell ref="A1137:C1138"/>
    <mergeCell ref="D1137:H1137"/>
    <mergeCell ref="A1139:D1139"/>
    <mergeCell ref="A1140:H1140"/>
    <mergeCell ref="A1141:C1141"/>
    <mergeCell ref="A1142:H1142"/>
    <mergeCell ref="A1143:B1143"/>
    <mergeCell ref="A1149:C1149"/>
    <mergeCell ref="A1150:C1151"/>
    <mergeCell ref="D1150:H1150"/>
    <mergeCell ref="A1152:D1152"/>
    <mergeCell ref="A1153:H1153"/>
    <mergeCell ref="A1121:C1121"/>
    <mergeCell ref="A1122:H1122"/>
    <mergeCell ref="A1123:B1123"/>
    <mergeCell ref="A1071:B1071"/>
    <mergeCell ref="A1074:C1074"/>
    <mergeCell ref="A1075:C1076"/>
    <mergeCell ref="D1075:H1075"/>
    <mergeCell ref="A1077:D1077"/>
    <mergeCell ref="A1078:H1078"/>
    <mergeCell ref="A1079:B1079"/>
    <mergeCell ref="A1082:C1082"/>
    <mergeCell ref="A1083:C1084"/>
    <mergeCell ref="D1083:H1083"/>
    <mergeCell ref="A1085:D1085"/>
    <mergeCell ref="A1086:H1086"/>
    <mergeCell ref="A1087:B1087"/>
    <mergeCell ref="A1090:C1090"/>
    <mergeCell ref="A1091:C1092"/>
    <mergeCell ref="D1091:H1091"/>
    <mergeCell ref="A1093:D1093"/>
    <mergeCell ref="A1094:H1094"/>
    <mergeCell ref="A1095:C1095"/>
    <mergeCell ref="A1096:H1096"/>
    <mergeCell ref="A1097:B1097"/>
    <mergeCell ref="A1100:C1100"/>
    <mergeCell ref="A1101:C1102"/>
    <mergeCell ref="D1101:H1101"/>
    <mergeCell ref="A1103:D1103"/>
    <mergeCell ref="A1104:H1104"/>
    <mergeCell ref="A1105:B1105"/>
    <mergeCell ref="A1108:C1108"/>
    <mergeCell ref="A1109:C1110"/>
    <mergeCell ref="A1070:H1070"/>
    <mergeCell ref="A933:C933"/>
    <mergeCell ref="A934:C935"/>
    <mergeCell ref="D934:H934"/>
    <mergeCell ref="A936:D936"/>
    <mergeCell ref="A1025:H1025"/>
    <mergeCell ref="A1026:B1026"/>
    <mergeCell ref="C1027:C1028"/>
    <mergeCell ref="D1027:D1028"/>
    <mergeCell ref="A1030:C1030"/>
    <mergeCell ref="A1031:C1032"/>
    <mergeCell ref="D1031:H1031"/>
    <mergeCell ref="A1033:D1033"/>
    <mergeCell ref="A1034:H1034"/>
    <mergeCell ref="A1035:B1035"/>
    <mergeCell ref="C1036:C1037"/>
    <mergeCell ref="D1036:D1037"/>
    <mergeCell ref="A1039:C1039"/>
    <mergeCell ref="A1040:C1041"/>
    <mergeCell ref="D1040:H1040"/>
    <mergeCell ref="A1042:D1042"/>
    <mergeCell ref="A1044:H1044"/>
    <mergeCell ref="A1045:B1045"/>
    <mergeCell ref="C1046:C1047"/>
    <mergeCell ref="D1046:D1047"/>
    <mergeCell ref="A1049:C1049"/>
    <mergeCell ref="A1050:C1051"/>
    <mergeCell ref="D1050:H1050"/>
    <mergeCell ref="A1052:D1052"/>
    <mergeCell ref="A1053:H1053"/>
    <mergeCell ref="A1054:B1054"/>
    <mergeCell ref="A1057:C1057"/>
    <mergeCell ref="D914:H914"/>
    <mergeCell ref="A915:D915"/>
    <mergeCell ref="A916:H916"/>
    <mergeCell ref="A917:C917"/>
    <mergeCell ref="A918:H918"/>
    <mergeCell ref="A919:C919"/>
    <mergeCell ref="A920:H920"/>
    <mergeCell ref="A921:B921"/>
    <mergeCell ref="A924:C924"/>
    <mergeCell ref="A925:C926"/>
    <mergeCell ref="D925:H925"/>
    <mergeCell ref="A927:D927"/>
    <mergeCell ref="A928:H928"/>
    <mergeCell ref="A1066:C1066"/>
    <mergeCell ref="A1067:C1068"/>
    <mergeCell ref="D1067:H1067"/>
    <mergeCell ref="A1069:D1069"/>
    <mergeCell ref="A1058:C1059"/>
    <mergeCell ref="D1058:H1058"/>
    <mergeCell ref="A1060:D1060"/>
    <mergeCell ref="A1061:H1061"/>
    <mergeCell ref="A1062:B1062"/>
    <mergeCell ref="C1063:C1064"/>
    <mergeCell ref="D1063:D1064"/>
    <mergeCell ref="A867:B867"/>
    <mergeCell ref="A870:C870"/>
    <mergeCell ref="A871:C872"/>
    <mergeCell ref="D871:H871"/>
    <mergeCell ref="A873:D873"/>
    <mergeCell ref="A929:B929"/>
    <mergeCell ref="C930:C931"/>
    <mergeCell ref="D930:D931"/>
    <mergeCell ref="A879:B879"/>
    <mergeCell ref="A882:C882"/>
    <mergeCell ref="D883:H883"/>
    <mergeCell ref="A884:D884"/>
    <mergeCell ref="A885:H885"/>
    <mergeCell ref="A886:C886"/>
    <mergeCell ref="A887:H887"/>
    <mergeCell ref="A888:B888"/>
    <mergeCell ref="A891:C891"/>
    <mergeCell ref="D892:H892"/>
    <mergeCell ref="A893:D893"/>
    <mergeCell ref="A894:H894"/>
    <mergeCell ref="A895:B895"/>
    <mergeCell ref="A898:C898"/>
    <mergeCell ref="D899:H899"/>
    <mergeCell ref="A900:D900"/>
    <mergeCell ref="A901:H901"/>
    <mergeCell ref="A902:B902"/>
    <mergeCell ref="A906:C906"/>
    <mergeCell ref="D907:H907"/>
    <mergeCell ref="A908:D908"/>
    <mergeCell ref="A909:H909"/>
    <mergeCell ref="A910:B910"/>
    <mergeCell ref="A913:C913"/>
    <mergeCell ref="A838:D838"/>
    <mergeCell ref="A839:H839"/>
    <mergeCell ref="A840:C840"/>
    <mergeCell ref="A841:H841"/>
    <mergeCell ref="A842:B842"/>
    <mergeCell ref="A845:C845"/>
    <mergeCell ref="A846:B846"/>
    <mergeCell ref="A849:C849"/>
    <mergeCell ref="A850:B850"/>
    <mergeCell ref="A854:C854"/>
    <mergeCell ref="D855:H855"/>
    <mergeCell ref="A856:D856"/>
    <mergeCell ref="A857:H857"/>
    <mergeCell ref="A858:B858"/>
    <mergeCell ref="A862:C862"/>
    <mergeCell ref="A863:B863"/>
    <mergeCell ref="A866:C866"/>
    <mergeCell ref="D776:H776"/>
    <mergeCell ref="A778:D778"/>
    <mergeCell ref="A779:H779"/>
    <mergeCell ref="A780:B780"/>
    <mergeCell ref="A783:C783"/>
    <mergeCell ref="D784:H784"/>
    <mergeCell ref="A785:D785"/>
    <mergeCell ref="A786:H786"/>
    <mergeCell ref="A787:B787"/>
    <mergeCell ref="A790:C790"/>
    <mergeCell ref="D791:H791"/>
    <mergeCell ref="A792:D792"/>
    <mergeCell ref="A793:H793"/>
    <mergeCell ref="A874:H874"/>
    <mergeCell ref="A875:B875"/>
    <mergeCell ref="A878:C878"/>
    <mergeCell ref="A816:D816"/>
    <mergeCell ref="A817:H817"/>
    <mergeCell ref="A818:B818"/>
    <mergeCell ref="A821:C821"/>
    <mergeCell ref="A822:C823"/>
    <mergeCell ref="D822:H822"/>
    <mergeCell ref="A824:D824"/>
    <mergeCell ref="A825:H825"/>
    <mergeCell ref="A826:B826"/>
    <mergeCell ref="A829:C829"/>
    <mergeCell ref="D830:H830"/>
    <mergeCell ref="A831:D831"/>
    <mergeCell ref="A832:H832"/>
    <mergeCell ref="A833:B833"/>
    <mergeCell ref="A836:C836"/>
    <mergeCell ref="D837:H837"/>
    <mergeCell ref="A729:D729"/>
    <mergeCell ref="A730:H730"/>
    <mergeCell ref="A731:B731"/>
    <mergeCell ref="A747:C747"/>
    <mergeCell ref="D748:H748"/>
    <mergeCell ref="A804:B804"/>
    <mergeCell ref="A794:C794"/>
    <mergeCell ref="A795:H795"/>
    <mergeCell ref="A796:B796"/>
    <mergeCell ref="A800:C800"/>
    <mergeCell ref="D801:H801"/>
    <mergeCell ref="A802:D802"/>
    <mergeCell ref="A803:H803"/>
    <mergeCell ref="A814:C814"/>
    <mergeCell ref="D815:H815"/>
    <mergeCell ref="A754:C754"/>
    <mergeCell ref="D755:H755"/>
    <mergeCell ref="A756:D756"/>
    <mergeCell ref="A757:H757"/>
    <mergeCell ref="A758:B758"/>
    <mergeCell ref="A761:C761"/>
    <mergeCell ref="D762:H762"/>
    <mergeCell ref="A763:D763"/>
    <mergeCell ref="A764:H764"/>
    <mergeCell ref="A765:B765"/>
    <mergeCell ref="A768:C768"/>
    <mergeCell ref="D769:H769"/>
    <mergeCell ref="A770:D770"/>
    <mergeCell ref="A771:H771"/>
    <mergeCell ref="A772:B772"/>
    <mergeCell ref="A775:C775"/>
    <mergeCell ref="A776:C777"/>
    <mergeCell ref="A704:H704"/>
    <mergeCell ref="A705:B705"/>
    <mergeCell ref="A708:C708"/>
    <mergeCell ref="D709:H709"/>
    <mergeCell ref="A710:D710"/>
    <mergeCell ref="A711:H711"/>
    <mergeCell ref="A712:B712"/>
    <mergeCell ref="A715:C715"/>
    <mergeCell ref="D716:H716"/>
    <mergeCell ref="A717:D717"/>
    <mergeCell ref="A718:H718"/>
    <mergeCell ref="A719:B719"/>
    <mergeCell ref="A722:C722"/>
    <mergeCell ref="A723:B723"/>
    <mergeCell ref="A726:C726"/>
    <mergeCell ref="A727:C728"/>
    <mergeCell ref="D727:H727"/>
    <mergeCell ref="A661:C661"/>
    <mergeCell ref="D662:H662"/>
    <mergeCell ref="A663:D663"/>
    <mergeCell ref="A664:H664"/>
    <mergeCell ref="A665:B665"/>
    <mergeCell ref="A668:C668"/>
    <mergeCell ref="D669:H669"/>
    <mergeCell ref="A670:D670"/>
    <mergeCell ref="A671:H671"/>
    <mergeCell ref="A672:B672"/>
    <mergeCell ref="A675:C675"/>
    <mergeCell ref="D676:H676"/>
    <mergeCell ref="A677:D677"/>
    <mergeCell ref="A678:H678"/>
    <mergeCell ref="A749:D749"/>
    <mergeCell ref="A750:H750"/>
    <mergeCell ref="A751:B751"/>
    <mergeCell ref="A684:D684"/>
    <mergeCell ref="A685:H685"/>
    <mergeCell ref="A686:B686"/>
    <mergeCell ref="A690:C690"/>
    <mergeCell ref="D691:H691"/>
    <mergeCell ref="A692:D692"/>
    <mergeCell ref="A693:H693"/>
    <mergeCell ref="A694:B694"/>
    <mergeCell ref="A697:C697"/>
    <mergeCell ref="D698:H698"/>
    <mergeCell ref="A699:D699"/>
    <mergeCell ref="A700:H700"/>
    <mergeCell ref="A701:C701"/>
    <mergeCell ref="A702:H702"/>
    <mergeCell ref="A703:C703"/>
    <mergeCell ref="A584:H584"/>
    <mergeCell ref="A585:B585"/>
    <mergeCell ref="A588:C588"/>
    <mergeCell ref="D589:H589"/>
    <mergeCell ref="A612:D612"/>
    <mergeCell ref="A613:H613"/>
    <mergeCell ref="A679:B679"/>
    <mergeCell ref="A682:C682"/>
    <mergeCell ref="D683:H683"/>
    <mergeCell ref="A628:D628"/>
    <mergeCell ref="A629:H629"/>
    <mergeCell ref="A630:B630"/>
    <mergeCell ref="A633:C633"/>
    <mergeCell ref="D634:H634"/>
    <mergeCell ref="A635:D635"/>
    <mergeCell ref="A636:H636"/>
    <mergeCell ref="A637:B637"/>
    <mergeCell ref="A640:C640"/>
    <mergeCell ref="D641:H641"/>
    <mergeCell ref="A642:D642"/>
    <mergeCell ref="A643:H643"/>
    <mergeCell ref="A644:B644"/>
    <mergeCell ref="A647:C647"/>
    <mergeCell ref="D648:H648"/>
    <mergeCell ref="A649:D649"/>
    <mergeCell ref="A650:H650"/>
    <mergeCell ref="A651:B651"/>
    <mergeCell ref="A654:C654"/>
    <mergeCell ref="D655:H655"/>
    <mergeCell ref="A656:D656"/>
    <mergeCell ref="A657:H657"/>
    <mergeCell ref="A658:B658"/>
    <mergeCell ref="A604:D604"/>
    <mergeCell ref="A591:H591"/>
    <mergeCell ref="A592:B592"/>
    <mergeCell ref="A595:C595"/>
    <mergeCell ref="D596:H596"/>
    <mergeCell ref="A597:D597"/>
    <mergeCell ref="A626:C626"/>
    <mergeCell ref="D627:H627"/>
    <mergeCell ref="D545:H545"/>
    <mergeCell ref="A546:D546"/>
    <mergeCell ref="A547:H547"/>
    <mergeCell ref="A548:B548"/>
    <mergeCell ref="A551:C551"/>
    <mergeCell ref="D552:H552"/>
    <mergeCell ref="A553:D553"/>
    <mergeCell ref="A554:H554"/>
    <mergeCell ref="A555:C555"/>
    <mergeCell ref="A556:H556"/>
    <mergeCell ref="A557:B557"/>
    <mergeCell ref="A560:C560"/>
    <mergeCell ref="A561:B561"/>
    <mergeCell ref="A564:C564"/>
    <mergeCell ref="A565:B565"/>
    <mergeCell ref="A569:C569"/>
    <mergeCell ref="A570:B570"/>
    <mergeCell ref="A573:C573"/>
    <mergeCell ref="A574:B574"/>
    <mergeCell ref="A577:C577"/>
    <mergeCell ref="A578:B578"/>
    <mergeCell ref="A581:C581"/>
    <mergeCell ref="D582:H582"/>
    <mergeCell ref="A583:D583"/>
    <mergeCell ref="D522:H522"/>
    <mergeCell ref="A523:D523"/>
    <mergeCell ref="A524:H524"/>
    <mergeCell ref="A525:B525"/>
    <mergeCell ref="A528:C528"/>
    <mergeCell ref="D529:H529"/>
    <mergeCell ref="A530:D530"/>
    <mergeCell ref="A531:H531"/>
    <mergeCell ref="A532:B532"/>
    <mergeCell ref="C533:C534"/>
    <mergeCell ref="D533:D534"/>
    <mergeCell ref="A536:C536"/>
    <mergeCell ref="D537:H537"/>
    <mergeCell ref="A538:D538"/>
    <mergeCell ref="A539:H539"/>
    <mergeCell ref="A540:B540"/>
    <mergeCell ref="A623:B623"/>
    <mergeCell ref="A614:C614"/>
    <mergeCell ref="A615:H615"/>
    <mergeCell ref="A616:B616"/>
    <mergeCell ref="A619:C619"/>
    <mergeCell ref="D620:H620"/>
    <mergeCell ref="A621:D621"/>
    <mergeCell ref="A622:H622"/>
    <mergeCell ref="A606:H606"/>
    <mergeCell ref="A607:B607"/>
    <mergeCell ref="A610:C610"/>
    <mergeCell ref="D611:H611"/>
    <mergeCell ref="A598:H598"/>
    <mergeCell ref="A599:B599"/>
    <mergeCell ref="A602:C602"/>
    <mergeCell ref="D603:H603"/>
    <mergeCell ref="A463:C463"/>
    <mergeCell ref="D464:H464"/>
    <mergeCell ref="A465:D465"/>
    <mergeCell ref="A466:H466"/>
    <mergeCell ref="A467:B467"/>
    <mergeCell ref="A470:C470"/>
    <mergeCell ref="A471:B471"/>
    <mergeCell ref="A474:C474"/>
    <mergeCell ref="C541:C542"/>
    <mergeCell ref="D541:D542"/>
    <mergeCell ref="A544:C544"/>
    <mergeCell ref="A483:C483"/>
    <mergeCell ref="A484:B484"/>
    <mergeCell ref="A487:C487"/>
    <mergeCell ref="A488:B488"/>
    <mergeCell ref="A491:C491"/>
    <mergeCell ref="D492:H492"/>
    <mergeCell ref="A493:D493"/>
    <mergeCell ref="A494:H494"/>
    <mergeCell ref="A495:B495"/>
    <mergeCell ref="A498:C498"/>
    <mergeCell ref="A499:B499"/>
    <mergeCell ref="A502:C502"/>
    <mergeCell ref="A503:B503"/>
    <mergeCell ref="A506:C506"/>
    <mergeCell ref="A507:B507"/>
    <mergeCell ref="A510:C510"/>
    <mergeCell ref="D511:H511"/>
    <mergeCell ref="A512:D512"/>
    <mergeCell ref="A513:H513"/>
    <mergeCell ref="A514:B514"/>
    <mergeCell ref="A521:C521"/>
    <mergeCell ref="A475:B475"/>
    <mergeCell ref="A479:C479"/>
    <mergeCell ref="A480:B480"/>
    <mergeCell ref="A419:B419"/>
    <mergeCell ref="A422:C422"/>
    <mergeCell ref="A423:B423"/>
    <mergeCell ref="A426:C426"/>
    <mergeCell ref="D427:H427"/>
    <mergeCell ref="A428:D428"/>
    <mergeCell ref="A429:H429"/>
    <mergeCell ref="A430:B430"/>
    <mergeCell ref="A433:C433"/>
    <mergeCell ref="A434:B434"/>
    <mergeCell ref="A437:C437"/>
    <mergeCell ref="D438:H438"/>
    <mergeCell ref="A439:D439"/>
    <mergeCell ref="A440:H440"/>
    <mergeCell ref="A441:B441"/>
    <mergeCell ref="A445:C445"/>
    <mergeCell ref="D446:H446"/>
    <mergeCell ref="A447:D447"/>
    <mergeCell ref="A448:H448"/>
    <mergeCell ref="A449:B449"/>
    <mergeCell ref="A453:C453"/>
    <mergeCell ref="D454:H454"/>
    <mergeCell ref="A455:D455"/>
    <mergeCell ref="A456:H456"/>
    <mergeCell ref="A457:C457"/>
    <mergeCell ref="A458:H458"/>
    <mergeCell ref="A459:B459"/>
    <mergeCell ref="C460:C461"/>
    <mergeCell ref="D460:D461"/>
    <mergeCell ref="A418:H418"/>
    <mergeCell ref="A348:B348"/>
    <mergeCell ref="A351:C351"/>
    <mergeCell ref="A352:C353"/>
    <mergeCell ref="D352:H352"/>
    <mergeCell ref="A354:D354"/>
    <mergeCell ref="A355:H355"/>
    <mergeCell ref="A356:C356"/>
    <mergeCell ref="A357:H357"/>
    <mergeCell ref="A358:C358"/>
    <mergeCell ref="A359:H359"/>
    <mergeCell ref="A360:B360"/>
    <mergeCell ref="A366:C366"/>
    <mergeCell ref="D367:H367"/>
    <mergeCell ref="A368:D368"/>
    <mergeCell ref="A369:H369"/>
    <mergeCell ref="A370:B370"/>
    <mergeCell ref="A373:C373"/>
    <mergeCell ref="A374:B374"/>
    <mergeCell ref="A378:C378"/>
    <mergeCell ref="D379:H379"/>
    <mergeCell ref="A380:D380"/>
    <mergeCell ref="A381:H381"/>
    <mergeCell ref="A382:B382"/>
    <mergeCell ref="A386:C386"/>
    <mergeCell ref="A387:C388"/>
    <mergeCell ref="D387:H387"/>
    <mergeCell ref="A389:D389"/>
    <mergeCell ref="A390:H390"/>
    <mergeCell ref="A391:C391"/>
    <mergeCell ref="A392:H392"/>
    <mergeCell ref="A393:B393"/>
    <mergeCell ref="A329:D329"/>
    <mergeCell ref="A330:H330"/>
    <mergeCell ref="A331:C331"/>
    <mergeCell ref="A332:H332"/>
    <mergeCell ref="A333:B333"/>
    <mergeCell ref="A336:C336"/>
    <mergeCell ref="D337:H337"/>
    <mergeCell ref="A338:D338"/>
    <mergeCell ref="A339:H339"/>
    <mergeCell ref="A340:B340"/>
    <mergeCell ref="A343:C343"/>
    <mergeCell ref="A344:C345"/>
    <mergeCell ref="D344:H344"/>
    <mergeCell ref="A415:C415"/>
    <mergeCell ref="D416:H416"/>
    <mergeCell ref="A417:D417"/>
    <mergeCell ref="A398:C398"/>
    <mergeCell ref="A399:B399"/>
    <mergeCell ref="A404:C404"/>
    <mergeCell ref="A405:B405"/>
    <mergeCell ref="A409:C409"/>
    <mergeCell ref="A410:B410"/>
    <mergeCell ref="A289:C290"/>
    <mergeCell ref="D289:H289"/>
    <mergeCell ref="D290:H290"/>
    <mergeCell ref="A291:D291"/>
    <mergeCell ref="A292:H292"/>
    <mergeCell ref="A346:D346"/>
    <mergeCell ref="A347:H347"/>
    <mergeCell ref="A297:C297"/>
    <mergeCell ref="A298:B298"/>
    <mergeCell ref="C299:C300"/>
    <mergeCell ref="D299:D300"/>
    <mergeCell ref="A302:C302"/>
    <mergeCell ref="A303:C304"/>
    <mergeCell ref="D303:H303"/>
    <mergeCell ref="A305:D305"/>
    <mergeCell ref="A306:H306"/>
    <mergeCell ref="A307:B307"/>
    <mergeCell ref="A310:C310"/>
    <mergeCell ref="A311:C312"/>
    <mergeCell ref="D311:H311"/>
    <mergeCell ref="A313:D313"/>
    <mergeCell ref="A314:H314"/>
    <mergeCell ref="A315:B315"/>
    <mergeCell ref="A318:C318"/>
    <mergeCell ref="A319:C320"/>
    <mergeCell ref="D319:H319"/>
    <mergeCell ref="A321:D321"/>
    <mergeCell ref="A322:H322"/>
    <mergeCell ref="A323:B323"/>
    <mergeCell ref="A326:C326"/>
    <mergeCell ref="A327:C328"/>
    <mergeCell ref="D327:H327"/>
    <mergeCell ref="A293:B293"/>
    <mergeCell ref="C294:C295"/>
    <mergeCell ref="D294:D295"/>
    <mergeCell ref="C252:C253"/>
    <mergeCell ref="D252:D253"/>
    <mergeCell ref="E252:E253"/>
    <mergeCell ref="A255:C255"/>
    <mergeCell ref="A256:C257"/>
    <mergeCell ref="D256:H256"/>
    <mergeCell ref="D257:H257"/>
    <mergeCell ref="A258:D258"/>
    <mergeCell ref="A259:H259"/>
    <mergeCell ref="A260:C260"/>
    <mergeCell ref="A261:H261"/>
    <mergeCell ref="A262:B262"/>
    <mergeCell ref="C263:C264"/>
    <mergeCell ref="D263:D264"/>
    <mergeCell ref="A266:C266"/>
    <mergeCell ref="A267:C268"/>
    <mergeCell ref="D267:H267"/>
    <mergeCell ref="A269:D269"/>
    <mergeCell ref="A270:H270"/>
    <mergeCell ref="A271:B271"/>
    <mergeCell ref="C272:C273"/>
    <mergeCell ref="D272:D273"/>
    <mergeCell ref="A275:C275"/>
    <mergeCell ref="A276:C277"/>
    <mergeCell ref="D276:H276"/>
    <mergeCell ref="A278:D278"/>
    <mergeCell ref="A279:H279"/>
    <mergeCell ref="A280:B280"/>
    <mergeCell ref="A288:C288"/>
    <mergeCell ref="A136:C137"/>
    <mergeCell ref="D136:H136"/>
    <mergeCell ref="A138:D138"/>
    <mergeCell ref="A152:H152"/>
    <mergeCell ref="A153:B153"/>
    <mergeCell ref="A156:C156"/>
    <mergeCell ref="A157:B158"/>
    <mergeCell ref="A161:C161"/>
    <mergeCell ref="A162:C163"/>
    <mergeCell ref="D162:H162"/>
    <mergeCell ref="A164:D164"/>
    <mergeCell ref="A165:H165"/>
    <mergeCell ref="A166:B166"/>
    <mergeCell ref="A170:C170"/>
    <mergeCell ref="A171:C172"/>
    <mergeCell ref="D171:H171"/>
    <mergeCell ref="A173:D173"/>
    <mergeCell ref="A139:H139"/>
    <mergeCell ref="A140:B140"/>
    <mergeCell ref="A143:C143"/>
    <mergeCell ref="D144:H144"/>
    <mergeCell ref="A113:C113"/>
    <mergeCell ref="D114:H114"/>
    <mergeCell ref="A115:D115"/>
    <mergeCell ref="A116:H116"/>
    <mergeCell ref="A117:B117"/>
    <mergeCell ref="A120:C120"/>
    <mergeCell ref="D121:H121"/>
    <mergeCell ref="A122:D122"/>
    <mergeCell ref="A123:H123"/>
    <mergeCell ref="A124:B124"/>
    <mergeCell ref="A127:C127"/>
    <mergeCell ref="A128:C129"/>
    <mergeCell ref="D128:H128"/>
    <mergeCell ref="A130:D130"/>
    <mergeCell ref="A131:H131"/>
    <mergeCell ref="A132:B132"/>
    <mergeCell ref="A135:C135"/>
    <mergeCell ref="A84:B84"/>
    <mergeCell ref="A89:C89"/>
    <mergeCell ref="A90:B90"/>
    <mergeCell ref="A93:C93"/>
    <mergeCell ref="A94:B94"/>
    <mergeCell ref="A97:C97"/>
    <mergeCell ref="A98:B99"/>
    <mergeCell ref="A102:C102"/>
    <mergeCell ref="A103:C104"/>
    <mergeCell ref="D103:H103"/>
    <mergeCell ref="D104:H104"/>
    <mergeCell ref="A105:D105"/>
    <mergeCell ref="A106:H106"/>
    <mergeCell ref="A107:B107"/>
    <mergeCell ref="C108:C109"/>
    <mergeCell ref="D108:D109"/>
    <mergeCell ref="E108:E109"/>
    <mergeCell ref="A83:H83"/>
    <mergeCell ref="A33:C33"/>
    <mergeCell ref="D34:H34"/>
    <mergeCell ref="A35:D35"/>
    <mergeCell ref="A36:H36"/>
    <mergeCell ref="A37:B37"/>
    <mergeCell ref="A40:C40"/>
    <mergeCell ref="D41:H41"/>
    <mergeCell ref="A42:D42"/>
    <mergeCell ref="A43:H43"/>
    <mergeCell ref="A44:B44"/>
    <mergeCell ref="A47:C47"/>
    <mergeCell ref="D48:H48"/>
    <mergeCell ref="A49:D49"/>
    <mergeCell ref="A50:H50"/>
    <mergeCell ref="A51:B51"/>
    <mergeCell ref="C52:C53"/>
    <mergeCell ref="D52:D53"/>
    <mergeCell ref="A55:C55"/>
    <mergeCell ref="A56:B56"/>
    <mergeCell ref="C57:C58"/>
    <mergeCell ref="D57:D58"/>
    <mergeCell ref="A60:C60"/>
    <mergeCell ref="A61:C62"/>
    <mergeCell ref="D61:H61"/>
    <mergeCell ref="A63:D63"/>
    <mergeCell ref="A64:H64"/>
    <mergeCell ref="A65:B65"/>
    <mergeCell ref="A68:C68"/>
    <mergeCell ref="A69:C70"/>
    <mergeCell ref="D69:H69"/>
    <mergeCell ref="A71:D71"/>
    <mergeCell ref="A6:H6"/>
    <mergeCell ref="A7:C7"/>
    <mergeCell ref="A8:H8"/>
    <mergeCell ref="A9:B9"/>
    <mergeCell ref="A12:C12"/>
    <mergeCell ref="D13:H13"/>
    <mergeCell ref="A14:D14"/>
    <mergeCell ref="A15:H15"/>
    <mergeCell ref="A16:B16"/>
    <mergeCell ref="A19:C19"/>
    <mergeCell ref="D20:H20"/>
    <mergeCell ref="A21:D21"/>
    <mergeCell ref="A29:H29"/>
    <mergeCell ref="A30:B30"/>
    <mergeCell ref="A81:H81"/>
    <mergeCell ref="A82:C82"/>
    <mergeCell ref="A72:H72"/>
    <mergeCell ref="A73:B73"/>
    <mergeCell ref="A76:C76"/>
    <mergeCell ref="D77:H77"/>
    <mergeCell ref="A78:D78"/>
    <mergeCell ref="A79:H79"/>
    <mergeCell ref="A80:C80"/>
    <mergeCell ref="A22:H22"/>
    <mergeCell ref="A23:B23"/>
    <mergeCell ref="A26:C26"/>
    <mergeCell ref="D27:H27"/>
    <mergeCell ref="A28:D28"/>
    <mergeCell ref="A179:C180"/>
    <mergeCell ref="D179:H179"/>
    <mergeCell ref="A181:D181"/>
    <mergeCell ref="A174:H174"/>
    <mergeCell ref="A175:B175"/>
    <mergeCell ref="A178:C178"/>
    <mergeCell ref="A246:B247"/>
    <mergeCell ref="A250:C250"/>
    <mergeCell ref="A251:B251"/>
    <mergeCell ref="A182:H182"/>
    <mergeCell ref="A183:B183"/>
    <mergeCell ref="A188:C188"/>
    <mergeCell ref="A189:C190"/>
    <mergeCell ref="D189:H189"/>
    <mergeCell ref="A208:H208"/>
    <mergeCell ref="A209:B209"/>
    <mergeCell ref="A217:C217"/>
    <mergeCell ref="A218:B218"/>
    <mergeCell ref="A221:C221"/>
    <mergeCell ref="A222:B222"/>
    <mergeCell ref="A225:C225"/>
    <mergeCell ref="A226:B227"/>
    <mergeCell ref="A230:C230"/>
    <mergeCell ref="A231:B231"/>
    <mergeCell ref="C232:C233"/>
    <mergeCell ref="D232:D233"/>
    <mergeCell ref="E232:E233"/>
    <mergeCell ref="A237:C237"/>
    <mergeCell ref="A238:B238"/>
    <mergeCell ref="A241:C241"/>
    <mergeCell ref="A242:B242"/>
    <mergeCell ref="A245:C245"/>
    <mergeCell ref="A970:H970"/>
    <mergeCell ref="A971:B971"/>
    <mergeCell ref="A974:C974"/>
    <mergeCell ref="D975:H975"/>
    <mergeCell ref="A976:D976"/>
    <mergeCell ref="A962:H962"/>
    <mergeCell ref="A963:B963"/>
    <mergeCell ref="A966:C966"/>
    <mergeCell ref="D967:H967"/>
    <mergeCell ref="A968:D968"/>
    <mergeCell ref="A990:C990"/>
    <mergeCell ref="D991:H991"/>
    <mergeCell ref="A992:D992"/>
    <mergeCell ref="A145:H145"/>
    <mergeCell ref="A146:B146"/>
    <mergeCell ref="A149:C149"/>
    <mergeCell ref="D150:H150"/>
    <mergeCell ref="A191:D191"/>
    <mergeCell ref="A192:H192"/>
    <mergeCell ref="A193:B193"/>
    <mergeCell ref="A196:C196"/>
    <mergeCell ref="D197:H197"/>
    <mergeCell ref="A198:D198"/>
    <mergeCell ref="A199:H199"/>
    <mergeCell ref="A200:B200"/>
    <mergeCell ref="C201:C202"/>
    <mergeCell ref="D201:D202"/>
    <mergeCell ref="E201:E202"/>
    <mergeCell ref="A204:C204"/>
    <mergeCell ref="A205:C206"/>
    <mergeCell ref="D205:H205"/>
    <mergeCell ref="A207:D207"/>
    <mergeCell ref="A1003:B1003"/>
    <mergeCell ref="A1006:C1006"/>
    <mergeCell ref="D1007:H1007"/>
    <mergeCell ref="A1008:D1008"/>
    <mergeCell ref="A994:H994"/>
    <mergeCell ref="A995:B995"/>
    <mergeCell ref="A998:C998"/>
    <mergeCell ref="D999:H999"/>
    <mergeCell ref="A1000:D1000"/>
    <mergeCell ref="A986:H986"/>
    <mergeCell ref="A987:B987"/>
    <mergeCell ref="A1043:D1043"/>
    <mergeCell ref="A978:H978"/>
    <mergeCell ref="A979:B979"/>
    <mergeCell ref="A982:C982"/>
    <mergeCell ref="D983:H983"/>
    <mergeCell ref="A984:D984"/>
    <mergeCell ref="A946:H946"/>
    <mergeCell ref="A947:B947"/>
    <mergeCell ref="A950:C950"/>
    <mergeCell ref="D951:H951"/>
    <mergeCell ref="A952:D952"/>
    <mergeCell ref="A938:H938"/>
    <mergeCell ref="A939:B939"/>
    <mergeCell ref="A942:C942"/>
    <mergeCell ref="D943:H943"/>
    <mergeCell ref="A944:D944"/>
    <mergeCell ref="A1980:D1980"/>
    <mergeCell ref="A1981:H1981"/>
    <mergeCell ref="A1982:B1982"/>
    <mergeCell ref="A1985:C1985"/>
    <mergeCell ref="D1986:H1986"/>
    <mergeCell ref="A2058:D2058"/>
    <mergeCell ref="A2059:H2059"/>
    <mergeCell ref="A954:H954"/>
    <mergeCell ref="A955:B955"/>
    <mergeCell ref="A958:C958"/>
    <mergeCell ref="D959:H959"/>
    <mergeCell ref="A960:D960"/>
    <mergeCell ref="A1018:H1018"/>
    <mergeCell ref="A1019:B1019"/>
    <mergeCell ref="A1022:C1022"/>
    <mergeCell ref="D1023:H1023"/>
    <mergeCell ref="A1010:H1010"/>
    <mergeCell ref="A1011:B1011"/>
    <mergeCell ref="A1014:C1014"/>
    <mergeCell ref="D1015:H1015"/>
    <mergeCell ref="A1016:D1016"/>
    <mergeCell ref="A1002:H1002"/>
    <mergeCell ref="A2254:C2254"/>
    <mergeCell ref="B2255:D2255"/>
    <mergeCell ref="A2171:C2171"/>
    <mergeCell ref="A2146:C2146"/>
    <mergeCell ref="D2147:H2147"/>
    <mergeCell ref="A2148:D2148"/>
    <mergeCell ref="A2149:H2149"/>
    <mergeCell ref="A2150:B2150"/>
    <mergeCell ref="A2153:C2153"/>
    <mergeCell ref="D2154:H2154"/>
    <mergeCell ref="A2155:D2155"/>
    <mergeCell ref="A2156:H2156"/>
    <mergeCell ref="A2157:B2157"/>
    <mergeCell ref="A2160:C2160"/>
    <mergeCell ref="A2225:B2225"/>
    <mergeCell ref="A2228:C2228"/>
    <mergeCell ref="D2229:H2229"/>
    <mergeCell ref="A2172:H2172"/>
    <mergeCell ref="A2173:B2173"/>
    <mergeCell ref="A2176:C2176"/>
    <mergeCell ref="D2177:H2177"/>
    <mergeCell ref="A2178:D2178"/>
    <mergeCell ref="A2179:H2179"/>
    <mergeCell ref="A2180:B2180"/>
    <mergeCell ref="A2183:C2183"/>
    <mergeCell ref="D2184:H2184"/>
    <mergeCell ref="A2185:D2185"/>
    <mergeCell ref="A2186:H2186"/>
    <mergeCell ref="A2187:B2187"/>
    <mergeCell ref="A2193:C2193"/>
    <mergeCell ref="D2194:H2194"/>
    <mergeCell ref="A2195:D2195"/>
    <mergeCell ref="A2295:D2295"/>
    <mergeCell ref="A2272:C2272"/>
    <mergeCell ref="B2273:D2273"/>
    <mergeCell ref="A2274:B2274"/>
    <mergeCell ref="A2277:D2277"/>
    <mergeCell ref="A2278:C2278"/>
    <mergeCell ref="B2279:D2279"/>
    <mergeCell ref="A2280:B2280"/>
    <mergeCell ref="A2283:D2283"/>
    <mergeCell ref="A2256:B2256"/>
    <mergeCell ref="A2259:D2259"/>
    <mergeCell ref="A2260:C2260"/>
    <mergeCell ref="B2261:D2261"/>
    <mergeCell ref="A2262:B2262"/>
    <mergeCell ref="A2265:D2265"/>
    <mergeCell ref="A2266:C2266"/>
    <mergeCell ref="B2267:D2267"/>
    <mergeCell ref="A2268:B2268"/>
    <mergeCell ref="A2271:D2271"/>
    <mergeCell ref="A2284:C2284"/>
    <mergeCell ref="B2285:D2285"/>
    <mergeCell ref="A2286:B2286"/>
    <mergeCell ref="A2289:D2289"/>
    <mergeCell ref="A2290:C2290"/>
    <mergeCell ref="B2291:D2291"/>
    <mergeCell ref="A2292:B2292"/>
    <mergeCell ref="A2489:D2489"/>
    <mergeCell ref="A2438:B2438"/>
    <mergeCell ref="A2441:D2441"/>
    <mergeCell ref="A2442:C2442"/>
    <mergeCell ref="B2443:D2443"/>
    <mergeCell ref="A2444:B2444"/>
    <mergeCell ref="A2447:D2447"/>
    <mergeCell ref="A2448:C2448"/>
    <mergeCell ref="B2449:D2449"/>
    <mergeCell ref="A2450:B2450"/>
    <mergeCell ref="A2453:D2453"/>
    <mergeCell ref="A2454:C2454"/>
    <mergeCell ref="B2455:D2455"/>
    <mergeCell ref="A2456:B2456"/>
    <mergeCell ref="A2459:D2459"/>
    <mergeCell ref="A2417:H2417"/>
    <mergeCell ref="A2460:C2460"/>
    <mergeCell ref="A2462:B2462"/>
    <mergeCell ref="A2418:C2418"/>
    <mergeCell ref="A2420:B2420"/>
    <mergeCell ref="A2423:D2423"/>
    <mergeCell ref="A2424:C2424"/>
    <mergeCell ref="B2425:D2425"/>
    <mergeCell ref="A2426:B2426"/>
    <mergeCell ref="A2429:D2429"/>
    <mergeCell ref="A2430:C2430"/>
    <mergeCell ref="B2431:D2431"/>
    <mergeCell ref="A2432:B2432"/>
    <mergeCell ref="A2435:D2435"/>
    <mergeCell ref="A2436:C2436"/>
    <mergeCell ref="B2437:D2437"/>
    <mergeCell ref="A2490:C2490"/>
    <mergeCell ref="B2491:D2491"/>
    <mergeCell ref="A2492:B2492"/>
    <mergeCell ref="A2495:D2495"/>
    <mergeCell ref="A2502:C2502"/>
    <mergeCell ref="B2503:D2503"/>
    <mergeCell ref="A2504:B2504"/>
    <mergeCell ref="A2507:D2507"/>
    <mergeCell ref="A2496:C2496"/>
    <mergeCell ref="B2497:D2497"/>
    <mergeCell ref="A2498:B2498"/>
    <mergeCell ref="A2501:D2501"/>
    <mergeCell ref="A2544:C2544"/>
    <mergeCell ref="B2545:D2545"/>
    <mergeCell ref="A2546:B2546"/>
    <mergeCell ref="A2549:D2549"/>
    <mergeCell ref="A2465:D2465"/>
    <mergeCell ref="A2466:C2466"/>
    <mergeCell ref="B2467:D2467"/>
    <mergeCell ref="A2468:B2468"/>
    <mergeCell ref="A2471:D2471"/>
    <mergeCell ref="A2472:C2472"/>
    <mergeCell ref="B2473:D2473"/>
    <mergeCell ref="A2474:B2474"/>
    <mergeCell ref="A2477:D2477"/>
    <mergeCell ref="A2478:C2478"/>
    <mergeCell ref="B2479:D2479"/>
    <mergeCell ref="A2480:B2480"/>
    <mergeCell ref="A2483:D2483"/>
    <mergeCell ref="A2484:C2484"/>
    <mergeCell ref="B2485:D2485"/>
    <mergeCell ref="A2486:B2486"/>
    <mergeCell ref="A2610:D2610"/>
    <mergeCell ref="A2550:C2550"/>
    <mergeCell ref="B2551:D2551"/>
    <mergeCell ref="A2552:B2552"/>
    <mergeCell ref="A2555:D2555"/>
    <mergeCell ref="A2556:C2556"/>
    <mergeCell ref="B2557:D2557"/>
    <mergeCell ref="A2558:B2558"/>
    <mergeCell ref="A2561:D2561"/>
    <mergeCell ref="A2562:C2562"/>
    <mergeCell ref="B2563:D2563"/>
    <mergeCell ref="A2564:B2564"/>
    <mergeCell ref="A2567:D2567"/>
    <mergeCell ref="A2568:C2568"/>
    <mergeCell ref="B2569:D2569"/>
    <mergeCell ref="A2570:B2570"/>
    <mergeCell ref="A2573:D2573"/>
    <mergeCell ref="A2574:C2574"/>
    <mergeCell ref="A2690:D2690"/>
    <mergeCell ref="B2575:D2575"/>
    <mergeCell ref="A2576:B2576"/>
    <mergeCell ref="A2579:D2579"/>
    <mergeCell ref="A2632:C2632"/>
    <mergeCell ref="B2633:D2633"/>
    <mergeCell ref="A2634:B2634"/>
    <mergeCell ref="A2637:D2637"/>
    <mergeCell ref="A2638:C2638"/>
    <mergeCell ref="B2639:D2639"/>
    <mergeCell ref="A2640:B2640"/>
    <mergeCell ref="A2643:D2643"/>
    <mergeCell ref="A2644:C2644"/>
    <mergeCell ref="B2645:D2645"/>
    <mergeCell ref="A2646:B2646"/>
    <mergeCell ref="A2649:D2649"/>
    <mergeCell ref="A2650:C2650"/>
    <mergeCell ref="B2651:D2651"/>
    <mergeCell ref="A2590:H2590"/>
    <mergeCell ref="A2591:B2591"/>
    <mergeCell ref="A2594:C2594"/>
    <mergeCell ref="D2595:H2595"/>
    <mergeCell ref="A2596:D2596"/>
    <mergeCell ref="A2597:H2597"/>
    <mergeCell ref="A2598:B2598"/>
    <mergeCell ref="A2601:C2601"/>
    <mergeCell ref="D2602:H2602"/>
    <mergeCell ref="A2603:D2603"/>
    <mergeCell ref="A2604:H2604"/>
    <mergeCell ref="A2605:B2605"/>
    <mergeCell ref="A2608:C2608"/>
    <mergeCell ref="D2609:H2609"/>
    <mergeCell ref="A2798:B2798"/>
    <mergeCell ref="A2801:D2801"/>
    <mergeCell ref="B2773:D2773"/>
    <mergeCell ref="A2774:B2774"/>
    <mergeCell ref="A2777:D2777"/>
    <mergeCell ref="B2779:D2779"/>
    <mergeCell ref="A2780:B2780"/>
    <mergeCell ref="A2783:D2783"/>
    <mergeCell ref="B2749:D2749"/>
    <mergeCell ref="A2750:B2750"/>
    <mergeCell ref="A2753:D2753"/>
    <mergeCell ref="B2755:D2755"/>
    <mergeCell ref="A2756:B2756"/>
    <mergeCell ref="A2759:D2759"/>
    <mergeCell ref="A2743:B2743"/>
    <mergeCell ref="A2746:C2746"/>
    <mergeCell ref="A2666:D2666"/>
    <mergeCell ref="A2667:C2667"/>
    <mergeCell ref="B2668:D2668"/>
    <mergeCell ref="A2669:B2669"/>
    <mergeCell ref="A2672:D2672"/>
    <mergeCell ref="A2673:C2673"/>
    <mergeCell ref="B2674:D2674"/>
    <mergeCell ref="A2675:B2675"/>
    <mergeCell ref="A2678:D2678"/>
    <mergeCell ref="A2679:C2679"/>
    <mergeCell ref="B2680:D2680"/>
    <mergeCell ref="A2681:B2681"/>
    <mergeCell ref="A2684:D2684"/>
    <mergeCell ref="A2685:C2685"/>
    <mergeCell ref="B2686:D2686"/>
    <mergeCell ref="A2687:B2687"/>
    <mergeCell ref="A2786:B2786"/>
    <mergeCell ref="A2789:D2789"/>
    <mergeCell ref="B2791:D2791"/>
    <mergeCell ref="A2792:B2792"/>
    <mergeCell ref="A2795:D2795"/>
    <mergeCell ref="B2803:D2803"/>
    <mergeCell ref="A2804:B2804"/>
    <mergeCell ref="A2807:D2807"/>
    <mergeCell ref="A2847:D2847"/>
    <mergeCell ref="B2849:D2849"/>
    <mergeCell ref="A2850:B2850"/>
    <mergeCell ref="A2853:D2853"/>
    <mergeCell ref="B2855:D2855"/>
    <mergeCell ref="A2856:B2856"/>
    <mergeCell ref="A2859:D2859"/>
    <mergeCell ref="B2861:D2861"/>
    <mergeCell ref="B2691:D2691"/>
    <mergeCell ref="A2692:B2692"/>
    <mergeCell ref="A2695:D2695"/>
    <mergeCell ref="A2696:C2696"/>
    <mergeCell ref="B2697:D2697"/>
    <mergeCell ref="A2698:B2698"/>
    <mergeCell ref="A2701:D2701"/>
    <mergeCell ref="A2702:C2702"/>
    <mergeCell ref="B2703:D2703"/>
    <mergeCell ref="A2704:B2704"/>
    <mergeCell ref="A2707:D2707"/>
    <mergeCell ref="A2708:C2708"/>
    <mergeCell ref="A2709:D2709"/>
    <mergeCell ref="B2809:D2809"/>
    <mergeCell ref="A2810:B2810"/>
    <mergeCell ref="B2797:D2797"/>
  </mergeCells>
  <phoneticPr fontId="44" type="noConversion"/>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1"/>
  <sheetViews>
    <sheetView topLeftCell="A45" workbookViewId="0">
      <selection activeCell="I60" sqref="I60"/>
    </sheetView>
  </sheetViews>
  <sheetFormatPr defaultRowHeight="15" x14ac:dyDescent="0.25"/>
  <cols>
    <col min="1" max="1" width="22.5703125" customWidth="1"/>
    <col min="2" max="2" width="52"/>
    <col min="3" max="3" width="9.28515625" customWidth="1"/>
    <col min="4" max="4" width="8.28515625" customWidth="1"/>
    <col min="5" max="5" width="10.28515625" customWidth="1"/>
    <col min="6" max="7" width="12.42578125" customWidth="1"/>
  </cols>
  <sheetData>
    <row r="1" spans="1:7" x14ac:dyDescent="0.25">
      <c r="A1" s="397" t="s">
        <v>4705</v>
      </c>
      <c r="B1" s="398"/>
      <c r="C1" s="398"/>
      <c r="D1" s="398"/>
      <c r="E1" s="398"/>
      <c r="F1" s="398"/>
      <c r="G1" s="399"/>
    </row>
    <row r="2" spans="1:7" ht="28.5" customHeight="1" x14ac:dyDescent="0.25">
      <c r="A2" s="400"/>
      <c r="B2" s="417" t="s">
        <v>4698</v>
      </c>
      <c r="C2" s="417"/>
      <c r="D2" s="417"/>
      <c r="E2" s="417" t="s">
        <v>4696</v>
      </c>
      <c r="F2" s="417"/>
      <c r="G2" s="418"/>
    </row>
    <row r="3" spans="1:7" ht="33.75" customHeight="1" x14ac:dyDescent="0.25">
      <c r="A3" s="401"/>
      <c r="B3" s="417" t="s">
        <v>4699</v>
      </c>
      <c r="C3" s="417"/>
      <c r="D3" s="417"/>
      <c r="E3" s="417" t="s">
        <v>4709</v>
      </c>
      <c r="F3" s="417"/>
      <c r="G3" s="418"/>
    </row>
    <row r="4" spans="1:7" ht="60" customHeight="1" x14ac:dyDescent="0.25">
      <c r="A4" s="401"/>
      <c r="B4" s="417" t="s">
        <v>4700</v>
      </c>
      <c r="C4" s="417"/>
      <c r="D4" s="417"/>
      <c r="E4" s="417" t="s">
        <v>4697</v>
      </c>
      <c r="F4" s="417"/>
      <c r="G4" s="418"/>
    </row>
    <row r="5" spans="1:7" ht="21" customHeight="1" x14ac:dyDescent="0.25">
      <c r="A5" s="402"/>
      <c r="B5" s="417" t="s">
        <v>4701</v>
      </c>
      <c r="C5" s="417"/>
      <c r="D5" s="417"/>
      <c r="E5" s="417"/>
      <c r="F5" s="417"/>
      <c r="G5" s="418"/>
    </row>
    <row r="6" spans="1:7" ht="21.95" customHeight="1" x14ac:dyDescent="0.25">
      <c r="A6" s="339" t="s">
        <v>43</v>
      </c>
      <c r="B6" s="337" t="s">
        <v>27</v>
      </c>
      <c r="C6" s="337" t="s">
        <v>42</v>
      </c>
      <c r="D6" s="337" t="s">
        <v>251</v>
      </c>
      <c r="E6" s="337" t="s">
        <v>45</v>
      </c>
      <c r="F6" s="337" t="s">
        <v>1805</v>
      </c>
      <c r="G6" s="338" t="s">
        <v>1806</v>
      </c>
    </row>
    <row r="7" spans="1:7" x14ac:dyDescent="0.25">
      <c r="A7" s="170" t="s">
        <v>641</v>
      </c>
      <c r="B7" s="128" t="s">
        <v>642</v>
      </c>
      <c r="C7" s="127" t="s">
        <v>77</v>
      </c>
      <c r="D7" s="127" t="s">
        <v>226</v>
      </c>
      <c r="E7" s="238">
        <v>6</v>
      </c>
      <c r="F7" s="235">
        <v>893.43</v>
      </c>
      <c r="G7" s="171">
        <f t="shared" ref="G7:G38" si="0">ROUND(ROUND(E7,2)*ROUND(F7,2),2)</f>
        <v>5360.58</v>
      </c>
    </row>
    <row r="8" spans="1:7" ht="22.5" x14ac:dyDescent="0.25">
      <c r="A8" s="170" t="s">
        <v>275</v>
      </c>
      <c r="B8" s="128" t="s">
        <v>276</v>
      </c>
      <c r="C8" s="127" t="s">
        <v>77</v>
      </c>
      <c r="D8" s="127" t="s">
        <v>54</v>
      </c>
      <c r="E8" s="238">
        <v>0.04</v>
      </c>
      <c r="F8" s="235">
        <v>73.89</v>
      </c>
      <c r="G8" s="171">
        <f t="shared" si="0"/>
        <v>2.96</v>
      </c>
    </row>
    <row r="9" spans="1:7" ht="22.5" x14ac:dyDescent="0.25">
      <c r="A9" s="170" t="s">
        <v>249</v>
      </c>
      <c r="B9" s="128" t="s">
        <v>250</v>
      </c>
      <c r="C9" s="127" t="s">
        <v>77</v>
      </c>
      <c r="D9" s="127" t="s">
        <v>251</v>
      </c>
      <c r="E9" s="238">
        <v>2</v>
      </c>
      <c r="F9" s="235">
        <v>939.94</v>
      </c>
      <c r="G9" s="171">
        <f t="shared" si="0"/>
        <v>1879.88</v>
      </c>
    </row>
    <row r="10" spans="1:7" x14ac:dyDescent="0.25">
      <c r="A10" s="170" t="s">
        <v>684</v>
      </c>
      <c r="B10" s="128" t="s">
        <v>685</v>
      </c>
      <c r="C10" s="127" t="s">
        <v>77</v>
      </c>
      <c r="D10" s="127" t="s">
        <v>226</v>
      </c>
      <c r="E10" s="238">
        <v>39</v>
      </c>
      <c r="F10" s="235">
        <v>267.31</v>
      </c>
      <c r="G10" s="171">
        <f t="shared" si="0"/>
        <v>10425.09</v>
      </c>
    </row>
    <row r="11" spans="1:7" ht="33.75" x14ac:dyDescent="0.25">
      <c r="A11" s="170" t="s">
        <v>297</v>
      </c>
      <c r="B11" s="128" t="s">
        <v>298</v>
      </c>
      <c r="C11" s="127" t="s">
        <v>77</v>
      </c>
      <c r="D11" s="127" t="s">
        <v>54</v>
      </c>
      <c r="E11" s="238">
        <v>2.21</v>
      </c>
      <c r="F11" s="235">
        <v>825.2</v>
      </c>
      <c r="G11" s="171">
        <f t="shared" si="0"/>
        <v>1823.69</v>
      </c>
    </row>
    <row r="12" spans="1:7" ht="22.5" x14ac:dyDescent="0.25">
      <c r="A12" s="170" t="s">
        <v>635</v>
      </c>
      <c r="B12" s="128" t="s">
        <v>636</v>
      </c>
      <c r="C12" s="127" t="s">
        <v>77</v>
      </c>
      <c r="D12" s="127" t="s">
        <v>226</v>
      </c>
      <c r="E12" s="238">
        <v>2</v>
      </c>
      <c r="F12" s="235">
        <v>750.01</v>
      </c>
      <c r="G12" s="171">
        <f t="shared" si="0"/>
        <v>1500.02</v>
      </c>
    </row>
    <row r="13" spans="1:7" ht="22.5" x14ac:dyDescent="0.25">
      <c r="A13" s="170" t="s">
        <v>656</v>
      </c>
      <c r="B13" s="128" t="s">
        <v>657</v>
      </c>
      <c r="C13" s="127" t="s">
        <v>77</v>
      </c>
      <c r="D13" s="127" t="s">
        <v>226</v>
      </c>
      <c r="E13" s="238">
        <v>20</v>
      </c>
      <c r="F13" s="235">
        <v>22.81</v>
      </c>
      <c r="G13" s="171">
        <f t="shared" si="0"/>
        <v>456.2</v>
      </c>
    </row>
    <row r="14" spans="1:7" x14ac:dyDescent="0.25">
      <c r="A14" s="170" t="s">
        <v>535</v>
      </c>
      <c r="B14" s="128" t="s">
        <v>536</v>
      </c>
      <c r="C14" s="127" t="s">
        <v>77</v>
      </c>
      <c r="D14" s="127" t="s">
        <v>68</v>
      </c>
      <c r="E14" s="238">
        <v>135</v>
      </c>
      <c r="F14" s="235">
        <v>16.72</v>
      </c>
      <c r="G14" s="171">
        <f t="shared" si="0"/>
        <v>2257.1999999999998</v>
      </c>
    </row>
    <row r="15" spans="1:7" x14ac:dyDescent="0.25">
      <c r="A15" s="170" t="s">
        <v>613</v>
      </c>
      <c r="B15" s="128" t="s">
        <v>614</v>
      </c>
      <c r="C15" s="127" t="s">
        <v>77</v>
      </c>
      <c r="D15" s="127" t="s">
        <v>68</v>
      </c>
      <c r="E15" s="238">
        <v>8</v>
      </c>
      <c r="F15" s="235">
        <v>188.11</v>
      </c>
      <c r="G15" s="171">
        <f t="shared" si="0"/>
        <v>1504.88</v>
      </c>
    </row>
    <row r="16" spans="1:7" x14ac:dyDescent="0.25">
      <c r="A16" s="170" t="s">
        <v>1807</v>
      </c>
      <c r="B16" s="128" t="s">
        <v>1808</v>
      </c>
      <c r="C16" s="127" t="s">
        <v>77</v>
      </c>
      <c r="D16" s="127" t="s">
        <v>54</v>
      </c>
      <c r="E16" s="238">
        <v>1181.5</v>
      </c>
      <c r="F16" s="235">
        <v>2.56</v>
      </c>
      <c r="G16" s="171">
        <f t="shared" si="0"/>
        <v>3024.64</v>
      </c>
    </row>
    <row r="17" spans="1:7" x14ac:dyDescent="0.25">
      <c r="A17" s="170" t="s">
        <v>1809</v>
      </c>
      <c r="B17" s="128" t="s">
        <v>1810</v>
      </c>
      <c r="C17" s="127" t="s">
        <v>77</v>
      </c>
      <c r="D17" s="127" t="s">
        <v>122</v>
      </c>
      <c r="E17" s="238">
        <v>869.67</v>
      </c>
      <c r="F17" s="235">
        <v>6.22</v>
      </c>
      <c r="G17" s="171">
        <f t="shared" si="0"/>
        <v>5409.35</v>
      </c>
    </row>
    <row r="18" spans="1:7" ht="22.5" x14ac:dyDescent="0.25">
      <c r="A18" s="170" t="s">
        <v>592</v>
      </c>
      <c r="B18" s="128" t="s">
        <v>593</v>
      </c>
      <c r="C18" s="127" t="s">
        <v>77</v>
      </c>
      <c r="D18" s="127" t="s">
        <v>226</v>
      </c>
      <c r="E18" s="238">
        <v>1</v>
      </c>
      <c r="F18" s="235">
        <v>58.26</v>
      </c>
      <c r="G18" s="171">
        <f t="shared" si="0"/>
        <v>58.26</v>
      </c>
    </row>
    <row r="19" spans="1:7" ht="22.5" x14ac:dyDescent="0.25">
      <c r="A19" s="170" t="s">
        <v>563</v>
      </c>
      <c r="B19" s="128" t="s">
        <v>564</v>
      </c>
      <c r="C19" s="127" t="s">
        <v>77</v>
      </c>
      <c r="D19" s="127" t="s">
        <v>188</v>
      </c>
      <c r="E19" s="238">
        <v>26</v>
      </c>
      <c r="F19" s="235">
        <v>23.66</v>
      </c>
      <c r="G19" s="171">
        <f t="shared" si="0"/>
        <v>615.16</v>
      </c>
    </row>
    <row r="20" spans="1:7" ht="33.75" x14ac:dyDescent="0.25">
      <c r="A20" s="170" t="s">
        <v>623</v>
      </c>
      <c r="B20" s="128" t="s">
        <v>624</v>
      </c>
      <c r="C20" s="127" t="s">
        <v>77</v>
      </c>
      <c r="D20" s="127" t="s">
        <v>85</v>
      </c>
      <c r="E20" s="238">
        <v>22.55</v>
      </c>
      <c r="F20" s="235">
        <v>140.41999999999999</v>
      </c>
      <c r="G20" s="171">
        <f t="shared" si="0"/>
        <v>3166.47</v>
      </c>
    </row>
    <row r="21" spans="1:7" ht="22.5" x14ac:dyDescent="0.25">
      <c r="A21" s="170" t="s">
        <v>523</v>
      </c>
      <c r="B21" s="128" t="s">
        <v>524</v>
      </c>
      <c r="C21" s="127" t="s">
        <v>77</v>
      </c>
      <c r="D21" s="127" t="s">
        <v>72</v>
      </c>
      <c r="E21" s="238">
        <v>40</v>
      </c>
      <c r="F21" s="235">
        <v>50</v>
      </c>
      <c r="G21" s="171">
        <f t="shared" si="0"/>
        <v>2000</v>
      </c>
    </row>
    <row r="22" spans="1:7" x14ac:dyDescent="0.25">
      <c r="A22" s="170" t="s">
        <v>246</v>
      </c>
      <c r="B22" s="128" t="s">
        <v>247</v>
      </c>
      <c r="C22" s="127" t="s">
        <v>77</v>
      </c>
      <c r="D22" s="127" t="s">
        <v>54</v>
      </c>
      <c r="E22" s="238">
        <v>0.96</v>
      </c>
      <c r="F22" s="235">
        <v>481.17</v>
      </c>
      <c r="G22" s="171">
        <f t="shared" si="0"/>
        <v>461.92</v>
      </c>
    </row>
    <row r="23" spans="1:7" ht="22.5" x14ac:dyDescent="0.25">
      <c r="A23" s="170" t="s">
        <v>421</v>
      </c>
      <c r="B23" s="128" t="s">
        <v>422</v>
      </c>
      <c r="C23" s="127" t="s">
        <v>77</v>
      </c>
      <c r="D23" s="127" t="s">
        <v>54</v>
      </c>
      <c r="E23" s="238">
        <v>36.78</v>
      </c>
      <c r="F23" s="235">
        <v>197.27</v>
      </c>
      <c r="G23" s="171">
        <f t="shared" si="0"/>
        <v>7255.59</v>
      </c>
    </row>
    <row r="24" spans="1:7" x14ac:dyDescent="0.25">
      <c r="A24" s="170" t="s">
        <v>650</v>
      </c>
      <c r="B24" s="128" t="s">
        <v>651</v>
      </c>
      <c r="C24" s="127" t="s">
        <v>77</v>
      </c>
      <c r="D24" s="127" t="s">
        <v>72</v>
      </c>
      <c r="E24" s="238">
        <v>320</v>
      </c>
      <c r="F24" s="235">
        <v>13.38</v>
      </c>
      <c r="G24" s="171">
        <f t="shared" si="0"/>
        <v>4281.6000000000004</v>
      </c>
    </row>
    <row r="25" spans="1:7" ht="22.5" x14ac:dyDescent="0.25">
      <c r="A25" s="170" t="s">
        <v>303</v>
      </c>
      <c r="B25" s="128" t="s">
        <v>304</v>
      </c>
      <c r="C25" s="127" t="s">
        <v>77</v>
      </c>
      <c r="D25" s="127" t="s">
        <v>122</v>
      </c>
      <c r="E25" s="238">
        <v>3.43</v>
      </c>
      <c r="F25" s="235">
        <v>550.92999999999995</v>
      </c>
      <c r="G25" s="171">
        <f t="shared" si="0"/>
        <v>1889.69</v>
      </c>
    </row>
    <row r="26" spans="1:7" ht="22.5" x14ac:dyDescent="0.25">
      <c r="A26" s="170" t="s">
        <v>288</v>
      </c>
      <c r="B26" s="128" t="s">
        <v>289</v>
      </c>
      <c r="C26" s="127" t="s">
        <v>77</v>
      </c>
      <c r="D26" s="127" t="s">
        <v>122</v>
      </c>
      <c r="E26" s="238">
        <v>4.62</v>
      </c>
      <c r="F26" s="235">
        <v>1618.74</v>
      </c>
      <c r="G26" s="171">
        <f t="shared" si="0"/>
        <v>7478.58</v>
      </c>
    </row>
    <row r="27" spans="1:7" x14ac:dyDescent="0.25">
      <c r="A27" s="170" t="s">
        <v>577</v>
      </c>
      <c r="B27" s="128" t="s">
        <v>578</v>
      </c>
      <c r="C27" s="127" t="s">
        <v>77</v>
      </c>
      <c r="D27" s="127" t="s">
        <v>579</v>
      </c>
      <c r="E27" s="238">
        <v>20</v>
      </c>
      <c r="F27" s="235">
        <v>93.88</v>
      </c>
      <c r="G27" s="171">
        <f t="shared" si="0"/>
        <v>1877.6</v>
      </c>
    </row>
    <row r="28" spans="1:7" ht="78.75" x14ac:dyDescent="0.25">
      <c r="A28" s="170" t="s">
        <v>155</v>
      </c>
      <c r="B28" s="128" t="s">
        <v>156</v>
      </c>
      <c r="C28" s="127" t="s">
        <v>77</v>
      </c>
      <c r="D28" s="127" t="s">
        <v>122</v>
      </c>
      <c r="E28" s="238">
        <v>11.55</v>
      </c>
      <c r="F28" s="235">
        <v>124.47</v>
      </c>
      <c r="G28" s="171">
        <f t="shared" si="0"/>
        <v>1437.63</v>
      </c>
    </row>
    <row r="29" spans="1:7" ht="22.5" x14ac:dyDescent="0.25">
      <c r="A29" s="170" t="s">
        <v>202</v>
      </c>
      <c r="B29" s="128" t="s">
        <v>203</v>
      </c>
      <c r="C29" s="127" t="s">
        <v>77</v>
      </c>
      <c r="D29" s="127" t="s">
        <v>122</v>
      </c>
      <c r="E29" s="238">
        <v>113.92</v>
      </c>
      <c r="F29" s="235">
        <v>373.96</v>
      </c>
      <c r="G29" s="171">
        <f t="shared" si="0"/>
        <v>42601.52</v>
      </c>
    </row>
    <row r="30" spans="1:7" ht="33.75" x14ac:dyDescent="0.25">
      <c r="A30" s="170" t="s">
        <v>365</v>
      </c>
      <c r="B30" s="128" t="s">
        <v>366</v>
      </c>
      <c r="C30" s="127" t="s">
        <v>77</v>
      </c>
      <c r="D30" s="127" t="s">
        <v>54</v>
      </c>
      <c r="E30" s="238">
        <v>13.11</v>
      </c>
      <c r="F30" s="235">
        <v>462.37</v>
      </c>
      <c r="G30" s="171">
        <f t="shared" si="0"/>
        <v>6061.67</v>
      </c>
    </row>
    <row r="31" spans="1:7" x14ac:dyDescent="0.25">
      <c r="A31" s="170" t="s">
        <v>735</v>
      </c>
      <c r="B31" s="128" t="s">
        <v>736</v>
      </c>
      <c r="C31" s="127" t="s">
        <v>77</v>
      </c>
      <c r="D31" s="127" t="s">
        <v>251</v>
      </c>
      <c r="E31" s="238">
        <v>65</v>
      </c>
      <c r="F31" s="235">
        <v>3.39</v>
      </c>
      <c r="G31" s="171">
        <f t="shared" si="0"/>
        <v>220.35</v>
      </c>
    </row>
    <row r="32" spans="1:7" ht="22.5" x14ac:dyDescent="0.25">
      <c r="A32" s="170" t="s">
        <v>272</v>
      </c>
      <c r="B32" s="128" t="s">
        <v>273</v>
      </c>
      <c r="C32" s="127" t="s">
        <v>77</v>
      </c>
      <c r="D32" s="127" t="s">
        <v>226</v>
      </c>
      <c r="E32" s="238">
        <v>1</v>
      </c>
      <c r="F32" s="235">
        <v>3434.25</v>
      </c>
      <c r="G32" s="171">
        <f t="shared" si="0"/>
        <v>3434.25</v>
      </c>
    </row>
    <row r="33" spans="1:7" ht="22.5" x14ac:dyDescent="0.25">
      <c r="A33" s="170" t="s">
        <v>269</v>
      </c>
      <c r="B33" s="128" t="s">
        <v>270</v>
      </c>
      <c r="C33" s="127" t="s">
        <v>77</v>
      </c>
      <c r="D33" s="127" t="s">
        <v>226</v>
      </c>
      <c r="E33" s="238">
        <v>1</v>
      </c>
      <c r="F33" s="235">
        <v>3630.02</v>
      </c>
      <c r="G33" s="171">
        <f t="shared" si="0"/>
        <v>3630.02</v>
      </c>
    </row>
    <row r="34" spans="1:7" ht="22.5" x14ac:dyDescent="0.25">
      <c r="A34" s="170" t="s">
        <v>260</v>
      </c>
      <c r="B34" s="128" t="s">
        <v>261</v>
      </c>
      <c r="C34" s="127" t="s">
        <v>77</v>
      </c>
      <c r="D34" s="127" t="s">
        <v>122</v>
      </c>
      <c r="E34" s="238">
        <v>1.68</v>
      </c>
      <c r="F34" s="235">
        <v>595.65</v>
      </c>
      <c r="G34" s="171">
        <f t="shared" si="0"/>
        <v>1000.69</v>
      </c>
    </row>
    <row r="35" spans="1:7" ht="22.5" x14ac:dyDescent="0.25">
      <c r="A35" s="170" t="s">
        <v>473</v>
      </c>
      <c r="B35" s="128" t="s">
        <v>474</v>
      </c>
      <c r="C35" s="127" t="s">
        <v>77</v>
      </c>
      <c r="D35" s="127" t="s">
        <v>54</v>
      </c>
      <c r="E35" s="238">
        <v>157.15</v>
      </c>
      <c r="F35" s="235">
        <v>24.6</v>
      </c>
      <c r="G35" s="171">
        <f t="shared" si="0"/>
        <v>3865.89</v>
      </c>
    </row>
    <row r="36" spans="1:7" ht="45" x14ac:dyDescent="0.25">
      <c r="A36" s="170" t="s">
        <v>706</v>
      </c>
      <c r="B36" s="128" t="s">
        <v>707</v>
      </c>
      <c r="C36" s="127" t="s">
        <v>705</v>
      </c>
      <c r="D36" s="127" t="s">
        <v>54</v>
      </c>
      <c r="E36" s="238">
        <v>624.32000000000005</v>
      </c>
      <c r="F36" s="235">
        <v>160.13999999999999</v>
      </c>
      <c r="G36" s="171">
        <f t="shared" si="0"/>
        <v>99978.6</v>
      </c>
    </row>
    <row r="37" spans="1:7" ht="33.75" x14ac:dyDescent="0.25">
      <c r="A37" s="170" t="s">
        <v>329</v>
      </c>
      <c r="B37" s="128" t="s">
        <v>330</v>
      </c>
      <c r="C37" s="127" t="s">
        <v>77</v>
      </c>
      <c r="D37" s="127" t="s">
        <v>54</v>
      </c>
      <c r="E37" s="238">
        <v>111.98</v>
      </c>
      <c r="F37" s="235">
        <v>573.4</v>
      </c>
      <c r="G37" s="171">
        <f t="shared" si="0"/>
        <v>64209.33</v>
      </c>
    </row>
    <row r="38" spans="1:7" ht="33.75" x14ac:dyDescent="0.25">
      <c r="A38" s="170" t="s">
        <v>332</v>
      </c>
      <c r="B38" s="128" t="s">
        <v>333</v>
      </c>
      <c r="C38" s="127" t="s">
        <v>77</v>
      </c>
      <c r="D38" s="127" t="s">
        <v>54</v>
      </c>
      <c r="E38" s="238">
        <v>55.88</v>
      </c>
      <c r="F38" s="235">
        <v>117.68</v>
      </c>
      <c r="G38" s="171">
        <f t="shared" si="0"/>
        <v>6575.96</v>
      </c>
    </row>
    <row r="39" spans="1:7" ht="22.5" x14ac:dyDescent="0.25">
      <c r="A39" s="170" t="s">
        <v>644</v>
      </c>
      <c r="B39" s="128" t="s">
        <v>645</v>
      </c>
      <c r="C39" s="127" t="s">
        <v>77</v>
      </c>
      <c r="D39" s="127" t="s">
        <v>251</v>
      </c>
      <c r="E39" s="238">
        <v>7</v>
      </c>
      <c r="F39" s="235">
        <v>123.39</v>
      </c>
      <c r="G39" s="171">
        <f t="shared" ref="G39:G61" si="1">ROUND(ROUND(E39,2)*ROUND(F39,2),2)</f>
        <v>863.73</v>
      </c>
    </row>
    <row r="40" spans="1:7" ht="45" x14ac:dyDescent="0.25">
      <c r="A40" s="170" t="s">
        <v>183</v>
      </c>
      <c r="B40" s="128" t="s">
        <v>184</v>
      </c>
      <c r="C40" s="127" t="s">
        <v>77</v>
      </c>
      <c r="D40" s="127" t="s">
        <v>54</v>
      </c>
      <c r="E40" s="238">
        <v>60.82</v>
      </c>
      <c r="F40" s="235">
        <v>155.6</v>
      </c>
      <c r="G40" s="171">
        <f t="shared" si="1"/>
        <v>9463.59</v>
      </c>
    </row>
    <row r="41" spans="1:7" x14ac:dyDescent="0.25">
      <c r="A41" s="170" t="s">
        <v>662</v>
      </c>
      <c r="B41" s="128" t="s">
        <v>663</v>
      </c>
      <c r="C41" s="127" t="s">
        <v>77</v>
      </c>
      <c r="D41" s="127" t="s">
        <v>664</v>
      </c>
      <c r="E41" s="238">
        <v>3</v>
      </c>
      <c r="F41" s="235">
        <v>412.99</v>
      </c>
      <c r="G41" s="171">
        <f t="shared" si="1"/>
        <v>1238.97</v>
      </c>
    </row>
    <row r="42" spans="1:7" x14ac:dyDescent="0.25">
      <c r="A42" s="170" t="s">
        <v>300</v>
      </c>
      <c r="B42" s="128" t="s">
        <v>301</v>
      </c>
      <c r="C42" s="127" t="s">
        <v>77</v>
      </c>
      <c r="D42" s="127" t="s">
        <v>188</v>
      </c>
      <c r="E42" s="238">
        <v>5.65</v>
      </c>
      <c r="F42" s="235">
        <v>77.33</v>
      </c>
      <c r="G42" s="171">
        <f t="shared" si="1"/>
        <v>436.91</v>
      </c>
    </row>
    <row r="43" spans="1:7" ht="56.25" x14ac:dyDescent="0.25">
      <c r="A43" s="170" t="s">
        <v>278</v>
      </c>
      <c r="B43" s="128" t="s">
        <v>279</v>
      </c>
      <c r="C43" s="127" t="s">
        <v>77</v>
      </c>
      <c r="D43" s="127" t="s">
        <v>122</v>
      </c>
      <c r="E43" s="238">
        <v>44.75</v>
      </c>
      <c r="F43" s="235">
        <v>114.08</v>
      </c>
      <c r="G43" s="171">
        <f t="shared" si="1"/>
        <v>5105.08</v>
      </c>
    </row>
    <row r="44" spans="1:7" x14ac:dyDescent="0.25">
      <c r="A44" s="170" t="s">
        <v>493</v>
      </c>
      <c r="B44" s="128" t="s">
        <v>494</v>
      </c>
      <c r="C44" s="127" t="s">
        <v>77</v>
      </c>
      <c r="D44" s="127" t="s">
        <v>54</v>
      </c>
      <c r="E44" s="238">
        <v>20.96</v>
      </c>
      <c r="F44" s="235">
        <v>183.73</v>
      </c>
      <c r="G44" s="171">
        <f t="shared" si="1"/>
        <v>3850.98</v>
      </c>
    </row>
    <row r="45" spans="1:7" ht="45" x14ac:dyDescent="0.25">
      <c r="A45" s="170" t="s">
        <v>78</v>
      </c>
      <c r="B45" s="128" t="s">
        <v>79</v>
      </c>
      <c r="C45" s="127" t="s">
        <v>77</v>
      </c>
      <c r="D45" s="127" t="s">
        <v>72</v>
      </c>
      <c r="E45" s="238">
        <v>15</v>
      </c>
      <c r="F45" s="235">
        <v>33.020000000000003</v>
      </c>
      <c r="G45" s="171">
        <f t="shared" si="1"/>
        <v>495.3</v>
      </c>
    </row>
    <row r="46" spans="1:7" x14ac:dyDescent="0.25">
      <c r="A46" s="170" t="s">
        <v>263</v>
      </c>
      <c r="B46" s="128" t="s">
        <v>264</v>
      </c>
      <c r="C46" s="127" t="s">
        <v>77</v>
      </c>
      <c r="D46" s="127" t="s">
        <v>54</v>
      </c>
      <c r="E46" s="238">
        <v>29.11</v>
      </c>
      <c r="F46" s="235">
        <v>65.39</v>
      </c>
      <c r="G46" s="171">
        <f t="shared" si="1"/>
        <v>1903.5</v>
      </c>
    </row>
    <row r="47" spans="1:7" ht="22.5" x14ac:dyDescent="0.25">
      <c r="A47" s="170" t="s">
        <v>490</v>
      </c>
      <c r="B47" s="128" t="s">
        <v>491</v>
      </c>
      <c r="C47" s="127" t="s">
        <v>77</v>
      </c>
      <c r="D47" s="127" t="s">
        <v>89</v>
      </c>
      <c r="E47" s="238">
        <v>87.65</v>
      </c>
      <c r="F47" s="235">
        <v>32.409999999999997</v>
      </c>
      <c r="G47" s="171">
        <f t="shared" si="1"/>
        <v>2840.74</v>
      </c>
    </row>
    <row r="48" spans="1:7" ht="22.5" x14ac:dyDescent="0.25">
      <c r="A48" s="170" t="s">
        <v>487</v>
      </c>
      <c r="B48" s="128" t="s">
        <v>488</v>
      </c>
      <c r="C48" s="127" t="s">
        <v>77</v>
      </c>
      <c r="D48" s="127" t="s">
        <v>54</v>
      </c>
      <c r="E48" s="238">
        <v>10.79</v>
      </c>
      <c r="F48" s="235">
        <v>157.97999999999999</v>
      </c>
      <c r="G48" s="171">
        <f t="shared" si="1"/>
        <v>1704.6</v>
      </c>
    </row>
    <row r="49" spans="1:7" x14ac:dyDescent="0.25">
      <c r="A49" s="170" t="s">
        <v>470</v>
      </c>
      <c r="B49" s="128" t="s">
        <v>471</v>
      </c>
      <c r="C49" s="127" t="s">
        <v>77</v>
      </c>
      <c r="D49" s="127" t="s">
        <v>54</v>
      </c>
      <c r="E49" s="238">
        <v>151.28</v>
      </c>
      <c r="F49" s="235">
        <v>41.56</v>
      </c>
      <c r="G49" s="171">
        <f t="shared" si="1"/>
        <v>6287.2</v>
      </c>
    </row>
    <row r="50" spans="1:7" x14ac:dyDescent="0.25">
      <c r="A50" s="170" t="s">
        <v>478</v>
      </c>
      <c r="B50" s="128" t="s">
        <v>479</v>
      </c>
      <c r="C50" s="127" t="s">
        <v>77</v>
      </c>
      <c r="D50" s="127" t="s">
        <v>54</v>
      </c>
      <c r="E50" s="238">
        <v>28</v>
      </c>
      <c r="F50" s="235">
        <v>381.11</v>
      </c>
      <c r="G50" s="171">
        <f t="shared" si="1"/>
        <v>10671.08</v>
      </c>
    </row>
    <row r="51" spans="1:7" x14ac:dyDescent="0.25">
      <c r="A51" s="170" t="s">
        <v>425</v>
      </c>
      <c r="B51" s="128" t="s">
        <v>426</v>
      </c>
      <c r="C51" s="127" t="s">
        <v>77</v>
      </c>
      <c r="D51" s="127" t="s">
        <v>72</v>
      </c>
      <c r="E51" s="238">
        <v>21.25</v>
      </c>
      <c r="F51" s="235">
        <v>151.93</v>
      </c>
      <c r="G51" s="171">
        <f t="shared" si="1"/>
        <v>3228.51</v>
      </c>
    </row>
    <row r="52" spans="1:7" x14ac:dyDescent="0.25">
      <c r="A52" s="170" t="s">
        <v>484</v>
      </c>
      <c r="B52" s="128" t="s">
        <v>485</v>
      </c>
      <c r="C52" s="127" t="s">
        <v>77</v>
      </c>
      <c r="D52" s="127" t="s">
        <v>54</v>
      </c>
      <c r="E52" s="238">
        <v>4</v>
      </c>
      <c r="F52" s="235">
        <v>182.96</v>
      </c>
      <c r="G52" s="171">
        <f t="shared" si="1"/>
        <v>731.84</v>
      </c>
    </row>
    <row r="53" spans="1:7" ht="22.5" x14ac:dyDescent="0.25">
      <c r="A53" s="170" t="s">
        <v>266</v>
      </c>
      <c r="B53" s="128" t="s">
        <v>267</v>
      </c>
      <c r="C53" s="127" t="s">
        <v>77</v>
      </c>
      <c r="D53" s="127" t="s">
        <v>54</v>
      </c>
      <c r="E53" s="238">
        <v>89.5</v>
      </c>
      <c r="F53" s="235">
        <v>346.47</v>
      </c>
      <c r="G53" s="171">
        <f t="shared" si="1"/>
        <v>31009.07</v>
      </c>
    </row>
    <row r="54" spans="1:7" ht="33.75" x14ac:dyDescent="0.25">
      <c r="A54" s="170" t="s">
        <v>353</v>
      </c>
      <c r="B54" s="128" t="s">
        <v>354</v>
      </c>
      <c r="C54" s="127" t="s">
        <v>77</v>
      </c>
      <c r="D54" s="127" t="s">
        <v>54</v>
      </c>
      <c r="E54" s="238">
        <v>62.93</v>
      </c>
      <c r="F54" s="235">
        <v>103.34</v>
      </c>
      <c r="G54" s="171">
        <f t="shared" si="1"/>
        <v>6503.19</v>
      </c>
    </row>
    <row r="55" spans="1:7" ht="22.5" x14ac:dyDescent="0.25">
      <c r="A55" s="170" t="s">
        <v>281</v>
      </c>
      <c r="B55" s="128" t="s">
        <v>284</v>
      </c>
      <c r="C55" s="127" t="s">
        <v>77</v>
      </c>
      <c r="D55" s="127" t="s">
        <v>122</v>
      </c>
      <c r="E55" s="238">
        <v>8.3000000000000007</v>
      </c>
      <c r="F55" s="235">
        <v>331.91</v>
      </c>
      <c r="G55" s="171">
        <f t="shared" si="1"/>
        <v>2754.85</v>
      </c>
    </row>
    <row r="56" spans="1:7" ht="22.5" x14ac:dyDescent="0.25">
      <c r="A56" s="170" t="s">
        <v>281</v>
      </c>
      <c r="B56" s="128" t="s">
        <v>282</v>
      </c>
      <c r="C56" s="127" t="s">
        <v>77</v>
      </c>
      <c r="D56" s="127" t="s">
        <v>122</v>
      </c>
      <c r="E56" s="238">
        <v>6.39</v>
      </c>
      <c r="F56" s="235">
        <v>331.91</v>
      </c>
      <c r="G56" s="171">
        <f t="shared" si="1"/>
        <v>2120.9</v>
      </c>
    </row>
    <row r="57" spans="1:7" ht="33.75" x14ac:dyDescent="0.25">
      <c r="A57" s="170" t="s">
        <v>112</v>
      </c>
      <c r="B57" s="128" t="s">
        <v>113</v>
      </c>
      <c r="C57" s="127" t="s">
        <v>77</v>
      </c>
      <c r="D57" s="127" t="s">
        <v>68</v>
      </c>
      <c r="E57" s="238">
        <v>1</v>
      </c>
      <c r="F57" s="235">
        <v>67.16</v>
      </c>
      <c r="G57" s="171">
        <f t="shared" si="1"/>
        <v>67.16</v>
      </c>
    </row>
    <row r="58" spans="1:7" ht="22.5" x14ac:dyDescent="0.25">
      <c r="A58" s="170" t="s">
        <v>467</v>
      </c>
      <c r="B58" s="128" t="s">
        <v>468</v>
      </c>
      <c r="C58" s="127" t="s">
        <v>77</v>
      </c>
      <c r="D58" s="127" t="s">
        <v>122</v>
      </c>
      <c r="E58" s="238">
        <v>34.799999999999997</v>
      </c>
      <c r="F58" s="235">
        <v>162.83000000000001</v>
      </c>
      <c r="G58" s="171">
        <f t="shared" si="1"/>
        <v>5666.48</v>
      </c>
    </row>
    <row r="59" spans="1:7" ht="15.75" thickBot="1" x14ac:dyDescent="0.3">
      <c r="A59" s="172" t="s">
        <v>666</v>
      </c>
      <c r="B59" s="173" t="s">
        <v>667</v>
      </c>
      <c r="C59" s="174" t="s">
        <v>77</v>
      </c>
      <c r="D59" s="174" t="s">
        <v>579</v>
      </c>
      <c r="E59" s="175">
        <v>1</v>
      </c>
      <c r="F59" s="176">
        <v>30.86</v>
      </c>
      <c r="G59" s="177">
        <f t="shared" si="1"/>
        <v>30.86</v>
      </c>
    </row>
    <row r="60" spans="1:7" ht="73.5" customHeight="1" x14ac:dyDescent="0.25">
      <c r="A60" s="360"/>
      <c r="B60" s="130"/>
      <c r="C60" s="129"/>
      <c r="D60" s="129"/>
      <c r="E60" s="131"/>
      <c r="F60" s="132"/>
      <c r="G60" s="361"/>
    </row>
    <row r="61" spans="1:7" ht="26.1" customHeight="1" thickBot="1" x14ac:dyDescent="0.3">
      <c r="A61" s="468" t="s">
        <v>25</v>
      </c>
      <c r="B61" s="469"/>
      <c r="C61" s="469"/>
      <c r="D61" s="469"/>
      <c r="E61" s="469"/>
      <c r="F61" s="469"/>
      <c r="G61" s="470">
        <f t="shared" si="1"/>
        <v>0</v>
      </c>
    </row>
  </sheetData>
  <mergeCells count="10">
    <mergeCell ref="B5:G5"/>
    <mergeCell ref="A1:G1"/>
    <mergeCell ref="A2:A5"/>
    <mergeCell ref="A61:G61"/>
    <mergeCell ref="E2:G2"/>
    <mergeCell ref="E3:G3"/>
    <mergeCell ref="E4:G4"/>
    <mergeCell ref="B2:D2"/>
    <mergeCell ref="B3:D3"/>
    <mergeCell ref="B4:D4"/>
  </mergeCells>
  <pageMargins left="0.7" right="0.7" top="0.75" bottom="0.75" header="0.3" footer="0.3"/>
  <pageSetup paperSize="9" scale="6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80"/>
  <sheetViews>
    <sheetView view="pageBreakPreview" topLeftCell="A756" zoomScale="60" zoomScaleNormal="100" workbookViewId="0">
      <selection activeCell="O769" sqref="O769"/>
    </sheetView>
  </sheetViews>
  <sheetFormatPr defaultRowHeight="15" x14ac:dyDescent="0.25"/>
  <cols>
    <col min="1" max="1" width="27.7109375" customWidth="1"/>
    <col min="2" max="2" width="45.85546875" customWidth="1"/>
    <col min="3" max="3" width="6.140625" customWidth="1"/>
    <col min="4" max="4" width="12.42578125" customWidth="1"/>
    <col min="5" max="5" width="9.5703125" bestFit="1" customWidth="1"/>
    <col min="6" max="7" width="12.42578125" customWidth="1"/>
    <col min="8" max="8" width="12.5703125" customWidth="1"/>
    <col min="10" max="10" width="21.28515625" customWidth="1"/>
  </cols>
  <sheetData>
    <row r="1" spans="1:10" x14ac:dyDescent="0.25">
      <c r="A1" s="397" t="s">
        <v>4708</v>
      </c>
      <c r="B1" s="398"/>
      <c r="C1" s="398"/>
      <c r="D1" s="398"/>
      <c r="E1" s="398"/>
      <c r="F1" s="398"/>
      <c r="G1" s="398"/>
      <c r="H1" s="398"/>
      <c r="I1" s="398"/>
      <c r="J1" s="399"/>
    </row>
    <row r="2" spans="1:10" ht="32.25" customHeight="1" x14ac:dyDescent="0.25">
      <c r="A2" s="504"/>
      <c r="B2" s="419" t="s">
        <v>4698</v>
      </c>
      <c r="C2" s="420"/>
      <c r="D2" s="420"/>
      <c r="E2" s="420"/>
      <c r="F2" s="420"/>
      <c r="G2" s="466"/>
      <c r="H2" s="417" t="s">
        <v>4696</v>
      </c>
      <c r="I2" s="417"/>
      <c r="J2" s="418"/>
    </row>
    <row r="3" spans="1:10" ht="24" customHeight="1" x14ac:dyDescent="0.25">
      <c r="A3" s="505"/>
      <c r="B3" s="419" t="s">
        <v>4699</v>
      </c>
      <c r="C3" s="420"/>
      <c r="D3" s="420"/>
      <c r="E3" s="420"/>
      <c r="F3" s="420"/>
      <c r="G3" s="466"/>
      <c r="H3" s="417" t="s">
        <v>4709</v>
      </c>
      <c r="I3" s="417"/>
      <c r="J3" s="418"/>
    </row>
    <row r="4" spans="1:10" ht="68.25" customHeight="1" x14ac:dyDescent="0.25">
      <c r="A4" s="506"/>
      <c r="B4" s="478" t="s">
        <v>4700</v>
      </c>
      <c r="C4" s="479"/>
      <c r="D4" s="479"/>
      <c r="E4" s="479"/>
      <c r="F4" s="479"/>
      <c r="G4" s="480"/>
      <c r="H4" s="467" t="s">
        <v>4697</v>
      </c>
      <c r="I4" s="467"/>
      <c r="J4" s="471"/>
    </row>
    <row r="5" spans="1:10" ht="17.25" customHeight="1" x14ac:dyDescent="0.25">
      <c r="A5" s="507" t="s">
        <v>4701</v>
      </c>
      <c r="B5" s="420"/>
      <c r="C5" s="420"/>
      <c r="D5" s="420"/>
      <c r="E5" s="420"/>
      <c r="F5" s="420"/>
      <c r="G5" s="420"/>
      <c r="H5" s="420"/>
      <c r="I5" s="420"/>
      <c r="J5" s="421"/>
    </row>
    <row r="6" spans="1:10" ht="20.100000000000001" customHeight="1" x14ac:dyDescent="0.25">
      <c r="A6" s="472" t="s">
        <v>1811</v>
      </c>
      <c r="B6" s="473"/>
      <c r="C6" s="473"/>
      <c r="D6" s="473"/>
      <c r="E6" s="473"/>
      <c r="F6" s="473"/>
      <c r="G6" s="473"/>
      <c r="H6" s="473"/>
      <c r="I6" s="179"/>
      <c r="J6" s="180"/>
    </row>
    <row r="7" spans="1:10" ht="15" customHeight="1" x14ac:dyDescent="0.25">
      <c r="A7" s="474" t="s">
        <v>1812</v>
      </c>
      <c r="B7" s="475"/>
      <c r="C7" s="476" t="s">
        <v>42</v>
      </c>
      <c r="D7" s="476"/>
      <c r="E7" s="230" t="s">
        <v>44</v>
      </c>
      <c r="F7" s="230" t="s">
        <v>1813</v>
      </c>
      <c r="G7" s="230" t="s">
        <v>1814</v>
      </c>
      <c r="H7" s="230" t="s">
        <v>1802</v>
      </c>
      <c r="I7" s="179"/>
      <c r="J7" s="180"/>
    </row>
    <row r="8" spans="1:10" ht="15" customHeight="1" x14ac:dyDescent="0.25">
      <c r="A8" s="181" t="s">
        <v>1815</v>
      </c>
      <c r="B8" s="241" t="s">
        <v>1816</v>
      </c>
      <c r="C8" s="481" t="s">
        <v>51</v>
      </c>
      <c r="D8" s="481"/>
      <c r="E8" s="231" t="s">
        <v>1817</v>
      </c>
      <c r="F8" s="239">
        <v>0.1</v>
      </c>
      <c r="G8" s="240">
        <v>14.37</v>
      </c>
      <c r="H8" s="240">
        <f>ROUND(ROUND(F8,8)*G8,2)</f>
        <v>1.44</v>
      </c>
      <c r="I8" s="179"/>
      <c r="J8" s="180"/>
    </row>
    <row r="9" spans="1:10" ht="21" customHeight="1" x14ac:dyDescent="0.25">
      <c r="A9" s="181" t="s">
        <v>1818</v>
      </c>
      <c r="B9" s="241" t="s">
        <v>1819</v>
      </c>
      <c r="C9" s="481" t="s">
        <v>341</v>
      </c>
      <c r="D9" s="481"/>
      <c r="E9" s="231" t="s">
        <v>664</v>
      </c>
      <c r="F9" s="239">
        <v>0.71</v>
      </c>
      <c r="G9" s="240">
        <v>0.28000000000000003</v>
      </c>
      <c r="H9" s="240">
        <f>ROUND(ROUND(F9,8)*G9,2)</f>
        <v>0.2</v>
      </c>
      <c r="I9" s="179"/>
      <c r="J9" s="180"/>
    </row>
    <row r="10" spans="1:10" ht="21" customHeight="1" x14ac:dyDescent="0.25">
      <c r="A10" s="181" t="s">
        <v>1820</v>
      </c>
      <c r="B10" s="241" t="s">
        <v>1821</v>
      </c>
      <c r="C10" s="481" t="s">
        <v>341</v>
      </c>
      <c r="D10" s="481"/>
      <c r="E10" s="231" t="s">
        <v>72</v>
      </c>
      <c r="F10" s="239">
        <v>1.1000000000000001</v>
      </c>
      <c r="G10" s="240">
        <v>6.69</v>
      </c>
      <c r="H10" s="240">
        <f>ROUND(ROUND(F10,8)*G10,2)</f>
        <v>7.36</v>
      </c>
      <c r="I10" s="179"/>
      <c r="J10" s="180"/>
    </row>
    <row r="11" spans="1:10" ht="21" customHeight="1" x14ac:dyDescent="0.25">
      <c r="A11" s="181" t="s">
        <v>1822</v>
      </c>
      <c r="B11" s="241" t="s">
        <v>1823</v>
      </c>
      <c r="C11" s="481" t="s">
        <v>341</v>
      </c>
      <c r="D11" s="481"/>
      <c r="E11" s="231" t="s">
        <v>579</v>
      </c>
      <c r="F11" s="239">
        <v>0.71</v>
      </c>
      <c r="G11" s="240">
        <v>1.5</v>
      </c>
      <c r="H11" s="240">
        <f>ROUND(ROUND(F11,8)*G11,2)</f>
        <v>1.07</v>
      </c>
      <c r="I11" s="179"/>
      <c r="J11" s="180"/>
    </row>
    <row r="12" spans="1:10" ht="21" customHeight="1" x14ac:dyDescent="0.25">
      <c r="A12" s="181" t="s">
        <v>1824</v>
      </c>
      <c r="B12" s="241" t="s">
        <v>1825</v>
      </c>
      <c r="C12" s="481" t="s">
        <v>341</v>
      </c>
      <c r="D12" s="481"/>
      <c r="E12" s="231" t="s">
        <v>54</v>
      </c>
      <c r="F12" s="239">
        <v>0.59</v>
      </c>
      <c r="G12" s="240">
        <v>21.85</v>
      </c>
      <c r="H12" s="240">
        <f>ROUND(ROUND(F12,8)*G12,2)</f>
        <v>12.89</v>
      </c>
      <c r="I12" s="179"/>
      <c r="J12" s="180"/>
    </row>
    <row r="13" spans="1:10" ht="15" customHeight="1" x14ac:dyDescent="0.25">
      <c r="A13" s="182"/>
      <c r="B13" s="183"/>
      <c r="C13" s="183"/>
      <c r="D13" s="183"/>
      <c r="E13" s="183"/>
      <c r="F13" s="477" t="s">
        <v>1826</v>
      </c>
      <c r="G13" s="477"/>
      <c r="H13" s="139">
        <f>SUM(H8:H12)</f>
        <v>22.96</v>
      </c>
      <c r="I13" s="179"/>
      <c r="J13" s="180"/>
    </row>
    <row r="14" spans="1:10" ht="15" customHeight="1" x14ac:dyDescent="0.25">
      <c r="A14" s="474" t="s">
        <v>1827</v>
      </c>
      <c r="B14" s="475"/>
      <c r="C14" s="476" t="s">
        <v>42</v>
      </c>
      <c r="D14" s="476"/>
      <c r="E14" s="230" t="s">
        <v>44</v>
      </c>
      <c r="F14" s="230" t="s">
        <v>1813</v>
      </c>
      <c r="G14" s="230" t="s">
        <v>1814</v>
      </c>
      <c r="H14" s="230" t="s">
        <v>1802</v>
      </c>
      <c r="I14" s="179"/>
      <c r="J14" s="180"/>
    </row>
    <row r="15" spans="1:10" ht="15" customHeight="1" x14ac:dyDescent="0.25">
      <c r="A15" s="181" t="s">
        <v>1828</v>
      </c>
      <c r="B15" s="241" t="s">
        <v>1829</v>
      </c>
      <c r="C15" s="481" t="s">
        <v>51</v>
      </c>
      <c r="D15" s="481"/>
      <c r="E15" s="231" t="s">
        <v>1024</v>
      </c>
      <c r="F15" s="239">
        <v>0.22</v>
      </c>
      <c r="G15" s="240">
        <v>26.03</v>
      </c>
      <c r="H15" s="240">
        <f>ROUND(ROUND(F15,8)*G15,2)</f>
        <v>5.73</v>
      </c>
      <c r="I15" s="179"/>
      <c r="J15" s="180"/>
    </row>
    <row r="16" spans="1:10" ht="15" customHeight="1" x14ac:dyDescent="0.25">
      <c r="A16" s="181" t="s">
        <v>1830</v>
      </c>
      <c r="B16" s="241" t="s">
        <v>1831</v>
      </c>
      <c r="C16" s="481" t="s">
        <v>51</v>
      </c>
      <c r="D16" s="481"/>
      <c r="E16" s="231" t="s">
        <v>1024</v>
      </c>
      <c r="F16" s="239">
        <v>0.22</v>
      </c>
      <c r="G16" s="240">
        <v>19.68</v>
      </c>
      <c r="H16" s="240">
        <f>ROUND(ROUND(F16,8)*G16,2)</f>
        <v>4.33</v>
      </c>
      <c r="I16" s="179"/>
      <c r="J16" s="180"/>
    </row>
    <row r="17" spans="1:10" ht="15" customHeight="1" x14ac:dyDescent="0.25">
      <c r="A17" s="182"/>
      <c r="B17" s="183"/>
      <c r="C17" s="183"/>
      <c r="D17" s="183"/>
      <c r="E17" s="183"/>
      <c r="F17" s="477" t="s">
        <v>1832</v>
      </c>
      <c r="G17" s="477"/>
      <c r="H17" s="139">
        <f>SUM(H15:H16)</f>
        <v>10.06</v>
      </c>
      <c r="I17" s="179"/>
      <c r="J17" s="180"/>
    </row>
    <row r="18" spans="1:10" ht="15" customHeight="1" x14ac:dyDescent="0.25">
      <c r="A18" s="483" t="s">
        <v>1833</v>
      </c>
      <c r="B18" s="484"/>
      <c r="C18" s="484"/>
      <c r="D18" s="183"/>
      <c r="E18" s="183"/>
      <c r="F18" s="482" t="s">
        <v>1834</v>
      </c>
      <c r="G18" s="482"/>
      <c r="H18" s="140">
        <v>33.020000000000003</v>
      </c>
      <c r="I18" s="179"/>
      <c r="J18" s="180"/>
    </row>
    <row r="19" spans="1:10" ht="9.9499999999999993" customHeight="1" x14ac:dyDescent="0.25">
      <c r="A19" s="182"/>
      <c r="B19" s="183"/>
      <c r="C19" s="183"/>
      <c r="D19" s="183"/>
      <c r="E19" s="183"/>
      <c r="F19" s="485"/>
      <c r="G19" s="485"/>
      <c r="H19" s="485"/>
      <c r="I19" s="179"/>
      <c r="J19" s="180"/>
    </row>
    <row r="20" spans="1:10" ht="20.100000000000001" customHeight="1" x14ac:dyDescent="0.25">
      <c r="A20" s="486" t="s">
        <v>1835</v>
      </c>
      <c r="B20" s="487"/>
      <c r="C20" s="487"/>
      <c r="D20" s="487"/>
      <c r="E20" s="487"/>
      <c r="F20" s="487"/>
      <c r="G20" s="487"/>
      <c r="H20" s="487"/>
      <c r="I20" s="179"/>
      <c r="J20" s="180"/>
    </row>
    <row r="21" spans="1:10" ht="20.100000000000001" customHeight="1" x14ac:dyDescent="0.25">
      <c r="A21" s="488" t="s">
        <v>1836</v>
      </c>
      <c r="B21" s="489"/>
      <c r="C21" s="489"/>
      <c r="D21" s="489"/>
      <c r="E21" s="233" t="s">
        <v>44</v>
      </c>
      <c r="F21" s="233" t="s">
        <v>1837</v>
      </c>
      <c r="G21" s="233" t="s">
        <v>1838</v>
      </c>
      <c r="H21" s="233" t="s">
        <v>1839</v>
      </c>
      <c r="I21" s="179"/>
      <c r="J21" s="180"/>
    </row>
    <row r="22" spans="1:10" ht="15" customHeight="1" x14ac:dyDescent="0.25">
      <c r="A22" s="170" t="s">
        <v>1840</v>
      </c>
      <c r="B22" s="490" t="s">
        <v>1841</v>
      </c>
      <c r="C22" s="490"/>
      <c r="D22" s="490"/>
      <c r="E22" s="127" t="s">
        <v>1024</v>
      </c>
      <c r="F22" s="234">
        <v>1.4</v>
      </c>
      <c r="G22" s="238">
        <v>21.94</v>
      </c>
      <c r="H22" s="238">
        <f>ROUND(ROUND(F22,8)*G22,2)</f>
        <v>30.72</v>
      </c>
      <c r="I22" s="179"/>
      <c r="J22" s="180"/>
    </row>
    <row r="23" spans="1:10" ht="15" customHeight="1" x14ac:dyDescent="0.25">
      <c r="A23" s="170" t="s">
        <v>1842</v>
      </c>
      <c r="B23" s="490" t="s">
        <v>1843</v>
      </c>
      <c r="C23" s="490"/>
      <c r="D23" s="490"/>
      <c r="E23" s="127" t="s">
        <v>1024</v>
      </c>
      <c r="F23" s="234">
        <v>1.4</v>
      </c>
      <c r="G23" s="238">
        <v>26.03</v>
      </c>
      <c r="H23" s="238">
        <f>ROUND(ROUND(F23,8)*G23,2)</f>
        <v>36.44</v>
      </c>
      <c r="I23" s="179"/>
      <c r="J23" s="180"/>
    </row>
    <row r="24" spans="1:10" ht="15" customHeight="1" x14ac:dyDescent="0.25">
      <c r="A24" s="184"/>
      <c r="B24" s="141"/>
      <c r="C24" s="141"/>
      <c r="D24" s="141"/>
      <c r="E24" s="141"/>
      <c r="F24" s="491" t="s">
        <v>1844</v>
      </c>
      <c r="G24" s="491"/>
      <c r="H24" s="140">
        <f>SUM(H22:H23)</f>
        <v>67.16</v>
      </c>
      <c r="I24" s="179"/>
      <c r="J24" s="180"/>
    </row>
    <row r="25" spans="1:10" ht="15" customHeight="1" x14ac:dyDescent="0.25">
      <c r="A25" s="182"/>
      <c r="B25" s="183"/>
      <c r="C25" s="183"/>
      <c r="D25" s="183"/>
      <c r="E25" s="183"/>
      <c r="F25" s="482" t="s">
        <v>1845</v>
      </c>
      <c r="G25" s="482"/>
      <c r="H25" s="236">
        <f>SUM(H24)</f>
        <v>67.16</v>
      </c>
      <c r="I25" s="179"/>
      <c r="J25" s="180"/>
    </row>
    <row r="26" spans="1:10" ht="15" customHeight="1" x14ac:dyDescent="0.25">
      <c r="A26" s="182"/>
      <c r="B26" s="183"/>
      <c r="C26" s="183"/>
      <c r="D26" s="183"/>
      <c r="E26" s="183"/>
      <c r="F26" s="482" t="s">
        <v>1846</v>
      </c>
      <c r="G26" s="482"/>
      <c r="H26" s="142">
        <v>1</v>
      </c>
      <c r="I26" s="179"/>
      <c r="J26" s="180"/>
    </row>
    <row r="27" spans="1:10" ht="15" customHeight="1" x14ac:dyDescent="0.25">
      <c r="A27" s="182"/>
      <c r="B27" s="183"/>
      <c r="C27" s="183"/>
      <c r="D27" s="183"/>
      <c r="E27" s="183"/>
      <c r="F27" s="482" t="s">
        <v>1847</v>
      </c>
      <c r="G27" s="482"/>
      <c r="H27" s="236">
        <f>ROUND(H25/H26,4)</f>
        <v>67.16</v>
      </c>
      <c r="I27" s="179"/>
      <c r="J27" s="180"/>
    </row>
    <row r="28" spans="1:10" ht="15" customHeight="1" x14ac:dyDescent="0.25">
      <c r="A28" s="182"/>
      <c r="B28" s="183"/>
      <c r="C28" s="183"/>
      <c r="D28" s="183"/>
      <c r="E28" s="183"/>
      <c r="F28" s="482" t="s">
        <v>1848</v>
      </c>
      <c r="G28" s="482"/>
      <c r="H28" s="236">
        <f>SUM(H27)</f>
        <v>67.16</v>
      </c>
      <c r="I28" s="179"/>
      <c r="J28" s="180"/>
    </row>
    <row r="29" spans="1:10" ht="15" customHeight="1" x14ac:dyDescent="0.25">
      <c r="A29" s="483" t="s">
        <v>1849</v>
      </c>
      <c r="B29" s="484"/>
      <c r="C29" s="484"/>
      <c r="D29" s="183"/>
      <c r="E29" s="183"/>
      <c r="F29" s="482" t="s">
        <v>1834</v>
      </c>
      <c r="G29" s="482"/>
      <c r="H29" s="140">
        <v>67.16</v>
      </c>
      <c r="I29" s="179"/>
      <c r="J29" s="180"/>
    </row>
    <row r="30" spans="1:10" ht="9.9499999999999993" customHeight="1" x14ac:dyDescent="0.25">
      <c r="A30" s="182"/>
      <c r="B30" s="183"/>
      <c r="C30" s="183"/>
      <c r="D30" s="183"/>
      <c r="E30" s="183"/>
      <c r="F30" s="485"/>
      <c r="G30" s="485"/>
      <c r="H30" s="485"/>
      <c r="I30" s="179"/>
      <c r="J30" s="180"/>
    </row>
    <row r="31" spans="1:10" ht="20.100000000000001" customHeight="1" x14ac:dyDescent="0.25">
      <c r="A31" s="486" t="s">
        <v>1850</v>
      </c>
      <c r="B31" s="487"/>
      <c r="C31" s="487"/>
      <c r="D31" s="487"/>
      <c r="E31" s="487"/>
      <c r="F31" s="487"/>
      <c r="G31" s="487"/>
      <c r="H31" s="487"/>
      <c r="I31" s="179"/>
      <c r="J31" s="180"/>
    </row>
    <row r="32" spans="1:10" ht="15" customHeight="1" x14ac:dyDescent="0.25">
      <c r="A32" s="474" t="s">
        <v>1827</v>
      </c>
      <c r="B32" s="475"/>
      <c r="C32" s="476" t="s">
        <v>42</v>
      </c>
      <c r="D32" s="476"/>
      <c r="E32" s="230" t="s">
        <v>44</v>
      </c>
      <c r="F32" s="230" t="s">
        <v>1813</v>
      </c>
      <c r="G32" s="230" t="s">
        <v>1814</v>
      </c>
      <c r="H32" s="230" t="s">
        <v>1802</v>
      </c>
      <c r="I32" s="179"/>
      <c r="J32" s="180"/>
    </row>
    <row r="33" spans="1:10" ht="15" customHeight="1" x14ac:dyDescent="0.25">
      <c r="A33" s="181" t="s">
        <v>1851</v>
      </c>
      <c r="B33" s="241" t="s">
        <v>1852</v>
      </c>
      <c r="C33" s="481" t="s">
        <v>51</v>
      </c>
      <c r="D33" s="481"/>
      <c r="E33" s="231" t="s">
        <v>1024</v>
      </c>
      <c r="F33" s="239">
        <v>0.05</v>
      </c>
      <c r="G33" s="240">
        <v>26.03</v>
      </c>
      <c r="H33" s="240">
        <f>ROUND(ROUND(F33,8)*G33,2)</f>
        <v>1.3</v>
      </c>
      <c r="I33" s="179"/>
      <c r="J33" s="180"/>
    </row>
    <row r="34" spans="1:10" ht="15" customHeight="1" x14ac:dyDescent="0.25">
      <c r="A34" s="181" t="s">
        <v>1830</v>
      </c>
      <c r="B34" s="241" t="s">
        <v>1831</v>
      </c>
      <c r="C34" s="481" t="s">
        <v>51</v>
      </c>
      <c r="D34" s="481"/>
      <c r="E34" s="231" t="s">
        <v>1024</v>
      </c>
      <c r="F34" s="239">
        <v>0.25</v>
      </c>
      <c r="G34" s="240">
        <v>19.68</v>
      </c>
      <c r="H34" s="240">
        <f>ROUND(ROUND(F34,8)*G34,2)</f>
        <v>4.92</v>
      </c>
      <c r="I34" s="179"/>
      <c r="J34" s="180"/>
    </row>
    <row r="35" spans="1:10" ht="15" customHeight="1" x14ac:dyDescent="0.25">
      <c r="A35" s="182"/>
      <c r="B35" s="183"/>
      <c r="C35" s="183"/>
      <c r="D35" s="183"/>
      <c r="E35" s="183"/>
      <c r="F35" s="477" t="s">
        <v>1832</v>
      </c>
      <c r="G35" s="477"/>
      <c r="H35" s="139">
        <f>SUM(H33:H34)</f>
        <v>6.22</v>
      </c>
      <c r="I35" s="179"/>
      <c r="J35" s="180"/>
    </row>
    <row r="36" spans="1:10" ht="15" customHeight="1" x14ac:dyDescent="0.25">
      <c r="A36" s="483" t="s">
        <v>1853</v>
      </c>
      <c r="B36" s="484"/>
      <c r="C36" s="484"/>
      <c r="D36" s="183"/>
      <c r="E36" s="183"/>
      <c r="F36" s="482" t="s">
        <v>1834</v>
      </c>
      <c r="G36" s="482"/>
      <c r="H36" s="140">
        <v>6.22</v>
      </c>
      <c r="I36" s="179"/>
      <c r="J36" s="180"/>
    </row>
    <row r="37" spans="1:10" ht="9.9499999999999993" customHeight="1" x14ac:dyDescent="0.25">
      <c r="A37" s="182"/>
      <c r="B37" s="183"/>
      <c r="C37" s="183"/>
      <c r="D37" s="183"/>
      <c r="E37" s="183"/>
      <c r="F37" s="485"/>
      <c r="G37" s="485"/>
      <c r="H37" s="485"/>
      <c r="I37" s="179"/>
      <c r="J37" s="180"/>
    </row>
    <row r="38" spans="1:10" ht="20.100000000000001" customHeight="1" x14ac:dyDescent="0.25">
      <c r="A38" s="486" t="s">
        <v>1854</v>
      </c>
      <c r="B38" s="487"/>
      <c r="C38" s="487"/>
      <c r="D38" s="487"/>
      <c r="E38" s="487"/>
      <c r="F38" s="487"/>
      <c r="G38" s="487"/>
      <c r="H38" s="487"/>
      <c r="I38" s="179"/>
      <c r="J38" s="180"/>
    </row>
    <row r="39" spans="1:10" ht="15" customHeight="1" x14ac:dyDescent="0.25">
      <c r="A39" s="474" t="s">
        <v>1827</v>
      </c>
      <c r="B39" s="475"/>
      <c r="C39" s="476" t="s">
        <v>42</v>
      </c>
      <c r="D39" s="476"/>
      <c r="E39" s="230" t="s">
        <v>44</v>
      </c>
      <c r="F39" s="230" t="s">
        <v>1813</v>
      </c>
      <c r="G39" s="230" t="s">
        <v>1814</v>
      </c>
      <c r="H39" s="230" t="s">
        <v>1802</v>
      </c>
      <c r="I39" s="179"/>
      <c r="J39" s="180"/>
    </row>
    <row r="40" spans="1:10" ht="15" customHeight="1" x14ac:dyDescent="0.25">
      <c r="A40" s="181" t="s">
        <v>1851</v>
      </c>
      <c r="B40" s="241" t="s">
        <v>1852</v>
      </c>
      <c r="C40" s="481" t="s">
        <v>51</v>
      </c>
      <c r="D40" s="481"/>
      <c r="E40" s="231" t="s">
        <v>1024</v>
      </c>
      <c r="F40" s="239">
        <v>5.6000000000000001E-2</v>
      </c>
      <c r="G40" s="240">
        <v>26.03</v>
      </c>
      <c r="H40" s="240">
        <f>ROUND(ROUND(F40,8)*G40,2)</f>
        <v>1.46</v>
      </c>
      <c r="I40" s="179"/>
      <c r="J40" s="180"/>
    </row>
    <row r="41" spans="1:10" ht="15" customHeight="1" x14ac:dyDescent="0.25">
      <c r="A41" s="181" t="s">
        <v>1830</v>
      </c>
      <c r="B41" s="241" t="s">
        <v>1831</v>
      </c>
      <c r="C41" s="481" t="s">
        <v>51</v>
      </c>
      <c r="D41" s="481"/>
      <c r="E41" s="231" t="s">
        <v>1024</v>
      </c>
      <c r="F41" s="239">
        <v>5.6000000000000001E-2</v>
      </c>
      <c r="G41" s="240">
        <v>19.68</v>
      </c>
      <c r="H41" s="240">
        <f>ROUND(ROUND(F41,8)*G41,2)</f>
        <v>1.1000000000000001</v>
      </c>
      <c r="I41" s="179"/>
      <c r="J41" s="180"/>
    </row>
    <row r="42" spans="1:10" ht="15" customHeight="1" x14ac:dyDescent="0.25">
      <c r="A42" s="182"/>
      <c r="B42" s="183"/>
      <c r="C42" s="183"/>
      <c r="D42" s="183"/>
      <c r="E42" s="183"/>
      <c r="F42" s="477" t="s">
        <v>1832</v>
      </c>
      <c r="G42" s="477"/>
      <c r="H42" s="139">
        <f>SUM(H40:H41)</f>
        <v>2.56</v>
      </c>
      <c r="I42" s="179"/>
      <c r="J42" s="180"/>
    </row>
    <row r="43" spans="1:10" ht="15" customHeight="1" x14ac:dyDescent="0.25">
      <c r="A43" s="483" t="s">
        <v>1855</v>
      </c>
      <c r="B43" s="484"/>
      <c r="C43" s="484"/>
      <c r="D43" s="183"/>
      <c r="E43" s="183"/>
      <c r="F43" s="482" t="s">
        <v>1834</v>
      </c>
      <c r="G43" s="482"/>
      <c r="H43" s="140">
        <v>2.56</v>
      </c>
      <c r="I43" s="179"/>
      <c r="J43" s="180"/>
    </row>
    <row r="44" spans="1:10" ht="2.1" customHeight="1" x14ac:dyDescent="0.25">
      <c r="A44" s="483"/>
      <c r="B44" s="484"/>
      <c r="C44" s="484"/>
      <c r="D44" s="183"/>
      <c r="E44" s="183"/>
      <c r="F44" s="183"/>
      <c r="G44" s="183"/>
      <c r="H44" s="183"/>
      <c r="I44" s="179"/>
      <c r="J44" s="180"/>
    </row>
    <row r="45" spans="1:10" ht="9.9499999999999993" customHeight="1" x14ac:dyDescent="0.25">
      <c r="A45" s="182"/>
      <c r="B45" s="183"/>
      <c r="C45" s="183"/>
      <c r="D45" s="183"/>
      <c r="E45" s="183"/>
      <c r="F45" s="485"/>
      <c r="G45" s="485"/>
      <c r="H45" s="485"/>
      <c r="I45" s="179"/>
      <c r="J45" s="180"/>
    </row>
    <row r="46" spans="1:10" ht="36" customHeight="1" x14ac:dyDescent="0.25">
      <c r="A46" s="486" t="s">
        <v>1856</v>
      </c>
      <c r="B46" s="487"/>
      <c r="C46" s="487"/>
      <c r="D46" s="487"/>
      <c r="E46" s="487"/>
      <c r="F46" s="487"/>
      <c r="G46" s="487"/>
      <c r="H46" s="487"/>
      <c r="I46" s="179"/>
      <c r="J46" s="180"/>
    </row>
    <row r="47" spans="1:10" ht="15" customHeight="1" x14ac:dyDescent="0.25">
      <c r="A47" s="474" t="s">
        <v>1812</v>
      </c>
      <c r="B47" s="475"/>
      <c r="C47" s="476" t="s">
        <v>42</v>
      </c>
      <c r="D47" s="476"/>
      <c r="E47" s="230" t="s">
        <v>44</v>
      </c>
      <c r="F47" s="230" t="s">
        <v>1813</v>
      </c>
      <c r="G47" s="230" t="s">
        <v>1814</v>
      </c>
      <c r="H47" s="230" t="s">
        <v>1802</v>
      </c>
      <c r="I47" s="179"/>
      <c r="J47" s="180"/>
    </row>
    <row r="48" spans="1:10" ht="21" customHeight="1" x14ac:dyDescent="0.25">
      <c r="A48" s="181" t="s">
        <v>1857</v>
      </c>
      <c r="B48" s="241" t="s">
        <v>1858</v>
      </c>
      <c r="C48" s="481" t="s">
        <v>1859</v>
      </c>
      <c r="D48" s="481"/>
      <c r="E48" s="231" t="s">
        <v>122</v>
      </c>
      <c r="F48" s="239">
        <v>2.1</v>
      </c>
      <c r="G48" s="240">
        <v>35.57</v>
      </c>
      <c r="H48" s="240">
        <f t="shared" ref="H48:H55" si="0">ROUND(ROUND(F48,8)*G48,2)</f>
        <v>74.7</v>
      </c>
      <c r="I48" s="179"/>
      <c r="J48" s="180"/>
    </row>
    <row r="49" spans="1:10" ht="29.1" customHeight="1" x14ac:dyDescent="0.25">
      <c r="A49" s="181" t="s">
        <v>1860</v>
      </c>
      <c r="B49" s="241" t="s">
        <v>1861</v>
      </c>
      <c r="C49" s="481" t="s">
        <v>1859</v>
      </c>
      <c r="D49" s="481"/>
      <c r="E49" s="231" t="s">
        <v>188</v>
      </c>
      <c r="F49" s="239">
        <v>2.8</v>
      </c>
      <c r="G49" s="240">
        <v>0.27</v>
      </c>
      <c r="H49" s="240">
        <f t="shared" si="0"/>
        <v>0.76</v>
      </c>
      <c r="I49" s="179"/>
      <c r="J49" s="180"/>
    </row>
    <row r="50" spans="1:10" ht="21" customHeight="1" x14ac:dyDescent="0.25">
      <c r="A50" s="181" t="s">
        <v>1862</v>
      </c>
      <c r="B50" s="241" t="s">
        <v>1863</v>
      </c>
      <c r="C50" s="481" t="s">
        <v>1859</v>
      </c>
      <c r="D50" s="481"/>
      <c r="E50" s="231" t="s">
        <v>188</v>
      </c>
      <c r="F50" s="239">
        <v>0.7</v>
      </c>
      <c r="G50" s="240">
        <v>2.37</v>
      </c>
      <c r="H50" s="240">
        <f t="shared" si="0"/>
        <v>1.66</v>
      </c>
      <c r="I50" s="179"/>
      <c r="J50" s="180"/>
    </row>
    <row r="51" spans="1:10" ht="29.1" customHeight="1" x14ac:dyDescent="0.25">
      <c r="A51" s="181" t="s">
        <v>1864</v>
      </c>
      <c r="B51" s="241" t="s">
        <v>1865</v>
      </c>
      <c r="C51" s="481" t="s">
        <v>1859</v>
      </c>
      <c r="D51" s="481"/>
      <c r="E51" s="231" t="s">
        <v>1817</v>
      </c>
      <c r="F51" s="239">
        <v>1.0327</v>
      </c>
      <c r="G51" s="240">
        <v>3.22</v>
      </c>
      <c r="H51" s="240">
        <f t="shared" si="0"/>
        <v>3.33</v>
      </c>
      <c r="I51" s="179"/>
      <c r="J51" s="180"/>
    </row>
    <row r="52" spans="1:10" ht="21" customHeight="1" x14ac:dyDescent="0.25">
      <c r="A52" s="181" t="s">
        <v>1866</v>
      </c>
      <c r="B52" s="241" t="s">
        <v>1867</v>
      </c>
      <c r="C52" s="481" t="s">
        <v>1859</v>
      </c>
      <c r="D52" s="481"/>
      <c r="E52" s="231" t="s">
        <v>226</v>
      </c>
      <c r="F52" s="239">
        <v>26.666699999999999</v>
      </c>
      <c r="G52" s="240">
        <v>0.03</v>
      </c>
      <c r="H52" s="240">
        <f t="shared" si="0"/>
        <v>0.8</v>
      </c>
      <c r="I52" s="179"/>
      <c r="J52" s="180"/>
    </row>
    <row r="53" spans="1:10" ht="29.1" customHeight="1" x14ac:dyDescent="0.25">
      <c r="A53" s="181" t="s">
        <v>1868</v>
      </c>
      <c r="B53" s="241" t="s">
        <v>1869</v>
      </c>
      <c r="C53" s="481" t="s">
        <v>1859</v>
      </c>
      <c r="D53" s="481"/>
      <c r="E53" s="231" t="s">
        <v>188</v>
      </c>
      <c r="F53" s="239">
        <v>0.7</v>
      </c>
      <c r="G53" s="240">
        <v>4.9400000000000004</v>
      </c>
      <c r="H53" s="240">
        <f t="shared" si="0"/>
        <v>3.46</v>
      </c>
      <c r="I53" s="179"/>
      <c r="J53" s="180"/>
    </row>
    <row r="54" spans="1:10" ht="29.1" customHeight="1" x14ac:dyDescent="0.25">
      <c r="A54" s="181" t="s">
        <v>1870</v>
      </c>
      <c r="B54" s="241" t="s">
        <v>1871</v>
      </c>
      <c r="C54" s="481" t="s">
        <v>1859</v>
      </c>
      <c r="D54" s="481"/>
      <c r="E54" s="231" t="s">
        <v>188</v>
      </c>
      <c r="F54" s="239">
        <v>2.625</v>
      </c>
      <c r="G54" s="240">
        <v>5.62</v>
      </c>
      <c r="H54" s="240">
        <f t="shared" si="0"/>
        <v>14.75</v>
      </c>
      <c r="I54" s="179"/>
      <c r="J54" s="180"/>
    </row>
    <row r="55" spans="1:10" ht="29.1" customHeight="1" x14ac:dyDescent="0.25">
      <c r="A55" s="181" t="s">
        <v>1872</v>
      </c>
      <c r="B55" s="241" t="s">
        <v>1873</v>
      </c>
      <c r="C55" s="481" t="s">
        <v>1859</v>
      </c>
      <c r="D55" s="481"/>
      <c r="E55" s="231" t="s">
        <v>226</v>
      </c>
      <c r="F55" s="239">
        <v>2.5556000000000001</v>
      </c>
      <c r="G55" s="240">
        <v>0.44</v>
      </c>
      <c r="H55" s="240">
        <f t="shared" si="0"/>
        <v>1.1200000000000001</v>
      </c>
      <c r="I55" s="179"/>
      <c r="J55" s="180"/>
    </row>
    <row r="56" spans="1:10" ht="15" customHeight="1" x14ac:dyDescent="0.25">
      <c r="A56" s="182"/>
      <c r="B56" s="183"/>
      <c r="C56" s="183"/>
      <c r="D56" s="183"/>
      <c r="E56" s="183"/>
      <c r="F56" s="477" t="s">
        <v>1826</v>
      </c>
      <c r="G56" s="477"/>
      <c r="H56" s="139">
        <f>SUM(H48:H55)</f>
        <v>100.58</v>
      </c>
      <c r="I56" s="179"/>
      <c r="J56" s="180"/>
    </row>
    <row r="57" spans="1:10" ht="15" customHeight="1" x14ac:dyDescent="0.25">
      <c r="A57" s="474" t="s">
        <v>1827</v>
      </c>
      <c r="B57" s="475"/>
      <c r="C57" s="476" t="s">
        <v>42</v>
      </c>
      <c r="D57" s="476"/>
      <c r="E57" s="230" t="s">
        <v>44</v>
      </c>
      <c r="F57" s="230" t="s">
        <v>1813</v>
      </c>
      <c r="G57" s="230" t="s">
        <v>1814</v>
      </c>
      <c r="H57" s="230" t="s">
        <v>1802</v>
      </c>
      <c r="I57" s="179"/>
      <c r="J57" s="180"/>
    </row>
    <row r="58" spans="1:10" ht="15" customHeight="1" x14ac:dyDescent="0.25">
      <c r="A58" s="181" t="s">
        <v>1874</v>
      </c>
      <c r="B58" s="241" t="s">
        <v>1875</v>
      </c>
      <c r="C58" s="481" t="s">
        <v>51</v>
      </c>
      <c r="D58" s="481"/>
      <c r="E58" s="231" t="s">
        <v>1024</v>
      </c>
      <c r="F58" s="239">
        <v>0.54490000000000005</v>
      </c>
      <c r="G58" s="240">
        <v>38.92</v>
      </c>
      <c r="H58" s="240">
        <f>ROUND(ROUND(F58,8)*G58,2)</f>
        <v>21.21</v>
      </c>
      <c r="I58" s="179"/>
      <c r="J58" s="180"/>
    </row>
    <row r="59" spans="1:10" ht="15" customHeight="1" x14ac:dyDescent="0.25">
      <c r="A59" s="181" t="s">
        <v>1830</v>
      </c>
      <c r="B59" s="241" t="s">
        <v>1831</v>
      </c>
      <c r="C59" s="481" t="s">
        <v>51</v>
      </c>
      <c r="D59" s="481"/>
      <c r="E59" s="231" t="s">
        <v>1024</v>
      </c>
      <c r="F59" s="239">
        <v>0.13619999999999999</v>
      </c>
      <c r="G59" s="240">
        <v>19.68</v>
      </c>
      <c r="H59" s="240">
        <f>ROUND(ROUND(F59,8)*G59,2)</f>
        <v>2.68</v>
      </c>
      <c r="I59" s="179"/>
      <c r="J59" s="180"/>
    </row>
    <row r="60" spans="1:10" ht="15" customHeight="1" x14ac:dyDescent="0.25">
      <c r="A60" s="182"/>
      <c r="B60" s="183"/>
      <c r="C60" s="183"/>
      <c r="D60" s="183"/>
      <c r="E60" s="183"/>
      <c r="F60" s="477" t="s">
        <v>1832</v>
      </c>
      <c r="G60" s="477"/>
      <c r="H60" s="139">
        <f>SUM(H58:H59)</f>
        <v>23.89</v>
      </c>
      <c r="I60" s="179"/>
      <c r="J60" s="180"/>
    </row>
    <row r="61" spans="1:10" ht="15" customHeight="1" x14ac:dyDescent="0.25">
      <c r="A61" s="483" t="s">
        <v>1876</v>
      </c>
      <c r="B61" s="484"/>
      <c r="C61" s="484"/>
      <c r="D61" s="183"/>
      <c r="E61" s="183"/>
      <c r="F61" s="482" t="s">
        <v>1834</v>
      </c>
      <c r="G61" s="482"/>
      <c r="H61" s="140">
        <v>124.47</v>
      </c>
      <c r="I61" s="179"/>
      <c r="J61" s="180"/>
    </row>
    <row r="62" spans="1:10" ht="9.9499999999999993" customHeight="1" x14ac:dyDescent="0.25">
      <c r="A62" s="182"/>
      <c r="B62" s="183"/>
      <c r="C62" s="183"/>
      <c r="D62" s="183"/>
      <c r="E62" s="183"/>
      <c r="F62" s="485"/>
      <c r="G62" s="485"/>
      <c r="H62" s="485"/>
      <c r="I62" s="179"/>
      <c r="J62" s="180"/>
    </row>
    <row r="63" spans="1:10" ht="27" customHeight="1" x14ac:dyDescent="0.25">
      <c r="A63" s="486" t="s">
        <v>1877</v>
      </c>
      <c r="B63" s="487"/>
      <c r="C63" s="487"/>
      <c r="D63" s="487"/>
      <c r="E63" s="487"/>
      <c r="F63" s="487"/>
      <c r="G63" s="487"/>
      <c r="H63" s="487"/>
      <c r="I63" s="179"/>
      <c r="J63" s="180"/>
    </row>
    <row r="64" spans="1:10" ht="20.100000000000001" customHeight="1" x14ac:dyDescent="0.25">
      <c r="A64" s="488" t="s">
        <v>1836</v>
      </c>
      <c r="B64" s="489"/>
      <c r="C64" s="489"/>
      <c r="D64" s="489"/>
      <c r="E64" s="233" t="s">
        <v>44</v>
      </c>
      <c r="F64" s="233" t="s">
        <v>1837</v>
      </c>
      <c r="G64" s="233" t="s">
        <v>1838</v>
      </c>
      <c r="H64" s="233" t="s">
        <v>1839</v>
      </c>
      <c r="I64" s="179"/>
      <c r="J64" s="180"/>
    </row>
    <row r="65" spans="1:10" ht="15" customHeight="1" x14ac:dyDescent="0.25">
      <c r="A65" s="170" t="s">
        <v>1878</v>
      </c>
      <c r="B65" s="490" t="s">
        <v>1879</v>
      </c>
      <c r="C65" s="490"/>
      <c r="D65" s="490"/>
      <c r="E65" s="127" t="s">
        <v>1024</v>
      </c>
      <c r="F65" s="234">
        <v>0.9</v>
      </c>
      <c r="G65" s="238">
        <v>26.03</v>
      </c>
      <c r="H65" s="238">
        <f>ROUND(ROUND(F65,8)*G65,2)</f>
        <v>23.43</v>
      </c>
      <c r="I65" s="179"/>
      <c r="J65" s="180"/>
    </row>
    <row r="66" spans="1:10" ht="15" customHeight="1" x14ac:dyDescent="0.25">
      <c r="A66" s="170" t="s">
        <v>1830</v>
      </c>
      <c r="B66" s="490" t="s">
        <v>1831</v>
      </c>
      <c r="C66" s="490"/>
      <c r="D66" s="490"/>
      <c r="E66" s="127" t="s">
        <v>1024</v>
      </c>
      <c r="F66" s="234">
        <v>0.9</v>
      </c>
      <c r="G66" s="238">
        <v>19.68</v>
      </c>
      <c r="H66" s="238">
        <f>ROUND(ROUND(F66,8)*G66,2)</f>
        <v>17.71</v>
      </c>
      <c r="I66" s="179"/>
      <c r="J66" s="180"/>
    </row>
    <row r="67" spans="1:10" ht="15" customHeight="1" x14ac:dyDescent="0.25">
      <c r="A67" s="184"/>
      <c r="B67" s="141"/>
      <c r="C67" s="141"/>
      <c r="D67" s="141"/>
      <c r="E67" s="141"/>
      <c r="F67" s="491" t="s">
        <v>1844</v>
      </c>
      <c r="G67" s="491"/>
      <c r="H67" s="140">
        <f>SUM(H65:H66)</f>
        <v>41.14</v>
      </c>
      <c r="I67" s="179"/>
      <c r="J67" s="180"/>
    </row>
    <row r="68" spans="1:10" ht="15" customHeight="1" x14ac:dyDescent="0.25">
      <c r="A68" s="182"/>
      <c r="B68" s="183"/>
      <c r="C68" s="183"/>
      <c r="D68" s="183"/>
      <c r="E68" s="183"/>
      <c r="F68" s="482" t="s">
        <v>1845</v>
      </c>
      <c r="G68" s="482"/>
      <c r="H68" s="236">
        <f>SUM(H67)</f>
        <v>41.14</v>
      </c>
      <c r="I68" s="179"/>
      <c r="J68" s="180"/>
    </row>
    <row r="69" spans="1:10" ht="15" customHeight="1" x14ac:dyDescent="0.25">
      <c r="A69" s="182"/>
      <c r="B69" s="183"/>
      <c r="C69" s="183"/>
      <c r="D69" s="183"/>
      <c r="E69" s="183"/>
      <c r="F69" s="482" t="s">
        <v>1846</v>
      </c>
      <c r="G69" s="482"/>
      <c r="H69" s="142">
        <v>1</v>
      </c>
      <c r="I69" s="179"/>
      <c r="J69" s="180"/>
    </row>
    <row r="70" spans="1:10" ht="15" customHeight="1" x14ac:dyDescent="0.25">
      <c r="A70" s="182"/>
      <c r="B70" s="183"/>
      <c r="C70" s="183"/>
      <c r="D70" s="183"/>
      <c r="E70" s="183"/>
      <c r="F70" s="482" t="s">
        <v>1847</v>
      </c>
      <c r="G70" s="482"/>
      <c r="H70" s="236">
        <f>ROUND(H68/H69,4)</f>
        <v>41.14</v>
      </c>
      <c r="I70" s="179"/>
      <c r="J70" s="180"/>
    </row>
    <row r="71" spans="1:10" ht="20.100000000000001" customHeight="1" x14ac:dyDescent="0.25">
      <c r="A71" s="488" t="s">
        <v>1880</v>
      </c>
      <c r="B71" s="489"/>
      <c r="C71" s="489"/>
      <c r="D71" s="489"/>
      <c r="E71" s="233" t="s">
        <v>44</v>
      </c>
      <c r="F71" s="233" t="s">
        <v>1837</v>
      </c>
      <c r="G71" s="233" t="s">
        <v>1881</v>
      </c>
      <c r="H71" s="233" t="s">
        <v>1882</v>
      </c>
      <c r="I71" s="179"/>
      <c r="J71" s="180"/>
    </row>
    <row r="72" spans="1:10" ht="15.95" customHeight="1" x14ac:dyDescent="0.25">
      <c r="A72" s="170" t="s">
        <v>1883</v>
      </c>
      <c r="B72" s="492" t="s">
        <v>1884</v>
      </c>
      <c r="C72" s="492"/>
      <c r="D72" s="492"/>
      <c r="E72" s="127" t="s">
        <v>1817</v>
      </c>
      <c r="F72" s="234">
        <v>8</v>
      </c>
      <c r="G72" s="235">
        <v>1.77</v>
      </c>
      <c r="H72" s="235">
        <f>ROUND(ROUND(F72,8)*G72,2)</f>
        <v>14.16</v>
      </c>
      <c r="I72" s="179"/>
      <c r="J72" s="180"/>
    </row>
    <row r="73" spans="1:10" ht="15.95" customHeight="1" x14ac:dyDescent="0.25">
      <c r="A73" s="170" t="s">
        <v>1885</v>
      </c>
      <c r="B73" s="492" t="s">
        <v>1886</v>
      </c>
      <c r="C73" s="492"/>
      <c r="D73" s="492"/>
      <c r="E73" s="127" t="s">
        <v>122</v>
      </c>
      <c r="F73" s="234">
        <v>1.02</v>
      </c>
      <c r="G73" s="235">
        <v>96.53</v>
      </c>
      <c r="H73" s="235">
        <f>ROUND(ROUND(F73,8)*G73,2)</f>
        <v>98.46</v>
      </c>
      <c r="I73" s="179"/>
      <c r="J73" s="180"/>
    </row>
    <row r="74" spans="1:10" ht="15" customHeight="1" x14ac:dyDescent="0.25">
      <c r="A74" s="170" t="s">
        <v>1887</v>
      </c>
      <c r="B74" s="492" t="s">
        <v>1888</v>
      </c>
      <c r="C74" s="492"/>
      <c r="D74" s="492"/>
      <c r="E74" s="127" t="s">
        <v>1817</v>
      </c>
      <c r="F74" s="234">
        <v>0.112</v>
      </c>
      <c r="G74" s="235">
        <v>16.46</v>
      </c>
      <c r="H74" s="235">
        <f>ROUND(ROUND(F74,8)*G74,2)</f>
        <v>1.84</v>
      </c>
      <c r="I74" s="179"/>
      <c r="J74" s="180"/>
    </row>
    <row r="75" spans="1:10" ht="15" customHeight="1" x14ac:dyDescent="0.25">
      <c r="A75" s="184"/>
      <c r="B75" s="141"/>
      <c r="C75" s="141"/>
      <c r="D75" s="141"/>
      <c r="E75" s="141"/>
      <c r="F75" s="491" t="s">
        <v>1889</v>
      </c>
      <c r="G75" s="491"/>
      <c r="H75" s="143">
        <f>SUM(H72:H74)</f>
        <v>114.46</v>
      </c>
      <c r="I75" s="179"/>
      <c r="J75" s="180"/>
    </row>
    <row r="76" spans="1:10" ht="15" customHeight="1" x14ac:dyDescent="0.25">
      <c r="A76" s="182"/>
      <c r="B76" s="183"/>
      <c r="C76" s="183"/>
      <c r="D76" s="183"/>
      <c r="E76" s="183"/>
      <c r="F76" s="482" t="s">
        <v>1848</v>
      </c>
      <c r="G76" s="482"/>
      <c r="H76" s="236">
        <f>SUM(H70,H75)</f>
        <v>155.6</v>
      </c>
      <c r="I76" s="179"/>
      <c r="J76" s="180"/>
    </row>
    <row r="77" spans="1:10" ht="15" customHeight="1" x14ac:dyDescent="0.25">
      <c r="A77" s="483" t="s">
        <v>1890</v>
      </c>
      <c r="B77" s="484"/>
      <c r="C77" s="484"/>
      <c r="D77" s="183"/>
      <c r="E77" s="183"/>
      <c r="F77" s="482" t="s">
        <v>1834</v>
      </c>
      <c r="G77" s="482"/>
      <c r="H77" s="140">
        <v>155.6</v>
      </c>
      <c r="I77" s="179"/>
      <c r="J77" s="180"/>
    </row>
    <row r="78" spans="1:10" ht="9.9499999999999993" customHeight="1" x14ac:dyDescent="0.25">
      <c r="A78" s="182"/>
      <c r="B78" s="183"/>
      <c r="C78" s="183"/>
      <c r="D78" s="183"/>
      <c r="E78" s="183"/>
      <c r="F78" s="485"/>
      <c r="G78" s="485"/>
      <c r="H78" s="485"/>
      <c r="I78" s="179"/>
      <c r="J78" s="180"/>
    </row>
    <row r="79" spans="1:10" ht="20.100000000000001" customHeight="1" x14ac:dyDescent="0.25">
      <c r="A79" s="486" t="s">
        <v>1891</v>
      </c>
      <c r="B79" s="487"/>
      <c r="C79" s="487"/>
      <c r="D79" s="487"/>
      <c r="E79" s="487"/>
      <c r="F79" s="487"/>
      <c r="G79" s="487"/>
      <c r="H79" s="487"/>
      <c r="I79" s="179"/>
      <c r="J79" s="180"/>
    </row>
    <row r="80" spans="1:10" ht="15" customHeight="1" x14ac:dyDescent="0.25">
      <c r="A80" s="474" t="s">
        <v>1812</v>
      </c>
      <c r="B80" s="475"/>
      <c r="C80" s="476" t="s">
        <v>42</v>
      </c>
      <c r="D80" s="476"/>
      <c r="E80" s="230" t="s">
        <v>44</v>
      </c>
      <c r="F80" s="230" t="s">
        <v>1813</v>
      </c>
      <c r="G80" s="230" t="s">
        <v>1814</v>
      </c>
      <c r="H80" s="230" t="s">
        <v>1802</v>
      </c>
      <c r="I80" s="179"/>
      <c r="J80" s="180"/>
    </row>
    <row r="81" spans="1:10" ht="15" customHeight="1" x14ac:dyDescent="0.25">
      <c r="A81" s="181" t="s">
        <v>1892</v>
      </c>
      <c r="B81" s="241" t="s">
        <v>1893</v>
      </c>
      <c r="C81" s="481" t="s">
        <v>82</v>
      </c>
      <c r="D81" s="481"/>
      <c r="E81" s="231" t="s">
        <v>1817</v>
      </c>
      <c r="F81" s="239">
        <v>9.1300000000000008</v>
      </c>
      <c r="G81" s="240">
        <v>2.21</v>
      </c>
      <c r="H81" s="240">
        <f>ROUND(ROUND(F81,8)*G81,2)</f>
        <v>20.18</v>
      </c>
      <c r="I81" s="179"/>
      <c r="J81" s="180"/>
    </row>
    <row r="82" spans="1:10" ht="21" customHeight="1" x14ac:dyDescent="0.25">
      <c r="A82" s="181" t="s">
        <v>1894</v>
      </c>
      <c r="B82" s="241" t="s">
        <v>1895</v>
      </c>
      <c r="C82" s="481" t="s">
        <v>1896</v>
      </c>
      <c r="D82" s="481"/>
      <c r="E82" s="231" t="s">
        <v>122</v>
      </c>
      <c r="F82" s="239">
        <v>1.06</v>
      </c>
      <c r="G82" s="240">
        <v>309.68</v>
      </c>
      <c r="H82" s="240">
        <f>ROUND(ROUND(F82,8)*G82,2)</f>
        <v>328.26</v>
      </c>
      <c r="I82" s="179"/>
      <c r="J82" s="180"/>
    </row>
    <row r="83" spans="1:10" ht="15" customHeight="1" x14ac:dyDescent="0.25">
      <c r="A83" s="182"/>
      <c r="B83" s="183"/>
      <c r="C83" s="183"/>
      <c r="D83" s="183"/>
      <c r="E83" s="183"/>
      <c r="F83" s="477" t="s">
        <v>1826</v>
      </c>
      <c r="G83" s="477"/>
      <c r="H83" s="139">
        <f>SUM(H81:H82)</f>
        <v>348.44</v>
      </c>
      <c r="I83" s="179"/>
      <c r="J83" s="180"/>
    </row>
    <row r="84" spans="1:10" ht="15" customHeight="1" x14ac:dyDescent="0.25">
      <c r="A84" s="474" t="s">
        <v>1827</v>
      </c>
      <c r="B84" s="475"/>
      <c r="C84" s="476" t="s">
        <v>42</v>
      </c>
      <c r="D84" s="476"/>
      <c r="E84" s="230" t="s">
        <v>44</v>
      </c>
      <c r="F84" s="230" t="s">
        <v>1813</v>
      </c>
      <c r="G84" s="230" t="s">
        <v>1814</v>
      </c>
      <c r="H84" s="230" t="s">
        <v>1802</v>
      </c>
      <c r="I84" s="179"/>
      <c r="J84" s="180"/>
    </row>
    <row r="85" spans="1:10" ht="15" customHeight="1" x14ac:dyDescent="0.25">
      <c r="A85" s="181" t="s">
        <v>1851</v>
      </c>
      <c r="B85" s="241" t="s">
        <v>1852</v>
      </c>
      <c r="C85" s="481" t="s">
        <v>51</v>
      </c>
      <c r="D85" s="481"/>
      <c r="E85" s="231" t="s">
        <v>1024</v>
      </c>
      <c r="F85" s="239">
        <v>0.71166669999999999</v>
      </c>
      <c r="G85" s="240">
        <v>26.03</v>
      </c>
      <c r="H85" s="240">
        <f>ROUND(ROUND(F85,8)*G85,2)</f>
        <v>18.52</v>
      </c>
      <c r="I85" s="179"/>
      <c r="J85" s="180"/>
    </row>
    <row r="86" spans="1:10" ht="15" customHeight="1" x14ac:dyDescent="0.25">
      <c r="A86" s="181" t="s">
        <v>1830</v>
      </c>
      <c r="B86" s="241" t="s">
        <v>1831</v>
      </c>
      <c r="C86" s="481" t="s">
        <v>51</v>
      </c>
      <c r="D86" s="481"/>
      <c r="E86" s="231" t="s">
        <v>1024</v>
      </c>
      <c r="F86" s="239">
        <v>0.35583330000000002</v>
      </c>
      <c r="G86" s="240">
        <v>19.68</v>
      </c>
      <c r="H86" s="240">
        <f>ROUND(ROUND(F86,8)*G86,2)</f>
        <v>7</v>
      </c>
      <c r="I86" s="179"/>
      <c r="J86" s="180"/>
    </row>
    <row r="87" spans="1:10" ht="15" customHeight="1" x14ac:dyDescent="0.25">
      <c r="A87" s="182"/>
      <c r="B87" s="183"/>
      <c r="C87" s="183"/>
      <c r="D87" s="183"/>
      <c r="E87" s="183"/>
      <c r="F87" s="477" t="s">
        <v>1832</v>
      </c>
      <c r="G87" s="477"/>
      <c r="H87" s="139">
        <f>SUM(H85:H86)</f>
        <v>25.52</v>
      </c>
      <c r="I87" s="179"/>
      <c r="J87" s="180"/>
    </row>
    <row r="88" spans="1:10" ht="15" customHeight="1" x14ac:dyDescent="0.25">
      <c r="A88" s="483" t="s">
        <v>1897</v>
      </c>
      <c r="B88" s="484"/>
      <c r="C88" s="484"/>
      <c r="D88" s="183"/>
      <c r="E88" s="183"/>
      <c r="F88" s="482" t="s">
        <v>1834</v>
      </c>
      <c r="G88" s="482"/>
      <c r="H88" s="140">
        <v>373.96</v>
      </c>
      <c r="I88" s="179"/>
      <c r="J88" s="180"/>
    </row>
    <row r="89" spans="1:10" ht="9.9499999999999993" customHeight="1" x14ac:dyDescent="0.25">
      <c r="A89" s="182"/>
      <c r="B89" s="183"/>
      <c r="C89" s="183"/>
      <c r="D89" s="183"/>
      <c r="E89" s="183"/>
      <c r="F89" s="485"/>
      <c r="G89" s="485"/>
      <c r="H89" s="485"/>
      <c r="I89" s="179"/>
      <c r="J89" s="180"/>
    </row>
    <row r="90" spans="1:10" ht="20.100000000000001" customHeight="1" x14ac:dyDescent="0.25">
      <c r="A90" s="486" t="s">
        <v>1898</v>
      </c>
      <c r="B90" s="487"/>
      <c r="C90" s="487"/>
      <c r="D90" s="487"/>
      <c r="E90" s="487"/>
      <c r="F90" s="487"/>
      <c r="G90" s="487"/>
      <c r="H90" s="487"/>
      <c r="I90" s="179"/>
      <c r="J90" s="180"/>
    </row>
    <row r="91" spans="1:10" ht="15" customHeight="1" x14ac:dyDescent="0.25">
      <c r="A91" s="474" t="s">
        <v>1812</v>
      </c>
      <c r="B91" s="475"/>
      <c r="C91" s="476" t="s">
        <v>42</v>
      </c>
      <c r="D91" s="476"/>
      <c r="E91" s="230" t="s">
        <v>44</v>
      </c>
      <c r="F91" s="230" t="s">
        <v>1813</v>
      </c>
      <c r="G91" s="230" t="s">
        <v>1814</v>
      </c>
      <c r="H91" s="230" t="s">
        <v>1802</v>
      </c>
      <c r="I91" s="179"/>
      <c r="J91" s="180"/>
    </row>
    <row r="92" spans="1:10" ht="15" customHeight="1" x14ac:dyDescent="0.25">
      <c r="A92" s="181" t="s">
        <v>1899</v>
      </c>
      <c r="B92" s="241" t="s">
        <v>1900</v>
      </c>
      <c r="C92" s="481" t="s">
        <v>51</v>
      </c>
      <c r="D92" s="481"/>
      <c r="E92" s="231" t="s">
        <v>122</v>
      </c>
      <c r="F92" s="239">
        <v>1</v>
      </c>
      <c r="G92" s="240">
        <v>467.46</v>
      </c>
      <c r="H92" s="240">
        <f>ROUND(ROUND(F92,8)*G92,2)</f>
        <v>467.46</v>
      </c>
      <c r="I92" s="179"/>
      <c r="J92" s="180"/>
    </row>
    <row r="93" spans="1:10" ht="15" customHeight="1" x14ac:dyDescent="0.25">
      <c r="A93" s="182"/>
      <c r="B93" s="183"/>
      <c r="C93" s="183"/>
      <c r="D93" s="183"/>
      <c r="E93" s="183"/>
      <c r="F93" s="477" t="s">
        <v>1826</v>
      </c>
      <c r="G93" s="477"/>
      <c r="H93" s="139">
        <f>SUM(H92:H92)</f>
        <v>467.46</v>
      </c>
      <c r="I93" s="179"/>
      <c r="J93" s="180"/>
    </row>
    <row r="94" spans="1:10" ht="15" customHeight="1" x14ac:dyDescent="0.25">
      <c r="A94" s="474" t="s">
        <v>1827</v>
      </c>
      <c r="B94" s="475"/>
      <c r="C94" s="476" t="s">
        <v>42</v>
      </c>
      <c r="D94" s="476"/>
      <c r="E94" s="230" t="s">
        <v>44</v>
      </c>
      <c r="F94" s="230" t="s">
        <v>1813</v>
      </c>
      <c r="G94" s="230" t="s">
        <v>1814</v>
      </c>
      <c r="H94" s="230" t="s">
        <v>1802</v>
      </c>
      <c r="I94" s="179"/>
      <c r="J94" s="180"/>
    </row>
    <row r="95" spans="1:10" ht="15" customHeight="1" x14ac:dyDescent="0.25">
      <c r="A95" s="181" t="s">
        <v>1851</v>
      </c>
      <c r="B95" s="241" t="s">
        <v>1852</v>
      </c>
      <c r="C95" s="481" t="s">
        <v>51</v>
      </c>
      <c r="D95" s="481"/>
      <c r="E95" s="231" t="s">
        <v>1024</v>
      </c>
      <c r="F95" s="239">
        <v>0.3</v>
      </c>
      <c r="G95" s="240">
        <v>26.03</v>
      </c>
      <c r="H95" s="240">
        <f>ROUND(ROUND(F95,8)*G95,2)</f>
        <v>7.81</v>
      </c>
      <c r="I95" s="179"/>
      <c r="J95" s="180"/>
    </row>
    <row r="96" spans="1:10" ht="15" customHeight="1" x14ac:dyDescent="0.25">
      <c r="A96" s="181" t="s">
        <v>1830</v>
      </c>
      <c r="B96" s="241" t="s">
        <v>1831</v>
      </c>
      <c r="C96" s="481" t="s">
        <v>51</v>
      </c>
      <c r="D96" s="481"/>
      <c r="E96" s="231" t="s">
        <v>1024</v>
      </c>
      <c r="F96" s="239">
        <v>0.3</v>
      </c>
      <c r="G96" s="240">
        <v>19.68</v>
      </c>
      <c r="H96" s="240">
        <f>ROUND(ROUND(F96,8)*G96,2)</f>
        <v>5.9</v>
      </c>
      <c r="I96" s="179"/>
      <c r="J96" s="180"/>
    </row>
    <row r="97" spans="1:10" ht="15" customHeight="1" x14ac:dyDescent="0.25">
      <c r="A97" s="182"/>
      <c r="B97" s="183"/>
      <c r="C97" s="183"/>
      <c r="D97" s="183"/>
      <c r="E97" s="183"/>
      <c r="F97" s="477" t="s">
        <v>1832</v>
      </c>
      <c r="G97" s="477"/>
      <c r="H97" s="139">
        <f>SUM(H95:H96)</f>
        <v>13.71</v>
      </c>
      <c r="I97" s="179"/>
      <c r="J97" s="180"/>
    </row>
    <row r="98" spans="1:10" ht="15" customHeight="1" x14ac:dyDescent="0.25">
      <c r="A98" s="483" t="s">
        <v>1901</v>
      </c>
      <c r="B98" s="484"/>
      <c r="C98" s="484"/>
      <c r="D98" s="183"/>
      <c r="E98" s="183"/>
      <c r="F98" s="482" t="s">
        <v>1834</v>
      </c>
      <c r="G98" s="482"/>
      <c r="H98" s="140">
        <v>481.17</v>
      </c>
      <c r="I98" s="179"/>
      <c r="J98" s="180"/>
    </row>
    <row r="99" spans="1:10" ht="9.9499999999999993" customHeight="1" x14ac:dyDescent="0.25">
      <c r="A99" s="182"/>
      <c r="B99" s="183"/>
      <c r="C99" s="183"/>
      <c r="D99" s="183"/>
      <c r="E99" s="183"/>
      <c r="F99" s="485"/>
      <c r="G99" s="485"/>
      <c r="H99" s="485"/>
      <c r="I99" s="179"/>
      <c r="J99" s="180"/>
    </row>
    <row r="100" spans="1:10" ht="20.100000000000001" customHeight="1" x14ac:dyDescent="0.25">
      <c r="A100" s="486" t="s">
        <v>1902</v>
      </c>
      <c r="B100" s="487"/>
      <c r="C100" s="487"/>
      <c r="D100" s="487"/>
      <c r="E100" s="487"/>
      <c r="F100" s="487"/>
      <c r="G100" s="487"/>
      <c r="H100" s="487"/>
      <c r="I100" s="179"/>
      <c r="J100" s="180"/>
    </row>
    <row r="101" spans="1:10" ht="15" customHeight="1" x14ac:dyDescent="0.25">
      <c r="A101" s="474" t="s">
        <v>1812</v>
      </c>
      <c r="B101" s="475"/>
      <c r="C101" s="476" t="s">
        <v>42</v>
      </c>
      <c r="D101" s="476"/>
      <c r="E101" s="230" t="s">
        <v>44</v>
      </c>
      <c r="F101" s="230" t="s">
        <v>1813</v>
      </c>
      <c r="G101" s="230" t="s">
        <v>1814</v>
      </c>
      <c r="H101" s="230" t="s">
        <v>1802</v>
      </c>
      <c r="I101" s="179"/>
      <c r="J101" s="180"/>
    </row>
    <row r="102" spans="1:10" ht="29.1" customHeight="1" x14ac:dyDescent="0.25">
      <c r="A102" s="181" t="s">
        <v>1903</v>
      </c>
      <c r="B102" s="241" t="s">
        <v>1904</v>
      </c>
      <c r="C102" s="481" t="s">
        <v>1859</v>
      </c>
      <c r="D102" s="481"/>
      <c r="E102" s="231" t="s">
        <v>1905</v>
      </c>
      <c r="F102" s="239">
        <v>2.3E-2</v>
      </c>
      <c r="G102" s="240">
        <v>97.84</v>
      </c>
      <c r="H102" s="240">
        <f>ROUND(ROUND(F102,8)*G102,2)</f>
        <v>2.25</v>
      </c>
      <c r="I102" s="179"/>
      <c r="J102" s="180"/>
    </row>
    <row r="103" spans="1:10" ht="15" customHeight="1" x14ac:dyDescent="0.25">
      <c r="A103" s="181" t="s">
        <v>1906</v>
      </c>
      <c r="B103" s="241" t="s">
        <v>1907</v>
      </c>
      <c r="C103" s="481" t="s">
        <v>1859</v>
      </c>
      <c r="D103" s="481"/>
      <c r="E103" s="231" t="s">
        <v>188</v>
      </c>
      <c r="F103" s="239">
        <v>10.1</v>
      </c>
      <c r="G103" s="240">
        <v>11.5</v>
      </c>
      <c r="H103" s="240">
        <f>ROUND(ROUND(F103,8)*G103,2)</f>
        <v>116.15</v>
      </c>
      <c r="I103" s="179"/>
      <c r="J103" s="180"/>
    </row>
    <row r="104" spans="1:10" ht="15" customHeight="1" x14ac:dyDescent="0.25">
      <c r="A104" s="181" t="s">
        <v>1908</v>
      </c>
      <c r="B104" s="241" t="s">
        <v>1909</v>
      </c>
      <c r="C104" s="481" t="s">
        <v>1859</v>
      </c>
      <c r="D104" s="481"/>
      <c r="E104" s="231" t="s">
        <v>188</v>
      </c>
      <c r="F104" s="239">
        <v>8.5</v>
      </c>
      <c r="G104" s="240">
        <v>3.86</v>
      </c>
      <c r="H104" s="240">
        <f>ROUND(ROUND(F104,8)*G104,2)</f>
        <v>32.81</v>
      </c>
      <c r="I104" s="179"/>
      <c r="J104" s="180"/>
    </row>
    <row r="105" spans="1:10" ht="21" customHeight="1" x14ac:dyDescent="0.25">
      <c r="A105" s="181" t="s">
        <v>1910</v>
      </c>
      <c r="B105" s="241" t="s">
        <v>1911</v>
      </c>
      <c r="C105" s="481" t="s">
        <v>1859</v>
      </c>
      <c r="D105" s="481"/>
      <c r="E105" s="231" t="s">
        <v>226</v>
      </c>
      <c r="F105" s="239">
        <v>39.200000000000003</v>
      </c>
      <c r="G105" s="240">
        <v>3.46</v>
      </c>
      <c r="H105" s="240">
        <f>ROUND(ROUND(F105,8)*G105,2)</f>
        <v>135.63</v>
      </c>
      <c r="I105" s="179"/>
      <c r="J105" s="180"/>
    </row>
    <row r="106" spans="1:10" ht="15" customHeight="1" x14ac:dyDescent="0.25">
      <c r="A106" s="182"/>
      <c r="B106" s="183"/>
      <c r="C106" s="183"/>
      <c r="D106" s="183"/>
      <c r="E106" s="183"/>
      <c r="F106" s="477" t="s">
        <v>1826</v>
      </c>
      <c r="G106" s="477"/>
      <c r="H106" s="139">
        <f>SUM(H102:H105)</f>
        <v>286.84000000000003</v>
      </c>
      <c r="I106" s="179"/>
      <c r="J106" s="180"/>
    </row>
    <row r="107" spans="1:10" ht="15" customHeight="1" x14ac:dyDescent="0.25">
      <c r="A107" s="474" t="s">
        <v>1827</v>
      </c>
      <c r="B107" s="475"/>
      <c r="C107" s="476" t="s">
        <v>42</v>
      </c>
      <c r="D107" s="476"/>
      <c r="E107" s="230" t="s">
        <v>44</v>
      </c>
      <c r="F107" s="230" t="s">
        <v>1813</v>
      </c>
      <c r="G107" s="230" t="s">
        <v>1814</v>
      </c>
      <c r="H107" s="230" t="s">
        <v>1802</v>
      </c>
      <c r="I107" s="179"/>
      <c r="J107" s="180"/>
    </row>
    <row r="108" spans="1:10" ht="15" customHeight="1" x14ac:dyDescent="0.25">
      <c r="A108" s="181" t="s">
        <v>1828</v>
      </c>
      <c r="B108" s="241" t="s">
        <v>1829</v>
      </c>
      <c r="C108" s="481" t="s">
        <v>51</v>
      </c>
      <c r="D108" s="481"/>
      <c r="E108" s="231" t="s">
        <v>1024</v>
      </c>
      <c r="F108" s="239">
        <v>12</v>
      </c>
      <c r="G108" s="240">
        <v>26.03</v>
      </c>
      <c r="H108" s="240">
        <f>ROUND(ROUND(F108,8)*G108,2)</f>
        <v>312.36</v>
      </c>
      <c r="I108" s="179"/>
      <c r="J108" s="180"/>
    </row>
    <row r="109" spans="1:10" ht="15" customHeight="1" x14ac:dyDescent="0.25">
      <c r="A109" s="181" t="s">
        <v>1830</v>
      </c>
      <c r="B109" s="241" t="s">
        <v>1831</v>
      </c>
      <c r="C109" s="481" t="s">
        <v>51</v>
      </c>
      <c r="D109" s="481"/>
      <c r="E109" s="231" t="s">
        <v>1024</v>
      </c>
      <c r="F109" s="239">
        <v>16</v>
      </c>
      <c r="G109" s="240">
        <v>19.68</v>
      </c>
      <c r="H109" s="240">
        <f>ROUND(ROUND(F109,8)*G109,2)</f>
        <v>314.88</v>
      </c>
      <c r="I109" s="179"/>
      <c r="J109" s="180"/>
    </row>
    <row r="110" spans="1:10" ht="15" customHeight="1" x14ac:dyDescent="0.25">
      <c r="A110" s="182"/>
      <c r="B110" s="183"/>
      <c r="C110" s="183"/>
      <c r="D110" s="183"/>
      <c r="E110" s="183"/>
      <c r="F110" s="477" t="s">
        <v>1832</v>
      </c>
      <c r="G110" s="477"/>
      <c r="H110" s="139">
        <f>SUM(H108:H109)</f>
        <v>627.24</v>
      </c>
      <c r="I110" s="179"/>
      <c r="J110" s="180"/>
    </row>
    <row r="111" spans="1:10" ht="15" customHeight="1" x14ac:dyDescent="0.25">
      <c r="A111" s="474" t="s">
        <v>1912</v>
      </c>
      <c r="B111" s="475"/>
      <c r="C111" s="476" t="s">
        <v>42</v>
      </c>
      <c r="D111" s="476"/>
      <c r="E111" s="230" t="s">
        <v>44</v>
      </c>
      <c r="F111" s="230" t="s">
        <v>1813</v>
      </c>
      <c r="G111" s="230" t="s">
        <v>1814</v>
      </c>
      <c r="H111" s="230" t="s">
        <v>1802</v>
      </c>
      <c r="I111" s="179"/>
      <c r="J111" s="180"/>
    </row>
    <row r="112" spans="1:10" ht="38.1" customHeight="1" x14ac:dyDescent="0.25">
      <c r="A112" s="181" t="s">
        <v>1913</v>
      </c>
      <c r="B112" s="241" t="s">
        <v>1914</v>
      </c>
      <c r="C112" s="481" t="s">
        <v>51</v>
      </c>
      <c r="D112" s="481"/>
      <c r="E112" s="231" t="s">
        <v>54</v>
      </c>
      <c r="F112" s="239">
        <v>0.9</v>
      </c>
      <c r="G112" s="240">
        <v>28.73</v>
      </c>
      <c r="H112" s="240">
        <f>ROUND(ROUND(F112,8)*G112,2)</f>
        <v>25.86</v>
      </c>
      <c r="I112" s="179"/>
      <c r="J112" s="180"/>
    </row>
    <row r="113" spans="1:10" ht="15" customHeight="1" x14ac:dyDescent="0.25">
      <c r="A113" s="182"/>
      <c r="B113" s="183"/>
      <c r="C113" s="183"/>
      <c r="D113" s="183"/>
      <c r="E113" s="183"/>
      <c r="F113" s="477" t="s">
        <v>1915</v>
      </c>
      <c r="G113" s="477"/>
      <c r="H113" s="139">
        <f>SUM(H112:H112)</f>
        <v>25.86</v>
      </c>
      <c r="I113" s="179"/>
      <c r="J113" s="180"/>
    </row>
    <row r="114" spans="1:10" ht="15" customHeight="1" x14ac:dyDescent="0.25">
      <c r="A114" s="483" t="s">
        <v>1916</v>
      </c>
      <c r="B114" s="484"/>
      <c r="C114" s="484"/>
      <c r="D114" s="183"/>
      <c r="E114" s="183"/>
      <c r="F114" s="482" t="s">
        <v>1834</v>
      </c>
      <c r="G114" s="482"/>
      <c r="H114" s="140">
        <v>939.94</v>
      </c>
      <c r="I114" s="179"/>
      <c r="J114" s="180"/>
    </row>
    <row r="115" spans="1:10" ht="2.1" customHeight="1" x14ac:dyDescent="0.25">
      <c r="A115" s="483"/>
      <c r="B115" s="484"/>
      <c r="C115" s="484"/>
      <c r="D115" s="183"/>
      <c r="E115" s="183"/>
      <c r="F115" s="183"/>
      <c r="G115" s="183"/>
      <c r="H115" s="183"/>
      <c r="I115" s="179"/>
      <c r="J115" s="180"/>
    </row>
    <row r="116" spans="1:10" ht="9.9499999999999993" customHeight="1" x14ac:dyDescent="0.25">
      <c r="A116" s="182"/>
      <c r="B116" s="183"/>
      <c r="C116" s="183"/>
      <c r="D116" s="183"/>
      <c r="E116" s="183"/>
      <c r="F116" s="485"/>
      <c r="G116" s="485"/>
      <c r="H116" s="485"/>
      <c r="I116" s="179"/>
      <c r="J116" s="180"/>
    </row>
    <row r="117" spans="1:10" ht="20.100000000000001" customHeight="1" x14ac:dyDescent="0.25">
      <c r="A117" s="486" t="s">
        <v>1917</v>
      </c>
      <c r="B117" s="487"/>
      <c r="C117" s="487"/>
      <c r="D117" s="487"/>
      <c r="E117" s="487"/>
      <c r="F117" s="487"/>
      <c r="G117" s="487"/>
      <c r="H117" s="487"/>
      <c r="I117" s="179"/>
      <c r="J117" s="180"/>
    </row>
    <row r="118" spans="1:10" ht="15" customHeight="1" x14ac:dyDescent="0.25">
      <c r="A118" s="474" t="s">
        <v>1812</v>
      </c>
      <c r="B118" s="475"/>
      <c r="C118" s="476" t="s">
        <v>42</v>
      </c>
      <c r="D118" s="476"/>
      <c r="E118" s="230" t="s">
        <v>44</v>
      </c>
      <c r="F118" s="230" t="s">
        <v>1813</v>
      </c>
      <c r="G118" s="230" t="s">
        <v>1814</v>
      </c>
      <c r="H118" s="230" t="s">
        <v>1802</v>
      </c>
      <c r="I118" s="179"/>
      <c r="J118" s="180"/>
    </row>
    <row r="119" spans="1:10" ht="29.1" customHeight="1" x14ac:dyDescent="0.25">
      <c r="A119" s="181" t="s">
        <v>1918</v>
      </c>
      <c r="B119" s="241" t="s">
        <v>1919</v>
      </c>
      <c r="C119" s="481" t="s">
        <v>82</v>
      </c>
      <c r="D119" s="481"/>
      <c r="E119" s="231" t="s">
        <v>226</v>
      </c>
      <c r="F119" s="239">
        <v>4.72</v>
      </c>
      <c r="G119" s="240">
        <v>0.61</v>
      </c>
      <c r="H119" s="240">
        <f>ROUND(ROUND(F119,8)*G119,2)</f>
        <v>2.88</v>
      </c>
      <c r="I119" s="179"/>
      <c r="J119" s="180"/>
    </row>
    <row r="120" spans="1:10" ht="29.1" customHeight="1" x14ac:dyDescent="0.25">
      <c r="A120" s="181" t="s">
        <v>1920</v>
      </c>
      <c r="B120" s="241" t="s">
        <v>1921</v>
      </c>
      <c r="C120" s="481" t="s">
        <v>82</v>
      </c>
      <c r="D120" s="481"/>
      <c r="E120" s="231" t="s">
        <v>188</v>
      </c>
      <c r="F120" s="239">
        <v>2.202</v>
      </c>
      <c r="G120" s="240">
        <v>24.92</v>
      </c>
      <c r="H120" s="240">
        <f>ROUND(ROUND(F120,8)*G120,2)</f>
        <v>54.87</v>
      </c>
      <c r="I120" s="179"/>
      <c r="J120" s="180"/>
    </row>
    <row r="121" spans="1:10" ht="21" customHeight="1" x14ac:dyDescent="0.25">
      <c r="A121" s="181" t="s">
        <v>1922</v>
      </c>
      <c r="B121" s="241" t="s">
        <v>1923</v>
      </c>
      <c r="C121" s="481" t="s">
        <v>82</v>
      </c>
      <c r="D121" s="481"/>
      <c r="E121" s="231" t="s">
        <v>1924</v>
      </c>
      <c r="F121" s="239">
        <v>6.3700000000000007E-2</v>
      </c>
      <c r="G121" s="240">
        <v>29.78</v>
      </c>
      <c r="H121" s="240">
        <f>ROUND(ROUND(F121,8)*G121,2)</f>
        <v>1.9</v>
      </c>
      <c r="I121" s="179"/>
      <c r="J121" s="180"/>
    </row>
    <row r="122" spans="1:10" ht="15" customHeight="1" x14ac:dyDescent="0.25">
      <c r="A122" s="182"/>
      <c r="B122" s="183"/>
      <c r="C122" s="183"/>
      <c r="D122" s="183"/>
      <c r="E122" s="183"/>
      <c r="F122" s="477" t="s">
        <v>1826</v>
      </c>
      <c r="G122" s="477"/>
      <c r="H122" s="139">
        <f>SUM(H119:H121)</f>
        <v>59.65</v>
      </c>
      <c r="I122" s="179"/>
      <c r="J122" s="180"/>
    </row>
    <row r="123" spans="1:10" ht="15" customHeight="1" x14ac:dyDescent="0.25">
      <c r="A123" s="474" t="s">
        <v>1827</v>
      </c>
      <c r="B123" s="475"/>
      <c r="C123" s="476" t="s">
        <v>42</v>
      </c>
      <c r="D123" s="476"/>
      <c r="E123" s="230" t="s">
        <v>44</v>
      </c>
      <c r="F123" s="230" t="s">
        <v>1813</v>
      </c>
      <c r="G123" s="230" t="s">
        <v>1814</v>
      </c>
      <c r="H123" s="230" t="s">
        <v>1802</v>
      </c>
      <c r="I123" s="179"/>
      <c r="J123" s="180"/>
    </row>
    <row r="124" spans="1:10" ht="15" customHeight="1" x14ac:dyDescent="0.25">
      <c r="A124" s="181" t="s">
        <v>1851</v>
      </c>
      <c r="B124" s="241" t="s">
        <v>1852</v>
      </c>
      <c r="C124" s="481" t="s">
        <v>51</v>
      </c>
      <c r="D124" s="481"/>
      <c r="E124" s="231" t="s">
        <v>1024</v>
      </c>
      <c r="F124" s="239">
        <v>0.4088619</v>
      </c>
      <c r="G124" s="240">
        <v>26.03</v>
      </c>
      <c r="H124" s="240">
        <f>ROUND(ROUND(F124,8)*G124,2)</f>
        <v>10.64</v>
      </c>
      <c r="I124" s="179"/>
      <c r="J124" s="180"/>
    </row>
    <row r="125" spans="1:10" ht="15" customHeight="1" x14ac:dyDescent="0.25">
      <c r="A125" s="181" t="s">
        <v>1830</v>
      </c>
      <c r="B125" s="241" t="s">
        <v>1831</v>
      </c>
      <c r="C125" s="481" t="s">
        <v>51</v>
      </c>
      <c r="D125" s="481"/>
      <c r="E125" s="231" t="s">
        <v>1024</v>
      </c>
      <c r="F125" s="239">
        <v>0.1155479</v>
      </c>
      <c r="G125" s="240">
        <v>19.68</v>
      </c>
      <c r="H125" s="240">
        <f>ROUND(ROUND(F125,8)*G125,2)</f>
        <v>2.27</v>
      </c>
      <c r="I125" s="179"/>
      <c r="J125" s="180"/>
    </row>
    <row r="126" spans="1:10" ht="15" customHeight="1" x14ac:dyDescent="0.25">
      <c r="A126" s="182"/>
      <c r="B126" s="183"/>
      <c r="C126" s="183"/>
      <c r="D126" s="183"/>
      <c r="E126" s="183"/>
      <c r="F126" s="477" t="s">
        <v>1832</v>
      </c>
      <c r="G126" s="477"/>
      <c r="H126" s="139">
        <f>SUM(H124:H125)</f>
        <v>12.91</v>
      </c>
      <c r="I126" s="179"/>
      <c r="J126" s="180"/>
    </row>
    <row r="127" spans="1:10" ht="15" customHeight="1" x14ac:dyDescent="0.25">
      <c r="A127" s="474" t="s">
        <v>1912</v>
      </c>
      <c r="B127" s="475"/>
      <c r="C127" s="476" t="s">
        <v>42</v>
      </c>
      <c r="D127" s="476"/>
      <c r="E127" s="230" t="s">
        <v>44</v>
      </c>
      <c r="F127" s="230" t="s">
        <v>1813</v>
      </c>
      <c r="G127" s="230" t="s">
        <v>1814</v>
      </c>
      <c r="H127" s="230" t="s">
        <v>1802</v>
      </c>
      <c r="I127" s="179"/>
      <c r="J127" s="180"/>
    </row>
    <row r="128" spans="1:10" ht="21" customHeight="1" x14ac:dyDescent="0.25">
      <c r="A128" s="181" t="s">
        <v>1925</v>
      </c>
      <c r="B128" s="241" t="s">
        <v>1926</v>
      </c>
      <c r="C128" s="481" t="s">
        <v>1927</v>
      </c>
      <c r="D128" s="481"/>
      <c r="E128" s="231" t="s">
        <v>197</v>
      </c>
      <c r="F128" s="239">
        <v>1</v>
      </c>
      <c r="G128" s="240">
        <v>523.09</v>
      </c>
      <c r="H128" s="240">
        <f>ROUND(ROUND(F128,8)*G128,2)</f>
        <v>523.09</v>
      </c>
      <c r="I128" s="179"/>
      <c r="J128" s="180"/>
    </row>
    <row r="129" spans="1:10" ht="15" customHeight="1" x14ac:dyDescent="0.25">
      <c r="A129" s="182"/>
      <c r="B129" s="183"/>
      <c r="C129" s="183"/>
      <c r="D129" s="183"/>
      <c r="E129" s="183"/>
      <c r="F129" s="477" t="s">
        <v>1915</v>
      </c>
      <c r="G129" s="477"/>
      <c r="H129" s="139">
        <f>SUM(H128:H128)</f>
        <v>523.09</v>
      </c>
      <c r="I129" s="179"/>
      <c r="J129" s="180"/>
    </row>
    <row r="130" spans="1:10" ht="15" customHeight="1" x14ac:dyDescent="0.25">
      <c r="A130" s="483" t="s">
        <v>1928</v>
      </c>
      <c r="B130" s="484"/>
      <c r="C130" s="484"/>
      <c r="D130" s="183"/>
      <c r="E130" s="183"/>
      <c r="F130" s="482" t="s">
        <v>1834</v>
      </c>
      <c r="G130" s="482"/>
      <c r="H130" s="140">
        <v>595.65</v>
      </c>
      <c r="I130" s="179"/>
      <c r="J130" s="180"/>
    </row>
    <row r="131" spans="1:10" ht="9.9499999999999993" customHeight="1" x14ac:dyDescent="0.25">
      <c r="A131" s="182"/>
      <c r="B131" s="183"/>
      <c r="C131" s="183"/>
      <c r="D131" s="183"/>
      <c r="E131" s="183"/>
      <c r="F131" s="485"/>
      <c r="G131" s="485"/>
      <c r="H131" s="485"/>
      <c r="I131" s="179"/>
      <c r="J131" s="180"/>
    </row>
    <row r="132" spans="1:10" ht="20.100000000000001" customHeight="1" x14ac:dyDescent="0.25">
      <c r="A132" s="486" t="s">
        <v>1929</v>
      </c>
      <c r="B132" s="487"/>
      <c r="C132" s="487"/>
      <c r="D132" s="487"/>
      <c r="E132" s="487"/>
      <c r="F132" s="487"/>
      <c r="G132" s="487"/>
      <c r="H132" s="487"/>
      <c r="I132" s="179"/>
      <c r="J132" s="180"/>
    </row>
    <row r="133" spans="1:10" ht="15" customHeight="1" x14ac:dyDescent="0.25">
      <c r="A133" s="474" t="s">
        <v>1827</v>
      </c>
      <c r="B133" s="475"/>
      <c r="C133" s="476" t="s">
        <v>42</v>
      </c>
      <c r="D133" s="476"/>
      <c r="E133" s="230" t="s">
        <v>44</v>
      </c>
      <c r="F133" s="230" t="s">
        <v>1813</v>
      </c>
      <c r="G133" s="230" t="s">
        <v>1814</v>
      </c>
      <c r="H133" s="230" t="s">
        <v>1802</v>
      </c>
      <c r="I133" s="179"/>
      <c r="J133" s="180"/>
    </row>
    <row r="134" spans="1:10" ht="15" customHeight="1" x14ac:dyDescent="0.25">
      <c r="A134" s="181" t="s">
        <v>1828</v>
      </c>
      <c r="B134" s="241" t="s">
        <v>1829</v>
      </c>
      <c r="C134" s="481" t="s">
        <v>51</v>
      </c>
      <c r="D134" s="481"/>
      <c r="E134" s="231" t="s">
        <v>1024</v>
      </c>
      <c r="F134" s="239">
        <v>1</v>
      </c>
      <c r="G134" s="240">
        <v>26.03</v>
      </c>
      <c r="H134" s="240">
        <f>ROUND(ROUND(F134,8)*G134,2)</f>
        <v>26.03</v>
      </c>
      <c r="I134" s="179"/>
      <c r="J134" s="180"/>
    </row>
    <row r="135" spans="1:10" ht="15" customHeight="1" x14ac:dyDescent="0.25">
      <c r="A135" s="181" t="s">
        <v>1830</v>
      </c>
      <c r="B135" s="241" t="s">
        <v>1831</v>
      </c>
      <c r="C135" s="481" t="s">
        <v>51</v>
      </c>
      <c r="D135" s="481"/>
      <c r="E135" s="231" t="s">
        <v>1024</v>
      </c>
      <c r="F135" s="239">
        <v>2</v>
      </c>
      <c r="G135" s="240">
        <v>19.68</v>
      </c>
      <c r="H135" s="240">
        <f>ROUND(ROUND(F135,8)*G135,2)</f>
        <v>39.36</v>
      </c>
      <c r="I135" s="179"/>
      <c r="J135" s="180"/>
    </row>
    <row r="136" spans="1:10" ht="15" customHeight="1" x14ac:dyDescent="0.25">
      <c r="A136" s="182"/>
      <c r="B136" s="183"/>
      <c r="C136" s="183"/>
      <c r="D136" s="183"/>
      <c r="E136" s="183"/>
      <c r="F136" s="477" t="s">
        <v>1832</v>
      </c>
      <c r="G136" s="477"/>
      <c r="H136" s="139">
        <f>SUM(H134:H135)</f>
        <v>65.39</v>
      </c>
      <c r="I136" s="179"/>
      <c r="J136" s="180"/>
    </row>
    <row r="137" spans="1:10" ht="15" customHeight="1" x14ac:dyDescent="0.25">
      <c r="A137" s="483" t="s">
        <v>1930</v>
      </c>
      <c r="B137" s="484"/>
      <c r="C137" s="484"/>
      <c r="D137" s="183"/>
      <c r="E137" s="183"/>
      <c r="F137" s="482" t="s">
        <v>1834</v>
      </c>
      <c r="G137" s="482"/>
      <c r="H137" s="140">
        <v>65.39</v>
      </c>
      <c r="I137" s="179"/>
      <c r="J137" s="180"/>
    </row>
    <row r="138" spans="1:10" ht="9.9499999999999993" customHeight="1" x14ac:dyDescent="0.25">
      <c r="A138" s="182"/>
      <c r="B138" s="183"/>
      <c r="C138" s="183"/>
      <c r="D138" s="183"/>
      <c r="E138" s="183"/>
      <c r="F138" s="485"/>
      <c r="G138" s="485"/>
      <c r="H138" s="485"/>
      <c r="I138" s="179"/>
      <c r="J138" s="180"/>
    </row>
    <row r="139" spans="1:10" ht="20.100000000000001" customHeight="1" x14ac:dyDescent="0.25">
      <c r="A139" s="486" t="s">
        <v>1931</v>
      </c>
      <c r="B139" s="487"/>
      <c r="C139" s="487"/>
      <c r="D139" s="487"/>
      <c r="E139" s="487"/>
      <c r="F139" s="487"/>
      <c r="G139" s="487"/>
      <c r="H139" s="487"/>
      <c r="I139" s="179"/>
      <c r="J139" s="180"/>
    </row>
    <row r="140" spans="1:10" ht="15" customHeight="1" x14ac:dyDescent="0.25">
      <c r="A140" s="474" t="s">
        <v>1932</v>
      </c>
      <c r="B140" s="475"/>
      <c r="C140" s="476" t="s">
        <v>42</v>
      </c>
      <c r="D140" s="476"/>
      <c r="E140" s="230" t="s">
        <v>44</v>
      </c>
      <c r="F140" s="230" t="s">
        <v>1813</v>
      </c>
      <c r="G140" s="230" t="s">
        <v>1814</v>
      </c>
      <c r="H140" s="230" t="s">
        <v>1802</v>
      </c>
      <c r="I140" s="179"/>
      <c r="J140" s="180"/>
    </row>
    <row r="141" spans="1:10" ht="15" customHeight="1" x14ac:dyDescent="0.25">
      <c r="A141" s="181" t="s">
        <v>1933</v>
      </c>
      <c r="B141" s="241" t="s">
        <v>1934</v>
      </c>
      <c r="C141" s="481" t="s">
        <v>341</v>
      </c>
      <c r="D141" s="481"/>
      <c r="E141" s="231" t="s">
        <v>1935</v>
      </c>
      <c r="F141" s="239">
        <v>0.5</v>
      </c>
      <c r="G141" s="240">
        <v>3.9</v>
      </c>
      <c r="H141" s="240">
        <f>ROUND(ROUND(F141,8)*G141,2)</f>
        <v>1.95</v>
      </c>
      <c r="I141" s="179"/>
      <c r="J141" s="180"/>
    </row>
    <row r="142" spans="1:10" ht="15" customHeight="1" x14ac:dyDescent="0.25">
      <c r="A142" s="181" t="s">
        <v>1936</v>
      </c>
      <c r="B142" s="241" t="s">
        <v>1937</v>
      </c>
      <c r="C142" s="481" t="s">
        <v>341</v>
      </c>
      <c r="D142" s="481"/>
      <c r="E142" s="231" t="s">
        <v>1935</v>
      </c>
      <c r="F142" s="239">
        <v>3</v>
      </c>
      <c r="G142" s="240">
        <v>3.9</v>
      </c>
      <c r="H142" s="240">
        <f>ROUND(ROUND(F142,8)*G142,2)</f>
        <v>11.7</v>
      </c>
      <c r="I142" s="179"/>
      <c r="J142" s="180"/>
    </row>
    <row r="143" spans="1:10" ht="15" customHeight="1" x14ac:dyDescent="0.25">
      <c r="A143" s="182"/>
      <c r="B143" s="183"/>
      <c r="C143" s="183"/>
      <c r="D143" s="183"/>
      <c r="E143" s="183"/>
      <c r="F143" s="477" t="s">
        <v>1938</v>
      </c>
      <c r="G143" s="477"/>
      <c r="H143" s="139">
        <f>SUM(H141:H142)</f>
        <v>13.649999999999999</v>
      </c>
      <c r="I143" s="179"/>
      <c r="J143" s="180"/>
    </row>
    <row r="144" spans="1:10" ht="15" customHeight="1" x14ac:dyDescent="0.25">
      <c r="A144" s="474" t="s">
        <v>1812</v>
      </c>
      <c r="B144" s="475"/>
      <c r="C144" s="476" t="s">
        <v>42</v>
      </c>
      <c r="D144" s="476"/>
      <c r="E144" s="230" t="s">
        <v>44</v>
      </c>
      <c r="F144" s="230" t="s">
        <v>1813</v>
      </c>
      <c r="G144" s="230" t="s">
        <v>1814</v>
      </c>
      <c r="H144" s="230" t="s">
        <v>1802</v>
      </c>
      <c r="I144" s="179"/>
      <c r="J144" s="180"/>
    </row>
    <row r="145" spans="1:10" ht="15" customHeight="1" x14ac:dyDescent="0.25">
      <c r="A145" s="181" t="s">
        <v>1939</v>
      </c>
      <c r="B145" s="241" t="s">
        <v>1940</v>
      </c>
      <c r="C145" s="481" t="s">
        <v>341</v>
      </c>
      <c r="D145" s="481"/>
      <c r="E145" s="231" t="s">
        <v>786</v>
      </c>
      <c r="F145" s="239">
        <v>0.25</v>
      </c>
      <c r="G145" s="240">
        <v>46.26</v>
      </c>
      <c r="H145" s="240">
        <f t="shared" ref="H145:H150" si="1">ROUND(ROUND(F145,8)*G145,2)</f>
        <v>11.57</v>
      </c>
      <c r="I145" s="179"/>
      <c r="J145" s="180"/>
    </row>
    <row r="146" spans="1:10" ht="15" customHeight="1" x14ac:dyDescent="0.25">
      <c r="A146" s="181" t="s">
        <v>1941</v>
      </c>
      <c r="B146" s="241" t="s">
        <v>1942</v>
      </c>
      <c r="C146" s="481" t="s">
        <v>341</v>
      </c>
      <c r="D146" s="481"/>
      <c r="E146" s="231" t="s">
        <v>579</v>
      </c>
      <c r="F146" s="239">
        <v>0.54</v>
      </c>
      <c r="G146" s="240">
        <v>85.75</v>
      </c>
      <c r="H146" s="240">
        <f t="shared" si="1"/>
        <v>46.31</v>
      </c>
      <c r="I146" s="179"/>
      <c r="J146" s="180"/>
    </row>
    <row r="147" spans="1:10" ht="21" customHeight="1" x14ac:dyDescent="0.25">
      <c r="A147" s="181" t="s">
        <v>1943</v>
      </c>
      <c r="B147" s="241" t="s">
        <v>1944</v>
      </c>
      <c r="C147" s="481" t="s">
        <v>341</v>
      </c>
      <c r="D147" s="481"/>
      <c r="E147" s="231" t="s">
        <v>579</v>
      </c>
      <c r="F147" s="239">
        <v>1</v>
      </c>
      <c r="G147" s="240">
        <v>0.97</v>
      </c>
      <c r="H147" s="240">
        <f t="shared" si="1"/>
        <v>0.97</v>
      </c>
      <c r="I147" s="179"/>
      <c r="J147" s="180"/>
    </row>
    <row r="148" spans="1:10" ht="15" customHeight="1" x14ac:dyDescent="0.25">
      <c r="A148" s="181" t="s">
        <v>1945</v>
      </c>
      <c r="B148" s="241" t="s">
        <v>1946</v>
      </c>
      <c r="C148" s="481" t="s">
        <v>341</v>
      </c>
      <c r="D148" s="481"/>
      <c r="E148" s="231" t="s">
        <v>54</v>
      </c>
      <c r="F148" s="239">
        <v>0.25</v>
      </c>
      <c r="G148" s="240">
        <v>22.27</v>
      </c>
      <c r="H148" s="240">
        <f t="shared" si="1"/>
        <v>5.57</v>
      </c>
      <c r="I148" s="179"/>
      <c r="J148" s="180"/>
    </row>
    <row r="149" spans="1:10" ht="15" customHeight="1" x14ac:dyDescent="0.25">
      <c r="A149" s="181" t="s">
        <v>1947</v>
      </c>
      <c r="B149" s="241" t="s">
        <v>1948</v>
      </c>
      <c r="C149" s="481" t="s">
        <v>341</v>
      </c>
      <c r="D149" s="481"/>
      <c r="E149" s="231" t="s">
        <v>579</v>
      </c>
      <c r="F149" s="239">
        <v>1</v>
      </c>
      <c r="G149" s="240">
        <v>4.92</v>
      </c>
      <c r="H149" s="240">
        <f t="shared" si="1"/>
        <v>4.92</v>
      </c>
      <c r="I149" s="179"/>
      <c r="J149" s="180"/>
    </row>
    <row r="150" spans="1:10" ht="15" customHeight="1" x14ac:dyDescent="0.25">
      <c r="A150" s="181" t="s">
        <v>1949</v>
      </c>
      <c r="B150" s="241" t="s">
        <v>1950</v>
      </c>
      <c r="C150" s="481" t="s">
        <v>341</v>
      </c>
      <c r="D150" s="481"/>
      <c r="E150" s="231" t="s">
        <v>1951</v>
      </c>
      <c r="F150" s="239">
        <v>0.09</v>
      </c>
      <c r="G150" s="240">
        <v>63.46</v>
      </c>
      <c r="H150" s="240">
        <f t="shared" si="1"/>
        <v>5.71</v>
      </c>
      <c r="I150" s="179"/>
      <c r="J150" s="180"/>
    </row>
    <row r="151" spans="1:10" ht="15" customHeight="1" x14ac:dyDescent="0.25">
      <c r="A151" s="182"/>
      <c r="B151" s="183"/>
      <c r="C151" s="183"/>
      <c r="D151" s="183"/>
      <c r="E151" s="183"/>
      <c r="F151" s="477" t="s">
        <v>1826</v>
      </c>
      <c r="G151" s="477"/>
      <c r="H151" s="139">
        <f>SUM(H145:H150)</f>
        <v>75.05</v>
      </c>
      <c r="I151" s="179"/>
      <c r="J151" s="180"/>
    </row>
    <row r="152" spans="1:10" ht="15" customHeight="1" x14ac:dyDescent="0.25">
      <c r="A152" s="474" t="s">
        <v>1827</v>
      </c>
      <c r="B152" s="475"/>
      <c r="C152" s="476" t="s">
        <v>42</v>
      </c>
      <c r="D152" s="476"/>
      <c r="E152" s="230" t="s">
        <v>44</v>
      </c>
      <c r="F152" s="230" t="s">
        <v>1813</v>
      </c>
      <c r="G152" s="230" t="s">
        <v>1814</v>
      </c>
      <c r="H152" s="230" t="s">
        <v>1802</v>
      </c>
      <c r="I152" s="179"/>
      <c r="J152" s="180"/>
    </row>
    <row r="153" spans="1:10" ht="15" customHeight="1" x14ac:dyDescent="0.25">
      <c r="A153" s="181" t="s">
        <v>1952</v>
      </c>
      <c r="B153" s="241" t="s">
        <v>1953</v>
      </c>
      <c r="C153" s="481" t="s">
        <v>341</v>
      </c>
      <c r="D153" s="481"/>
      <c r="E153" s="231" t="s">
        <v>1935</v>
      </c>
      <c r="F153" s="239">
        <v>0.5</v>
      </c>
      <c r="G153" s="240">
        <v>15.88</v>
      </c>
      <c r="H153" s="240">
        <f>ROUND(ROUND(F153,8)*G153,2)</f>
        <v>7.94</v>
      </c>
      <c r="I153" s="179"/>
      <c r="J153" s="180"/>
    </row>
    <row r="154" spans="1:10" ht="15" customHeight="1" x14ac:dyDescent="0.25">
      <c r="A154" s="181" t="s">
        <v>1828</v>
      </c>
      <c r="B154" s="241" t="s">
        <v>1829</v>
      </c>
      <c r="C154" s="481" t="s">
        <v>51</v>
      </c>
      <c r="D154" s="481"/>
      <c r="E154" s="231" t="s">
        <v>1024</v>
      </c>
      <c r="F154" s="239">
        <v>1</v>
      </c>
      <c r="G154" s="240">
        <v>26.03</v>
      </c>
      <c r="H154" s="240">
        <f>ROUND(ROUND(F154,8)*G154,2)</f>
        <v>26.03</v>
      </c>
      <c r="I154" s="179"/>
      <c r="J154" s="180"/>
    </row>
    <row r="155" spans="1:10" ht="15" customHeight="1" x14ac:dyDescent="0.25">
      <c r="A155" s="181" t="s">
        <v>1954</v>
      </c>
      <c r="B155" s="241" t="s">
        <v>1955</v>
      </c>
      <c r="C155" s="481" t="s">
        <v>341</v>
      </c>
      <c r="D155" s="481"/>
      <c r="E155" s="231" t="s">
        <v>1935</v>
      </c>
      <c r="F155" s="239">
        <v>3</v>
      </c>
      <c r="G155" s="240">
        <v>74.599999999999994</v>
      </c>
      <c r="H155" s="240">
        <f>ROUND(ROUND(F155,8)*G155,2)</f>
        <v>223.8</v>
      </c>
      <c r="I155" s="179"/>
      <c r="J155" s="180"/>
    </row>
    <row r="156" spans="1:10" ht="15" customHeight="1" x14ac:dyDescent="0.25">
      <c r="A156" s="182"/>
      <c r="B156" s="183"/>
      <c r="C156" s="183"/>
      <c r="D156" s="183"/>
      <c r="E156" s="183"/>
      <c r="F156" s="477" t="s">
        <v>1832</v>
      </c>
      <c r="G156" s="477"/>
      <c r="H156" s="139">
        <f>SUM(H153:H155)</f>
        <v>257.77</v>
      </c>
      <c r="I156" s="179"/>
      <c r="J156" s="180"/>
    </row>
    <row r="157" spans="1:10" ht="15" customHeight="1" x14ac:dyDescent="0.25">
      <c r="A157" s="483" t="s">
        <v>1956</v>
      </c>
      <c r="B157" s="484"/>
      <c r="C157" s="484"/>
      <c r="D157" s="183"/>
      <c r="E157" s="183"/>
      <c r="F157" s="482" t="s">
        <v>1834</v>
      </c>
      <c r="G157" s="482"/>
      <c r="H157" s="140">
        <v>346.47</v>
      </c>
      <c r="I157" s="179"/>
      <c r="J157" s="180"/>
    </row>
    <row r="158" spans="1:10" ht="9.9499999999999993" customHeight="1" x14ac:dyDescent="0.25">
      <c r="A158" s="182"/>
      <c r="B158" s="183"/>
      <c r="C158" s="183"/>
      <c r="D158" s="183"/>
      <c r="E158" s="183"/>
      <c r="F158" s="485"/>
      <c r="G158" s="485"/>
      <c r="H158" s="485"/>
      <c r="I158" s="179"/>
      <c r="J158" s="180"/>
    </row>
    <row r="159" spans="1:10" ht="20.100000000000001" customHeight="1" x14ac:dyDescent="0.25">
      <c r="A159" s="486" t="s">
        <v>1957</v>
      </c>
      <c r="B159" s="487"/>
      <c r="C159" s="487"/>
      <c r="D159" s="487"/>
      <c r="E159" s="487"/>
      <c r="F159" s="487"/>
      <c r="G159" s="487"/>
      <c r="H159" s="487"/>
      <c r="I159" s="179"/>
      <c r="J159" s="180"/>
    </row>
    <row r="160" spans="1:10" ht="15" customHeight="1" x14ac:dyDescent="0.25">
      <c r="A160" s="474" t="s">
        <v>1812</v>
      </c>
      <c r="B160" s="475"/>
      <c r="C160" s="476" t="s">
        <v>42</v>
      </c>
      <c r="D160" s="476"/>
      <c r="E160" s="230" t="s">
        <v>44</v>
      </c>
      <c r="F160" s="230" t="s">
        <v>1813</v>
      </c>
      <c r="G160" s="230" t="s">
        <v>1814</v>
      </c>
      <c r="H160" s="230" t="s">
        <v>1802</v>
      </c>
      <c r="I160" s="179"/>
      <c r="J160" s="180"/>
    </row>
    <row r="161" spans="1:10" ht="45.95" customHeight="1" x14ac:dyDescent="0.25">
      <c r="A161" s="181" t="s">
        <v>1958</v>
      </c>
      <c r="B161" s="241" t="s">
        <v>1959</v>
      </c>
      <c r="C161" s="481" t="s">
        <v>82</v>
      </c>
      <c r="D161" s="481"/>
      <c r="E161" s="231" t="s">
        <v>1960</v>
      </c>
      <c r="F161" s="239">
        <v>2</v>
      </c>
      <c r="G161" s="240">
        <v>159.03</v>
      </c>
      <c r="H161" s="240">
        <f>ROUND(ROUND(F161,8)*G161,2)</f>
        <v>318.06</v>
      </c>
      <c r="I161" s="179"/>
      <c r="J161" s="180"/>
    </row>
    <row r="162" spans="1:10" ht="21" customHeight="1" x14ac:dyDescent="0.25">
      <c r="A162" s="181" t="s">
        <v>1961</v>
      </c>
      <c r="B162" s="241" t="s">
        <v>1962</v>
      </c>
      <c r="C162" s="481" t="s">
        <v>1963</v>
      </c>
      <c r="D162" s="481"/>
      <c r="E162" s="231" t="s">
        <v>251</v>
      </c>
      <c r="F162" s="239">
        <v>1</v>
      </c>
      <c r="G162" s="240">
        <v>127.23</v>
      </c>
      <c r="H162" s="240">
        <f>ROUND(ROUND(F162,8)*G162,2)</f>
        <v>127.23</v>
      </c>
      <c r="I162" s="179"/>
      <c r="J162" s="180"/>
    </row>
    <row r="163" spans="1:10" ht="21" customHeight="1" x14ac:dyDescent="0.25">
      <c r="A163" s="181" t="s">
        <v>1964</v>
      </c>
      <c r="B163" s="241" t="s">
        <v>1965</v>
      </c>
      <c r="C163" s="481" t="s">
        <v>82</v>
      </c>
      <c r="D163" s="481"/>
      <c r="E163" s="231" t="s">
        <v>226</v>
      </c>
      <c r="F163" s="239">
        <v>2</v>
      </c>
      <c r="G163" s="240">
        <v>857.05</v>
      </c>
      <c r="H163" s="240">
        <f>ROUND(ROUND(F163,8)*G163,2)</f>
        <v>1714.1</v>
      </c>
      <c r="I163" s="179"/>
      <c r="J163" s="180"/>
    </row>
    <row r="164" spans="1:10" ht="15" customHeight="1" x14ac:dyDescent="0.25">
      <c r="A164" s="181" t="s">
        <v>1966</v>
      </c>
      <c r="B164" s="241" t="s">
        <v>1967</v>
      </c>
      <c r="C164" s="481" t="s">
        <v>82</v>
      </c>
      <c r="D164" s="481"/>
      <c r="E164" s="231" t="s">
        <v>122</v>
      </c>
      <c r="F164" s="239">
        <v>3.09</v>
      </c>
      <c r="G164" s="240">
        <v>383.86</v>
      </c>
      <c r="H164" s="240">
        <f>ROUND(ROUND(F164,8)*G164,2)</f>
        <v>1186.1300000000001</v>
      </c>
      <c r="I164" s="179"/>
      <c r="J164" s="180"/>
    </row>
    <row r="165" spans="1:10" ht="15" customHeight="1" x14ac:dyDescent="0.25">
      <c r="A165" s="182"/>
      <c r="B165" s="183"/>
      <c r="C165" s="183"/>
      <c r="D165" s="183"/>
      <c r="E165" s="183"/>
      <c r="F165" s="477" t="s">
        <v>1826</v>
      </c>
      <c r="G165" s="477"/>
      <c r="H165" s="139">
        <f>SUM(H161:H164)</f>
        <v>3345.52</v>
      </c>
      <c r="I165" s="179"/>
      <c r="J165" s="180"/>
    </row>
    <row r="166" spans="1:10" ht="15" customHeight="1" x14ac:dyDescent="0.25">
      <c r="A166" s="474" t="s">
        <v>1827</v>
      </c>
      <c r="B166" s="475"/>
      <c r="C166" s="476" t="s">
        <v>42</v>
      </c>
      <c r="D166" s="476"/>
      <c r="E166" s="230" t="s">
        <v>44</v>
      </c>
      <c r="F166" s="230" t="s">
        <v>1813</v>
      </c>
      <c r="G166" s="230" t="s">
        <v>1814</v>
      </c>
      <c r="H166" s="230" t="s">
        <v>1802</v>
      </c>
      <c r="I166" s="179"/>
      <c r="J166" s="180"/>
    </row>
    <row r="167" spans="1:10" ht="15" customHeight="1" x14ac:dyDescent="0.25">
      <c r="A167" s="181" t="s">
        <v>1830</v>
      </c>
      <c r="B167" s="241" t="s">
        <v>1831</v>
      </c>
      <c r="C167" s="481" t="s">
        <v>51</v>
      </c>
      <c r="D167" s="481"/>
      <c r="E167" s="231" t="s">
        <v>1024</v>
      </c>
      <c r="F167" s="239">
        <v>5.7070166999999996</v>
      </c>
      <c r="G167" s="240">
        <v>19.68</v>
      </c>
      <c r="H167" s="240">
        <f>ROUND(ROUND(F167,8)*G167,2)</f>
        <v>112.31</v>
      </c>
      <c r="I167" s="179"/>
      <c r="J167" s="180"/>
    </row>
    <row r="168" spans="1:10" ht="15" customHeight="1" x14ac:dyDescent="0.25">
      <c r="A168" s="181" t="s">
        <v>1968</v>
      </c>
      <c r="B168" s="241" t="s">
        <v>1969</v>
      </c>
      <c r="C168" s="481" t="s">
        <v>51</v>
      </c>
      <c r="D168" s="481"/>
      <c r="E168" s="231" t="s">
        <v>1024</v>
      </c>
      <c r="F168" s="239">
        <v>6.6149510999999999</v>
      </c>
      <c r="G168" s="240">
        <v>26.03</v>
      </c>
      <c r="H168" s="240">
        <f>ROUND(ROUND(F168,8)*G168,2)</f>
        <v>172.19</v>
      </c>
      <c r="I168" s="179"/>
      <c r="J168" s="180"/>
    </row>
    <row r="169" spans="1:10" ht="15" customHeight="1" x14ac:dyDescent="0.25">
      <c r="A169" s="182"/>
      <c r="B169" s="183"/>
      <c r="C169" s="183"/>
      <c r="D169" s="183"/>
      <c r="E169" s="183"/>
      <c r="F169" s="477" t="s">
        <v>1832</v>
      </c>
      <c r="G169" s="477"/>
      <c r="H169" s="139">
        <f>SUM(H167:H168)</f>
        <v>284.5</v>
      </c>
      <c r="I169" s="179"/>
      <c r="J169" s="180"/>
    </row>
    <row r="170" spans="1:10" ht="15" customHeight="1" x14ac:dyDescent="0.25">
      <c r="A170" s="483" t="s">
        <v>1970</v>
      </c>
      <c r="B170" s="484"/>
      <c r="C170" s="484"/>
      <c r="D170" s="183"/>
      <c r="E170" s="183"/>
      <c r="F170" s="482" t="s">
        <v>1834</v>
      </c>
      <c r="G170" s="482"/>
      <c r="H170" s="140">
        <v>3630.02</v>
      </c>
      <c r="I170" s="179"/>
      <c r="J170" s="180"/>
    </row>
    <row r="171" spans="1:10" ht="9.9499999999999993" customHeight="1" x14ac:dyDescent="0.25">
      <c r="A171" s="182"/>
      <c r="B171" s="183"/>
      <c r="C171" s="183"/>
      <c r="D171" s="183"/>
      <c r="E171" s="183"/>
      <c r="F171" s="485"/>
      <c r="G171" s="485"/>
      <c r="H171" s="485"/>
      <c r="I171" s="179"/>
      <c r="J171" s="180"/>
    </row>
    <row r="172" spans="1:10" ht="20.100000000000001" customHeight="1" x14ac:dyDescent="0.25">
      <c r="A172" s="486" t="s">
        <v>1971</v>
      </c>
      <c r="B172" s="487"/>
      <c r="C172" s="487"/>
      <c r="D172" s="487"/>
      <c r="E172" s="487"/>
      <c r="F172" s="487"/>
      <c r="G172" s="487"/>
      <c r="H172" s="487"/>
      <c r="I172" s="179"/>
      <c r="J172" s="180"/>
    </row>
    <row r="173" spans="1:10" ht="15" customHeight="1" x14ac:dyDescent="0.25">
      <c r="A173" s="474" t="s">
        <v>1812</v>
      </c>
      <c r="B173" s="475"/>
      <c r="C173" s="476" t="s">
        <v>42</v>
      </c>
      <c r="D173" s="476"/>
      <c r="E173" s="230" t="s">
        <v>44</v>
      </c>
      <c r="F173" s="230" t="s">
        <v>1813</v>
      </c>
      <c r="G173" s="230" t="s">
        <v>1814</v>
      </c>
      <c r="H173" s="230" t="s">
        <v>1802</v>
      </c>
      <c r="I173" s="179"/>
      <c r="J173" s="180"/>
    </row>
    <row r="174" spans="1:10" ht="45.95" customHeight="1" x14ac:dyDescent="0.25">
      <c r="A174" s="181" t="s">
        <v>1958</v>
      </c>
      <c r="B174" s="241" t="s">
        <v>1959</v>
      </c>
      <c r="C174" s="481" t="s">
        <v>82</v>
      </c>
      <c r="D174" s="481"/>
      <c r="E174" s="231" t="s">
        <v>1960</v>
      </c>
      <c r="F174" s="239">
        <v>2</v>
      </c>
      <c r="G174" s="240">
        <v>159.03</v>
      </c>
      <c r="H174" s="240">
        <f>ROUND(ROUND(F174,8)*G174,2)</f>
        <v>318.06</v>
      </c>
      <c r="I174" s="179"/>
      <c r="J174" s="180"/>
    </row>
    <row r="175" spans="1:10" ht="21" customHeight="1" x14ac:dyDescent="0.25">
      <c r="A175" s="181" t="s">
        <v>1961</v>
      </c>
      <c r="B175" s="241" t="s">
        <v>1962</v>
      </c>
      <c r="C175" s="481" t="s">
        <v>1963</v>
      </c>
      <c r="D175" s="481"/>
      <c r="E175" s="231" t="s">
        <v>251</v>
      </c>
      <c r="F175" s="239">
        <v>1</v>
      </c>
      <c r="G175" s="240">
        <v>127.23</v>
      </c>
      <c r="H175" s="240">
        <f>ROUND(ROUND(F175,8)*G175,2)</f>
        <v>127.23</v>
      </c>
      <c r="I175" s="179"/>
      <c r="J175" s="180"/>
    </row>
    <row r="176" spans="1:10" ht="21" customHeight="1" x14ac:dyDescent="0.25">
      <c r="A176" s="181" t="s">
        <v>1964</v>
      </c>
      <c r="B176" s="241" t="s">
        <v>1965</v>
      </c>
      <c r="C176" s="481" t="s">
        <v>82</v>
      </c>
      <c r="D176" s="481"/>
      <c r="E176" s="231" t="s">
        <v>226</v>
      </c>
      <c r="F176" s="239">
        <v>2</v>
      </c>
      <c r="G176" s="240">
        <v>857.05</v>
      </c>
      <c r="H176" s="240">
        <f>ROUND(ROUND(F176,8)*G176,2)</f>
        <v>1714.1</v>
      </c>
      <c r="I176" s="179"/>
      <c r="J176" s="180"/>
    </row>
    <row r="177" spans="1:10" ht="15" customHeight="1" x14ac:dyDescent="0.25">
      <c r="A177" s="181" t="s">
        <v>1966</v>
      </c>
      <c r="B177" s="241" t="s">
        <v>1967</v>
      </c>
      <c r="C177" s="481" t="s">
        <v>82</v>
      </c>
      <c r="D177" s="481"/>
      <c r="E177" s="231" t="s">
        <v>122</v>
      </c>
      <c r="F177" s="239">
        <v>2.58</v>
      </c>
      <c r="G177" s="240">
        <v>383.86</v>
      </c>
      <c r="H177" s="240">
        <f>ROUND(ROUND(F177,8)*G177,2)</f>
        <v>990.36</v>
      </c>
      <c r="I177" s="179"/>
      <c r="J177" s="180"/>
    </row>
    <row r="178" spans="1:10" ht="15" customHeight="1" x14ac:dyDescent="0.25">
      <c r="A178" s="182"/>
      <c r="B178" s="183"/>
      <c r="C178" s="183"/>
      <c r="D178" s="183"/>
      <c r="E178" s="183"/>
      <c r="F178" s="477" t="s">
        <v>1826</v>
      </c>
      <c r="G178" s="477"/>
      <c r="H178" s="139">
        <f>SUM(H174:H177)</f>
        <v>3149.75</v>
      </c>
      <c r="I178" s="179"/>
      <c r="J178" s="180"/>
    </row>
    <row r="179" spans="1:10" ht="15" customHeight="1" x14ac:dyDescent="0.25">
      <c r="A179" s="474" t="s">
        <v>1827</v>
      </c>
      <c r="B179" s="475"/>
      <c r="C179" s="476" t="s">
        <v>42</v>
      </c>
      <c r="D179" s="476"/>
      <c r="E179" s="230" t="s">
        <v>44</v>
      </c>
      <c r="F179" s="230" t="s">
        <v>1813</v>
      </c>
      <c r="G179" s="230" t="s">
        <v>1814</v>
      </c>
      <c r="H179" s="230" t="s">
        <v>1802</v>
      </c>
      <c r="I179" s="179"/>
      <c r="J179" s="180"/>
    </row>
    <row r="180" spans="1:10" ht="15" customHeight="1" x14ac:dyDescent="0.25">
      <c r="A180" s="181" t="s">
        <v>1830</v>
      </c>
      <c r="B180" s="241" t="s">
        <v>1831</v>
      </c>
      <c r="C180" s="481" t="s">
        <v>51</v>
      </c>
      <c r="D180" s="481"/>
      <c r="E180" s="231" t="s">
        <v>1024</v>
      </c>
      <c r="F180" s="239">
        <v>5.7070166999999996</v>
      </c>
      <c r="G180" s="240">
        <v>19.68</v>
      </c>
      <c r="H180" s="240">
        <f>ROUND(ROUND(F180,8)*G180,2)</f>
        <v>112.31</v>
      </c>
      <c r="I180" s="179"/>
      <c r="J180" s="180"/>
    </row>
    <row r="181" spans="1:10" ht="15" customHeight="1" x14ac:dyDescent="0.25">
      <c r="A181" s="181" t="s">
        <v>1968</v>
      </c>
      <c r="B181" s="241" t="s">
        <v>1969</v>
      </c>
      <c r="C181" s="481" t="s">
        <v>51</v>
      </c>
      <c r="D181" s="481"/>
      <c r="E181" s="231" t="s">
        <v>1024</v>
      </c>
      <c r="F181" s="239">
        <v>6.6149510999999999</v>
      </c>
      <c r="G181" s="240">
        <v>26.03</v>
      </c>
      <c r="H181" s="240">
        <f>ROUND(ROUND(F181,8)*G181,2)</f>
        <v>172.19</v>
      </c>
      <c r="I181" s="179"/>
      <c r="J181" s="180"/>
    </row>
    <row r="182" spans="1:10" ht="15" customHeight="1" x14ac:dyDescent="0.25">
      <c r="A182" s="182"/>
      <c r="B182" s="183"/>
      <c r="C182" s="183"/>
      <c r="D182" s="183"/>
      <c r="E182" s="183"/>
      <c r="F182" s="477" t="s">
        <v>1832</v>
      </c>
      <c r="G182" s="477"/>
      <c r="H182" s="139">
        <f>SUM(H180:H181)</f>
        <v>284.5</v>
      </c>
      <c r="I182" s="179"/>
      <c r="J182" s="180"/>
    </row>
    <row r="183" spans="1:10" ht="15" customHeight="1" x14ac:dyDescent="0.25">
      <c r="A183" s="483" t="s">
        <v>1970</v>
      </c>
      <c r="B183" s="484"/>
      <c r="C183" s="484"/>
      <c r="D183" s="183"/>
      <c r="E183" s="183"/>
      <c r="F183" s="482" t="s">
        <v>1834</v>
      </c>
      <c r="G183" s="482"/>
      <c r="H183" s="140">
        <v>3434.25</v>
      </c>
      <c r="I183" s="179"/>
      <c r="J183" s="180"/>
    </row>
    <row r="184" spans="1:10" ht="9.9499999999999993" customHeight="1" x14ac:dyDescent="0.25">
      <c r="A184" s="182"/>
      <c r="B184" s="183"/>
      <c r="C184" s="183"/>
      <c r="D184" s="183"/>
      <c r="E184" s="183"/>
      <c r="F184" s="485"/>
      <c r="G184" s="485"/>
      <c r="H184" s="485"/>
      <c r="I184" s="179"/>
      <c r="J184" s="180"/>
    </row>
    <row r="185" spans="1:10" ht="20.100000000000001" customHeight="1" x14ac:dyDescent="0.25">
      <c r="A185" s="486" t="s">
        <v>1972</v>
      </c>
      <c r="B185" s="487"/>
      <c r="C185" s="487"/>
      <c r="D185" s="487"/>
      <c r="E185" s="487"/>
      <c r="F185" s="487"/>
      <c r="G185" s="487"/>
      <c r="H185" s="487"/>
      <c r="I185" s="179"/>
      <c r="J185" s="180"/>
    </row>
    <row r="186" spans="1:10" ht="15" customHeight="1" x14ac:dyDescent="0.25">
      <c r="A186" s="474" t="s">
        <v>1812</v>
      </c>
      <c r="B186" s="475"/>
      <c r="C186" s="476" t="s">
        <v>42</v>
      </c>
      <c r="D186" s="476"/>
      <c r="E186" s="230" t="s">
        <v>44</v>
      </c>
      <c r="F186" s="230" t="s">
        <v>1813</v>
      </c>
      <c r="G186" s="230" t="s">
        <v>1814</v>
      </c>
      <c r="H186" s="230" t="s">
        <v>1802</v>
      </c>
      <c r="I186" s="179"/>
      <c r="J186" s="180"/>
    </row>
    <row r="187" spans="1:10" ht="15" customHeight="1" x14ac:dyDescent="0.25">
      <c r="A187" s="181" t="s">
        <v>1973</v>
      </c>
      <c r="B187" s="241" t="s">
        <v>1974</v>
      </c>
      <c r="C187" s="481" t="s">
        <v>341</v>
      </c>
      <c r="D187" s="481"/>
      <c r="E187" s="231" t="s">
        <v>1951</v>
      </c>
      <c r="F187" s="239">
        <v>0.3</v>
      </c>
      <c r="G187" s="240">
        <v>74.89</v>
      </c>
      <c r="H187" s="240">
        <f>ROUND(ROUND(F187,8)*G187,2)</f>
        <v>22.47</v>
      </c>
      <c r="I187" s="179"/>
      <c r="J187" s="180"/>
    </row>
    <row r="188" spans="1:10" ht="15" customHeight="1" x14ac:dyDescent="0.25">
      <c r="A188" s="181" t="s">
        <v>1975</v>
      </c>
      <c r="B188" s="241" t="s">
        <v>1976</v>
      </c>
      <c r="C188" s="481" t="s">
        <v>341</v>
      </c>
      <c r="D188" s="481"/>
      <c r="E188" s="231" t="s">
        <v>579</v>
      </c>
      <c r="F188" s="239">
        <v>0.4</v>
      </c>
      <c r="G188" s="240">
        <v>5.45</v>
      </c>
      <c r="H188" s="240">
        <f>ROUND(ROUND(F188,8)*G188,2)</f>
        <v>2.1800000000000002</v>
      </c>
      <c r="I188" s="179"/>
      <c r="J188" s="180"/>
    </row>
    <row r="189" spans="1:10" ht="15" customHeight="1" x14ac:dyDescent="0.25">
      <c r="A189" s="182"/>
      <c r="B189" s="183"/>
      <c r="C189" s="183"/>
      <c r="D189" s="183"/>
      <c r="E189" s="183"/>
      <c r="F189" s="477" t="s">
        <v>1826</v>
      </c>
      <c r="G189" s="477"/>
      <c r="H189" s="139">
        <f>SUM(H187:H188)</f>
        <v>24.65</v>
      </c>
      <c r="I189" s="179"/>
      <c r="J189" s="180"/>
    </row>
    <row r="190" spans="1:10" ht="15" customHeight="1" x14ac:dyDescent="0.25">
      <c r="A190" s="474" t="s">
        <v>1827</v>
      </c>
      <c r="B190" s="475"/>
      <c r="C190" s="476" t="s">
        <v>42</v>
      </c>
      <c r="D190" s="476"/>
      <c r="E190" s="230" t="s">
        <v>44</v>
      </c>
      <c r="F190" s="230" t="s">
        <v>1813</v>
      </c>
      <c r="G190" s="230" t="s">
        <v>1814</v>
      </c>
      <c r="H190" s="230" t="s">
        <v>1802</v>
      </c>
      <c r="I190" s="179"/>
      <c r="J190" s="180"/>
    </row>
    <row r="191" spans="1:10" ht="15" customHeight="1" x14ac:dyDescent="0.25">
      <c r="A191" s="181" t="s">
        <v>1830</v>
      </c>
      <c r="B191" s="241" t="s">
        <v>1831</v>
      </c>
      <c r="C191" s="481" t="s">
        <v>51</v>
      </c>
      <c r="D191" s="481"/>
      <c r="E191" s="231" t="s">
        <v>1024</v>
      </c>
      <c r="F191" s="239">
        <v>0.3</v>
      </c>
      <c r="G191" s="240">
        <v>19.68</v>
      </c>
      <c r="H191" s="240">
        <f>ROUND(ROUND(F191,8)*G191,2)</f>
        <v>5.9</v>
      </c>
      <c r="I191" s="179"/>
      <c r="J191" s="180"/>
    </row>
    <row r="192" spans="1:10" ht="15" customHeight="1" x14ac:dyDescent="0.25">
      <c r="A192" s="182"/>
      <c r="B192" s="183"/>
      <c r="C192" s="183"/>
      <c r="D192" s="183"/>
      <c r="E192" s="183"/>
      <c r="F192" s="477" t="s">
        <v>1832</v>
      </c>
      <c r="G192" s="477"/>
      <c r="H192" s="139">
        <f>SUM(H191:H191)</f>
        <v>5.9</v>
      </c>
      <c r="I192" s="179"/>
      <c r="J192" s="180"/>
    </row>
    <row r="193" spans="1:10" ht="15" customHeight="1" x14ac:dyDescent="0.25">
      <c r="A193" s="474" t="s">
        <v>1912</v>
      </c>
      <c r="B193" s="475"/>
      <c r="C193" s="476" t="s">
        <v>42</v>
      </c>
      <c r="D193" s="476"/>
      <c r="E193" s="230" t="s">
        <v>44</v>
      </c>
      <c r="F193" s="230" t="s">
        <v>1813</v>
      </c>
      <c r="G193" s="230" t="s">
        <v>1814</v>
      </c>
      <c r="H193" s="230" t="s">
        <v>1802</v>
      </c>
      <c r="I193" s="179"/>
      <c r="J193" s="180"/>
    </row>
    <row r="194" spans="1:10" ht="21" customHeight="1" x14ac:dyDescent="0.25">
      <c r="A194" s="181" t="s">
        <v>1977</v>
      </c>
      <c r="B194" s="241" t="s">
        <v>1978</v>
      </c>
      <c r="C194" s="481" t="s">
        <v>77</v>
      </c>
      <c r="D194" s="481"/>
      <c r="E194" s="231" t="s">
        <v>54</v>
      </c>
      <c r="F194" s="239">
        <v>1</v>
      </c>
      <c r="G194" s="240">
        <v>43.34</v>
      </c>
      <c r="H194" s="240">
        <f>ROUND(ROUND(F194,8)*G194,2)</f>
        <v>43.34</v>
      </c>
      <c r="I194" s="179"/>
      <c r="J194" s="180"/>
    </row>
    <row r="195" spans="1:10" ht="15" customHeight="1" x14ac:dyDescent="0.25">
      <c r="A195" s="182"/>
      <c r="B195" s="183"/>
      <c r="C195" s="183"/>
      <c r="D195" s="183"/>
      <c r="E195" s="183"/>
      <c r="F195" s="477" t="s">
        <v>1915</v>
      </c>
      <c r="G195" s="477"/>
      <c r="H195" s="139">
        <f>SUM(H194:H194)</f>
        <v>43.34</v>
      </c>
      <c r="I195" s="179"/>
      <c r="J195" s="180"/>
    </row>
    <row r="196" spans="1:10" ht="15" customHeight="1" x14ac:dyDescent="0.25">
      <c r="A196" s="483" t="s">
        <v>1979</v>
      </c>
      <c r="B196" s="484"/>
      <c r="C196" s="484"/>
      <c r="D196" s="183"/>
      <c r="E196" s="183"/>
      <c r="F196" s="482" t="s">
        <v>1834</v>
      </c>
      <c r="G196" s="482"/>
      <c r="H196" s="140">
        <v>73.89</v>
      </c>
      <c r="I196" s="179"/>
      <c r="J196" s="180"/>
    </row>
    <row r="197" spans="1:10" ht="9.9499999999999993" customHeight="1" x14ac:dyDescent="0.25">
      <c r="A197" s="182"/>
      <c r="B197" s="183"/>
      <c r="C197" s="183"/>
      <c r="D197" s="183"/>
      <c r="E197" s="183"/>
      <c r="F197" s="485"/>
      <c r="G197" s="485"/>
      <c r="H197" s="485"/>
      <c r="I197" s="179"/>
      <c r="J197" s="180"/>
    </row>
    <row r="198" spans="1:10" ht="27" customHeight="1" x14ac:dyDescent="0.25">
      <c r="A198" s="486" t="s">
        <v>1980</v>
      </c>
      <c r="B198" s="487"/>
      <c r="C198" s="487"/>
      <c r="D198" s="487"/>
      <c r="E198" s="487"/>
      <c r="F198" s="487"/>
      <c r="G198" s="487"/>
      <c r="H198" s="487"/>
      <c r="I198" s="179"/>
      <c r="J198" s="180"/>
    </row>
    <row r="199" spans="1:10" ht="15" customHeight="1" x14ac:dyDescent="0.25">
      <c r="A199" s="474" t="s">
        <v>1812</v>
      </c>
      <c r="B199" s="475"/>
      <c r="C199" s="476" t="s">
        <v>42</v>
      </c>
      <c r="D199" s="476"/>
      <c r="E199" s="230" t="s">
        <v>44</v>
      </c>
      <c r="F199" s="230" t="s">
        <v>1813</v>
      </c>
      <c r="G199" s="230" t="s">
        <v>1814</v>
      </c>
      <c r="H199" s="230" t="s">
        <v>1802</v>
      </c>
      <c r="I199" s="179"/>
      <c r="J199" s="180"/>
    </row>
    <row r="200" spans="1:10" ht="21" customHeight="1" x14ac:dyDescent="0.25">
      <c r="A200" s="181" t="s">
        <v>1981</v>
      </c>
      <c r="B200" s="241" t="s">
        <v>1982</v>
      </c>
      <c r="C200" s="481" t="s">
        <v>341</v>
      </c>
      <c r="D200" s="481"/>
      <c r="E200" s="231" t="s">
        <v>786</v>
      </c>
      <c r="F200" s="239">
        <v>0.18</v>
      </c>
      <c r="G200" s="240">
        <v>59.98</v>
      </c>
      <c r="H200" s="240">
        <f>ROUND(ROUND(F200,8)*G200,2)</f>
        <v>10.8</v>
      </c>
      <c r="I200" s="179"/>
      <c r="J200" s="180"/>
    </row>
    <row r="201" spans="1:10" ht="15" customHeight="1" x14ac:dyDescent="0.25">
      <c r="A201" s="182"/>
      <c r="B201" s="183"/>
      <c r="C201" s="183"/>
      <c r="D201" s="183"/>
      <c r="E201" s="183"/>
      <c r="F201" s="477" t="s">
        <v>1826</v>
      </c>
      <c r="G201" s="477"/>
      <c r="H201" s="139">
        <f>SUM(H200:H200)</f>
        <v>10.8</v>
      </c>
      <c r="I201" s="179"/>
      <c r="J201" s="180"/>
    </row>
    <row r="202" spans="1:10" ht="15" customHeight="1" x14ac:dyDescent="0.25">
      <c r="A202" s="474" t="s">
        <v>1827</v>
      </c>
      <c r="B202" s="475"/>
      <c r="C202" s="476" t="s">
        <v>42</v>
      </c>
      <c r="D202" s="476"/>
      <c r="E202" s="230" t="s">
        <v>44</v>
      </c>
      <c r="F202" s="230" t="s">
        <v>1813</v>
      </c>
      <c r="G202" s="230" t="s">
        <v>1814</v>
      </c>
      <c r="H202" s="230" t="s">
        <v>1802</v>
      </c>
      <c r="I202" s="179"/>
      <c r="J202" s="180"/>
    </row>
    <row r="203" spans="1:10" ht="15" customHeight="1" x14ac:dyDescent="0.25">
      <c r="A203" s="181" t="s">
        <v>1983</v>
      </c>
      <c r="B203" s="241" t="s">
        <v>1984</v>
      </c>
      <c r="C203" s="481" t="s">
        <v>51</v>
      </c>
      <c r="D203" s="481"/>
      <c r="E203" s="231" t="s">
        <v>1024</v>
      </c>
      <c r="F203" s="239">
        <v>0.4</v>
      </c>
      <c r="G203" s="240">
        <v>26.03</v>
      </c>
      <c r="H203" s="240">
        <f>ROUND(ROUND(F203,8)*G203,2)</f>
        <v>10.41</v>
      </c>
      <c r="I203" s="179"/>
      <c r="J203" s="180"/>
    </row>
    <row r="204" spans="1:10" ht="15" customHeight="1" x14ac:dyDescent="0.25">
      <c r="A204" s="182"/>
      <c r="B204" s="183"/>
      <c r="C204" s="183"/>
      <c r="D204" s="183"/>
      <c r="E204" s="183"/>
      <c r="F204" s="477" t="s">
        <v>1832</v>
      </c>
      <c r="G204" s="477"/>
      <c r="H204" s="139">
        <f>SUM(H203:H203)</f>
        <v>10.41</v>
      </c>
      <c r="I204" s="179"/>
      <c r="J204" s="180"/>
    </row>
    <row r="205" spans="1:10" ht="15" customHeight="1" x14ac:dyDescent="0.25">
      <c r="A205" s="474" t="s">
        <v>1912</v>
      </c>
      <c r="B205" s="475"/>
      <c r="C205" s="476" t="s">
        <v>42</v>
      </c>
      <c r="D205" s="476"/>
      <c r="E205" s="230" t="s">
        <v>44</v>
      </c>
      <c r="F205" s="230" t="s">
        <v>1813</v>
      </c>
      <c r="G205" s="230" t="s">
        <v>1814</v>
      </c>
      <c r="H205" s="230" t="s">
        <v>1802</v>
      </c>
      <c r="I205" s="179"/>
      <c r="J205" s="180"/>
    </row>
    <row r="206" spans="1:10" ht="45.95" customHeight="1" x14ac:dyDescent="0.25">
      <c r="A206" s="181" t="s">
        <v>1985</v>
      </c>
      <c r="B206" s="241" t="s">
        <v>1986</v>
      </c>
      <c r="C206" s="481" t="s">
        <v>51</v>
      </c>
      <c r="D206" s="481"/>
      <c r="E206" s="231" t="s">
        <v>54</v>
      </c>
      <c r="F206" s="239">
        <v>1</v>
      </c>
      <c r="G206" s="240">
        <v>49.07</v>
      </c>
      <c r="H206" s="240">
        <f>ROUND(ROUND(F206,8)*G206,2)</f>
        <v>49.07</v>
      </c>
      <c r="I206" s="179"/>
      <c r="J206" s="180"/>
    </row>
    <row r="207" spans="1:10" ht="45.95" customHeight="1" x14ac:dyDescent="0.25">
      <c r="A207" s="181" t="s">
        <v>1987</v>
      </c>
      <c r="B207" s="241" t="s">
        <v>1988</v>
      </c>
      <c r="C207" s="481" t="s">
        <v>51</v>
      </c>
      <c r="D207" s="481"/>
      <c r="E207" s="231" t="s">
        <v>54</v>
      </c>
      <c r="F207" s="239">
        <v>1</v>
      </c>
      <c r="G207" s="240">
        <v>43.8</v>
      </c>
      <c r="H207" s="240">
        <f>ROUND(ROUND(F207,8)*G207,2)</f>
        <v>43.8</v>
      </c>
      <c r="I207" s="179"/>
      <c r="J207" s="180"/>
    </row>
    <row r="208" spans="1:10" ht="15" customHeight="1" x14ac:dyDescent="0.25">
      <c r="A208" s="182"/>
      <c r="B208" s="183"/>
      <c r="C208" s="183"/>
      <c r="D208" s="183"/>
      <c r="E208" s="183"/>
      <c r="F208" s="477" t="s">
        <v>1915</v>
      </c>
      <c r="G208" s="477"/>
      <c r="H208" s="139">
        <f>SUM(H206:H207)</f>
        <v>92.87</v>
      </c>
      <c r="I208" s="179"/>
      <c r="J208" s="180"/>
    </row>
    <row r="209" spans="1:10" ht="15" customHeight="1" x14ac:dyDescent="0.25">
      <c r="A209" s="483" t="s">
        <v>1989</v>
      </c>
      <c r="B209" s="484"/>
      <c r="C209" s="484"/>
      <c r="D209" s="183"/>
      <c r="E209" s="183"/>
      <c r="F209" s="482" t="s">
        <v>1834</v>
      </c>
      <c r="G209" s="482"/>
      <c r="H209" s="140">
        <v>114.08</v>
      </c>
      <c r="I209" s="179"/>
      <c r="J209" s="180"/>
    </row>
    <row r="210" spans="1:10" ht="9.9499999999999993" customHeight="1" x14ac:dyDescent="0.25">
      <c r="A210" s="182"/>
      <c r="B210" s="183"/>
      <c r="C210" s="183"/>
      <c r="D210" s="183"/>
      <c r="E210" s="183"/>
      <c r="F210" s="485"/>
      <c r="G210" s="485"/>
      <c r="H210" s="485"/>
      <c r="I210" s="179"/>
      <c r="J210" s="180"/>
    </row>
    <row r="211" spans="1:10" ht="20.100000000000001" customHeight="1" x14ac:dyDescent="0.25">
      <c r="A211" s="486" t="s">
        <v>1990</v>
      </c>
      <c r="B211" s="487"/>
      <c r="C211" s="487"/>
      <c r="D211" s="487"/>
      <c r="E211" s="487"/>
      <c r="F211" s="487"/>
      <c r="G211" s="487"/>
      <c r="H211" s="487"/>
      <c r="I211" s="179"/>
      <c r="J211" s="180"/>
    </row>
    <row r="212" spans="1:10" ht="15" customHeight="1" x14ac:dyDescent="0.25">
      <c r="A212" s="474" t="s">
        <v>1812</v>
      </c>
      <c r="B212" s="475"/>
      <c r="C212" s="476" t="s">
        <v>42</v>
      </c>
      <c r="D212" s="476"/>
      <c r="E212" s="230" t="s">
        <v>44</v>
      </c>
      <c r="F212" s="230" t="s">
        <v>1813</v>
      </c>
      <c r="G212" s="230" t="s">
        <v>1814</v>
      </c>
      <c r="H212" s="230" t="s">
        <v>1802</v>
      </c>
      <c r="I212" s="179"/>
      <c r="J212" s="180"/>
    </row>
    <row r="213" spans="1:10" ht="15" customHeight="1" x14ac:dyDescent="0.25">
      <c r="A213" s="181" t="s">
        <v>1991</v>
      </c>
      <c r="B213" s="241" t="s">
        <v>1992</v>
      </c>
      <c r="C213" s="481" t="s">
        <v>82</v>
      </c>
      <c r="D213" s="481"/>
      <c r="E213" s="231" t="s">
        <v>1817</v>
      </c>
      <c r="F213" s="239">
        <v>1.4999999999999999E-2</v>
      </c>
      <c r="G213" s="240">
        <v>23.77</v>
      </c>
      <c r="H213" s="240">
        <f>ROUND(ROUND(F213,8)*G213,2)</f>
        <v>0.36</v>
      </c>
      <c r="I213" s="179"/>
      <c r="J213" s="180"/>
    </row>
    <row r="214" spans="1:10" ht="15" customHeight="1" x14ac:dyDescent="0.25">
      <c r="A214" s="181" t="s">
        <v>1993</v>
      </c>
      <c r="B214" s="241" t="s">
        <v>1994</v>
      </c>
      <c r="C214" s="481" t="s">
        <v>51</v>
      </c>
      <c r="D214" s="481"/>
      <c r="E214" s="231" t="s">
        <v>226</v>
      </c>
      <c r="F214" s="239">
        <v>0.26500000000000001</v>
      </c>
      <c r="G214" s="240">
        <v>27.06</v>
      </c>
      <c r="H214" s="240">
        <f>ROUND(ROUND(F214,8)*G214,2)</f>
        <v>7.17</v>
      </c>
      <c r="I214" s="179"/>
      <c r="J214" s="180"/>
    </row>
    <row r="215" spans="1:10" ht="15" customHeight="1" x14ac:dyDescent="0.25">
      <c r="A215" s="181" t="s">
        <v>1995</v>
      </c>
      <c r="B215" s="241" t="s">
        <v>1996</v>
      </c>
      <c r="C215" s="481" t="s">
        <v>82</v>
      </c>
      <c r="D215" s="481"/>
      <c r="E215" s="231" t="s">
        <v>122</v>
      </c>
      <c r="F215" s="239">
        <v>1</v>
      </c>
      <c r="G215" s="240">
        <v>294.05</v>
      </c>
      <c r="H215" s="240">
        <f>ROUND(ROUND(F215,8)*G215,2)</f>
        <v>294.05</v>
      </c>
      <c r="I215" s="179"/>
      <c r="J215" s="180"/>
    </row>
    <row r="216" spans="1:10" ht="15" customHeight="1" x14ac:dyDescent="0.25">
      <c r="A216" s="182"/>
      <c r="B216" s="183"/>
      <c r="C216" s="183"/>
      <c r="D216" s="183"/>
      <c r="E216" s="183"/>
      <c r="F216" s="477" t="s">
        <v>1826</v>
      </c>
      <c r="G216" s="477"/>
      <c r="H216" s="139">
        <f>SUM(H213:H215)</f>
        <v>301.58</v>
      </c>
      <c r="I216" s="179"/>
      <c r="J216" s="180"/>
    </row>
    <row r="217" spans="1:10" ht="15" customHeight="1" x14ac:dyDescent="0.25">
      <c r="A217" s="474" t="s">
        <v>1827</v>
      </c>
      <c r="B217" s="475"/>
      <c r="C217" s="476" t="s">
        <v>42</v>
      </c>
      <c r="D217" s="476"/>
      <c r="E217" s="230" t="s">
        <v>44</v>
      </c>
      <c r="F217" s="230" t="s">
        <v>1813</v>
      </c>
      <c r="G217" s="230" t="s">
        <v>1814</v>
      </c>
      <c r="H217" s="230" t="s">
        <v>1802</v>
      </c>
      <c r="I217" s="179"/>
      <c r="J217" s="180"/>
    </row>
    <row r="218" spans="1:10" ht="15" customHeight="1" x14ac:dyDescent="0.25">
      <c r="A218" s="181" t="s">
        <v>1830</v>
      </c>
      <c r="B218" s="241" t="s">
        <v>1831</v>
      </c>
      <c r="C218" s="481" t="s">
        <v>51</v>
      </c>
      <c r="D218" s="481"/>
      <c r="E218" s="231" t="s">
        <v>1024</v>
      </c>
      <c r="F218" s="239">
        <v>0.64754670000000003</v>
      </c>
      <c r="G218" s="240">
        <v>19.68</v>
      </c>
      <c r="H218" s="240">
        <f>ROUND(ROUND(F218,8)*G218,2)</f>
        <v>12.74</v>
      </c>
      <c r="I218" s="179"/>
      <c r="J218" s="180"/>
    </row>
    <row r="219" spans="1:10" ht="15" customHeight="1" x14ac:dyDescent="0.25">
      <c r="A219" s="181" t="s">
        <v>1968</v>
      </c>
      <c r="B219" s="241" t="s">
        <v>1969</v>
      </c>
      <c r="C219" s="481" t="s">
        <v>51</v>
      </c>
      <c r="D219" s="481"/>
      <c r="E219" s="231" t="s">
        <v>1024</v>
      </c>
      <c r="F219" s="239">
        <v>0.67576999999999998</v>
      </c>
      <c r="G219" s="240">
        <v>26.03</v>
      </c>
      <c r="H219" s="240">
        <f>ROUND(ROUND(F219,8)*G219,2)</f>
        <v>17.59</v>
      </c>
      <c r="I219" s="179"/>
      <c r="J219" s="180"/>
    </row>
    <row r="220" spans="1:10" ht="15" customHeight="1" x14ac:dyDescent="0.25">
      <c r="A220" s="182"/>
      <c r="B220" s="183"/>
      <c r="C220" s="183"/>
      <c r="D220" s="183"/>
      <c r="E220" s="183"/>
      <c r="F220" s="477" t="s">
        <v>1832</v>
      </c>
      <c r="G220" s="477"/>
      <c r="H220" s="139">
        <f>SUM(H218:H219)</f>
        <v>30.33</v>
      </c>
      <c r="I220" s="179"/>
      <c r="J220" s="180"/>
    </row>
    <row r="221" spans="1:10" ht="15" customHeight="1" x14ac:dyDescent="0.25">
      <c r="A221" s="483" t="s">
        <v>1997</v>
      </c>
      <c r="B221" s="484"/>
      <c r="C221" s="484"/>
      <c r="D221" s="183"/>
      <c r="E221" s="183"/>
      <c r="F221" s="482" t="s">
        <v>1834</v>
      </c>
      <c r="G221" s="482"/>
      <c r="H221" s="140">
        <v>331.91</v>
      </c>
      <c r="I221" s="179"/>
      <c r="J221" s="180"/>
    </row>
    <row r="222" spans="1:10" ht="9.9499999999999993" customHeight="1" x14ac:dyDescent="0.25">
      <c r="A222" s="182"/>
      <c r="B222" s="183"/>
      <c r="C222" s="183"/>
      <c r="D222" s="183"/>
      <c r="E222" s="183"/>
      <c r="F222" s="485"/>
      <c r="G222" s="485"/>
      <c r="H222" s="485"/>
      <c r="I222" s="179"/>
      <c r="J222" s="180"/>
    </row>
    <row r="223" spans="1:10" ht="20.100000000000001" customHeight="1" x14ac:dyDescent="0.25">
      <c r="A223" s="486" t="s">
        <v>1998</v>
      </c>
      <c r="B223" s="487"/>
      <c r="C223" s="487"/>
      <c r="D223" s="487"/>
      <c r="E223" s="487"/>
      <c r="F223" s="487"/>
      <c r="G223" s="487"/>
      <c r="H223" s="487"/>
      <c r="I223" s="179"/>
      <c r="J223" s="180"/>
    </row>
    <row r="224" spans="1:10" ht="15" customHeight="1" x14ac:dyDescent="0.25">
      <c r="A224" s="474" t="s">
        <v>1812</v>
      </c>
      <c r="B224" s="475"/>
      <c r="C224" s="476" t="s">
        <v>42</v>
      </c>
      <c r="D224" s="476"/>
      <c r="E224" s="230" t="s">
        <v>44</v>
      </c>
      <c r="F224" s="230" t="s">
        <v>1813</v>
      </c>
      <c r="G224" s="230" t="s">
        <v>1814</v>
      </c>
      <c r="H224" s="230" t="s">
        <v>1802</v>
      </c>
      <c r="I224" s="179"/>
      <c r="J224" s="180"/>
    </row>
    <row r="225" spans="1:10" ht="21" customHeight="1" x14ac:dyDescent="0.25">
      <c r="A225" s="181" t="s">
        <v>1999</v>
      </c>
      <c r="B225" s="241" t="s">
        <v>2000</v>
      </c>
      <c r="C225" s="481" t="s">
        <v>82</v>
      </c>
      <c r="D225" s="481"/>
      <c r="E225" s="231" t="s">
        <v>226</v>
      </c>
      <c r="F225" s="239">
        <v>0.22</v>
      </c>
      <c r="G225" s="240">
        <v>27.55</v>
      </c>
      <c r="H225" s="240">
        <f>ROUND(ROUND(F225,8)*G225,2)</f>
        <v>6.06</v>
      </c>
      <c r="I225" s="179"/>
      <c r="J225" s="180"/>
    </row>
    <row r="226" spans="1:10" ht="21" customHeight="1" x14ac:dyDescent="0.25">
      <c r="A226" s="181" t="s">
        <v>2001</v>
      </c>
      <c r="B226" s="241" t="s">
        <v>2002</v>
      </c>
      <c r="C226" s="481" t="s">
        <v>1963</v>
      </c>
      <c r="D226" s="481"/>
      <c r="E226" s="231" t="s">
        <v>122</v>
      </c>
      <c r="F226" s="239">
        <v>1</v>
      </c>
      <c r="G226" s="240">
        <v>1239.4100000000001</v>
      </c>
      <c r="H226" s="240">
        <f>ROUND(ROUND(F226,8)*G226,2)</f>
        <v>1239.4100000000001</v>
      </c>
      <c r="I226" s="179"/>
      <c r="J226" s="180"/>
    </row>
    <row r="227" spans="1:10" ht="15" customHeight="1" x14ac:dyDescent="0.25">
      <c r="A227" s="181" t="s">
        <v>2003</v>
      </c>
      <c r="B227" s="241" t="s">
        <v>2004</v>
      </c>
      <c r="C227" s="481" t="s">
        <v>82</v>
      </c>
      <c r="D227" s="481"/>
      <c r="E227" s="231" t="s">
        <v>226</v>
      </c>
      <c r="F227" s="239">
        <v>0.8014</v>
      </c>
      <c r="G227" s="240">
        <v>19.68</v>
      </c>
      <c r="H227" s="240">
        <f>ROUND(ROUND(F227,8)*G227,2)</f>
        <v>15.77</v>
      </c>
      <c r="I227" s="179"/>
      <c r="J227" s="180"/>
    </row>
    <row r="228" spans="1:10" ht="15" customHeight="1" x14ac:dyDescent="0.25">
      <c r="A228" s="182"/>
      <c r="B228" s="183"/>
      <c r="C228" s="183"/>
      <c r="D228" s="183"/>
      <c r="E228" s="183"/>
      <c r="F228" s="477" t="s">
        <v>1826</v>
      </c>
      <c r="G228" s="477"/>
      <c r="H228" s="139">
        <f>SUM(H225:H227)</f>
        <v>1261.24</v>
      </c>
      <c r="I228" s="179"/>
      <c r="J228" s="180"/>
    </row>
    <row r="229" spans="1:10" ht="15" customHeight="1" x14ac:dyDescent="0.25">
      <c r="A229" s="474" t="s">
        <v>1827</v>
      </c>
      <c r="B229" s="475"/>
      <c r="C229" s="476" t="s">
        <v>42</v>
      </c>
      <c r="D229" s="476"/>
      <c r="E229" s="230" t="s">
        <v>44</v>
      </c>
      <c r="F229" s="230" t="s">
        <v>1813</v>
      </c>
      <c r="G229" s="230" t="s">
        <v>1814</v>
      </c>
      <c r="H229" s="230" t="s">
        <v>1802</v>
      </c>
      <c r="I229" s="179"/>
      <c r="J229" s="180"/>
    </row>
    <row r="230" spans="1:10" ht="15" customHeight="1" x14ac:dyDescent="0.25">
      <c r="A230" s="181" t="s">
        <v>1828</v>
      </c>
      <c r="B230" s="241" t="s">
        <v>1829</v>
      </c>
      <c r="C230" s="481" t="s">
        <v>51</v>
      </c>
      <c r="D230" s="481"/>
      <c r="E230" s="231" t="s">
        <v>1024</v>
      </c>
      <c r="F230" s="239">
        <v>4.2353426000000001</v>
      </c>
      <c r="G230" s="240">
        <v>26.03</v>
      </c>
      <c r="H230" s="240">
        <f>ROUND(ROUND(F230,8)*G230,2)</f>
        <v>110.25</v>
      </c>
      <c r="I230" s="179"/>
      <c r="J230" s="180"/>
    </row>
    <row r="231" spans="1:10" ht="15" customHeight="1" x14ac:dyDescent="0.25">
      <c r="A231" s="181" t="s">
        <v>1830</v>
      </c>
      <c r="B231" s="241" t="s">
        <v>1831</v>
      </c>
      <c r="C231" s="481" t="s">
        <v>51</v>
      </c>
      <c r="D231" s="481"/>
      <c r="E231" s="231" t="s">
        <v>1024</v>
      </c>
      <c r="F231" s="239">
        <v>2.1176713</v>
      </c>
      <c r="G231" s="240">
        <v>19.68</v>
      </c>
      <c r="H231" s="240">
        <f>ROUND(ROUND(F231,8)*G231,2)</f>
        <v>41.68</v>
      </c>
      <c r="I231" s="179"/>
      <c r="J231" s="180"/>
    </row>
    <row r="232" spans="1:10" ht="15" customHeight="1" x14ac:dyDescent="0.25">
      <c r="A232" s="182"/>
      <c r="B232" s="183"/>
      <c r="C232" s="183"/>
      <c r="D232" s="183"/>
      <c r="E232" s="183"/>
      <c r="F232" s="477" t="s">
        <v>1832</v>
      </c>
      <c r="G232" s="477"/>
      <c r="H232" s="139">
        <f>SUM(H230:H231)</f>
        <v>151.93</v>
      </c>
      <c r="I232" s="179"/>
      <c r="J232" s="180"/>
    </row>
    <row r="233" spans="1:10" ht="15" customHeight="1" x14ac:dyDescent="0.25">
      <c r="A233" s="474" t="s">
        <v>1912</v>
      </c>
      <c r="B233" s="475"/>
      <c r="C233" s="476" t="s">
        <v>42</v>
      </c>
      <c r="D233" s="476"/>
      <c r="E233" s="230" t="s">
        <v>44</v>
      </c>
      <c r="F233" s="230" t="s">
        <v>1813</v>
      </c>
      <c r="G233" s="230" t="s">
        <v>1814</v>
      </c>
      <c r="H233" s="230" t="s">
        <v>1802</v>
      </c>
      <c r="I233" s="179"/>
      <c r="J233" s="180"/>
    </row>
    <row r="234" spans="1:10" ht="21" customHeight="1" x14ac:dyDescent="0.25">
      <c r="A234" s="181" t="s">
        <v>2005</v>
      </c>
      <c r="B234" s="241" t="s">
        <v>2006</v>
      </c>
      <c r="C234" s="481" t="s">
        <v>77</v>
      </c>
      <c r="D234" s="481"/>
      <c r="E234" s="231" t="s">
        <v>122</v>
      </c>
      <c r="F234" s="239">
        <v>0.5</v>
      </c>
      <c r="G234" s="240">
        <v>323.54000000000002</v>
      </c>
      <c r="H234" s="240">
        <f>ROUND(ROUND(F234,8)*G234,2)</f>
        <v>161.77000000000001</v>
      </c>
      <c r="I234" s="179"/>
      <c r="J234" s="180"/>
    </row>
    <row r="235" spans="1:10" ht="45.95" customHeight="1" x14ac:dyDescent="0.25">
      <c r="A235" s="181" t="s">
        <v>1987</v>
      </c>
      <c r="B235" s="241" t="s">
        <v>1988</v>
      </c>
      <c r="C235" s="481" t="s">
        <v>51</v>
      </c>
      <c r="D235" s="481"/>
      <c r="E235" s="231" t="s">
        <v>54</v>
      </c>
      <c r="F235" s="239">
        <v>1</v>
      </c>
      <c r="G235" s="240">
        <v>43.8</v>
      </c>
      <c r="H235" s="240">
        <f>ROUND(ROUND(F235,8)*G235,2)</f>
        <v>43.8</v>
      </c>
      <c r="I235" s="179"/>
      <c r="J235" s="180"/>
    </row>
    <row r="236" spans="1:10" ht="15" customHeight="1" x14ac:dyDescent="0.25">
      <c r="A236" s="182"/>
      <c r="B236" s="183"/>
      <c r="C236" s="183"/>
      <c r="D236" s="183"/>
      <c r="E236" s="183"/>
      <c r="F236" s="477" t="s">
        <v>1915</v>
      </c>
      <c r="G236" s="477"/>
      <c r="H236" s="139">
        <f>SUM(H234:H235)</f>
        <v>205.57</v>
      </c>
      <c r="I236" s="179"/>
      <c r="J236" s="180"/>
    </row>
    <row r="237" spans="1:10" ht="15" customHeight="1" x14ac:dyDescent="0.25">
      <c r="A237" s="483" t="s">
        <v>2007</v>
      </c>
      <c r="B237" s="484"/>
      <c r="C237" s="484"/>
      <c r="D237" s="183"/>
      <c r="E237" s="183"/>
      <c r="F237" s="482" t="s">
        <v>1834</v>
      </c>
      <c r="G237" s="482"/>
      <c r="H237" s="140">
        <v>1618.74</v>
      </c>
      <c r="I237" s="179"/>
      <c r="J237" s="180"/>
    </row>
    <row r="238" spans="1:10" ht="2.1" customHeight="1" x14ac:dyDescent="0.25">
      <c r="A238" s="483"/>
      <c r="B238" s="484"/>
      <c r="C238" s="484"/>
      <c r="D238" s="183"/>
      <c r="E238" s="183"/>
      <c r="F238" s="183"/>
      <c r="G238" s="183"/>
      <c r="H238" s="183"/>
      <c r="I238" s="179"/>
      <c r="J238" s="180"/>
    </row>
    <row r="239" spans="1:10" ht="9.9499999999999993" customHeight="1" x14ac:dyDescent="0.25">
      <c r="A239" s="182"/>
      <c r="B239" s="183"/>
      <c r="C239" s="183"/>
      <c r="D239" s="183"/>
      <c r="E239" s="183"/>
      <c r="F239" s="485"/>
      <c r="G239" s="485"/>
      <c r="H239" s="485"/>
      <c r="I239" s="179"/>
      <c r="J239" s="180"/>
    </row>
    <row r="240" spans="1:10" ht="20.100000000000001" customHeight="1" x14ac:dyDescent="0.25">
      <c r="A240" s="486" t="s">
        <v>2008</v>
      </c>
      <c r="B240" s="487"/>
      <c r="C240" s="487"/>
      <c r="D240" s="487"/>
      <c r="E240" s="487"/>
      <c r="F240" s="487"/>
      <c r="G240" s="487"/>
      <c r="H240" s="487"/>
      <c r="I240" s="179"/>
      <c r="J240" s="180"/>
    </row>
    <row r="241" spans="1:10" ht="20.100000000000001" customHeight="1" x14ac:dyDescent="0.25">
      <c r="A241" s="488" t="s">
        <v>1836</v>
      </c>
      <c r="B241" s="489"/>
      <c r="C241" s="489"/>
      <c r="D241" s="489"/>
      <c r="E241" s="233" t="s">
        <v>44</v>
      </c>
      <c r="F241" s="233" t="s">
        <v>1837</v>
      </c>
      <c r="G241" s="233" t="s">
        <v>1838</v>
      </c>
      <c r="H241" s="233" t="s">
        <v>1839</v>
      </c>
      <c r="I241" s="179"/>
      <c r="J241" s="180"/>
    </row>
    <row r="242" spans="1:10" ht="15" customHeight="1" x14ac:dyDescent="0.25">
      <c r="A242" s="170" t="s">
        <v>1851</v>
      </c>
      <c r="B242" s="490" t="s">
        <v>1852</v>
      </c>
      <c r="C242" s="490"/>
      <c r="D242" s="490"/>
      <c r="E242" s="127" t="s">
        <v>1024</v>
      </c>
      <c r="F242" s="234">
        <v>2.4</v>
      </c>
      <c r="G242" s="238">
        <v>26.03</v>
      </c>
      <c r="H242" s="238">
        <f>ROUND(ROUND(F242,8)*G242,2)</f>
        <v>62.47</v>
      </c>
      <c r="I242" s="179"/>
      <c r="J242" s="180"/>
    </row>
    <row r="243" spans="1:10" ht="15" customHeight="1" x14ac:dyDescent="0.25">
      <c r="A243" s="170" t="s">
        <v>1830</v>
      </c>
      <c r="B243" s="490" t="s">
        <v>1831</v>
      </c>
      <c r="C243" s="490"/>
      <c r="D243" s="490"/>
      <c r="E243" s="127" t="s">
        <v>1024</v>
      </c>
      <c r="F243" s="234">
        <v>4.7699999999999996</v>
      </c>
      <c r="G243" s="238">
        <v>19.68</v>
      </c>
      <c r="H243" s="238">
        <f>ROUND(ROUND(F243,8)*G243,2)</f>
        <v>93.87</v>
      </c>
      <c r="I243" s="179"/>
      <c r="J243" s="180"/>
    </row>
    <row r="244" spans="1:10" ht="15" customHeight="1" x14ac:dyDescent="0.25">
      <c r="A244" s="184"/>
      <c r="B244" s="141"/>
      <c r="C244" s="141"/>
      <c r="D244" s="141"/>
      <c r="E244" s="141"/>
      <c r="F244" s="491" t="s">
        <v>1844</v>
      </c>
      <c r="G244" s="491"/>
      <c r="H244" s="140">
        <f>SUM(H242:H243)</f>
        <v>156.34</v>
      </c>
      <c r="I244" s="179"/>
      <c r="J244" s="180"/>
    </row>
    <row r="245" spans="1:10" ht="15" customHeight="1" x14ac:dyDescent="0.25">
      <c r="A245" s="182"/>
      <c r="B245" s="183"/>
      <c r="C245" s="183"/>
      <c r="D245" s="183"/>
      <c r="E245" s="183"/>
      <c r="F245" s="482" t="s">
        <v>1845</v>
      </c>
      <c r="G245" s="482"/>
      <c r="H245" s="236">
        <f>SUM(H244)</f>
        <v>156.34</v>
      </c>
      <c r="I245" s="179"/>
      <c r="J245" s="180"/>
    </row>
    <row r="246" spans="1:10" ht="15" customHeight="1" x14ac:dyDescent="0.25">
      <c r="A246" s="182"/>
      <c r="B246" s="183"/>
      <c r="C246" s="183"/>
      <c r="D246" s="183"/>
      <c r="E246" s="183"/>
      <c r="F246" s="482" t="s">
        <v>1846</v>
      </c>
      <c r="G246" s="482"/>
      <c r="H246" s="142">
        <v>1</v>
      </c>
      <c r="I246" s="179"/>
      <c r="J246" s="180"/>
    </row>
    <row r="247" spans="1:10" ht="15" customHeight="1" x14ac:dyDescent="0.25">
      <c r="A247" s="182"/>
      <c r="B247" s="183"/>
      <c r="C247" s="183"/>
      <c r="D247" s="183"/>
      <c r="E247" s="183"/>
      <c r="F247" s="482" t="s">
        <v>1847</v>
      </c>
      <c r="G247" s="482"/>
      <c r="H247" s="236">
        <f>ROUND(H245/H246,4)</f>
        <v>156.34</v>
      </c>
      <c r="I247" s="179"/>
      <c r="J247" s="180"/>
    </row>
    <row r="248" spans="1:10" ht="20.100000000000001" customHeight="1" x14ac:dyDescent="0.25">
      <c r="A248" s="488" t="s">
        <v>2009</v>
      </c>
      <c r="B248" s="489"/>
      <c r="C248" s="489"/>
      <c r="D248" s="489"/>
      <c r="E248" s="233" t="s">
        <v>44</v>
      </c>
      <c r="F248" s="233" t="s">
        <v>1837</v>
      </c>
      <c r="G248" s="233" t="s">
        <v>1814</v>
      </c>
      <c r="H248" s="233" t="s">
        <v>1882</v>
      </c>
      <c r="I248" s="179"/>
      <c r="J248" s="180"/>
    </row>
    <row r="249" spans="1:10" ht="15" customHeight="1" x14ac:dyDescent="0.25">
      <c r="A249" s="170" t="s">
        <v>2010</v>
      </c>
      <c r="B249" s="492" t="s">
        <v>2011</v>
      </c>
      <c r="C249" s="492"/>
      <c r="D249" s="492"/>
      <c r="E249" s="127"/>
      <c r="F249" s="237">
        <v>3.3E-3</v>
      </c>
      <c r="G249" s="235">
        <v>452.71</v>
      </c>
      <c r="H249" s="235">
        <f>ROUND(ROUND(F249,8)*G249,2)</f>
        <v>1.49</v>
      </c>
      <c r="I249" s="179"/>
      <c r="J249" s="180"/>
    </row>
    <row r="250" spans="1:10" ht="15" customHeight="1" x14ac:dyDescent="0.25">
      <c r="A250" s="170" t="s">
        <v>2012</v>
      </c>
      <c r="B250" s="492" t="s">
        <v>2013</v>
      </c>
      <c r="C250" s="492"/>
      <c r="D250" s="492"/>
      <c r="E250" s="127" t="s">
        <v>54</v>
      </c>
      <c r="F250" s="237">
        <v>1</v>
      </c>
      <c r="G250" s="235">
        <v>667.37</v>
      </c>
      <c r="H250" s="235">
        <f>ROUND(ROUND(F250,8)*G250,2)</f>
        <v>667.37</v>
      </c>
      <c r="I250" s="179"/>
      <c r="J250" s="180"/>
    </row>
    <row r="251" spans="1:10" ht="15" customHeight="1" x14ac:dyDescent="0.25">
      <c r="A251" s="184"/>
      <c r="B251" s="141"/>
      <c r="C251" s="141"/>
      <c r="D251" s="141"/>
      <c r="E251" s="141"/>
      <c r="F251" s="491" t="s">
        <v>2014</v>
      </c>
      <c r="G251" s="491"/>
      <c r="H251" s="143">
        <f>SUM(H249:H250)</f>
        <v>668.86</v>
      </c>
      <c r="I251" s="179"/>
      <c r="J251" s="180"/>
    </row>
    <row r="252" spans="1:10" ht="15" customHeight="1" x14ac:dyDescent="0.25">
      <c r="A252" s="182"/>
      <c r="B252" s="183"/>
      <c r="C252" s="183"/>
      <c r="D252" s="183"/>
      <c r="E252" s="183"/>
      <c r="F252" s="482" t="s">
        <v>1848</v>
      </c>
      <c r="G252" s="482"/>
      <c r="H252" s="236">
        <f>SUM(H247,H251)</f>
        <v>825.2</v>
      </c>
      <c r="I252" s="179"/>
      <c r="J252" s="180"/>
    </row>
    <row r="253" spans="1:10" ht="15" customHeight="1" x14ac:dyDescent="0.25">
      <c r="A253" s="483" t="s">
        <v>2015</v>
      </c>
      <c r="B253" s="484"/>
      <c r="C253" s="484"/>
      <c r="D253" s="183"/>
      <c r="E253" s="183"/>
      <c r="F253" s="482" t="s">
        <v>1834</v>
      </c>
      <c r="G253" s="482"/>
      <c r="H253" s="140">
        <v>825.2</v>
      </c>
      <c r="I253" s="179"/>
      <c r="J253" s="180"/>
    </row>
    <row r="254" spans="1:10" ht="9.9499999999999993" customHeight="1" x14ac:dyDescent="0.25">
      <c r="A254" s="182"/>
      <c r="B254" s="183"/>
      <c r="C254" s="183"/>
      <c r="D254" s="183"/>
      <c r="E254" s="183"/>
      <c r="F254" s="485"/>
      <c r="G254" s="485"/>
      <c r="H254" s="485"/>
      <c r="I254" s="179"/>
      <c r="J254" s="180"/>
    </row>
    <row r="255" spans="1:10" ht="20.100000000000001" customHeight="1" x14ac:dyDescent="0.25">
      <c r="A255" s="486" t="s">
        <v>2016</v>
      </c>
      <c r="B255" s="487"/>
      <c r="C255" s="487"/>
      <c r="D255" s="487"/>
      <c r="E255" s="487"/>
      <c r="F255" s="487"/>
      <c r="G255" s="487"/>
      <c r="H255" s="487"/>
      <c r="I255" s="179"/>
      <c r="J255" s="180"/>
    </row>
    <row r="256" spans="1:10" ht="15" customHeight="1" x14ac:dyDescent="0.25">
      <c r="A256" s="474" t="s">
        <v>1812</v>
      </c>
      <c r="B256" s="475"/>
      <c r="C256" s="476" t="s">
        <v>42</v>
      </c>
      <c r="D256" s="476"/>
      <c r="E256" s="230" t="s">
        <v>44</v>
      </c>
      <c r="F256" s="230" t="s">
        <v>1813</v>
      </c>
      <c r="G256" s="230" t="s">
        <v>1814</v>
      </c>
      <c r="H256" s="230" t="s">
        <v>1802</v>
      </c>
      <c r="I256" s="179"/>
      <c r="J256" s="180"/>
    </row>
    <row r="257" spans="1:10" ht="15" customHeight="1" x14ac:dyDescent="0.25">
      <c r="A257" s="181" t="s">
        <v>2017</v>
      </c>
      <c r="B257" s="241" t="s">
        <v>2018</v>
      </c>
      <c r="C257" s="481" t="s">
        <v>341</v>
      </c>
      <c r="D257" s="481"/>
      <c r="E257" s="231" t="s">
        <v>54</v>
      </c>
      <c r="F257" s="239">
        <v>0.105</v>
      </c>
      <c r="G257" s="240">
        <v>616.79</v>
      </c>
      <c r="H257" s="240">
        <f>ROUND(ROUND(F257,8)*G257,2)</f>
        <v>64.760000000000005</v>
      </c>
      <c r="I257" s="179"/>
      <c r="J257" s="180"/>
    </row>
    <row r="258" spans="1:10" ht="15" customHeight="1" x14ac:dyDescent="0.25">
      <c r="A258" s="182"/>
      <c r="B258" s="183"/>
      <c r="C258" s="183"/>
      <c r="D258" s="183"/>
      <c r="E258" s="183"/>
      <c r="F258" s="477" t="s">
        <v>1826</v>
      </c>
      <c r="G258" s="477"/>
      <c r="H258" s="139">
        <f>SUM(H257:H257)</f>
        <v>64.760000000000005</v>
      </c>
      <c r="I258" s="179"/>
      <c r="J258" s="180"/>
    </row>
    <row r="259" spans="1:10" ht="15" customHeight="1" x14ac:dyDescent="0.25">
      <c r="A259" s="474" t="s">
        <v>1827</v>
      </c>
      <c r="B259" s="475"/>
      <c r="C259" s="476" t="s">
        <v>42</v>
      </c>
      <c r="D259" s="476"/>
      <c r="E259" s="230" t="s">
        <v>44</v>
      </c>
      <c r="F259" s="230" t="s">
        <v>1813</v>
      </c>
      <c r="G259" s="230" t="s">
        <v>1814</v>
      </c>
      <c r="H259" s="230" t="s">
        <v>1802</v>
      </c>
      <c r="I259" s="179"/>
      <c r="J259" s="180"/>
    </row>
    <row r="260" spans="1:10" ht="15" customHeight="1" x14ac:dyDescent="0.25">
      <c r="A260" s="181" t="s">
        <v>1851</v>
      </c>
      <c r="B260" s="241" t="s">
        <v>1852</v>
      </c>
      <c r="C260" s="481" t="s">
        <v>51</v>
      </c>
      <c r="D260" s="481"/>
      <c r="E260" s="231" t="s">
        <v>1024</v>
      </c>
      <c r="F260" s="239">
        <v>0.26</v>
      </c>
      <c r="G260" s="240">
        <v>26.03</v>
      </c>
      <c r="H260" s="240">
        <f>ROUND(ROUND(F260,8)*G260,2)</f>
        <v>6.77</v>
      </c>
      <c r="I260" s="179"/>
      <c r="J260" s="180"/>
    </row>
    <row r="261" spans="1:10" ht="15" customHeight="1" x14ac:dyDescent="0.25">
      <c r="A261" s="181" t="s">
        <v>1830</v>
      </c>
      <c r="B261" s="241" t="s">
        <v>1831</v>
      </c>
      <c r="C261" s="481" t="s">
        <v>51</v>
      </c>
      <c r="D261" s="481"/>
      <c r="E261" s="231" t="s">
        <v>1024</v>
      </c>
      <c r="F261" s="239">
        <v>0.26</v>
      </c>
      <c r="G261" s="240">
        <v>19.68</v>
      </c>
      <c r="H261" s="240">
        <f>ROUND(ROUND(F261,8)*G261,2)</f>
        <v>5.12</v>
      </c>
      <c r="I261" s="179"/>
      <c r="J261" s="180"/>
    </row>
    <row r="262" spans="1:10" ht="15" customHeight="1" x14ac:dyDescent="0.25">
      <c r="A262" s="182"/>
      <c r="B262" s="183"/>
      <c r="C262" s="183"/>
      <c r="D262" s="183"/>
      <c r="E262" s="183"/>
      <c r="F262" s="477" t="s">
        <v>1832</v>
      </c>
      <c r="G262" s="477"/>
      <c r="H262" s="139">
        <f>SUM(H260:H261)</f>
        <v>11.89</v>
      </c>
      <c r="I262" s="179"/>
      <c r="J262" s="180"/>
    </row>
    <row r="263" spans="1:10" ht="15" customHeight="1" x14ac:dyDescent="0.25">
      <c r="A263" s="474" t="s">
        <v>1912</v>
      </c>
      <c r="B263" s="475"/>
      <c r="C263" s="476" t="s">
        <v>42</v>
      </c>
      <c r="D263" s="476"/>
      <c r="E263" s="230" t="s">
        <v>44</v>
      </c>
      <c r="F263" s="230" t="s">
        <v>1813</v>
      </c>
      <c r="G263" s="230" t="s">
        <v>1814</v>
      </c>
      <c r="H263" s="230" t="s">
        <v>1802</v>
      </c>
      <c r="I263" s="179"/>
      <c r="J263" s="180"/>
    </row>
    <row r="264" spans="1:10" ht="21" customHeight="1" x14ac:dyDescent="0.25">
      <c r="A264" s="181" t="s">
        <v>2010</v>
      </c>
      <c r="B264" s="241" t="s">
        <v>2011</v>
      </c>
      <c r="C264" s="481" t="s">
        <v>51</v>
      </c>
      <c r="D264" s="481"/>
      <c r="E264" s="231"/>
      <c r="F264" s="239">
        <v>1.5E-3</v>
      </c>
      <c r="G264" s="240">
        <v>452.71</v>
      </c>
      <c r="H264" s="240">
        <f>ROUND(ROUND(F264,8)*G264,2)</f>
        <v>0.68</v>
      </c>
      <c r="I264" s="179"/>
      <c r="J264" s="180"/>
    </row>
    <row r="265" spans="1:10" ht="15" customHeight="1" x14ac:dyDescent="0.25">
      <c r="A265" s="182"/>
      <c r="B265" s="183"/>
      <c r="C265" s="183"/>
      <c r="D265" s="183"/>
      <c r="E265" s="183"/>
      <c r="F265" s="477" t="s">
        <v>1915</v>
      </c>
      <c r="G265" s="477"/>
      <c r="H265" s="139">
        <f>SUM(H264:H264)</f>
        <v>0.68</v>
      </c>
      <c r="I265" s="179"/>
      <c r="J265" s="180"/>
    </row>
    <row r="266" spans="1:10" ht="15" customHeight="1" x14ac:dyDescent="0.25">
      <c r="A266" s="483" t="s">
        <v>2019</v>
      </c>
      <c r="B266" s="484"/>
      <c r="C266" s="484"/>
      <c r="D266" s="183"/>
      <c r="E266" s="183"/>
      <c r="F266" s="482" t="s">
        <v>1834</v>
      </c>
      <c r="G266" s="482"/>
      <c r="H266" s="140">
        <v>77.33</v>
      </c>
      <c r="I266" s="179"/>
      <c r="J266" s="180"/>
    </row>
    <row r="267" spans="1:10" ht="2.1" customHeight="1" x14ac:dyDescent="0.25">
      <c r="A267" s="483"/>
      <c r="B267" s="484"/>
      <c r="C267" s="484"/>
      <c r="D267" s="183"/>
      <c r="E267" s="183"/>
      <c r="F267" s="183"/>
      <c r="G267" s="183"/>
      <c r="H267" s="183"/>
      <c r="I267" s="179"/>
      <c r="J267" s="180"/>
    </row>
    <row r="268" spans="1:10" ht="9.9499999999999993" customHeight="1" x14ac:dyDescent="0.25">
      <c r="A268" s="182"/>
      <c r="B268" s="183"/>
      <c r="C268" s="183"/>
      <c r="D268" s="183"/>
      <c r="E268" s="183"/>
      <c r="F268" s="485"/>
      <c r="G268" s="485"/>
      <c r="H268" s="485"/>
      <c r="I268" s="179"/>
      <c r="J268" s="180"/>
    </row>
    <row r="269" spans="1:10" ht="20.100000000000001" customHeight="1" x14ac:dyDescent="0.25">
      <c r="A269" s="486" t="s">
        <v>2020</v>
      </c>
      <c r="B269" s="487"/>
      <c r="C269" s="487"/>
      <c r="D269" s="487"/>
      <c r="E269" s="487"/>
      <c r="F269" s="487"/>
      <c r="G269" s="487"/>
      <c r="H269" s="487"/>
      <c r="I269" s="179"/>
      <c r="J269" s="180"/>
    </row>
    <row r="270" spans="1:10" ht="15" customHeight="1" x14ac:dyDescent="0.25">
      <c r="A270" s="474" t="s">
        <v>2021</v>
      </c>
      <c r="B270" s="475"/>
      <c r="C270" s="476" t="s">
        <v>42</v>
      </c>
      <c r="D270" s="476"/>
      <c r="E270" s="230" t="s">
        <v>44</v>
      </c>
      <c r="F270" s="230" t="s">
        <v>1813</v>
      </c>
      <c r="G270" s="230" t="s">
        <v>1814</v>
      </c>
      <c r="H270" s="230" t="s">
        <v>1802</v>
      </c>
      <c r="I270" s="179"/>
      <c r="J270" s="180"/>
    </row>
    <row r="271" spans="1:10" ht="29.1" customHeight="1" x14ac:dyDescent="0.25">
      <c r="A271" s="181" t="s">
        <v>2022</v>
      </c>
      <c r="B271" s="241" t="s">
        <v>2023</v>
      </c>
      <c r="C271" s="481" t="s">
        <v>82</v>
      </c>
      <c r="D271" s="481"/>
      <c r="E271" s="231" t="s">
        <v>2024</v>
      </c>
      <c r="F271" s="239">
        <v>1.7430000000000001</v>
      </c>
      <c r="G271" s="240">
        <v>43.96</v>
      </c>
      <c r="H271" s="240">
        <f>ROUND(ROUND(F271,8)*G271,2)</f>
        <v>76.62</v>
      </c>
      <c r="I271" s="179"/>
      <c r="J271" s="180"/>
    </row>
    <row r="272" spans="1:10" ht="29.1" customHeight="1" x14ac:dyDescent="0.25">
      <c r="A272" s="181" t="s">
        <v>2025</v>
      </c>
      <c r="B272" s="241" t="s">
        <v>2026</v>
      </c>
      <c r="C272" s="481" t="s">
        <v>82</v>
      </c>
      <c r="D272" s="481"/>
      <c r="E272" s="231" t="s">
        <v>2027</v>
      </c>
      <c r="F272" s="239">
        <v>8.9800000000000005E-2</v>
      </c>
      <c r="G272" s="240">
        <v>45.32</v>
      </c>
      <c r="H272" s="240">
        <f>ROUND(ROUND(F272,8)*G272,2)</f>
        <v>4.07</v>
      </c>
      <c r="I272" s="179"/>
      <c r="J272" s="180"/>
    </row>
    <row r="273" spans="1:10" ht="18" customHeight="1" x14ac:dyDescent="0.25">
      <c r="A273" s="182"/>
      <c r="B273" s="183"/>
      <c r="C273" s="183"/>
      <c r="D273" s="183"/>
      <c r="E273" s="183"/>
      <c r="F273" s="477" t="s">
        <v>2028</v>
      </c>
      <c r="G273" s="477"/>
      <c r="H273" s="139">
        <f>SUM(H271:H272)</f>
        <v>80.69</v>
      </c>
      <c r="I273" s="179"/>
      <c r="J273" s="180"/>
    </row>
    <row r="274" spans="1:10" ht="15" customHeight="1" x14ac:dyDescent="0.25">
      <c r="A274" s="474" t="s">
        <v>1812</v>
      </c>
      <c r="B274" s="475"/>
      <c r="C274" s="476" t="s">
        <v>42</v>
      </c>
      <c r="D274" s="476"/>
      <c r="E274" s="230" t="s">
        <v>44</v>
      </c>
      <c r="F274" s="230" t="s">
        <v>1813</v>
      </c>
      <c r="G274" s="230" t="s">
        <v>1814</v>
      </c>
      <c r="H274" s="230" t="s">
        <v>1802</v>
      </c>
      <c r="I274" s="179"/>
      <c r="J274" s="180"/>
    </row>
    <row r="275" spans="1:10" ht="21" customHeight="1" x14ac:dyDescent="0.25">
      <c r="A275" s="181" t="s">
        <v>2029</v>
      </c>
      <c r="B275" s="241" t="s">
        <v>2030</v>
      </c>
      <c r="C275" s="481" t="s">
        <v>82</v>
      </c>
      <c r="D275" s="481"/>
      <c r="E275" s="231" t="s">
        <v>1817</v>
      </c>
      <c r="F275" s="239">
        <v>0.53</v>
      </c>
      <c r="G275" s="240">
        <v>39.36</v>
      </c>
      <c r="H275" s="240">
        <f>ROUND(ROUND(F275,8)*G275,2)</f>
        <v>20.86</v>
      </c>
      <c r="I275" s="179"/>
      <c r="J275" s="180"/>
    </row>
    <row r="276" spans="1:10" ht="15" customHeight="1" x14ac:dyDescent="0.25">
      <c r="A276" s="181" t="s">
        <v>2031</v>
      </c>
      <c r="B276" s="241" t="s">
        <v>2032</v>
      </c>
      <c r="C276" s="481" t="s">
        <v>82</v>
      </c>
      <c r="D276" s="481"/>
      <c r="E276" s="231" t="s">
        <v>1817</v>
      </c>
      <c r="F276" s="239">
        <v>0.97</v>
      </c>
      <c r="G276" s="240">
        <v>2.54</v>
      </c>
      <c r="H276" s="240">
        <f>ROUND(ROUND(F276,8)*G276,2)</f>
        <v>2.46</v>
      </c>
      <c r="I276" s="179"/>
      <c r="J276" s="180"/>
    </row>
    <row r="277" spans="1:10" ht="29.1" customHeight="1" x14ac:dyDescent="0.25">
      <c r="A277" s="181" t="s">
        <v>2033</v>
      </c>
      <c r="B277" s="241" t="s">
        <v>2034</v>
      </c>
      <c r="C277" s="481" t="s">
        <v>82</v>
      </c>
      <c r="D277" s="481"/>
      <c r="E277" s="231" t="s">
        <v>122</v>
      </c>
      <c r="F277" s="239">
        <v>1.05</v>
      </c>
      <c r="G277" s="240">
        <v>363.03</v>
      </c>
      <c r="H277" s="240">
        <f>ROUND(ROUND(F277,8)*G277,2)</f>
        <v>381.18</v>
      </c>
      <c r="I277" s="179"/>
      <c r="J277" s="180"/>
    </row>
    <row r="278" spans="1:10" ht="15" customHeight="1" x14ac:dyDescent="0.25">
      <c r="A278" s="182"/>
      <c r="B278" s="183"/>
      <c r="C278" s="183"/>
      <c r="D278" s="183"/>
      <c r="E278" s="183"/>
      <c r="F278" s="477" t="s">
        <v>1826</v>
      </c>
      <c r="G278" s="477"/>
      <c r="H278" s="139">
        <f>SUM(H275:H277)</f>
        <v>404.5</v>
      </c>
      <c r="I278" s="179"/>
      <c r="J278" s="180"/>
    </row>
    <row r="279" spans="1:10" ht="15" customHeight="1" x14ac:dyDescent="0.25">
      <c r="A279" s="474" t="s">
        <v>1827</v>
      </c>
      <c r="B279" s="475"/>
      <c r="C279" s="476" t="s">
        <v>42</v>
      </c>
      <c r="D279" s="476"/>
      <c r="E279" s="230" t="s">
        <v>44</v>
      </c>
      <c r="F279" s="230" t="s">
        <v>1813</v>
      </c>
      <c r="G279" s="230" t="s">
        <v>1814</v>
      </c>
      <c r="H279" s="230" t="s">
        <v>1802</v>
      </c>
      <c r="I279" s="179"/>
      <c r="J279" s="180"/>
    </row>
    <row r="280" spans="1:10" ht="15" customHeight="1" x14ac:dyDescent="0.25">
      <c r="A280" s="181" t="s">
        <v>2035</v>
      </c>
      <c r="B280" s="241" t="s">
        <v>2036</v>
      </c>
      <c r="C280" s="481" t="s">
        <v>51</v>
      </c>
      <c r="D280" s="481"/>
      <c r="E280" s="231" t="s">
        <v>1024</v>
      </c>
      <c r="F280" s="239">
        <v>1.8328</v>
      </c>
      <c r="G280" s="240">
        <v>26.03</v>
      </c>
      <c r="H280" s="240">
        <f>ROUND(ROUND(F280,8)*G280,2)</f>
        <v>47.71</v>
      </c>
      <c r="I280" s="179"/>
      <c r="J280" s="180"/>
    </row>
    <row r="281" spans="1:10" ht="15" customHeight="1" x14ac:dyDescent="0.25">
      <c r="A281" s="181" t="s">
        <v>1830</v>
      </c>
      <c r="B281" s="241" t="s">
        <v>1831</v>
      </c>
      <c r="C281" s="481" t="s">
        <v>51</v>
      </c>
      <c r="D281" s="481"/>
      <c r="E281" s="231" t="s">
        <v>1024</v>
      </c>
      <c r="F281" s="239">
        <v>0.91639999999999999</v>
      </c>
      <c r="G281" s="240">
        <v>19.68</v>
      </c>
      <c r="H281" s="240">
        <f>ROUND(ROUND(F281,8)*G281,2)</f>
        <v>18.03</v>
      </c>
      <c r="I281" s="179"/>
      <c r="J281" s="180"/>
    </row>
    <row r="282" spans="1:10" ht="15" customHeight="1" x14ac:dyDescent="0.25">
      <c r="A282" s="182"/>
      <c r="B282" s="183"/>
      <c r="C282" s="183"/>
      <c r="D282" s="183"/>
      <c r="E282" s="183"/>
      <c r="F282" s="477" t="s">
        <v>1832</v>
      </c>
      <c r="G282" s="477"/>
      <c r="H282" s="139">
        <f>SUM(H280:H281)</f>
        <v>65.740000000000009</v>
      </c>
      <c r="I282" s="179"/>
      <c r="J282" s="180"/>
    </row>
    <row r="283" spans="1:10" ht="15" customHeight="1" x14ac:dyDescent="0.25">
      <c r="A283" s="483" t="s">
        <v>2037</v>
      </c>
      <c r="B283" s="484"/>
      <c r="C283" s="484"/>
      <c r="D283" s="183"/>
      <c r="E283" s="183"/>
      <c r="F283" s="482" t="s">
        <v>1834</v>
      </c>
      <c r="G283" s="482"/>
      <c r="H283" s="140">
        <v>550.92999999999995</v>
      </c>
      <c r="I283" s="179"/>
      <c r="J283" s="180"/>
    </row>
    <row r="284" spans="1:10" ht="2.1" customHeight="1" x14ac:dyDescent="0.25">
      <c r="A284" s="483"/>
      <c r="B284" s="484"/>
      <c r="C284" s="484"/>
      <c r="D284" s="183"/>
      <c r="E284" s="183"/>
      <c r="F284" s="183"/>
      <c r="G284" s="183"/>
      <c r="H284" s="183"/>
      <c r="I284" s="179"/>
      <c r="J284" s="180"/>
    </row>
    <row r="285" spans="1:10" ht="9.9499999999999993" customHeight="1" x14ac:dyDescent="0.25">
      <c r="A285" s="182"/>
      <c r="B285" s="183"/>
      <c r="C285" s="183"/>
      <c r="D285" s="183"/>
      <c r="E285" s="183"/>
      <c r="F285" s="485"/>
      <c r="G285" s="485"/>
      <c r="H285" s="485"/>
      <c r="I285" s="179"/>
      <c r="J285" s="180"/>
    </row>
    <row r="286" spans="1:10" ht="20.100000000000001" customHeight="1" x14ac:dyDescent="0.25">
      <c r="A286" s="486" t="s">
        <v>2038</v>
      </c>
      <c r="B286" s="487"/>
      <c r="C286" s="487"/>
      <c r="D286" s="487"/>
      <c r="E286" s="487"/>
      <c r="F286" s="487"/>
      <c r="G286" s="487"/>
      <c r="H286" s="487"/>
      <c r="I286" s="179"/>
      <c r="J286" s="180"/>
    </row>
    <row r="287" spans="1:10" ht="15" customHeight="1" x14ac:dyDescent="0.25">
      <c r="A287" s="474" t="s">
        <v>1812</v>
      </c>
      <c r="B287" s="475"/>
      <c r="C287" s="476" t="s">
        <v>42</v>
      </c>
      <c r="D287" s="476"/>
      <c r="E287" s="230" t="s">
        <v>44</v>
      </c>
      <c r="F287" s="230" t="s">
        <v>1813</v>
      </c>
      <c r="G287" s="230" t="s">
        <v>1814</v>
      </c>
      <c r="H287" s="230" t="s">
        <v>1802</v>
      </c>
      <c r="I287" s="179"/>
      <c r="J287" s="180"/>
    </row>
    <row r="288" spans="1:10" ht="15" customHeight="1" x14ac:dyDescent="0.25">
      <c r="A288" s="181" t="s">
        <v>2039</v>
      </c>
      <c r="B288" s="241" t="s">
        <v>2040</v>
      </c>
      <c r="C288" s="481" t="s">
        <v>341</v>
      </c>
      <c r="D288" s="481"/>
      <c r="E288" s="231" t="s">
        <v>54</v>
      </c>
      <c r="F288" s="239">
        <v>1.05</v>
      </c>
      <c r="G288" s="240">
        <v>522.28</v>
      </c>
      <c r="H288" s="240">
        <f>ROUND(ROUND(F288,8)*G288,2)</f>
        <v>548.39</v>
      </c>
      <c r="I288" s="179"/>
      <c r="J288" s="180"/>
    </row>
    <row r="289" spans="1:10" ht="15" customHeight="1" x14ac:dyDescent="0.25">
      <c r="A289" s="182"/>
      <c r="B289" s="183"/>
      <c r="C289" s="183"/>
      <c r="D289" s="183"/>
      <c r="E289" s="183"/>
      <c r="F289" s="477" t="s">
        <v>1826</v>
      </c>
      <c r="G289" s="477"/>
      <c r="H289" s="139">
        <f>SUM(H288:H288)</f>
        <v>548.39</v>
      </c>
      <c r="I289" s="179"/>
      <c r="J289" s="180"/>
    </row>
    <row r="290" spans="1:10" ht="15" customHeight="1" x14ac:dyDescent="0.25">
      <c r="A290" s="474" t="s">
        <v>1827</v>
      </c>
      <c r="B290" s="475"/>
      <c r="C290" s="476" t="s">
        <v>42</v>
      </c>
      <c r="D290" s="476"/>
      <c r="E290" s="230" t="s">
        <v>44</v>
      </c>
      <c r="F290" s="230" t="s">
        <v>1813</v>
      </c>
      <c r="G290" s="230" t="s">
        <v>1814</v>
      </c>
      <c r="H290" s="230" t="s">
        <v>1802</v>
      </c>
      <c r="I290" s="179"/>
      <c r="J290" s="180"/>
    </row>
    <row r="291" spans="1:10" ht="15" customHeight="1" x14ac:dyDescent="0.25">
      <c r="A291" s="181" t="s">
        <v>1851</v>
      </c>
      <c r="B291" s="241" t="s">
        <v>1852</v>
      </c>
      <c r="C291" s="481" t="s">
        <v>51</v>
      </c>
      <c r="D291" s="481"/>
      <c r="E291" s="231" t="s">
        <v>1024</v>
      </c>
      <c r="F291" s="239">
        <v>0.64</v>
      </c>
      <c r="G291" s="240">
        <v>26.03</v>
      </c>
      <c r="H291" s="240">
        <f>ROUND(ROUND(F291,8)*G291,2)</f>
        <v>16.66</v>
      </c>
      <c r="I291" s="179"/>
      <c r="J291" s="180"/>
    </row>
    <row r="292" spans="1:10" ht="15" customHeight="1" x14ac:dyDescent="0.25">
      <c r="A292" s="181" t="s">
        <v>1830</v>
      </c>
      <c r="B292" s="241" t="s">
        <v>1831</v>
      </c>
      <c r="C292" s="481" t="s">
        <v>51</v>
      </c>
      <c r="D292" s="481"/>
      <c r="E292" s="231" t="s">
        <v>1024</v>
      </c>
      <c r="F292" s="239">
        <v>0.2</v>
      </c>
      <c r="G292" s="240">
        <v>19.68</v>
      </c>
      <c r="H292" s="240">
        <f>ROUND(ROUND(F292,8)*G292,2)</f>
        <v>3.94</v>
      </c>
      <c r="I292" s="179"/>
      <c r="J292" s="180"/>
    </row>
    <row r="293" spans="1:10" ht="15" customHeight="1" x14ac:dyDescent="0.25">
      <c r="A293" s="182"/>
      <c r="B293" s="183"/>
      <c r="C293" s="183"/>
      <c r="D293" s="183"/>
      <c r="E293" s="183"/>
      <c r="F293" s="477" t="s">
        <v>1832</v>
      </c>
      <c r="G293" s="477"/>
      <c r="H293" s="139">
        <f>SUM(H291:H292)</f>
        <v>20.6</v>
      </c>
      <c r="I293" s="179"/>
      <c r="J293" s="180"/>
    </row>
    <row r="294" spans="1:10" ht="15" customHeight="1" x14ac:dyDescent="0.25">
      <c r="A294" s="474" t="s">
        <v>1912</v>
      </c>
      <c r="B294" s="475"/>
      <c r="C294" s="476" t="s">
        <v>42</v>
      </c>
      <c r="D294" s="476"/>
      <c r="E294" s="230" t="s">
        <v>44</v>
      </c>
      <c r="F294" s="230" t="s">
        <v>1813</v>
      </c>
      <c r="G294" s="230" t="s">
        <v>1814</v>
      </c>
      <c r="H294" s="230" t="s">
        <v>1802</v>
      </c>
      <c r="I294" s="179"/>
      <c r="J294" s="180"/>
    </row>
    <row r="295" spans="1:10" ht="15" customHeight="1" x14ac:dyDescent="0.25">
      <c r="A295" s="181" t="s">
        <v>2041</v>
      </c>
      <c r="B295" s="241" t="s">
        <v>2042</v>
      </c>
      <c r="C295" s="481" t="s">
        <v>341</v>
      </c>
      <c r="D295" s="481"/>
      <c r="E295" s="231" t="s">
        <v>786</v>
      </c>
      <c r="F295" s="239">
        <v>4.5</v>
      </c>
      <c r="G295" s="240">
        <v>0.98</v>
      </c>
      <c r="H295" s="240">
        <f>ROUND(ROUND(F295,8)*G295,2)</f>
        <v>4.41</v>
      </c>
      <c r="I295" s="179"/>
      <c r="J295" s="180"/>
    </row>
    <row r="296" spans="1:10" ht="15" customHeight="1" x14ac:dyDescent="0.25">
      <c r="A296" s="182"/>
      <c r="B296" s="183"/>
      <c r="C296" s="183"/>
      <c r="D296" s="183"/>
      <c r="E296" s="183"/>
      <c r="F296" s="477" t="s">
        <v>1915</v>
      </c>
      <c r="G296" s="477"/>
      <c r="H296" s="139">
        <f>SUM(H295:H295)</f>
        <v>4.41</v>
      </c>
      <c r="I296" s="179"/>
      <c r="J296" s="180"/>
    </row>
    <row r="297" spans="1:10" ht="15" customHeight="1" x14ac:dyDescent="0.25">
      <c r="A297" s="483" t="s">
        <v>2043</v>
      </c>
      <c r="B297" s="484"/>
      <c r="C297" s="484"/>
      <c r="D297" s="183"/>
      <c r="E297" s="183"/>
      <c r="F297" s="482" t="s">
        <v>1834</v>
      </c>
      <c r="G297" s="482"/>
      <c r="H297" s="140">
        <v>573.4</v>
      </c>
      <c r="I297" s="179"/>
      <c r="J297" s="180"/>
    </row>
    <row r="298" spans="1:10" ht="9.9499999999999993" customHeight="1" x14ac:dyDescent="0.25">
      <c r="A298" s="182"/>
      <c r="B298" s="183"/>
      <c r="C298" s="183"/>
      <c r="D298" s="183"/>
      <c r="E298" s="183"/>
      <c r="F298" s="485"/>
      <c r="G298" s="485"/>
      <c r="H298" s="485"/>
      <c r="I298" s="179"/>
      <c r="J298" s="180"/>
    </row>
    <row r="299" spans="1:10" ht="20.100000000000001" customHeight="1" x14ac:dyDescent="0.25">
      <c r="A299" s="486" t="s">
        <v>2044</v>
      </c>
      <c r="B299" s="487"/>
      <c r="C299" s="487"/>
      <c r="D299" s="487"/>
      <c r="E299" s="487"/>
      <c r="F299" s="487"/>
      <c r="G299" s="487"/>
      <c r="H299" s="487"/>
      <c r="I299" s="179"/>
      <c r="J299" s="180"/>
    </row>
    <row r="300" spans="1:10" ht="15" customHeight="1" x14ac:dyDescent="0.25">
      <c r="A300" s="474" t="s">
        <v>1812</v>
      </c>
      <c r="B300" s="475"/>
      <c r="C300" s="476" t="s">
        <v>42</v>
      </c>
      <c r="D300" s="476"/>
      <c r="E300" s="230" t="s">
        <v>44</v>
      </c>
      <c r="F300" s="230" t="s">
        <v>1813</v>
      </c>
      <c r="G300" s="230" t="s">
        <v>1814</v>
      </c>
      <c r="H300" s="230" t="s">
        <v>1802</v>
      </c>
      <c r="I300" s="179"/>
      <c r="J300" s="180"/>
    </row>
    <row r="301" spans="1:10" ht="21" customHeight="1" x14ac:dyDescent="0.25">
      <c r="A301" s="181" t="s">
        <v>2045</v>
      </c>
      <c r="B301" s="241" t="s">
        <v>2046</v>
      </c>
      <c r="C301" s="481" t="s">
        <v>341</v>
      </c>
      <c r="D301" s="481"/>
      <c r="E301" s="231" t="s">
        <v>54</v>
      </c>
      <c r="F301" s="239">
        <v>1.05</v>
      </c>
      <c r="G301" s="240">
        <v>88.26</v>
      </c>
      <c r="H301" s="240">
        <f>ROUND(ROUND(F301,8)*G301,2)</f>
        <v>92.67</v>
      </c>
      <c r="I301" s="179"/>
      <c r="J301" s="180"/>
    </row>
    <row r="302" spans="1:10" ht="15" customHeight="1" x14ac:dyDescent="0.25">
      <c r="A302" s="182"/>
      <c r="B302" s="183"/>
      <c r="C302" s="183"/>
      <c r="D302" s="183"/>
      <c r="E302" s="183"/>
      <c r="F302" s="477" t="s">
        <v>1826</v>
      </c>
      <c r="G302" s="477"/>
      <c r="H302" s="139">
        <f>SUM(H301:H301)</f>
        <v>92.67</v>
      </c>
      <c r="I302" s="179"/>
      <c r="J302" s="180"/>
    </row>
    <row r="303" spans="1:10" ht="15" customHeight="1" x14ac:dyDescent="0.25">
      <c r="A303" s="474" t="s">
        <v>1827</v>
      </c>
      <c r="B303" s="475"/>
      <c r="C303" s="476" t="s">
        <v>42</v>
      </c>
      <c r="D303" s="476"/>
      <c r="E303" s="230" t="s">
        <v>44</v>
      </c>
      <c r="F303" s="230" t="s">
        <v>1813</v>
      </c>
      <c r="G303" s="230" t="s">
        <v>1814</v>
      </c>
      <c r="H303" s="230" t="s">
        <v>1802</v>
      </c>
      <c r="I303" s="179"/>
      <c r="J303" s="180"/>
    </row>
    <row r="304" spans="1:10" ht="15" customHeight="1" x14ac:dyDescent="0.25">
      <c r="A304" s="181" t="s">
        <v>1851</v>
      </c>
      <c r="B304" s="241" t="s">
        <v>1852</v>
      </c>
      <c r="C304" s="481" t="s">
        <v>51</v>
      </c>
      <c r="D304" s="481"/>
      <c r="E304" s="231" t="s">
        <v>1024</v>
      </c>
      <c r="F304" s="239">
        <v>0.64</v>
      </c>
      <c r="G304" s="240">
        <v>26.03</v>
      </c>
      <c r="H304" s="240">
        <f>ROUND(ROUND(F304,8)*G304,2)</f>
        <v>16.66</v>
      </c>
      <c r="I304" s="179"/>
      <c r="J304" s="180"/>
    </row>
    <row r="305" spans="1:10" ht="15" customHeight="1" x14ac:dyDescent="0.25">
      <c r="A305" s="181" t="s">
        <v>1830</v>
      </c>
      <c r="B305" s="241" t="s">
        <v>1831</v>
      </c>
      <c r="C305" s="481" t="s">
        <v>51</v>
      </c>
      <c r="D305" s="481"/>
      <c r="E305" s="231" t="s">
        <v>1024</v>
      </c>
      <c r="F305" s="239">
        <v>0.2</v>
      </c>
      <c r="G305" s="240">
        <v>19.68</v>
      </c>
      <c r="H305" s="240">
        <f>ROUND(ROUND(F305,8)*G305,2)</f>
        <v>3.94</v>
      </c>
      <c r="I305" s="179"/>
      <c r="J305" s="180"/>
    </row>
    <row r="306" spans="1:10" ht="15" customHeight="1" x14ac:dyDescent="0.25">
      <c r="A306" s="182"/>
      <c r="B306" s="183"/>
      <c r="C306" s="183"/>
      <c r="D306" s="183"/>
      <c r="E306" s="183"/>
      <c r="F306" s="477" t="s">
        <v>1832</v>
      </c>
      <c r="G306" s="477"/>
      <c r="H306" s="139">
        <f>SUM(H304:H305)</f>
        <v>20.6</v>
      </c>
      <c r="I306" s="179"/>
      <c r="J306" s="180"/>
    </row>
    <row r="307" spans="1:10" ht="15" customHeight="1" x14ac:dyDescent="0.25">
      <c r="A307" s="474" t="s">
        <v>1912</v>
      </c>
      <c r="B307" s="475"/>
      <c r="C307" s="476" t="s">
        <v>42</v>
      </c>
      <c r="D307" s="476"/>
      <c r="E307" s="230" t="s">
        <v>44</v>
      </c>
      <c r="F307" s="230" t="s">
        <v>1813</v>
      </c>
      <c r="G307" s="230" t="s">
        <v>1814</v>
      </c>
      <c r="H307" s="230" t="s">
        <v>1802</v>
      </c>
      <c r="I307" s="179"/>
      <c r="J307" s="180"/>
    </row>
    <row r="308" spans="1:10" ht="15" customHeight="1" x14ac:dyDescent="0.25">
      <c r="A308" s="181" t="s">
        <v>2041</v>
      </c>
      <c r="B308" s="241" t="s">
        <v>2042</v>
      </c>
      <c r="C308" s="481" t="s">
        <v>341</v>
      </c>
      <c r="D308" s="481"/>
      <c r="E308" s="231" t="s">
        <v>786</v>
      </c>
      <c r="F308" s="239">
        <v>4.5</v>
      </c>
      <c r="G308" s="240">
        <v>0.98</v>
      </c>
      <c r="H308" s="240">
        <f>ROUND(ROUND(F308,8)*G308,2)</f>
        <v>4.41</v>
      </c>
      <c r="I308" s="179"/>
      <c r="J308" s="180"/>
    </row>
    <row r="309" spans="1:10" ht="15" customHeight="1" x14ac:dyDescent="0.25">
      <c r="A309" s="182"/>
      <c r="B309" s="183"/>
      <c r="C309" s="183"/>
      <c r="D309" s="183"/>
      <c r="E309" s="183"/>
      <c r="F309" s="477" t="s">
        <v>1915</v>
      </c>
      <c r="G309" s="477"/>
      <c r="H309" s="139">
        <f>SUM(H308:H308)</f>
        <v>4.41</v>
      </c>
      <c r="I309" s="179"/>
      <c r="J309" s="180"/>
    </row>
    <row r="310" spans="1:10" ht="15" customHeight="1" x14ac:dyDescent="0.25">
      <c r="A310" s="483" t="s">
        <v>2047</v>
      </c>
      <c r="B310" s="484"/>
      <c r="C310" s="484"/>
      <c r="D310" s="183"/>
      <c r="E310" s="183"/>
      <c r="F310" s="482" t="s">
        <v>1834</v>
      </c>
      <c r="G310" s="482"/>
      <c r="H310" s="140">
        <v>117.68</v>
      </c>
      <c r="I310" s="179"/>
      <c r="J310" s="180"/>
    </row>
    <row r="311" spans="1:10" ht="9.9499999999999993" customHeight="1" x14ac:dyDescent="0.25">
      <c r="A311" s="182"/>
      <c r="B311" s="183"/>
      <c r="C311" s="183"/>
      <c r="D311" s="183"/>
      <c r="E311" s="183"/>
      <c r="F311" s="485"/>
      <c r="G311" s="485"/>
      <c r="H311" s="485"/>
      <c r="I311" s="179"/>
      <c r="J311" s="180"/>
    </row>
    <row r="312" spans="1:10" ht="20.100000000000001" customHeight="1" x14ac:dyDescent="0.25">
      <c r="A312" s="486" t="s">
        <v>2048</v>
      </c>
      <c r="B312" s="487"/>
      <c r="C312" s="487"/>
      <c r="D312" s="487"/>
      <c r="E312" s="487"/>
      <c r="F312" s="487"/>
      <c r="G312" s="487"/>
      <c r="H312" s="487"/>
      <c r="I312" s="179"/>
      <c r="J312" s="180"/>
    </row>
    <row r="313" spans="1:10" ht="15" customHeight="1" x14ac:dyDescent="0.25">
      <c r="A313" s="474" t="s">
        <v>1812</v>
      </c>
      <c r="B313" s="475"/>
      <c r="C313" s="476" t="s">
        <v>42</v>
      </c>
      <c r="D313" s="476"/>
      <c r="E313" s="230" t="s">
        <v>44</v>
      </c>
      <c r="F313" s="230" t="s">
        <v>1813</v>
      </c>
      <c r="G313" s="230" t="s">
        <v>1814</v>
      </c>
      <c r="H313" s="230" t="s">
        <v>1802</v>
      </c>
      <c r="I313" s="179"/>
      <c r="J313" s="180"/>
    </row>
    <row r="314" spans="1:10" ht="21" customHeight="1" x14ac:dyDescent="0.25">
      <c r="A314" s="181" t="s">
        <v>2049</v>
      </c>
      <c r="B314" s="241" t="s">
        <v>2050</v>
      </c>
      <c r="C314" s="481" t="s">
        <v>341</v>
      </c>
      <c r="D314" s="481"/>
      <c r="E314" s="231" t="s">
        <v>786</v>
      </c>
      <c r="F314" s="239">
        <v>0.25</v>
      </c>
      <c r="G314" s="240">
        <v>53.56</v>
      </c>
      <c r="H314" s="240">
        <f>ROUND(ROUND(F314,8)*G314,2)</f>
        <v>13.39</v>
      </c>
      <c r="I314" s="179"/>
      <c r="J314" s="180"/>
    </row>
    <row r="315" spans="1:10" ht="15" customHeight="1" x14ac:dyDescent="0.25">
      <c r="A315" s="181" t="s">
        <v>2051</v>
      </c>
      <c r="B315" s="241" t="s">
        <v>2052</v>
      </c>
      <c r="C315" s="481" t="s">
        <v>341</v>
      </c>
      <c r="D315" s="481"/>
      <c r="E315" s="231" t="s">
        <v>786</v>
      </c>
      <c r="F315" s="239">
        <v>0.01</v>
      </c>
      <c r="G315" s="240">
        <v>419.55</v>
      </c>
      <c r="H315" s="240">
        <f>ROUND(ROUND(F315,8)*G315,2)</f>
        <v>4.2</v>
      </c>
      <c r="I315" s="179"/>
      <c r="J315" s="180"/>
    </row>
    <row r="316" spans="1:10" ht="15" customHeight="1" x14ac:dyDescent="0.25">
      <c r="A316" s="181" t="s">
        <v>2053</v>
      </c>
      <c r="B316" s="241" t="s">
        <v>2054</v>
      </c>
      <c r="C316" s="481" t="s">
        <v>341</v>
      </c>
      <c r="D316" s="481"/>
      <c r="E316" s="231" t="s">
        <v>89</v>
      </c>
      <c r="F316" s="239">
        <v>3.5999999999999999E-3</v>
      </c>
      <c r="G316" s="240">
        <v>7199</v>
      </c>
      <c r="H316" s="240">
        <f>ROUND(ROUND(F316,8)*G316,2)</f>
        <v>25.92</v>
      </c>
      <c r="I316" s="179"/>
      <c r="J316" s="180"/>
    </row>
    <row r="317" spans="1:10" ht="15" customHeight="1" x14ac:dyDescent="0.25">
      <c r="A317" s="181" t="s">
        <v>2055</v>
      </c>
      <c r="B317" s="241" t="s">
        <v>2056</v>
      </c>
      <c r="C317" s="481" t="s">
        <v>341</v>
      </c>
      <c r="D317" s="481"/>
      <c r="E317" s="231" t="s">
        <v>1951</v>
      </c>
      <c r="F317" s="239">
        <v>0.3</v>
      </c>
      <c r="G317" s="240">
        <v>1.36</v>
      </c>
      <c r="H317" s="240">
        <f>ROUND(ROUND(F317,8)*G317,2)</f>
        <v>0.41</v>
      </c>
      <c r="I317" s="179"/>
      <c r="J317" s="180"/>
    </row>
    <row r="318" spans="1:10" ht="15" customHeight="1" x14ac:dyDescent="0.25">
      <c r="A318" s="182"/>
      <c r="B318" s="183"/>
      <c r="C318" s="183"/>
      <c r="D318" s="183"/>
      <c r="E318" s="183"/>
      <c r="F318" s="477" t="s">
        <v>1826</v>
      </c>
      <c r="G318" s="477"/>
      <c r="H318" s="139">
        <f>SUM(H314:H317)</f>
        <v>43.92</v>
      </c>
      <c r="I318" s="179"/>
      <c r="J318" s="180"/>
    </row>
    <row r="319" spans="1:10" ht="15" customHeight="1" x14ac:dyDescent="0.25">
      <c r="A319" s="474" t="s">
        <v>1827</v>
      </c>
      <c r="B319" s="475"/>
      <c r="C319" s="476" t="s">
        <v>42</v>
      </c>
      <c r="D319" s="476"/>
      <c r="E319" s="230" t="s">
        <v>44</v>
      </c>
      <c r="F319" s="230" t="s">
        <v>1813</v>
      </c>
      <c r="G319" s="230" t="s">
        <v>1814</v>
      </c>
      <c r="H319" s="230" t="s">
        <v>1802</v>
      </c>
      <c r="I319" s="179"/>
      <c r="J319" s="180"/>
    </row>
    <row r="320" spans="1:10" ht="15" customHeight="1" x14ac:dyDescent="0.25">
      <c r="A320" s="181" t="s">
        <v>1828</v>
      </c>
      <c r="B320" s="241" t="s">
        <v>1829</v>
      </c>
      <c r="C320" s="481" t="s">
        <v>51</v>
      </c>
      <c r="D320" s="481"/>
      <c r="E320" s="231" t="s">
        <v>1024</v>
      </c>
      <c r="F320" s="239">
        <v>1.3</v>
      </c>
      <c r="G320" s="240">
        <v>26.03</v>
      </c>
      <c r="H320" s="240">
        <f>ROUND(ROUND(F320,8)*G320,2)</f>
        <v>33.840000000000003</v>
      </c>
      <c r="I320" s="179"/>
      <c r="J320" s="180"/>
    </row>
    <row r="321" spans="1:10" ht="15" customHeight="1" x14ac:dyDescent="0.25">
      <c r="A321" s="181" t="s">
        <v>1830</v>
      </c>
      <c r="B321" s="241" t="s">
        <v>1831</v>
      </c>
      <c r="C321" s="481" t="s">
        <v>51</v>
      </c>
      <c r="D321" s="481"/>
      <c r="E321" s="231" t="s">
        <v>1024</v>
      </c>
      <c r="F321" s="239">
        <v>1.3</v>
      </c>
      <c r="G321" s="240">
        <v>19.68</v>
      </c>
      <c r="H321" s="240">
        <f>ROUND(ROUND(F321,8)*G321,2)</f>
        <v>25.58</v>
      </c>
      <c r="I321" s="179"/>
      <c r="J321" s="180"/>
    </row>
    <row r="322" spans="1:10" ht="15" customHeight="1" x14ac:dyDescent="0.25">
      <c r="A322" s="182"/>
      <c r="B322" s="183"/>
      <c r="C322" s="183"/>
      <c r="D322" s="183"/>
      <c r="E322" s="183"/>
      <c r="F322" s="477" t="s">
        <v>1832</v>
      </c>
      <c r="G322" s="477"/>
      <c r="H322" s="139">
        <f>SUM(H320:H321)</f>
        <v>59.42</v>
      </c>
      <c r="I322" s="179"/>
      <c r="J322" s="180"/>
    </row>
    <row r="323" spans="1:10" ht="15" customHeight="1" x14ac:dyDescent="0.25">
      <c r="A323" s="483" t="s">
        <v>2057</v>
      </c>
      <c r="B323" s="484"/>
      <c r="C323" s="484"/>
      <c r="D323" s="183"/>
      <c r="E323" s="183"/>
      <c r="F323" s="482" t="s">
        <v>1834</v>
      </c>
      <c r="G323" s="482"/>
      <c r="H323" s="140">
        <v>103.34</v>
      </c>
      <c r="I323" s="179"/>
      <c r="J323" s="180"/>
    </row>
    <row r="324" spans="1:10" ht="9.9499999999999993" customHeight="1" x14ac:dyDescent="0.25">
      <c r="A324" s="182"/>
      <c r="B324" s="183"/>
      <c r="C324" s="183"/>
      <c r="D324" s="183"/>
      <c r="E324" s="183"/>
      <c r="F324" s="485"/>
      <c r="G324" s="485"/>
      <c r="H324" s="485"/>
      <c r="I324" s="179"/>
      <c r="J324" s="180"/>
    </row>
    <row r="325" spans="1:10" ht="20.100000000000001" customHeight="1" x14ac:dyDescent="0.25">
      <c r="A325" s="486" t="s">
        <v>2058</v>
      </c>
      <c r="B325" s="487"/>
      <c r="C325" s="487"/>
      <c r="D325" s="487"/>
      <c r="E325" s="487"/>
      <c r="F325" s="487"/>
      <c r="G325" s="487"/>
      <c r="H325" s="487"/>
      <c r="I325" s="179"/>
      <c r="J325" s="180"/>
    </row>
    <row r="326" spans="1:10" ht="20.100000000000001" customHeight="1" x14ac:dyDescent="0.25">
      <c r="A326" s="488" t="s">
        <v>1836</v>
      </c>
      <c r="B326" s="489"/>
      <c r="C326" s="489"/>
      <c r="D326" s="489"/>
      <c r="E326" s="233" t="s">
        <v>44</v>
      </c>
      <c r="F326" s="233" t="s">
        <v>1837</v>
      </c>
      <c r="G326" s="233" t="s">
        <v>1838</v>
      </c>
      <c r="H326" s="233" t="s">
        <v>1839</v>
      </c>
      <c r="I326" s="179"/>
      <c r="J326" s="180"/>
    </row>
    <row r="327" spans="1:10" ht="15" customHeight="1" x14ac:dyDescent="0.25">
      <c r="A327" s="170" t="s">
        <v>1830</v>
      </c>
      <c r="B327" s="490" t="s">
        <v>1831</v>
      </c>
      <c r="C327" s="490"/>
      <c r="D327" s="490"/>
      <c r="E327" s="127" t="s">
        <v>1024</v>
      </c>
      <c r="F327" s="234">
        <v>0.4583333</v>
      </c>
      <c r="G327" s="238">
        <v>19.68</v>
      </c>
      <c r="H327" s="238">
        <f>ROUND(ROUND(F327,8)*G327,2)</f>
        <v>9.02</v>
      </c>
      <c r="I327" s="179"/>
      <c r="J327" s="180"/>
    </row>
    <row r="328" spans="1:10" ht="15" customHeight="1" x14ac:dyDescent="0.25">
      <c r="A328" s="184"/>
      <c r="B328" s="141"/>
      <c r="C328" s="141"/>
      <c r="D328" s="141"/>
      <c r="E328" s="141"/>
      <c r="F328" s="491" t="s">
        <v>1844</v>
      </c>
      <c r="G328" s="491"/>
      <c r="H328" s="140">
        <f>SUM(H327:H327)</f>
        <v>9.02</v>
      </c>
      <c r="I328" s="179"/>
      <c r="J328" s="180"/>
    </row>
    <row r="329" spans="1:10" ht="15" customHeight="1" x14ac:dyDescent="0.25">
      <c r="A329" s="182"/>
      <c r="B329" s="183"/>
      <c r="C329" s="183"/>
      <c r="D329" s="183"/>
      <c r="E329" s="183"/>
      <c r="F329" s="482" t="s">
        <v>1845</v>
      </c>
      <c r="G329" s="482"/>
      <c r="H329" s="236">
        <f>SUM(H328)</f>
        <v>9.02</v>
      </c>
      <c r="I329" s="179"/>
      <c r="J329" s="180"/>
    </row>
    <row r="330" spans="1:10" ht="15" customHeight="1" x14ac:dyDescent="0.25">
      <c r="A330" s="182"/>
      <c r="B330" s="183"/>
      <c r="C330" s="183"/>
      <c r="D330" s="183"/>
      <c r="E330" s="183"/>
      <c r="F330" s="482" t="s">
        <v>1846</v>
      </c>
      <c r="G330" s="482"/>
      <c r="H330" s="144"/>
      <c r="I330" s="179"/>
      <c r="J330" s="180"/>
    </row>
    <row r="331" spans="1:10" ht="15" customHeight="1" x14ac:dyDescent="0.25">
      <c r="A331" s="182"/>
      <c r="B331" s="183"/>
      <c r="C331" s="183"/>
      <c r="D331" s="183"/>
      <c r="E331" s="183"/>
      <c r="F331" s="482" t="s">
        <v>1847</v>
      </c>
      <c r="G331" s="482"/>
      <c r="H331" s="236" t="e">
        <f>ROUND(H329/H330,4)</f>
        <v>#DIV/0!</v>
      </c>
      <c r="I331" s="179"/>
      <c r="J331" s="180"/>
    </row>
    <row r="332" spans="1:10" ht="20.100000000000001" customHeight="1" x14ac:dyDescent="0.25">
      <c r="A332" s="488" t="s">
        <v>1880</v>
      </c>
      <c r="B332" s="489"/>
      <c r="C332" s="489"/>
      <c r="D332" s="489"/>
      <c r="E332" s="233" t="s">
        <v>44</v>
      </c>
      <c r="F332" s="233" t="s">
        <v>1837</v>
      </c>
      <c r="G332" s="233" t="s">
        <v>1881</v>
      </c>
      <c r="H332" s="233" t="s">
        <v>1882</v>
      </c>
      <c r="I332" s="179"/>
      <c r="J332" s="180"/>
    </row>
    <row r="333" spans="1:10" ht="15" customHeight="1" x14ac:dyDescent="0.25">
      <c r="A333" s="170" t="s">
        <v>2059</v>
      </c>
      <c r="B333" s="492" t="s">
        <v>2060</v>
      </c>
      <c r="C333" s="492"/>
      <c r="D333" s="492"/>
      <c r="E333" s="127" t="s">
        <v>2061</v>
      </c>
      <c r="F333" s="234">
        <v>1.3</v>
      </c>
      <c r="G333" s="235">
        <v>43.75</v>
      </c>
      <c r="H333" s="235">
        <f>ROUND(ROUND(F333,8)*G333,2)</f>
        <v>56.88</v>
      </c>
      <c r="I333" s="179"/>
      <c r="J333" s="180"/>
    </row>
    <row r="334" spans="1:10" ht="15.95" customHeight="1" x14ac:dyDescent="0.25">
      <c r="A334" s="170" t="s">
        <v>2062</v>
      </c>
      <c r="B334" s="492" t="s">
        <v>2063</v>
      </c>
      <c r="C334" s="492"/>
      <c r="D334" s="492"/>
      <c r="E334" s="127" t="s">
        <v>54</v>
      </c>
      <c r="F334" s="234">
        <v>1</v>
      </c>
      <c r="G334" s="235">
        <v>359.88</v>
      </c>
      <c r="H334" s="235">
        <f>ROUND(ROUND(F334,8)*G334,2)</f>
        <v>359.88</v>
      </c>
      <c r="I334" s="179"/>
      <c r="J334" s="180"/>
    </row>
    <row r="335" spans="1:10" ht="15" customHeight="1" x14ac:dyDescent="0.25">
      <c r="A335" s="184"/>
      <c r="B335" s="141"/>
      <c r="C335" s="141"/>
      <c r="D335" s="141"/>
      <c r="E335" s="141"/>
      <c r="F335" s="491" t="s">
        <v>1889</v>
      </c>
      <c r="G335" s="491"/>
      <c r="H335" s="143">
        <f>SUM(H333:H334)</f>
        <v>416.76</v>
      </c>
      <c r="I335" s="179"/>
      <c r="J335" s="180"/>
    </row>
    <row r="336" spans="1:10" ht="20.100000000000001" customHeight="1" x14ac:dyDescent="0.25">
      <c r="A336" s="488" t="s">
        <v>2009</v>
      </c>
      <c r="B336" s="489"/>
      <c r="C336" s="489"/>
      <c r="D336" s="489"/>
      <c r="E336" s="233" t="s">
        <v>44</v>
      </c>
      <c r="F336" s="233" t="s">
        <v>1837</v>
      </c>
      <c r="G336" s="233" t="s">
        <v>1814</v>
      </c>
      <c r="H336" s="233" t="s">
        <v>1882</v>
      </c>
      <c r="I336" s="179"/>
      <c r="J336" s="180"/>
    </row>
    <row r="337" spans="1:10" ht="15" customHeight="1" x14ac:dyDescent="0.25">
      <c r="A337" s="170" t="s">
        <v>2064</v>
      </c>
      <c r="B337" s="492" t="s">
        <v>2065</v>
      </c>
      <c r="C337" s="492"/>
      <c r="D337" s="492"/>
      <c r="E337" s="127" t="s">
        <v>2066</v>
      </c>
      <c r="F337" s="237">
        <v>0.4583333</v>
      </c>
      <c r="G337" s="235">
        <v>32.9</v>
      </c>
      <c r="H337" s="235">
        <f>ROUND(ROUND(F337,8)*G337,2)</f>
        <v>15.08</v>
      </c>
      <c r="I337" s="179"/>
      <c r="J337" s="180"/>
    </row>
    <row r="338" spans="1:10" ht="15.95" customHeight="1" x14ac:dyDescent="0.25">
      <c r="A338" s="170" t="s">
        <v>2067</v>
      </c>
      <c r="B338" s="492" t="s">
        <v>2068</v>
      </c>
      <c r="C338" s="492"/>
      <c r="D338" s="492"/>
      <c r="E338" s="127" t="s">
        <v>122</v>
      </c>
      <c r="F338" s="237">
        <v>1</v>
      </c>
      <c r="G338" s="235">
        <v>21.51</v>
      </c>
      <c r="H338" s="235">
        <f>ROUND(ROUND(F338,8)*G338,2)</f>
        <v>21.51</v>
      </c>
      <c r="I338" s="179"/>
      <c r="J338" s="180"/>
    </row>
    <row r="339" spans="1:10" ht="15" customHeight="1" x14ac:dyDescent="0.25">
      <c r="A339" s="184"/>
      <c r="B339" s="141"/>
      <c r="C339" s="141"/>
      <c r="D339" s="141"/>
      <c r="E339" s="141"/>
      <c r="F339" s="491" t="s">
        <v>2014</v>
      </c>
      <c r="G339" s="491"/>
      <c r="H339" s="143">
        <f>SUM(H337:H338)</f>
        <v>36.590000000000003</v>
      </c>
      <c r="I339" s="179"/>
      <c r="J339" s="180"/>
    </row>
    <row r="340" spans="1:10" ht="15" customHeight="1" x14ac:dyDescent="0.25">
      <c r="A340" s="182"/>
      <c r="B340" s="183"/>
      <c r="C340" s="183"/>
      <c r="D340" s="183"/>
      <c r="E340" s="183"/>
      <c r="F340" s="482" t="s">
        <v>1848</v>
      </c>
      <c r="G340" s="482"/>
      <c r="H340" s="236" t="e">
        <f>SUM(H331,H335,H339)</f>
        <v>#DIV/0!</v>
      </c>
      <c r="I340" s="179"/>
      <c r="J340" s="180"/>
    </row>
    <row r="341" spans="1:10" ht="15" customHeight="1" x14ac:dyDescent="0.25">
      <c r="A341" s="483" t="s">
        <v>2069</v>
      </c>
      <c r="B341" s="484"/>
      <c r="C341" s="484"/>
      <c r="D341" s="183"/>
      <c r="E341" s="183"/>
      <c r="F341" s="482" t="s">
        <v>1834</v>
      </c>
      <c r="G341" s="482"/>
      <c r="H341" s="140">
        <v>462.37</v>
      </c>
      <c r="I341" s="179"/>
      <c r="J341" s="180"/>
    </row>
    <row r="342" spans="1:10" ht="2.1" customHeight="1" x14ac:dyDescent="0.25">
      <c r="A342" s="483"/>
      <c r="B342" s="484"/>
      <c r="C342" s="484"/>
      <c r="D342" s="183"/>
      <c r="E342" s="183"/>
      <c r="F342" s="183"/>
      <c r="G342" s="183"/>
      <c r="H342" s="183"/>
      <c r="I342" s="179"/>
      <c r="J342" s="180"/>
    </row>
    <row r="343" spans="1:10" ht="9.9499999999999993" customHeight="1" x14ac:dyDescent="0.25">
      <c r="A343" s="182"/>
      <c r="B343" s="183"/>
      <c r="C343" s="183"/>
      <c r="D343" s="183"/>
      <c r="E343" s="183"/>
      <c r="F343" s="485"/>
      <c r="G343" s="485"/>
      <c r="H343" s="485"/>
      <c r="I343" s="179"/>
      <c r="J343" s="180"/>
    </row>
    <row r="344" spans="1:10" ht="20.100000000000001" customHeight="1" x14ac:dyDescent="0.25">
      <c r="A344" s="486" t="s">
        <v>2070</v>
      </c>
      <c r="B344" s="487"/>
      <c r="C344" s="487"/>
      <c r="D344" s="487"/>
      <c r="E344" s="487"/>
      <c r="F344" s="487"/>
      <c r="G344" s="487"/>
      <c r="H344" s="487"/>
      <c r="I344" s="179"/>
      <c r="J344" s="180"/>
    </row>
    <row r="345" spans="1:10" ht="20.100000000000001" customHeight="1" x14ac:dyDescent="0.25">
      <c r="A345" s="488" t="s">
        <v>1836</v>
      </c>
      <c r="B345" s="489"/>
      <c r="C345" s="489"/>
      <c r="D345" s="489"/>
      <c r="E345" s="233" t="s">
        <v>44</v>
      </c>
      <c r="F345" s="233" t="s">
        <v>1837</v>
      </c>
      <c r="G345" s="233" t="s">
        <v>1838</v>
      </c>
      <c r="H345" s="233" t="s">
        <v>1839</v>
      </c>
      <c r="I345" s="179"/>
      <c r="J345" s="180"/>
    </row>
    <row r="346" spans="1:10" ht="15" customHeight="1" x14ac:dyDescent="0.25">
      <c r="A346" s="170" t="s">
        <v>1840</v>
      </c>
      <c r="B346" s="490" t="s">
        <v>1841</v>
      </c>
      <c r="C346" s="490"/>
      <c r="D346" s="490"/>
      <c r="E346" s="127" t="s">
        <v>1024</v>
      </c>
      <c r="F346" s="234">
        <v>1.2222217</v>
      </c>
      <c r="G346" s="238">
        <v>21.94</v>
      </c>
      <c r="H346" s="238">
        <f>ROUND(ROUND(F346,8)*G346,2)</f>
        <v>26.82</v>
      </c>
      <c r="I346" s="179"/>
      <c r="J346" s="180"/>
    </row>
    <row r="347" spans="1:10" ht="15" customHeight="1" x14ac:dyDescent="0.25">
      <c r="A347" s="170" t="s">
        <v>1828</v>
      </c>
      <c r="B347" s="490" t="s">
        <v>1829</v>
      </c>
      <c r="C347" s="490"/>
      <c r="D347" s="490"/>
      <c r="E347" s="127" t="s">
        <v>1024</v>
      </c>
      <c r="F347" s="234">
        <v>1.2222217</v>
      </c>
      <c r="G347" s="238">
        <v>26.03</v>
      </c>
      <c r="H347" s="238">
        <f>ROUND(ROUND(F347,8)*G347,2)</f>
        <v>31.81</v>
      </c>
      <c r="I347" s="179"/>
      <c r="J347" s="180"/>
    </row>
    <row r="348" spans="1:10" ht="15" customHeight="1" x14ac:dyDescent="0.25">
      <c r="A348" s="184"/>
      <c r="B348" s="141"/>
      <c r="C348" s="141"/>
      <c r="D348" s="141"/>
      <c r="E348" s="141"/>
      <c r="F348" s="491" t="s">
        <v>1844</v>
      </c>
      <c r="G348" s="491"/>
      <c r="H348" s="140">
        <f>SUM(H346:H347)</f>
        <v>58.629999999999995</v>
      </c>
      <c r="I348" s="179"/>
      <c r="J348" s="180"/>
    </row>
    <row r="349" spans="1:10" ht="15" customHeight="1" x14ac:dyDescent="0.25">
      <c r="A349" s="182"/>
      <c r="B349" s="183"/>
      <c r="C349" s="183"/>
      <c r="D349" s="183"/>
      <c r="E349" s="183"/>
      <c r="F349" s="482" t="s">
        <v>1845</v>
      </c>
      <c r="G349" s="482"/>
      <c r="H349" s="236">
        <f>SUM(H348)</f>
        <v>58.629999999999995</v>
      </c>
      <c r="I349" s="179"/>
      <c r="J349" s="180"/>
    </row>
    <row r="350" spans="1:10" ht="15" customHeight="1" x14ac:dyDescent="0.25">
      <c r="A350" s="182"/>
      <c r="B350" s="183"/>
      <c r="C350" s="183"/>
      <c r="D350" s="183"/>
      <c r="E350" s="183"/>
      <c r="F350" s="482" t="s">
        <v>1846</v>
      </c>
      <c r="G350" s="482"/>
      <c r="H350" s="144"/>
      <c r="I350" s="179"/>
      <c r="J350" s="180"/>
    </row>
    <row r="351" spans="1:10" ht="15" customHeight="1" x14ac:dyDescent="0.25">
      <c r="A351" s="182"/>
      <c r="B351" s="183"/>
      <c r="C351" s="183"/>
      <c r="D351" s="183"/>
      <c r="E351" s="183"/>
      <c r="F351" s="482" t="s">
        <v>1847</v>
      </c>
      <c r="G351" s="482"/>
      <c r="H351" s="236" t="e">
        <f>ROUND(H349/H350,4)</f>
        <v>#DIV/0!</v>
      </c>
      <c r="I351" s="179"/>
      <c r="J351" s="180"/>
    </row>
    <row r="352" spans="1:10" ht="20.100000000000001" customHeight="1" x14ac:dyDescent="0.25">
      <c r="A352" s="488" t="s">
        <v>1880</v>
      </c>
      <c r="B352" s="489"/>
      <c r="C352" s="489"/>
      <c r="D352" s="489"/>
      <c r="E352" s="233" t="s">
        <v>44</v>
      </c>
      <c r="F352" s="233" t="s">
        <v>1837</v>
      </c>
      <c r="G352" s="233" t="s">
        <v>1881</v>
      </c>
      <c r="H352" s="233" t="s">
        <v>1882</v>
      </c>
      <c r="I352" s="179"/>
      <c r="J352" s="180"/>
    </row>
    <row r="353" spans="1:10" ht="15.95" customHeight="1" x14ac:dyDescent="0.25">
      <c r="A353" s="170" t="s">
        <v>2071</v>
      </c>
      <c r="B353" s="492" t="s">
        <v>2072</v>
      </c>
      <c r="C353" s="492"/>
      <c r="D353" s="492"/>
      <c r="E353" s="127" t="s">
        <v>579</v>
      </c>
      <c r="F353" s="234">
        <v>4</v>
      </c>
      <c r="G353" s="235">
        <v>0.25</v>
      </c>
      <c r="H353" s="235">
        <f>ROUND(ROUND(F353,8)*G353,2)</f>
        <v>1</v>
      </c>
      <c r="I353" s="179"/>
      <c r="J353" s="180"/>
    </row>
    <row r="354" spans="1:10" ht="24" customHeight="1" x14ac:dyDescent="0.25">
      <c r="A354" s="170" t="s">
        <v>2073</v>
      </c>
      <c r="B354" s="492" t="s">
        <v>2074</v>
      </c>
      <c r="C354" s="492"/>
      <c r="D354" s="492"/>
      <c r="E354" s="127" t="s">
        <v>54</v>
      </c>
      <c r="F354" s="234">
        <v>1.1000000000000001</v>
      </c>
      <c r="G354" s="235">
        <v>115</v>
      </c>
      <c r="H354" s="235">
        <f>ROUND(ROUND(F354,8)*G354,2)</f>
        <v>126.5</v>
      </c>
      <c r="I354" s="179"/>
      <c r="J354" s="180"/>
    </row>
    <row r="355" spans="1:10" ht="24" customHeight="1" x14ac:dyDescent="0.25">
      <c r="A355" s="170" t="s">
        <v>2075</v>
      </c>
      <c r="B355" s="492" t="s">
        <v>2076</v>
      </c>
      <c r="C355" s="492"/>
      <c r="D355" s="492"/>
      <c r="E355" s="127" t="s">
        <v>579</v>
      </c>
      <c r="F355" s="234">
        <v>4</v>
      </c>
      <c r="G355" s="235">
        <v>0.73</v>
      </c>
      <c r="H355" s="235">
        <f>ROUND(ROUND(F355,8)*G355,2)</f>
        <v>2.92</v>
      </c>
      <c r="I355" s="179"/>
      <c r="J355" s="180"/>
    </row>
    <row r="356" spans="1:10" ht="15" customHeight="1" x14ac:dyDescent="0.25">
      <c r="A356" s="170" t="s">
        <v>2077</v>
      </c>
      <c r="B356" s="492" t="s">
        <v>2078</v>
      </c>
      <c r="C356" s="492"/>
      <c r="D356" s="492"/>
      <c r="E356" s="127" t="s">
        <v>1817</v>
      </c>
      <c r="F356" s="234">
        <v>2.3795400000000001E-2</v>
      </c>
      <c r="G356" s="235">
        <v>18.87</v>
      </c>
      <c r="H356" s="235">
        <f>ROUND(ROUND(F356,8)*G356,2)</f>
        <v>0.45</v>
      </c>
      <c r="I356" s="179"/>
      <c r="J356" s="180"/>
    </row>
    <row r="357" spans="1:10" ht="24" customHeight="1" x14ac:dyDescent="0.25">
      <c r="A357" s="170" t="s">
        <v>2079</v>
      </c>
      <c r="B357" s="492" t="s">
        <v>2080</v>
      </c>
      <c r="C357" s="492"/>
      <c r="D357" s="492"/>
      <c r="E357" s="127" t="s">
        <v>72</v>
      </c>
      <c r="F357" s="234">
        <v>3</v>
      </c>
      <c r="G357" s="235">
        <v>2.59</v>
      </c>
      <c r="H357" s="235">
        <f>ROUND(ROUND(F357,8)*G357,2)</f>
        <v>7.77</v>
      </c>
      <c r="I357" s="179"/>
      <c r="J357" s="180"/>
    </row>
    <row r="358" spans="1:10" ht="15" customHeight="1" x14ac:dyDescent="0.25">
      <c r="A358" s="184"/>
      <c r="B358" s="141"/>
      <c r="C358" s="141"/>
      <c r="D358" s="141"/>
      <c r="E358" s="141"/>
      <c r="F358" s="491" t="s">
        <v>1889</v>
      </c>
      <c r="G358" s="491"/>
      <c r="H358" s="143">
        <f>SUM(H353:H357)</f>
        <v>138.63999999999999</v>
      </c>
      <c r="I358" s="179"/>
      <c r="J358" s="180"/>
    </row>
    <row r="359" spans="1:10" ht="15" customHeight="1" x14ac:dyDescent="0.25">
      <c r="A359" s="182"/>
      <c r="B359" s="183"/>
      <c r="C359" s="183"/>
      <c r="D359" s="183"/>
      <c r="E359" s="183"/>
      <c r="F359" s="482" t="s">
        <v>1848</v>
      </c>
      <c r="G359" s="482"/>
      <c r="H359" s="236" t="e">
        <f>SUM(H351,H358)</f>
        <v>#DIV/0!</v>
      </c>
      <c r="I359" s="179"/>
      <c r="J359" s="180"/>
    </row>
    <row r="360" spans="1:10" ht="15" customHeight="1" x14ac:dyDescent="0.25">
      <c r="A360" s="483" t="s">
        <v>2081</v>
      </c>
      <c r="B360" s="484"/>
      <c r="C360" s="484"/>
      <c r="D360" s="183"/>
      <c r="E360" s="183"/>
      <c r="F360" s="482" t="s">
        <v>1834</v>
      </c>
      <c r="G360" s="482"/>
      <c r="H360" s="140">
        <v>197.27</v>
      </c>
      <c r="I360" s="179"/>
      <c r="J360" s="180"/>
    </row>
    <row r="361" spans="1:10" ht="2.1" customHeight="1" x14ac:dyDescent="0.25">
      <c r="A361" s="483"/>
      <c r="B361" s="484"/>
      <c r="C361" s="484"/>
      <c r="D361" s="183"/>
      <c r="E361" s="183"/>
      <c r="F361" s="183"/>
      <c r="G361" s="183"/>
      <c r="H361" s="183"/>
      <c r="I361" s="179"/>
      <c r="J361" s="180"/>
    </row>
    <row r="362" spans="1:10" ht="9.9499999999999993" customHeight="1" x14ac:dyDescent="0.25">
      <c r="A362" s="182"/>
      <c r="B362" s="183"/>
      <c r="C362" s="183"/>
      <c r="D362" s="183"/>
      <c r="E362" s="183"/>
      <c r="F362" s="485"/>
      <c r="G362" s="485"/>
      <c r="H362" s="485"/>
      <c r="I362" s="179"/>
      <c r="J362" s="180"/>
    </row>
    <row r="363" spans="1:10" ht="20.100000000000001" customHeight="1" x14ac:dyDescent="0.25">
      <c r="A363" s="486" t="s">
        <v>2082</v>
      </c>
      <c r="B363" s="487"/>
      <c r="C363" s="487"/>
      <c r="D363" s="487"/>
      <c r="E363" s="487"/>
      <c r="F363" s="487"/>
      <c r="G363" s="487"/>
      <c r="H363" s="487"/>
      <c r="I363" s="179"/>
      <c r="J363" s="180"/>
    </row>
    <row r="364" spans="1:10" ht="15" customHeight="1" x14ac:dyDescent="0.25">
      <c r="A364" s="474" t="s">
        <v>1932</v>
      </c>
      <c r="B364" s="475"/>
      <c r="C364" s="476" t="s">
        <v>42</v>
      </c>
      <c r="D364" s="476"/>
      <c r="E364" s="230" t="s">
        <v>44</v>
      </c>
      <c r="F364" s="230" t="s">
        <v>1813</v>
      </c>
      <c r="G364" s="230" t="s">
        <v>1814</v>
      </c>
      <c r="H364" s="230" t="s">
        <v>1802</v>
      </c>
      <c r="I364" s="179"/>
      <c r="J364" s="180"/>
    </row>
    <row r="365" spans="1:10" ht="15" customHeight="1" x14ac:dyDescent="0.25">
      <c r="A365" s="181" t="s">
        <v>2083</v>
      </c>
      <c r="B365" s="241" t="s">
        <v>2084</v>
      </c>
      <c r="C365" s="481" t="s">
        <v>341</v>
      </c>
      <c r="D365" s="481"/>
      <c r="E365" s="231" t="s">
        <v>1935</v>
      </c>
      <c r="F365" s="239">
        <v>2.6</v>
      </c>
      <c r="G365" s="240">
        <v>3.9</v>
      </c>
      <c r="H365" s="240">
        <f>ROUND(ROUND(F365,8)*G365,2)</f>
        <v>10.14</v>
      </c>
      <c r="I365" s="179"/>
      <c r="J365" s="180"/>
    </row>
    <row r="366" spans="1:10" ht="15" customHeight="1" x14ac:dyDescent="0.25">
      <c r="A366" s="181" t="s">
        <v>2085</v>
      </c>
      <c r="B366" s="241" t="s">
        <v>2086</v>
      </c>
      <c r="C366" s="481" t="s">
        <v>341</v>
      </c>
      <c r="D366" s="481"/>
      <c r="E366" s="231" t="s">
        <v>1935</v>
      </c>
      <c r="F366" s="239">
        <v>0.25</v>
      </c>
      <c r="G366" s="240">
        <v>3.86</v>
      </c>
      <c r="H366" s="240">
        <f>ROUND(ROUND(F366,8)*G366,2)</f>
        <v>0.97</v>
      </c>
      <c r="I366" s="179"/>
      <c r="J366" s="180"/>
    </row>
    <row r="367" spans="1:10" ht="15" customHeight="1" x14ac:dyDescent="0.25">
      <c r="A367" s="182"/>
      <c r="B367" s="183"/>
      <c r="C367" s="183"/>
      <c r="D367" s="183"/>
      <c r="E367" s="183"/>
      <c r="F367" s="477" t="s">
        <v>1938</v>
      </c>
      <c r="G367" s="477"/>
      <c r="H367" s="139">
        <f>SUM(H365:H366)</f>
        <v>11.110000000000001</v>
      </c>
      <c r="I367" s="179"/>
      <c r="J367" s="180"/>
    </row>
    <row r="368" spans="1:10" ht="15" customHeight="1" x14ac:dyDescent="0.25">
      <c r="A368" s="474" t="s">
        <v>1812</v>
      </c>
      <c r="B368" s="475"/>
      <c r="C368" s="476" t="s">
        <v>42</v>
      </c>
      <c r="D368" s="476"/>
      <c r="E368" s="230" t="s">
        <v>44</v>
      </c>
      <c r="F368" s="230" t="s">
        <v>1813</v>
      </c>
      <c r="G368" s="230" t="s">
        <v>1814</v>
      </c>
      <c r="H368" s="230" t="s">
        <v>1802</v>
      </c>
      <c r="I368" s="179"/>
      <c r="J368" s="180"/>
    </row>
    <row r="369" spans="1:10" ht="15" customHeight="1" x14ac:dyDescent="0.25">
      <c r="A369" s="181" t="s">
        <v>2087</v>
      </c>
      <c r="B369" s="241" t="s">
        <v>2088</v>
      </c>
      <c r="C369" s="481" t="s">
        <v>341</v>
      </c>
      <c r="D369" s="481"/>
      <c r="E369" s="231" t="s">
        <v>89</v>
      </c>
      <c r="F369" s="239">
        <v>5.8999999999999999E-3</v>
      </c>
      <c r="G369" s="240">
        <v>3103.48</v>
      </c>
      <c r="H369" s="240">
        <f>ROUND(ROUND(F369,8)*G369,2)</f>
        <v>18.309999999999999</v>
      </c>
      <c r="I369" s="179"/>
      <c r="J369" s="180"/>
    </row>
    <row r="370" spans="1:10" ht="15" customHeight="1" x14ac:dyDescent="0.25">
      <c r="A370" s="182"/>
      <c r="B370" s="183"/>
      <c r="C370" s="183"/>
      <c r="D370" s="183"/>
      <c r="E370" s="183"/>
      <c r="F370" s="477" t="s">
        <v>1826</v>
      </c>
      <c r="G370" s="477"/>
      <c r="H370" s="139">
        <f>SUM(H369:H369)</f>
        <v>18.309999999999999</v>
      </c>
      <c r="I370" s="179"/>
      <c r="J370" s="180"/>
    </row>
    <row r="371" spans="1:10" ht="15" customHeight="1" x14ac:dyDescent="0.25">
      <c r="A371" s="474" t="s">
        <v>1827</v>
      </c>
      <c r="B371" s="475"/>
      <c r="C371" s="476" t="s">
        <v>42</v>
      </c>
      <c r="D371" s="476"/>
      <c r="E371" s="230" t="s">
        <v>44</v>
      </c>
      <c r="F371" s="230" t="s">
        <v>1813</v>
      </c>
      <c r="G371" s="230" t="s">
        <v>1814</v>
      </c>
      <c r="H371" s="230" t="s">
        <v>1802</v>
      </c>
      <c r="I371" s="179"/>
      <c r="J371" s="180"/>
    </row>
    <row r="372" spans="1:10" ht="15" customHeight="1" x14ac:dyDescent="0.25">
      <c r="A372" s="181" t="s">
        <v>2089</v>
      </c>
      <c r="B372" s="241" t="s">
        <v>2090</v>
      </c>
      <c r="C372" s="481" t="s">
        <v>341</v>
      </c>
      <c r="D372" s="481"/>
      <c r="E372" s="231" t="s">
        <v>1935</v>
      </c>
      <c r="F372" s="239">
        <v>2.6</v>
      </c>
      <c r="G372" s="240">
        <v>43.53</v>
      </c>
      <c r="H372" s="240">
        <f>ROUND(ROUND(F372,8)*G372,2)</f>
        <v>113.18</v>
      </c>
      <c r="I372" s="179"/>
      <c r="J372" s="180"/>
    </row>
    <row r="373" spans="1:10" ht="15" customHeight="1" x14ac:dyDescent="0.25">
      <c r="A373" s="181" t="s">
        <v>2091</v>
      </c>
      <c r="B373" s="241" t="s">
        <v>2092</v>
      </c>
      <c r="C373" s="481" t="s">
        <v>341</v>
      </c>
      <c r="D373" s="481"/>
      <c r="E373" s="231" t="s">
        <v>1935</v>
      </c>
      <c r="F373" s="239">
        <v>0.25</v>
      </c>
      <c r="G373" s="240">
        <v>37.31</v>
      </c>
      <c r="H373" s="240">
        <f>ROUND(ROUND(F373,8)*G373,2)</f>
        <v>9.33</v>
      </c>
      <c r="I373" s="179"/>
      <c r="J373" s="180"/>
    </row>
    <row r="374" spans="1:10" ht="15" customHeight="1" x14ac:dyDescent="0.25">
      <c r="A374" s="182"/>
      <c r="B374" s="183"/>
      <c r="C374" s="183"/>
      <c r="D374" s="183"/>
      <c r="E374" s="183"/>
      <c r="F374" s="477" t="s">
        <v>1832</v>
      </c>
      <c r="G374" s="477"/>
      <c r="H374" s="139">
        <f>SUM(H372:H373)</f>
        <v>122.51</v>
      </c>
      <c r="I374" s="179"/>
      <c r="J374" s="180"/>
    </row>
    <row r="375" spans="1:10" ht="15" customHeight="1" x14ac:dyDescent="0.25">
      <c r="A375" s="483" t="s">
        <v>2093</v>
      </c>
      <c r="B375" s="484"/>
      <c r="C375" s="484"/>
      <c r="D375" s="183"/>
      <c r="E375" s="183"/>
      <c r="F375" s="482" t="s">
        <v>1834</v>
      </c>
      <c r="G375" s="482"/>
      <c r="H375" s="140">
        <v>151.93</v>
      </c>
      <c r="I375" s="179"/>
      <c r="J375" s="180"/>
    </row>
    <row r="376" spans="1:10" ht="9.9499999999999993" customHeight="1" x14ac:dyDescent="0.25">
      <c r="A376" s="182"/>
      <c r="B376" s="183"/>
      <c r="C376" s="183"/>
      <c r="D376" s="183"/>
      <c r="E376" s="183"/>
      <c r="F376" s="485"/>
      <c r="G376" s="485"/>
      <c r="H376" s="485"/>
      <c r="I376" s="179"/>
      <c r="J376" s="180"/>
    </row>
    <row r="377" spans="1:10" ht="20.100000000000001" customHeight="1" x14ac:dyDescent="0.25">
      <c r="A377" s="486" t="s">
        <v>2094</v>
      </c>
      <c r="B377" s="487"/>
      <c r="C377" s="487"/>
      <c r="D377" s="487"/>
      <c r="E377" s="487"/>
      <c r="F377" s="487"/>
      <c r="G377" s="487"/>
      <c r="H377" s="487"/>
      <c r="I377" s="179"/>
      <c r="J377" s="180"/>
    </row>
    <row r="378" spans="1:10" ht="15" customHeight="1" x14ac:dyDescent="0.25">
      <c r="A378" s="474" t="s">
        <v>1812</v>
      </c>
      <c r="B378" s="475"/>
      <c r="C378" s="476" t="s">
        <v>42</v>
      </c>
      <c r="D378" s="476"/>
      <c r="E378" s="230" t="s">
        <v>44</v>
      </c>
      <c r="F378" s="230" t="s">
        <v>1813</v>
      </c>
      <c r="G378" s="230" t="s">
        <v>1814</v>
      </c>
      <c r="H378" s="230" t="s">
        <v>1802</v>
      </c>
      <c r="I378" s="179"/>
      <c r="J378" s="180"/>
    </row>
    <row r="379" spans="1:10" ht="15" customHeight="1" x14ac:dyDescent="0.25">
      <c r="A379" s="181" t="s">
        <v>2095</v>
      </c>
      <c r="B379" s="241" t="s">
        <v>2096</v>
      </c>
      <c r="C379" s="481" t="s">
        <v>51</v>
      </c>
      <c r="D379" s="481"/>
      <c r="E379" s="231" t="s">
        <v>226</v>
      </c>
      <c r="F379" s="239">
        <v>4</v>
      </c>
      <c r="G379" s="240">
        <v>0.26</v>
      </c>
      <c r="H379" s="240">
        <f>ROUND(ROUND(F379,8)*G379,2)</f>
        <v>1.04</v>
      </c>
      <c r="I379" s="179"/>
      <c r="J379" s="180"/>
    </row>
    <row r="380" spans="1:10" ht="21" customHeight="1" x14ac:dyDescent="0.25">
      <c r="A380" s="181" t="s">
        <v>2097</v>
      </c>
      <c r="B380" s="241" t="s">
        <v>2098</v>
      </c>
      <c r="C380" s="481" t="s">
        <v>1859</v>
      </c>
      <c r="D380" s="481"/>
      <c r="E380" s="231" t="s">
        <v>226</v>
      </c>
      <c r="F380" s="239">
        <v>4</v>
      </c>
      <c r="G380" s="240">
        <v>0.3</v>
      </c>
      <c r="H380" s="240">
        <f>ROUND(ROUND(F380,8)*G380,2)</f>
        <v>1.2</v>
      </c>
      <c r="I380" s="179"/>
      <c r="J380" s="180"/>
    </row>
    <row r="381" spans="1:10" ht="21" customHeight="1" x14ac:dyDescent="0.25">
      <c r="A381" s="181" t="s">
        <v>2099</v>
      </c>
      <c r="B381" s="241" t="s">
        <v>2100</v>
      </c>
      <c r="C381" s="481" t="s">
        <v>1859</v>
      </c>
      <c r="D381" s="481"/>
      <c r="E381" s="231" t="s">
        <v>1817</v>
      </c>
      <c r="F381" s="239">
        <v>1.9421999999999999</v>
      </c>
      <c r="G381" s="240">
        <v>35.29</v>
      </c>
      <c r="H381" s="240">
        <f>ROUND(ROUND(F381,8)*G381*(1+(9/100)),2)</f>
        <v>74.709999999999994</v>
      </c>
      <c r="I381" s="179"/>
      <c r="J381" s="180"/>
    </row>
    <row r="382" spans="1:10" ht="21" customHeight="1" x14ac:dyDescent="0.25">
      <c r="A382" s="181" t="s">
        <v>2101</v>
      </c>
      <c r="B382" s="241" t="s">
        <v>2102</v>
      </c>
      <c r="C382" s="481" t="s">
        <v>51</v>
      </c>
      <c r="D382" s="481"/>
      <c r="E382" s="231" t="s">
        <v>122</v>
      </c>
      <c r="F382" s="239">
        <v>1.1000000000000001</v>
      </c>
      <c r="G382" s="240">
        <v>42.79</v>
      </c>
      <c r="H382" s="240">
        <f>ROUND(ROUND(F382,8)*G382,2)</f>
        <v>47.07</v>
      </c>
      <c r="I382" s="179"/>
      <c r="J382" s="180"/>
    </row>
    <row r="383" spans="1:10" ht="15" customHeight="1" x14ac:dyDescent="0.25">
      <c r="A383" s="182"/>
      <c r="B383" s="183"/>
      <c r="C383" s="183"/>
      <c r="D383" s="183"/>
      <c r="E383" s="183"/>
      <c r="F383" s="477" t="s">
        <v>1826</v>
      </c>
      <c r="G383" s="477"/>
      <c r="H383" s="139">
        <f>SUM(H379:H382)</f>
        <v>124.01999999999998</v>
      </c>
      <c r="I383" s="179"/>
      <c r="J383" s="180"/>
    </row>
    <row r="384" spans="1:10" ht="15" customHeight="1" x14ac:dyDescent="0.25">
      <c r="A384" s="474" t="s">
        <v>1827</v>
      </c>
      <c r="B384" s="475"/>
      <c r="C384" s="476" t="s">
        <v>42</v>
      </c>
      <c r="D384" s="476"/>
      <c r="E384" s="230" t="s">
        <v>44</v>
      </c>
      <c r="F384" s="230" t="s">
        <v>1813</v>
      </c>
      <c r="G384" s="230" t="s">
        <v>1814</v>
      </c>
      <c r="H384" s="230" t="s">
        <v>1802</v>
      </c>
      <c r="I384" s="179"/>
      <c r="J384" s="180"/>
    </row>
    <row r="385" spans="1:10" ht="15" customHeight="1" x14ac:dyDescent="0.25">
      <c r="A385" s="181" t="s">
        <v>2103</v>
      </c>
      <c r="B385" s="241" t="s">
        <v>2104</v>
      </c>
      <c r="C385" s="481" t="s">
        <v>51</v>
      </c>
      <c r="D385" s="481"/>
      <c r="E385" s="231" t="s">
        <v>1024</v>
      </c>
      <c r="F385" s="239">
        <v>0.8</v>
      </c>
      <c r="G385" s="240">
        <v>26.03</v>
      </c>
      <c r="H385" s="240">
        <f>ROUND(ROUND(F385,8)*G385,2)</f>
        <v>20.82</v>
      </c>
      <c r="I385" s="179"/>
      <c r="J385" s="180"/>
    </row>
    <row r="386" spans="1:10" ht="15" customHeight="1" x14ac:dyDescent="0.25">
      <c r="A386" s="181" t="s">
        <v>1830</v>
      </c>
      <c r="B386" s="241" t="s">
        <v>1831</v>
      </c>
      <c r="C386" s="481" t="s">
        <v>51</v>
      </c>
      <c r="D386" s="481"/>
      <c r="E386" s="231" t="s">
        <v>1024</v>
      </c>
      <c r="F386" s="239">
        <v>0.8</v>
      </c>
      <c r="G386" s="240">
        <v>19.68</v>
      </c>
      <c r="H386" s="240">
        <f>ROUND(ROUND(F386,8)*G386,2)</f>
        <v>15.74</v>
      </c>
      <c r="I386" s="179"/>
      <c r="J386" s="180"/>
    </row>
    <row r="387" spans="1:10" ht="15" customHeight="1" x14ac:dyDescent="0.25">
      <c r="A387" s="182"/>
      <c r="B387" s="183"/>
      <c r="C387" s="183"/>
      <c r="D387" s="183"/>
      <c r="E387" s="183"/>
      <c r="F387" s="477" t="s">
        <v>1832</v>
      </c>
      <c r="G387" s="477"/>
      <c r="H387" s="139">
        <f>SUM(H385:H386)</f>
        <v>36.56</v>
      </c>
      <c r="I387" s="179"/>
      <c r="J387" s="180"/>
    </row>
    <row r="388" spans="1:10" ht="15" customHeight="1" x14ac:dyDescent="0.25">
      <c r="A388" s="474" t="s">
        <v>1912</v>
      </c>
      <c r="B388" s="475"/>
      <c r="C388" s="476" t="s">
        <v>42</v>
      </c>
      <c r="D388" s="476"/>
      <c r="E388" s="230" t="s">
        <v>44</v>
      </c>
      <c r="F388" s="230" t="s">
        <v>1813</v>
      </c>
      <c r="G388" s="230" t="s">
        <v>1814</v>
      </c>
      <c r="H388" s="230" t="s">
        <v>1802</v>
      </c>
      <c r="I388" s="179"/>
      <c r="J388" s="180"/>
    </row>
    <row r="389" spans="1:10" ht="21" customHeight="1" x14ac:dyDescent="0.25">
      <c r="A389" s="181" t="s">
        <v>2105</v>
      </c>
      <c r="B389" s="241" t="s">
        <v>2106</v>
      </c>
      <c r="C389" s="481" t="s">
        <v>1859</v>
      </c>
      <c r="D389" s="481"/>
      <c r="E389" s="231" t="s">
        <v>1817</v>
      </c>
      <c r="F389" s="239">
        <v>0.15</v>
      </c>
      <c r="G389" s="240">
        <v>15</v>
      </c>
      <c r="H389" s="240">
        <f>ROUND(ROUND(F389,8)*G389,2)</f>
        <v>2.25</v>
      </c>
      <c r="I389" s="179"/>
      <c r="J389" s="180"/>
    </row>
    <row r="390" spans="1:10" ht="15" customHeight="1" x14ac:dyDescent="0.25">
      <c r="A390" s="182"/>
      <c r="B390" s="183"/>
      <c r="C390" s="183"/>
      <c r="D390" s="183"/>
      <c r="E390" s="183"/>
      <c r="F390" s="477" t="s">
        <v>1915</v>
      </c>
      <c r="G390" s="477"/>
      <c r="H390" s="139">
        <f>SUM(H389:H389)</f>
        <v>2.25</v>
      </c>
      <c r="I390" s="179"/>
      <c r="J390" s="180"/>
    </row>
    <row r="391" spans="1:10" ht="15" customHeight="1" x14ac:dyDescent="0.25">
      <c r="A391" s="483" t="s">
        <v>2107</v>
      </c>
      <c r="B391" s="484"/>
      <c r="C391" s="484"/>
      <c r="D391" s="183"/>
      <c r="E391" s="183"/>
      <c r="F391" s="482" t="s">
        <v>1834</v>
      </c>
      <c r="G391" s="482"/>
      <c r="H391" s="140">
        <v>162.83000000000001</v>
      </c>
      <c r="I391" s="179"/>
      <c r="J391" s="180"/>
    </row>
    <row r="392" spans="1:10" ht="2.1" customHeight="1" x14ac:dyDescent="0.25">
      <c r="A392" s="483"/>
      <c r="B392" s="484"/>
      <c r="C392" s="484"/>
      <c r="D392" s="183"/>
      <c r="E392" s="183"/>
      <c r="F392" s="183"/>
      <c r="G392" s="183"/>
      <c r="H392" s="183"/>
      <c r="I392" s="179"/>
      <c r="J392" s="180"/>
    </row>
    <row r="393" spans="1:10" ht="9.9499999999999993" customHeight="1" x14ac:dyDescent="0.25">
      <c r="A393" s="182"/>
      <c r="B393" s="183"/>
      <c r="C393" s="183"/>
      <c r="D393" s="183"/>
      <c r="E393" s="183"/>
      <c r="F393" s="485"/>
      <c r="G393" s="485"/>
      <c r="H393" s="485"/>
      <c r="I393" s="179"/>
      <c r="J393" s="180"/>
    </row>
    <row r="394" spans="1:10" ht="20.100000000000001" customHeight="1" x14ac:dyDescent="0.25">
      <c r="A394" s="486" t="s">
        <v>2108</v>
      </c>
      <c r="B394" s="487"/>
      <c r="C394" s="487"/>
      <c r="D394" s="487"/>
      <c r="E394" s="487"/>
      <c r="F394" s="487"/>
      <c r="G394" s="487"/>
      <c r="H394" s="487"/>
      <c r="I394" s="179"/>
      <c r="J394" s="180"/>
    </row>
    <row r="395" spans="1:10" ht="15" customHeight="1" x14ac:dyDescent="0.25">
      <c r="A395" s="474" t="s">
        <v>1812</v>
      </c>
      <c r="B395" s="475"/>
      <c r="C395" s="476" t="s">
        <v>42</v>
      </c>
      <c r="D395" s="476"/>
      <c r="E395" s="230" t="s">
        <v>44</v>
      </c>
      <c r="F395" s="230" t="s">
        <v>1813</v>
      </c>
      <c r="G395" s="230" t="s">
        <v>1814</v>
      </c>
      <c r="H395" s="230" t="s">
        <v>1802</v>
      </c>
      <c r="I395" s="179"/>
      <c r="J395" s="180"/>
    </row>
    <row r="396" spans="1:10" ht="21" customHeight="1" x14ac:dyDescent="0.25">
      <c r="A396" s="181" t="s">
        <v>2109</v>
      </c>
      <c r="B396" s="241" t="s">
        <v>2110</v>
      </c>
      <c r="C396" s="481" t="s">
        <v>341</v>
      </c>
      <c r="D396" s="481"/>
      <c r="E396" s="231" t="s">
        <v>786</v>
      </c>
      <c r="F396" s="239">
        <v>0.15</v>
      </c>
      <c r="G396" s="240">
        <v>110</v>
      </c>
      <c r="H396" s="240">
        <f>ROUND(ROUND(F396,8)*G396,2)</f>
        <v>16.5</v>
      </c>
      <c r="I396" s="179"/>
      <c r="J396" s="180"/>
    </row>
    <row r="397" spans="1:10" ht="15" customHeight="1" x14ac:dyDescent="0.25">
      <c r="A397" s="181" t="s">
        <v>2111</v>
      </c>
      <c r="B397" s="241" t="s">
        <v>2112</v>
      </c>
      <c r="C397" s="481" t="s">
        <v>341</v>
      </c>
      <c r="D397" s="481"/>
      <c r="E397" s="231" t="s">
        <v>1951</v>
      </c>
      <c r="F397" s="239">
        <v>0.3</v>
      </c>
      <c r="G397" s="240">
        <v>1.59</v>
      </c>
      <c r="H397" s="240">
        <f>ROUND(ROUND(F397,8)*G397,2)</f>
        <v>0.48</v>
      </c>
      <c r="I397" s="179"/>
      <c r="J397" s="180"/>
    </row>
    <row r="398" spans="1:10" ht="15" customHeight="1" x14ac:dyDescent="0.25">
      <c r="A398" s="181" t="s">
        <v>2113</v>
      </c>
      <c r="B398" s="241" t="s">
        <v>2114</v>
      </c>
      <c r="C398" s="481" t="s">
        <v>341</v>
      </c>
      <c r="D398" s="481"/>
      <c r="E398" s="231" t="s">
        <v>2115</v>
      </c>
      <c r="F398" s="239">
        <v>0.25</v>
      </c>
      <c r="G398" s="240">
        <v>5.1100000000000003</v>
      </c>
      <c r="H398" s="240">
        <f>ROUND(ROUND(F398,8)*G398,2)</f>
        <v>1.28</v>
      </c>
      <c r="I398" s="179"/>
      <c r="J398" s="180"/>
    </row>
    <row r="399" spans="1:10" ht="21" customHeight="1" x14ac:dyDescent="0.25">
      <c r="A399" s="181" t="s">
        <v>2116</v>
      </c>
      <c r="B399" s="241" t="s">
        <v>2117</v>
      </c>
      <c r="C399" s="481" t="s">
        <v>341</v>
      </c>
      <c r="D399" s="481"/>
      <c r="E399" s="231" t="s">
        <v>89</v>
      </c>
      <c r="F399" s="239">
        <v>0.15</v>
      </c>
      <c r="G399" s="240">
        <v>24.1</v>
      </c>
      <c r="H399" s="240">
        <f>ROUND(ROUND(F399,8)*G399,2)</f>
        <v>3.62</v>
      </c>
      <c r="I399" s="179"/>
      <c r="J399" s="180"/>
    </row>
    <row r="400" spans="1:10" ht="15" customHeight="1" x14ac:dyDescent="0.25">
      <c r="A400" s="182"/>
      <c r="B400" s="183"/>
      <c r="C400" s="183"/>
      <c r="D400" s="183"/>
      <c r="E400" s="183"/>
      <c r="F400" s="477" t="s">
        <v>1826</v>
      </c>
      <c r="G400" s="477"/>
      <c r="H400" s="139">
        <f>SUM(H396:H399)</f>
        <v>21.880000000000003</v>
      </c>
      <c r="I400" s="179"/>
      <c r="J400" s="180"/>
    </row>
    <row r="401" spans="1:10" ht="15" customHeight="1" x14ac:dyDescent="0.25">
      <c r="A401" s="474" t="s">
        <v>1827</v>
      </c>
      <c r="B401" s="475"/>
      <c r="C401" s="476" t="s">
        <v>42</v>
      </c>
      <c r="D401" s="476"/>
      <c r="E401" s="230" t="s">
        <v>44</v>
      </c>
      <c r="F401" s="230" t="s">
        <v>1813</v>
      </c>
      <c r="G401" s="230" t="s">
        <v>1814</v>
      </c>
      <c r="H401" s="230" t="s">
        <v>1802</v>
      </c>
      <c r="I401" s="179"/>
      <c r="J401" s="180"/>
    </row>
    <row r="402" spans="1:10" ht="15" customHeight="1" x14ac:dyDescent="0.25">
      <c r="A402" s="181" t="s">
        <v>1830</v>
      </c>
      <c r="B402" s="241" t="s">
        <v>1831</v>
      </c>
      <c r="C402" s="481" t="s">
        <v>51</v>
      </c>
      <c r="D402" s="481"/>
      <c r="E402" s="231" t="s">
        <v>1024</v>
      </c>
      <c r="F402" s="239">
        <v>1</v>
      </c>
      <c r="G402" s="240">
        <v>19.68</v>
      </c>
      <c r="H402" s="240">
        <f>ROUND(ROUND(F402,8)*G402,2)</f>
        <v>19.68</v>
      </c>
      <c r="I402" s="179"/>
      <c r="J402" s="180"/>
    </row>
    <row r="403" spans="1:10" ht="15" customHeight="1" x14ac:dyDescent="0.25">
      <c r="A403" s="182"/>
      <c r="B403" s="183"/>
      <c r="C403" s="183"/>
      <c r="D403" s="183"/>
      <c r="E403" s="183"/>
      <c r="F403" s="477" t="s">
        <v>1832</v>
      </c>
      <c r="G403" s="477"/>
      <c r="H403" s="139">
        <f>SUM(H402:H402)</f>
        <v>19.68</v>
      </c>
      <c r="I403" s="179"/>
      <c r="J403" s="180"/>
    </row>
    <row r="404" spans="1:10" ht="15" customHeight="1" x14ac:dyDescent="0.25">
      <c r="A404" s="483" t="s">
        <v>2118</v>
      </c>
      <c r="B404" s="484"/>
      <c r="C404" s="484"/>
      <c r="D404" s="183"/>
      <c r="E404" s="183"/>
      <c r="F404" s="482" t="s">
        <v>1834</v>
      </c>
      <c r="G404" s="482"/>
      <c r="H404" s="140">
        <v>41.56</v>
      </c>
      <c r="I404" s="179"/>
      <c r="J404" s="180"/>
    </row>
    <row r="405" spans="1:10" ht="9.9499999999999993" customHeight="1" x14ac:dyDescent="0.25">
      <c r="A405" s="182"/>
      <c r="B405" s="183"/>
      <c r="C405" s="183"/>
      <c r="D405" s="183"/>
      <c r="E405" s="183"/>
      <c r="F405" s="485"/>
      <c r="G405" s="485"/>
      <c r="H405" s="485"/>
      <c r="I405" s="179"/>
      <c r="J405" s="180"/>
    </row>
    <row r="406" spans="1:10" ht="20.100000000000001" customHeight="1" x14ac:dyDescent="0.25">
      <c r="A406" s="486" t="s">
        <v>2119</v>
      </c>
      <c r="B406" s="487"/>
      <c r="C406" s="487"/>
      <c r="D406" s="487"/>
      <c r="E406" s="487"/>
      <c r="F406" s="487"/>
      <c r="G406" s="487"/>
      <c r="H406" s="487"/>
      <c r="I406" s="179"/>
      <c r="J406" s="180"/>
    </row>
    <row r="407" spans="1:10" ht="20.100000000000001" customHeight="1" x14ac:dyDescent="0.25">
      <c r="A407" s="488" t="s">
        <v>1836</v>
      </c>
      <c r="B407" s="489"/>
      <c r="C407" s="489"/>
      <c r="D407" s="489"/>
      <c r="E407" s="233" t="s">
        <v>44</v>
      </c>
      <c r="F407" s="233" t="s">
        <v>1837</v>
      </c>
      <c r="G407" s="233" t="s">
        <v>1838</v>
      </c>
      <c r="H407" s="233" t="s">
        <v>1839</v>
      </c>
      <c r="I407" s="179"/>
      <c r="J407" s="180"/>
    </row>
    <row r="408" spans="1:10" ht="15" customHeight="1" x14ac:dyDescent="0.25">
      <c r="A408" s="170" t="s">
        <v>1840</v>
      </c>
      <c r="B408" s="490" t="s">
        <v>1841</v>
      </c>
      <c r="C408" s="490"/>
      <c r="D408" s="490"/>
      <c r="E408" s="127" t="s">
        <v>1024</v>
      </c>
      <c r="F408" s="234">
        <v>0.27</v>
      </c>
      <c r="G408" s="238">
        <v>21.94</v>
      </c>
      <c r="H408" s="238">
        <f>ROUND(ROUND(F408,8)*G408,2)</f>
        <v>5.92</v>
      </c>
      <c r="I408" s="179"/>
      <c r="J408" s="180"/>
    </row>
    <row r="409" spans="1:10" ht="15" customHeight="1" x14ac:dyDescent="0.25">
      <c r="A409" s="170" t="s">
        <v>1983</v>
      </c>
      <c r="B409" s="490" t="s">
        <v>1984</v>
      </c>
      <c r="C409" s="490"/>
      <c r="D409" s="490"/>
      <c r="E409" s="127" t="s">
        <v>1024</v>
      </c>
      <c r="F409" s="234">
        <v>0.33</v>
      </c>
      <c r="G409" s="238">
        <v>26.03</v>
      </c>
      <c r="H409" s="238">
        <f>ROUND(ROUND(F409,8)*G409,2)</f>
        <v>8.59</v>
      </c>
      <c r="I409" s="179"/>
      <c r="J409" s="180"/>
    </row>
    <row r="410" spans="1:10" ht="15" customHeight="1" x14ac:dyDescent="0.25">
      <c r="A410" s="184"/>
      <c r="B410" s="141"/>
      <c r="C410" s="141"/>
      <c r="D410" s="141"/>
      <c r="E410" s="141"/>
      <c r="F410" s="491" t="s">
        <v>1844</v>
      </c>
      <c r="G410" s="491"/>
      <c r="H410" s="140">
        <f>SUM(H408:H409)</f>
        <v>14.51</v>
      </c>
      <c r="I410" s="179"/>
      <c r="J410" s="180"/>
    </row>
    <row r="411" spans="1:10" ht="15" customHeight="1" x14ac:dyDescent="0.25">
      <c r="A411" s="182"/>
      <c r="B411" s="183"/>
      <c r="C411" s="183"/>
      <c r="D411" s="183"/>
      <c r="E411" s="183"/>
      <c r="F411" s="482" t="s">
        <v>1845</v>
      </c>
      <c r="G411" s="482"/>
      <c r="H411" s="236">
        <f>SUM(H410)</f>
        <v>14.51</v>
      </c>
      <c r="I411" s="179"/>
      <c r="J411" s="180"/>
    </row>
    <row r="412" spans="1:10" ht="15" customHeight="1" x14ac:dyDescent="0.25">
      <c r="A412" s="182"/>
      <c r="B412" s="183"/>
      <c r="C412" s="183"/>
      <c r="D412" s="183"/>
      <c r="E412" s="183"/>
      <c r="F412" s="482" t="s">
        <v>1846</v>
      </c>
      <c r="G412" s="482"/>
      <c r="H412" s="142">
        <v>1</v>
      </c>
      <c r="I412" s="179"/>
      <c r="J412" s="180"/>
    </row>
    <row r="413" spans="1:10" ht="15" customHeight="1" x14ac:dyDescent="0.25">
      <c r="A413" s="182"/>
      <c r="B413" s="183"/>
      <c r="C413" s="183"/>
      <c r="D413" s="183"/>
      <c r="E413" s="183"/>
      <c r="F413" s="482" t="s">
        <v>1847</v>
      </c>
      <c r="G413" s="482"/>
      <c r="H413" s="236">
        <f>ROUND(H411/H412,4)</f>
        <v>14.51</v>
      </c>
      <c r="I413" s="179"/>
      <c r="J413" s="180"/>
    </row>
    <row r="414" spans="1:10" ht="20.100000000000001" customHeight="1" x14ac:dyDescent="0.25">
      <c r="A414" s="488" t="s">
        <v>1880</v>
      </c>
      <c r="B414" s="489"/>
      <c r="C414" s="489"/>
      <c r="D414" s="489"/>
      <c r="E414" s="233" t="s">
        <v>44</v>
      </c>
      <c r="F414" s="233" t="s">
        <v>1837</v>
      </c>
      <c r="G414" s="233" t="s">
        <v>1881</v>
      </c>
      <c r="H414" s="233" t="s">
        <v>1882</v>
      </c>
      <c r="I414" s="179"/>
      <c r="J414" s="180"/>
    </row>
    <row r="415" spans="1:10" ht="15" customHeight="1" x14ac:dyDescent="0.25">
      <c r="A415" s="170" t="s">
        <v>2120</v>
      </c>
      <c r="B415" s="492" t="s">
        <v>2121</v>
      </c>
      <c r="C415" s="492"/>
      <c r="D415" s="492"/>
      <c r="E415" s="127" t="s">
        <v>226</v>
      </c>
      <c r="F415" s="234">
        <v>0.25</v>
      </c>
      <c r="G415" s="235">
        <v>1.0900000000000001</v>
      </c>
      <c r="H415" s="235">
        <f>ROUND(ROUND(F415,8)*G415,2)</f>
        <v>0.27</v>
      </c>
      <c r="I415" s="179"/>
      <c r="J415" s="180"/>
    </row>
    <row r="416" spans="1:10" ht="15" customHeight="1" x14ac:dyDescent="0.25">
      <c r="A416" s="170" t="s">
        <v>2122</v>
      </c>
      <c r="B416" s="492" t="s">
        <v>2123</v>
      </c>
      <c r="C416" s="492"/>
      <c r="D416" s="492"/>
      <c r="E416" s="127" t="s">
        <v>1006</v>
      </c>
      <c r="F416" s="234">
        <v>0.26</v>
      </c>
      <c r="G416" s="235">
        <v>37.75</v>
      </c>
      <c r="H416" s="235">
        <f>ROUND(ROUND(F416,8)*G416,2)</f>
        <v>9.82</v>
      </c>
      <c r="I416" s="179"/>
      <c r="J416" s="180"/>
    </row>
    <row r="417" spans="1:10" ht="15" customHeight="1" x14ac:dyDescent="0.25">
      <c r="A417" s="184"/>
      <c r="B417" s="141"/>
      <c r="C417" s="141"/>
      <c r="D417" s="141"/>
      <c r="E417" s="141"/>
      <c r="F417" s="491" t="s">
        <v>1889</v>
      </c>
      <c r="G417" s="491"/>
      <c r="H417" s="143">
        <f>SUM(H415:H416)</f>
        <v>10.09</v>
      </c>
      <c r="I417" s="179"/>
      <c r="J417" s="180"/>
    </row>
    <row r="418" spans="1:10" ht="15" customHeight="1" x14ac:dyDescent="0.25">
      <c r="A418" s="182"/>
      <c r="B418" s="183"/>
      <c r="C418" s="183"/>
      <c r="D418" s="183"/>
      <c r="E418" s="183"/>
      <c r="F418" s="482" t="s">
        <v>1848</v>
      </c>
      <c r="G418" s="482"/>
      <c r="H418" s="236">
        <f>SUM(H413,H417)</f>
        <v>24.6</v>
      </c>
      <c r="I418" s="179"/>
      <c r="J418" s="180"/>
    </row>
    <row r="419" spans="1:10" ht="15" customHeight="1" x14ac:dyDescent="0.25">
      <c r="A419" s="483" t="s">
        <v>2124</v>
      </c>
      <c r="B419" s="484"/>
      <c r="C419" s="484"/>
      <c r="D419" s="183"/>
      <c r="E419" s="183"/>
      <c r="F419" s="482" t="s">
        <v>1834</v>
      </c>
      <c r="G419" s="482"/>
      <c r="H419" s="140">
        <v>24.6</v>
      </c>
      <c r="I419" s="179"/>
      <c r="J419" s="180"/>
    </row>
    <row r="420" spans="1:10" ht="9.9499999999999993" customHeight="1" x14ac:dyDescent="0.25">
      <c r="A420" s="182"/>
      <c r="B420" s="183"/>
      <c r="C420" s="183"/>
      <c r="D420" s="183"/>
      <c r="E420" s="183"/>
      <c r="F420" s="485"/>
      <c r="G420" s="485"/>
      <c r="H420" s="485"/>
      <c r="I420" s="179"/>
      <c r="J420" s="180"/>
    </row>
    <row r="421" spans="1:10" ht="20.100000000000001" customHeight="1" x14ac:dyDescent="0.25">
      <c r="A421" s="486" t="s">
        <v>2125</v>
      </c>
      <c r="B421" s="487"/>
      <c r="C421" s="487"/>
      <c r="D421" s="487"/>
      <c r="E421" s="487"/>
      <c r="F421" s="487"/>
      <c r="G421" s="487"/>
      <c r="H421" s="487"/>
      <c r="I421" s="179"/>
      <c r="J421" s="180"/>
    </row>
    <row r="422" spans="1:10" ht="15" customHeight="1" x14ac:dyDescent="0.25">
      <c r="A422" s="474" t="s">
        <v>1932</v>
      </c>
      <c r="B422" s="475"/>
      <c r="C422" s="476" t="s">
        <v>42</v>
      </c>
      <c r="D422" s="476"/>
      <c r="E422" s="230" t="s">
        <v>44</v>
      </c>
      <c r="F422" s="230" t="s">
        <v>1813</v>
      </c>
      <c r="G422" s="230" t="s">
        <v>1814</v>
      </c>
      <c r="H422" s="230" t="s">
        <v>1802</v>
      </c>
      <c r="I422" s="179"/>
      <c r="J422" s="180"/>
    </row>
    <row r="423" spans="1:10" ht="15" customHeight="1" x14ac:dyDescent="0.25">
      <c r="A423" s="181" t="s">
        <v>1933</v>
      </c>
      <c r="B423" s="241" t="s">
        <v>1934</v>
      </c>
      <c r="C423" s="481" t="s">
        <v>341</v>
      </c>
      <c r="D423" s="481"/>
      <c r="E423" s="231" t="s">
        <v>1935</v>
      </c>
      <c r="F423" s="239">
        <v>3</v>
      </c>
      <c r="G423" s="240">
        <v>3.9</v>
      </c>
      <c r="H423" s="240">
        <f>ROUND(ROUND(F423,8)*G423,2)</f>
        <v>11.7</v>
      </c>
      <c r="I423" s="179"/>
      <c r="J423" s="180"/>
    </row>
    <row r="424" spans="1:10" ht="15" customHeight="1" x14ac:dyDescent="0.25">
      <c r="A424" s="182"/>
      <c r="B424" s="183"/>
      <c r="C424" s="183"/>
      <c r="D424" s="183"/>
      <c r="E424" s="183"/>
      <c r="F424" s="477" t="s">
        <v>1938</v>
      </c>
      <c r="G424" s="477"/>
      <c r="H424" s="139">
        <f>SUM(H423:H423)</f>
        <v>11.7</v>
      </c>
      <c r="I424" s="179"/>
      <c r="J424" s="180"/>
    </row>
    <row r="425" spans="1:10" ht="15" customHeight="1" x14ac:dyDescent="0.25">
      <c r="A425" s="474" t="s">
        <v>1812</v>
      </c>
      <c r="B425" s="475"/>
      <c r="C425" s="476" t="s">
        <v>42</v>
      </c>
      <c r="D425" s="476"/>
      <c r="E425" s="230" t="s">
        <v>44</v>
      </c>
      <c r="F425" s="230" t="s">
        <v>1813</v>
      </c>
      <c r="G425" s="230" t="s">
        <v>1814</v>
      </c>
      <c r="H425" s="230" t="s">
        <v>1802</v>
      </c>
      <c r="I425" s="179"/>
      <c r="J425" s="180"/>
    </row>
    <row r="426" spans="1:10" ht="21" customHeight="1" x14ac:dyDescent="0.25">
      <c r="A426" s="181" t="s">
        <v>2126</v>
      </c>
      <c r="B426" s="241" t="s">
        <v>2127</v>
      </c>
      <c r="C426" s="481" t="s">
        <v>82</v>
      </c>
      <c r="D426" s="481"/>
      <c r="E426" s="231" t="s">
        <v>85</v>
      </c>
      <c r="F426" s="239">
        <v>0.05</v>
      </c>
      <c r="G426" s="240">
        <v>91.17</v>
      </c>
      <c r="H426" s="240">
        <f t="shared" ref="H426:H432" si="2">ROUND(ROUND(F426,8)*G426,2)</f>
        <v>4.5599999999999996</v>
      </c>
      <c r="I426" s="179"/>
      <c r="J426" s="180"/>
    </row>
    <row r="427" spans="1:10" ht="15" customHeight="1" x14ac:dyDescent="0.25">
      <c r="A427" s="181" t="s">
        <v>2128</v>
      </c>
      <c r="B427" s="241" t="s">
        <v>2129</v>
      </c>
      <c r="C427" s="481" t="s">
        <v>341</v>
      </c>
      <c r="D427" s="481"/>
      <c r="E427" s="231" t="s">
        <v>2061</v>
      </c>
      <c r="F427" s="239">
        <v>0.1</v>
      </c>
      <c r="G427" s="240">
        <v>148.35</v>
      </c>
      <c r="H427" s="240">
        <f t="shared" si="2"/>
        <v>14.84</v>
      </c>
      <c r="I427" s="179"/>
      <c r="J427" s="180"/>
    </row>
    <row r="428" spans="1:10" ht="29.1" customHeight="1" x14ac:dyDescent="0.25">
      <c r="A428" s="181" t="s">
        <v>2130</v>
      </c>
      <c r="B428" s="241" t="s">
        <v>2131</v>
      </c>
      <c r="C428" s="481" t="s">
        <v>82</v>
      </c>
      <c r="D428" s="481"/>
      <c r="E428" s="231" t="s">
        <v>122</v>
      </c>
      <c r="F428" s="239">
        <v>0.5</v>
      </c>
      <c r="G428" s="240">
        <v>46.75</v>
      </c>
      <c r="H428" s="240">
        <f t="shared" si="2"/>
        <v>23.38</v>
      </c>
      <c r="I428" s="179"/>
      <c r="J428" s="180"/>
    </row>
    <row r="429" spans="1:10" ht="21" customHeight="1" x14ac:dyDescent="0.25">
      <c r="A429" s="181" t="s">
        <v>2132</v>
      </c>
      <c r="B429" s="241" t="s">
        <v>2133</v>
      </c>
      <c r="C429" s="481" t="s">
        <v>82</v>
      </c>
      <c r="D429" s="481"/>
      <c r="E429" s="231" t="s">
        <v>1817</v>
      </c>
      <c r="F429" s="239">
        <v>10</v>
      </c>
      <c r="G429" s="240">
        <v>0.78</v>
      </c>
      <c r="H429" s="240">
        <f t="shared" si="2"/>
        <v>7.8</v>
      </c>
      <c r="I429" s="179"/>
      <c r="J429" s="180"/>
    </row>
    <row r="430" spans="1:10" ht="15" customHeight="1" x14ac:dyDescent="0.25">
      <c r="A430" s="181" t="s">
        <v>2134</v>
      </c>
      <c r="B430" s="241" t="s">
        <v>2135</v>
      </c>
      <c r="C430" s="481" t="s">
        <v>82</v>
      </c>
      <c r="D430" s="481"/>
      <c r="E430" s="231" t="s">
        <v>1817</v>
      </c>
      <c r="F430" s="239">
        <v>75</v>
      </c>
      <c r="G430" s="240">
        <v>1.46</v>
      </c>
      <c r="H430" s="240">
        <f t="shared" si="2"/>
        <v>109.5</v>
      </c>
      <c r="I430" s="179"/>
      <c r="J430" s="180"/>
    </row>
    <row r="431" spans="1:10" ht="21" customHeight="1" x14ac:dyDescent="0.25">
      <c r="A431" s="181" t="s">
        <v>2136</v>
      </c>
      <c r="B431" s="241" t="s">
        <v>2137</v>
      </c>
      <c r="C431" s="481" t="s">
        <v>82</v>
      </c>
      <c r="D431" s="481"/>
      <c r="E431" s="231" t="s">
        <v>85</v>
      </c>
      <c r="F431" s="239">
        <v>0.05</v>
      </c>
      <c r="G431" s="240">
        <v>174.57</v>
      </c>
      <c r="H431" s="240">
        <f t="shared" si="2"/>
        <v>8.73</v>
      </c>
      <c r="I431" s="179"/>
      <c r="J431" s="180"/>
    </row>
    <row r="432" spans="1:10" ht="21" customHeight="1" x14ac:dyDescent="0.25">
      <c r="A432" s="181" t="s">
        <v>2138</v>
      </c>
      <c r="B432" s="241" t="s">
        <v>2139</v>
      </c>
      <c r="C432" s="481" t="s">
        <v>341</v>
      </c>
      <c r="D432" s="481"/>
      <c r="E432" s="231" t="s">
        <v>664</v>
      </c>
      <c r="F432" s="239">
        <v>1.5</v>
      </c>
      <c r="G432" s="240">
        <v>62.61</v>
      </c>
      <c r="H432" s="240">
        <f t="shared" si="2"/>
        <v>93.92</v>
      </c>
      <c r="I432" s="179"/>
      <c r="J432" s="180"/>
    </row>
    <row r="433" spans="1:10" ht="15" customHeight="1" x14ac:dyDescent="0.25">
      <c r="A433" s="182"/>
      <c r="B433" s="183"/>
      <c r="C433" s="183"/>
      <c r="D433" s="183"/>
      <c r="E433" s="183"/>
      <c r="F433" s="477" t="s">
        <v>1826</v>
      </c>
      <c r="G433" s="477"/>
      <c r="H433" s="139">
        <f>SUM(H426:H432)</f>
        <v>262.72999999999996</v>
      </c>
      <c r="I433" s="179"/>
      <c r="J433" s="180"/>
    </row>
    <row r="434" spans="1:10" ht="15" customHeight="1" x14ac:dyDescent="0.25">
      <c r="A434" s="474" t="s">
        <v>1827</v>
      </c>
      <c r="B434" s="475"/>
      <c r="C434" s="476" t="s">
        <v>42</v>
      </c>
      <c r="D434" s="476"/>
      <c r="E434" s="230" t="s">
        <v>44</v>
      </c>
      <c r="F434" s="230" t="s">
        <v>1813</v>
      </c>
      <c r="G434" s="230" t="s">
        <v>1814</v>
      </c>
      <c r="H434" s="230" t="s">
        <v>1802</v>
      </c>
      <c r="I434" s="179"/>
      <c r="J434" s="180"/>
    </row>
    <row r="435" spans="1:10" ht="15" customHeight="1" x14ac:dyDescent="0.25">
      <c r="A435" s="181" t="s">
        <v>1952</v>
      </c>
      <c r="B435" s="241" t="s">
        <v>1953</v>
      </c>
      <c r="C435" s="481" t="s">
        <v>341</v>
      </c>
      <c r="D435" s="481"/>
      <c r="E435" s="231" t="s">
        <v>1935</v>
      </c>
      <c r="F435" s="239">
        <v>3</v>
      </c>
      <c r="G435" s="240">
        <v>15.88</v>
      </c>
      <c r="H435" s="240">
        <f>ROUND(ROUND(F435,8)*G435,2)</f>
        <v>47.64</v>
      </c>
      <c r="I435" s="179"/>
      <c r="J435" s="180"/>
    </row>
    <row r="436" spans="1:10" ht="15" customHeight="1" x14ac:dyDescent="0.25">
      <c r="A436" s="181" t="s">
        <v>1830</v>
      </c>
      <c r="B436" s="241" t="s">
        <v>1831</v>
      </c>
      <c r="C436" s="481" t="s">
        <v>51</v>
      </c>
      <c r="D436" s="481"/>
      <c r="E436" s="231" t="s">
        <v>1024</v>
      </c>
      <c r="F436" s="239">
        <v>3</v>
      </c>
      <c r="G436" s="240">
        <v>19.68</v>
      </c>
      <c r="H436" s="240">
        <f>ROUND(ROUND(F436,8)*G436,2)</f>
        <v>59.04</v>
      </c>
      <c r="I436" s="179"/>
      <c r="J436" s="180"/>
    </row>
    <row r="437" spans="1:10" ht="15" customHeight="1" x14ac:dyDescent="0.25">
      <c r="A437" s="182"/>
      <c r="B437" s="183"/>
      <c r="C437" s="183"/>
      <c r="D437" s="183"/>
      <c r="E437" s="183"/>
      <c r="F437" s="477" t="s">
        <v>1832</v>
      </c>
      <c r="G437" s="477"/>
      <c r="H437" s="139">
        <f>SUM(H435:H436)</f>
        <v>106.68</v>
      </c>
      <c r="I437" s="179"/>
      <c r="J437" s="180"/>
    </row>
    <row r="438" spans="1:10" ht="15" customHeight="1" x14ac:dyDescent="0.25">
      <c r="A438" s="483" t="s">
        <v>2140</v>
      </c>
      <c r="B438" s="484"/>
      <c r="C438" s="484"/>
      <c r="D438" s="183"/>
      <c r="E438" s="183"/>
      <c r="F438" s="482" t="s">
        <v>1834</v>
      </c>
      <c r="G438" s="482"/>
      <c r="H438" s="140">
        <v>381.11</v>
      </c>
      <c r="I438" s="179"/>
      <c r="J438" s="180"/>
    </row>
    <row r="439" spans="1:10" ht="9.9499999999999993" customHeight="1" x14ac:dyDescent="0.25">
      <c r="A439" s="182"/>
      <c r="B439" s="183"/>
      <c r="C439" s="183"/>
      <c r="D439" s="183"/>
      <c r="E439" s="183"/>
      <c r="F439" s="485"/>
      <c r="G439" s="485"/>
      <c r="H439" s="485"/>
      <c r="I439" s="179"/>
      <c r="J439" s="180"/>
    </row>
    <row r="440" spans="1:10" ht="20.100000000000001" customHeight="1" x14ac:dyDescent="0.25">
      <c r="A440" s="486" t="s">
        <v>2141</v>
      </c>
      <c r="B440" s="487"/>
      <c r="C440" s="487"/>
      <c r="D440" s="487"/>
      <c r="E440" s="487"/>
      <c r="F440" s="487"/>
      <c r="G440" s="487"/>
      <c r="H440" s="487"/>
      <c r="I440" s="179"/>
      <c r="J440" s="180"/>
    </row>
    <row r="441" spans="1:10" ht="15" customHeight="1" x14ac:dyDescent="0.25">
      <c r="A441" s="474" t="s">
        <v>1932</v>
      </c>
      <c r="B441" s="475"/>
      <c r="C441" s="476" t="s">
        <v>42</v>
      </c>
      <c r="D441" s="476"/>
      <c r="E441" s="230" t="s">
        <v>44</v>
      </c>
      <c r="F441" s="230" t="s">
        <v>1813</v>
      </c>
      <c r="G441" s="230" t="s">
        <v>1814</v>
      </c>
      <c r="H441" s="230" t="s">
        <v>1802</v>
      </c>
      <c r="I441" s="179"/>
      <c r="J441" s="180"/>
    </row>
    <row r="442" spans="1:10" ht="15" customHeight="1" x14ac:dyDescent="0.25">
      <c r="A442" s="181" t="s">
        <v>1933</v>
      </c>
      <c r="B442" s="241" t="s">
        <v>1934</v>
      </c>
      <c r="C442" s="481" t="s">
        <v>341</v>
      </c>
      <c r="D442" s="481"/>
      <c r="E442" s="231" t="s">
        <v>1935</v>
      </c>
      <c r="F442" s="239">
        <v>3</v>
      </c>
      <c r="G442" s="240">
        <v>3.9</v>
      </c>
      <c r="H442" s="240">
        <f>ROUND(ROUND(F442,8)*G442,2)</f>
        <v>11.7</v>
      </c>
      <c r="I442" s="179"/>
      <c r="J442" s="180"/>
    </row>
    <row r="443" spans="1:10" ht="15" customHeight="1" x14ac:dyDescent="0.25">
      <c r="A443" s="182"/>
      <c r="B443" s="183"/>
      <c r="C443" s="183"/>
      <c r="D443" s="183"/>
      <c r="E443" s="183"/>
      <c r="F443" s="477" t="s">
        <v>1938</v>
      </c>
      <c r="G443" s="477"/>
      <c r="H443" s="139">
        <f>SUM(H442:H442)</f>
        <v>11.7</v>
      </c>
      <c r="I443" s="179"/>
      <c r="J443" s="180"/>
    </row>
    <row r="444" spans="1:10" ht="15" customHeight="1" x14ac:dyDescent="0.25">
      <c r="A444" s="474" t="s">
        <v>1812</v>
      </c>
      <c r="B444" s="475"/>
      <c r="C444" s="476" t="s">
        <v>42</v>
      </c>
      <c r="D444" s="476"/>
      <c r="E444" s="230" t="s">
        <v>44</v>
      </c>
      <c r="F444" s="230" t="s">
        <v>1813</v>
      </c>
      <c r="G444" s="230" t="s">
        <v>1814</v>
      </c>
      <c r="H444" s="230" t="s">
        <v>1802</v>
      </c>
      <c r="I444" s="179"/>
      <c r="J444" s="180"/>
    </row>
    <row r="445" spans="1:10" ht="15" customHeight="1" x14ac:dyDescent="0.25">
      <c r="A445" s="181" t="s">
        <v>2142</v>
      </c>
      <c r="B445" s="241" t="s">
        <v>2143</v>
      </c>
      <c r="C445" s="481" t="s">
        <v>341</v>
      </c>
      <c r="D445" s="481"/>
      <c r="E445" s="231" t="s">
        <v>786</v>
      </c>
      <c r="F445" s="239">
        <v>2.5</v>
      </c>
      <c r="G445" s="240">
        <v>20.59</v>
      </c>
      <c r="H445" s="240">
        <f>ROUND(ROUND(F445,8)*G445,2)</f>
        <v>51.48</v>
      </c>
      <c r="I445" s="179"/>
      <c r="J445" s="180"/>
    </row>
    <row r="446" spans="1:10" ht="15" customHeight="1" x14ac:dyDescent="0.25">
      <c r="A446" s="181" t="s">
        <v>2144</v>
      </c>
      <c r="B446" s="241" t="s">
        <v>2145</v>
      </c>
      <c r="C446" s="481" t="s">
        <v>341</v>
      </c>
      <c r="D446" s="481"/>
      <c r="E446" s="231" t="s">
        <v>579</v>
      </c>
      <c r="F446" s="239">
        <v>4</v>
      </c>
      <c r="G446" s="240">
        <v>11.04</v>
      </c>
      <c r="H446" s="240">
        <f>ROUND(ROUND(F446,8)*G446,2)</f>
        <v>44.16</v>
      </c>
      <c r="I446" s="179"/>
      <c r="J446" s="180"/>
    </row>
    <row r="447" spans="1:10" ht="15" customHeight="1" x14ac:dyDescent="0.25">
      <c r="A447" s="182"/>
      <c r="B447" s="183"/>
      <c r="C447" s="183"/>
      <c r="D447" s="183"/>
      <c r="E447" s="183"/>
      <c r="F447" s="477" t="s">
        <v>1826</v>
      </c>
      <c r="G447" s="477"/>
      <c r="H447" s="139">
        <f>SUM(H445:H446)</f>
        <v>95.639999999999986</v>
      </c>
      <c r="I447" s="179"/>
      <c r="J447" s="180"/>
    </row>
    <row r="448" spans="1:10" ht="15" customHeight="1" x14ac:dyDescent="0.25">
      <c r="A448" s="474" t="s">
        <v>1827</v>
      </c>
      <c r="B448" s="475"/>
      <c r="C448" s="476" t="s">
        <v>42</v>
      </c>
      <c r="D448" s="476"/>
      <c r="E448" s="230" t="s">
        <v>44</v>
      </c>
      <c r="F448" s="230" t="s">
        <v>1813</v>
      </c>
      <c r="G448" s="230" t="s">
        <v>1814</v>
      </c>
      <c r="H448" s="230" t="s">
        <v>1802</v>
      </c>
      <c r="I448" s="179"/>
      <c r="J448" s="180"/>
    </row>
    <row r="449" spans="1:10" ht="15" customHeight="1" x14ac:dyDescent="0.25">
      <c r="A449" s="181" t="s">
        <v>1952</v>
      </c>
      <c r="B449" s="241" t="s">
        <v>1953</v>
      </c>
      <c r="C449" s="481" t="s">
        <v>341</v>
      </c>
      <c r="D449" s="481"/>
      <c r="E449" s="231" t="s">
        <v>1935</v>
      </c>
      <c r="F449" s="239">
        <v>3</v>
      </c>
      <c r="G449" s="240">
        <v>15.88</v>
      </c>
      <c r="H449" s="240">
        <f>ROUND(ROUND(F449,8)*G449,2)</f>
        <v>47.64</v>
      </c>
      <c r="I449" s="179"/>
      <c r="J449" s="180"/>
    </row>
    <row r="450" spans="1:10" ht="15" customHeight="1" x14ac:dyDescent="0.25">
      <c r="A450" s="181" t="s">
        <v>1851</v>
      </c>
      <c r="B450" s="241" t="s">
        <v>1852</v>
      </c>
      <c r="C450" s="481" t="s">
        <v>51</v>
      </c>
      <c r="D450" s="481"/>
      <c r="E450" s="231" t="s">
        <v>1024</v>
      </c>
      <c r="F450" s="239">
        <v>0.6</v>
      </c>
      <c r="G450" s="240">
        <v>26.03</v>
      </c>
      <c r="H450" s="240">
        <f>ROUND(ROUND(F450,8)*G450,2)</f>
        <v>15.62</v>
      </c>
      <c r="I450" s="179"/>
      <c r="J450" s="180"/>
    </row>
    <row r="451" spans="1:10" ht="15" customHeight="1" x14ac:dyDescent="0.25">
      <c r="A451" s="181" t="s">
        <v>1830</v>
      </c>
      <c r="B451" s="241" t="s">
        <v>1831</v>
      </c>
      <c r="C451" s="481" t="s">
        <v>51</v>
      </c>
      <c r="D451" s="481"/>
      <c r="E451" s="231" t="s">
        <v>1024</v>
      </c>
      <c r="F451" s="239">
        <v>0.6</v>
      </c>
      <c r="G451" s="240">
        <v>19.68</v>
      </c>
      <c r="H451" s="240">
        <f>ROUND(ROUND(F451,8)*G451,2)</f>
        <v>11.81</v>
      </c>
      <c r="I451" s="179"/>
      <c r="J451" s="180"/>
    </row>
    <row r="452" spans="1:10" ht="15" customHeight="1" x14ac:dyDescent="0.25">
      <c r="A452" s="182"/>
      <c r="B452" s="183"/>
      <c r="C452" s="183"/>
      <c r="D452" s="183"/>
      <c r="E452" s="183"/>
      <c r="F452" s="477" t="s">
        <v>1832</v>
      </c>
      <c r="G452" s="477"/>
      <c r="H452" s="139">
        <f>SUM(H449:H451)</f>
        <v>75.069999999999993</v>
      </c>
      <c r="I452" s="179"/>
      <c r="J452" s="180"/>
    </row>
    <row r="453" spans="1:10" ht="15" customHeight="1" x14ac:dyDescent="0.25">
      <c r="A453" s="474" t="s">
        <v>1912</v>
      </c>
      <c r="B453" s="475"/>
      <c r="C453" s="476" t="s">
        <v>42</v>
      </c>
      <c r="D453" s="476"/>
      <c r="E453" s="230" t="s">
        <v>44</v>
      </c>
      <c r="F453" s="230" t="s">
        <v>1813</v>
      </c>
      <c r="G453" s="230" t="s">
        <v>1814</v>
      </c>
      <c r="H453" s="230" t="s">
        <v>1802</v>
      </c>
      <c r="I453" s="179"/>
      <c r="J453" s="180"/>
    </row>
    <row r="454" spans="1:10" ht="21" customHeight="1" x14ac:dyDescent="0.25">
      <c r="A454" s="181" t="s">
        <v>2146</v>
      </c>
      <c r="B454" s="241" t="s">
        <v>2147</v>
      </c>
      <c r="C454" s="481" t="s">
        <v>341</v>
      </c>
      <c r="D454" s="481"/>
      <c r="E454" s="231" t="s">
        <v>89</v>
      </c>
      <c r="F454" s="239">
        <v>1.1999999999999999E-3</v>
      </c>
      <c r="G454" s="240">
        <v>454.58</v>
      </c>
      <c r="H454" s="240">
        <f>ROUND(ROUND(F454,8)*G454,2)</f>
        <v>0.55000000000000004</v>
      </c>
      <c r="I454" s="179"/>
      <c r="J454" s="180"/>
    </row>
    <row r="455" spans="1:10" ht="15" customHeight="1" x14ac:dyDescent="0.25">
      <c r="A455" s="182"/>
      <c r="B455" s="183"/>
      <c r="C455" s="183"/>
      <c r="D455" s="183"/>
      <c r="E455" s="183"/>
      <c r="F455" s="477" t="s">
        <v>1915</v>
      </c>
      <c r="G455" s="477"/>
      <c r="H455" s="139">
        <f>SUM(H454:H454)</f>
        <v>0.55000000000000004</v>
      </c>
      <c r="I455" s="179"/>
      <c r="J455" s="180"/>
    </row>
    <row r="456" spans="1:10" ht="15" customHeight="1" x14ac:dyDescent="0.25">
      <c r="A456" s="483" t="s">
        <v>2148</v>
      </c>
      <c r="B456" s="484"/>
      <c r="C456" s="484"/>
      <c r="D456" s="183"/>
      <c r="E456" s="183"/>
      <c r="F456" s="482" t="s">
        <v>1834</v>
      </c>
      <c r="G456" s="482"/>
      <c r="H456" s="140">
        <v>182.96</v>
      </c>
      <c r="I456" s="179"/>
      <c r="J456" s="180"/>
    </row>
    <row r="457" spans="1:10" ht="9.9499999999999993" customHeight="1" x14ac:dyDescent="0.25">
      <c r="A457" s="182"/>
      <c r="B457" s="183"/>
      <c r="C457" s="183"/>
      <c r="D457" s="183"/>
      <c r="E457" s="183"/>
      <c r="F457" s="485"/>
      <c r="G457" s="485"/>
      <c r="H457" s="485"/>
      <c r="I457" s="179"/>
      <c r="J457" s="180"/>
    </row>
    <row r="458" spans="1:10" ht="20.100000000000001" customHeight="1" x14ac:dyDescent="0.25">
      <c r="A458" s="486" t="s">
        <v>2149</v>
      </c>
      <c r="B458" s="487"/>
      <c r="C458" s="487"/>
      <c r="D458" s="487"/>
      <c r="E458" s="487"/>
      <c r="F458" s="487"/>
      <c r="G458" s="487"/>
      <c r="H458" s="487"/>
      <c r="I458" s="179"/>
      <c r="J458" s="180"/>
    </row>
    <row r="459" spans="1:10" ht="15" customHeight="1" x14ac:dyDescent="0.25">
      <c r="A459" s="474" t="s">
        <v>1932</v>
      </c>
      <c r="B459" s="475"/>
      <c r="C459" s="476" t="s">
        <v>42</v>
      </c>
      <c r="D459" s="476"/>
      <c r="E459" s="230" t="s">
        <v>44</v>
      </c>
      <c r="F459" s="230" t="s">
        <v>1813</v>
      </c>
      <c r="G459" s="230" t="s">
        <v>1814</v>
      </c>
      <c r="H459" s="230" t="s">
        <v>1802</v>
      </c>
      <c r="I459" s="179"/>
      <c r="J459" s="180"/>
    </row>
    <row r="460" spans="1:10" ht="15" customHeight="1" x14ac:dyDescent="0.25">
      <c r="A460" s="181" t="s">
        <v>1933</v>
      </c>
      <c r="B460" s="241" t="s">
        <v>1934</v>
      </c>
      <c r="C460" s="481" t="s">
        <v>341</v>
      </c>
      <c r="D460" s="481"/>
      <c r="E460" s="231" t="s">
        <v>1935</v>
      </c>
      <c r="F460" s="239">
        <v>1.5</v>
      </c>
      <c r="G460" s="240">
        <v>3.9</v>
      </c>
      <c r="H460" s="240">
        <f>ROUND(ROUND(F460,8)*G460,2)</f>
        <v>5.85</v>
      </c>
      <c r="I460" s="179"/>
      <c r="J460" s="180"/>
    </row>
    <row r="461" spans="1:10" ht="15" customHeight="1" x14ac:dyDescent="0.25">
      <c r="A461" s="181" t="s">
        <v>2150</v>
      </c>
      <c r="B461" s="241" t="s">
        <v>2151</v>
      </c>
      <c r="C461" s="481" t="s">
        <v>341</v>
      </c>
      <c r="D461" s="481"/>
      <c r="E461" s="231" t="s">
        <v>1935</v>
      </c>
      <c r="F461" s="239">
        <v>1.5</v>
      </c>
      <c r="G461" s="240">
        <v>3.9</v>
      </c>
      <c r="H461" s="240">
        <f>ROUND(ROUND(F461,8)*G461,2)</f>
        <v>5.85</v>
      </c>
      <c r="I461" s="179"/>
      <c r="J461" s="180"/>
    </row>
    <row r="462" spans="1:10" ht="15" customHeight="1" x14ac:dyDescent="0.25">
      <c r="A462" s="182"/>
      <c r="B462" s="183"/>
      <c r="C462" s="183"/>
      <c r="D462" s="183"/>
      <c r="E462" s="183"/>
      <c r="F462" s="477" t="s">
        <v>1938</v>
      </c>
      <c r="G462" s="477"/>
      <c r="H462" s="139">
        <f>SUM(H460:H461)</f>
        <v>11.7</v>
      </c>
      <c r="I462" s="179"/>
      <c r="J462" s="180"/>
    </row>
    <row r="463" spans="1:10" ht="15" customHeight="1" x14ac:dyDescent="0.25">
      <c r="A463" s="474" t="s">
        <v>1812</v>
      </c>
      <c r="B463" s="475"/>
      <c r="C463" s="476" t="s">
        <v>42</v>
      </c>
      <c r="D463" s="476"/>
      <c r="E463" s="230" t="s">
        <v>44</v>
      </c>
      <c r="F463" s="230" t="s">
        <v>1813</v>
      </c>
      <c r="G463" s="230" t="s">
        <v>1814</v>
      </c>
      <c r="H463" s="230" t="s">
        <v>1802</v>
      </c>
      <c r="I463" s="179"/>
      <c r="J463" s="180"/>
    </row>
    <row r="464" spans="1:10" ht="15" customHeight="1" x14ac:dyDescent="0.25">
      <c r="A464" s="181" t="s">
        <v>2152</v>
      </c>
      <c r="B464" s="241" t="s">
        <v>2153</v>
      </c>
      <c r="C464" s="481" t="s">
        <v>341</v>
      </c>
      <c r="D464" s="481"/>
      <c r="E464" s="231" t="s">
        <v>786</v>
      </c>
      <c r="F464" s="239">
        <v>0.02</v>
      </c>
      <c r="G464" s="240">
        <v>49.5</v>
      </c>
      <c r="H464" s="240">
        <f>ROUND(ROUND(F464,8)*G464,2)</f>
        <v>0.99</v>
      </c>
      <c r="I464" s="179"/>
      <c r="J464" s="180"/>
    </row>
    <row r="465" spans="1:10" ht="15" customHeight="1" x14ac:dyDescent="0.25">
      <c r="A465" s="181" t="s">
        <v>2154</v>
      </c>
      <c r="B465" s="241" t="s">
        <v>2155</v>
      </c>
      <c r="C465" s="481" t="s">
        <v>341</v>
      </c>
      <c r="D465" s="481"/>
      <c r="E465" s="231" t="s">
        <v>694</v>
      </c>
      <c r="F465" s="239">
        <v>0.01</v>
      </c>
      <c r="G465" s="240">
        <v>3103.48</v>
      </c>
      <c r="H465" s="240">
        <f>ROUND(ROUND(F465,8)*G465,2)</f>
        <v>31.03</v>
      </c>
      <c r="I465" s="179"/>
      <c r="J465" s="180"/>
    </row>
    <row r="466" spans="1:10" ht="15" customHeight="1" x14ac:dyDescent="0.25">
      <c r="A466" s="182"/>
      <c r="B466" s="183"/>
      <c r="C466" s="183"/>
      <c r="D466" s="183"/>
      <c r="E466" s="183"/>
      <c r="F466" s="477" t="s">
        <v>1826</v>
      </c>
      <c r="G466" s="477"/>
      <c r="H466" s="139">
        <f>SUM(H464:H465)</f>
        <v>32.020000000000003</v>
      </c>
      <c r="I466" s="179"/>
      <c r="J466" s="180"/>
    </row>
    <row r="467" spans="1:10" ht="15" customHeight="1" x14ac:dyDescent="0.25">
      <c r="A467" s="474" t="s">
        <v>1827</v>
      </c>
      <c r="B467" s="475"/>
      <c r="C467" s="476" t="s">
        <v>42</v>
      </c>
      <c r="D467" s="476"/>
      <c r="E467" s="230" t="s">
        <v>44</v>
      </c>
      <c r="F467" s="230" t="s">
        <v>1813</v>
      </c>
      <c r="G467" s="230" t="s">
        <v>1814</v>
      </c>
      <c r="H467" s="230" t="s">
        <v>1802</v>
      </c>
      <c r="I467" s="179"/>
      <c r="J467" s="180"/>
    </row>
    <row r="468" spans="1:10" ht="15" customHeight="1" x14ac:dyDescent="0.25">
      <c r="A468" s="181" t="s">
        <v>1952</v>
      </c>
      <c r="B468" s="241" t="s">
        <v>1953</v>
      </c>
      <c r="C468" s="481" t="s">
        <v>341</v>
      </c>
      <c r="D468" s="481"/>
      <c r="E468" s="231" t="s">
        <v>1935</v>
      </c>
      <c r="F468" s="239">
        <v>1.5</v>
      </c>
      <c r="G468" s="240">
        <v>15.88</v>
      </c>
      <c r="H468" s="240">
        <f>ROUND(ROUND(F468,8)*G468,2)</f>
        <v>23.82</v>
      </c>
      <c r="I468" s="179"/>
      <c r="J468" s="180"/>
    </row>
    <row r="469" spans="1:10" ht="15" customHeight="1" x14ac:dyDescent="0.25">
      <c r="A469" s="181" t="s">
        <v>2156</v>
      </c>
      <c r="B469" s="241" t="s">
        <v>2157</v>
      </c>
      <c r="C469" s="481" t="s">
        <v>341</v>
      </c>
      <c r="D469" s="481"/>
      <c r="E469" s="231" t="s">
        <v>1935</v>
      </c>
      <c r="F469" s="239">
        <v>1.5</v>
      </c>
      <c r="G469" s="240">
        <v>31.09</v>
      </c>
      <c r="H469" s="240">
        <f>ROUND(ROUND(F469,8)*G469,2)</f>
        <v>46.64</v>
      </c>
      <c r="I469" s="179"/>
      <c r="J469" s="180"/>
    </row>
    <row r="470" spans="1:10" ht="15" customHeight="1" x14ac:dyDescent="0.25">
      <c r="A470" s="182"/>
      <c r="B470" s="183"/>
      <c r="C470" s="183"/>
      <c r="D470" s="183"/>
      <c r="E470" s="183"/>
      <c r="F470" s="477" t="s">
        <v>1832</v>
      </c>
      <c r="G470" s="477"/>
      <c r="H470" s="139">
        <f>SUM(H468:H469)</f>
        <v>70.460000000000008</v>
      </c>
      <c r="I470" s="179"/>
      <c r="J470" s="180"/>
    </row>
    <row r="471" spans="1:10" ht="15" customHeight="1" x14ac:dyDescent="0.25">
      <c r="A471" s="474" t="s">
        <v>1912</v>
      </c>
      <c r="B471" s="475"/>
      <c r="C471" s="476" t="s">
        <v>42</v>
      </c>
      <c r="D471" s="476"/>
      <c r="E471" s="230" t="s">
        <v>44</v>
      </c>
      <c r="F471" s="230" t="s">
        <v>1813</v>
      </c>
      <c r="G471" s="230" t="s">
        <v>1814</v>
      </c>
      <c r="H471" s="230" t="s">
        <v>1802</v>
      </c>
      <c r="I471" s="179"/>
      <c r="J471" s="180"/>
    </row>
    <row r="472" spans="1:10" ht="45.95" customHeight="1" x14ac:dyDescent="0.25">
      <c r="A472" s="181" t="s">
        <v>1987</v>
      </c>
      <c r="B472" s="241" t="s">
        <v>1988</v>
      </c>
      <c r="C472" s="481" t="s">
        <v>51</v>
      </c>
      <c r="D472" s="481"/>
      <c r="E472" s="231" t="s">
        <v>54</v>
      </c>
      <c r="F472" s="239">
        <v>1</v>
      </c>
      <c r="G472" s="240">
        <v>43.8</v>
      </c>
      <c r="H472" s="240">
        <f>ROUND(ROUND(F472,8)*G472,2)</f>
        <v>43.8</v>
      </c>
      <c r="I472" s="179"/>
      <c r="J472" s="180"/>
    </row>
    <row r="473" spans="1:10" ht="15" customHeight="1" x14ac:dyDescent="0.25">
      <c r="A473" s="182"/>
      <c r="B473" s="183"/>
      <c r="C473" s="183"/>
      <c r="D473" s="183"/>
      <c r="E473" s="183"/>
      <c r="F473" s="477" t="s">
        <v>1915</v>
      </c>
      <c r="G473" s="477"/>
      <c r="H473" s="139">
        <f>SUM(H472:H472)</f>
        <v>43.8</v>
      </c>
      <c r="I473" s="179"/>
      <c r="J473" s="180"/>
    </row>
    <row r="474" spans="1:10" ht="15" customHeight="1" x14ac:dyDescent="0.25">
      <c r="A474" s="483" t="s">
        <v>2158</v>
      </c>
      <c r="B474" s="484"/>
      <c r="C474" s="484"/>
      <c r="D474" s="183"/>
      <c r="E474" s="183"/>
      <c r="F474" s="482" t="s">
        <v>1834</v>
      </c>
      <c r="G474" s="482"/>
      <c r="H474" s="140">
        <v>157.97999999999999</v>
      </c>
      <c r="I474" s="179"/>
      <c r="J474" s="180"/>
    </row>
    <row r="475" spans="1:10" ht="2.1" customHeight="1" x14ac:dyDescent="0.25">
      <c r="A475" s="483"/>
      <c r="B475" s="484"/>
      <c r="C475" s="484"/>
      <c r="D475" s="183"/>
      <c r="E475" s="183"/>
      <c r="F475" s="183"/>
      <c r="G475" s="183"/>
      <c r="H475" s="183"/>
      <c r="I475" s="179"/>
      <c r="J475" s="180"/>
    </row>
    <row r="476" spans="1:10" ht="9.9499999999999993" customHeight="1" x14ac:dyDescent="0.25">
      <c r="A476" s="182"/>
      <c r="B476" s="183"/>
      <c r="C476" s="183"/>
      <c r="D476" s="183"/>
      <c r="E476" s="183"/>
      <c r="F476" s="485"/>
      <c r="G476" s="485"/>
      <c r="H476" s="485"/>
      <c r="I476" s="179"/>
      <c r="J476" s="180"/>
    </row>
    <row r="477" spans="1:10" ht="20.100000000000001" customHeight="1" x14ac:dyDescent="0.25">
      <c r="A477" s="486" t="s">
        <v>2159</v>
      </c>
      <c r="B477" s="487"/>
      <c r="C477" s="487"/>
      <c r="D477" s="487"/>
      <c r="E477" s="487"/>
      <c r="F477" s="487"/>
      <c r="G477" s="487"/>
      <c r="H477" s="487"/>
      <c r="I477" s="179"/>
      <c r="J477" s="180"/>
    </row>
    <row r="478" spans="1:10" ht="15" customHeight="1" x14ac:dyDescent="0.25">
      <c r="A478" s="474" t="s">
        <v>1932</v>
      </c>
      <c r="B478" s="475"/>
      <c r="C478" s="476" t="s">
        <v>42</v>
      </c>
      <c r="D478" s="476"/>
      <c r="E478" s="230" t="s">
        <v>44</v>
      </c>
      <c r="F478" s="230" t="s">
        <v>1813</v>
      </c>
      <c r="G478" s="230" t="s">
        <v>1814</v>
      </c>
      <c r="H478" s="230" t="s">
        <v>1802</v>
      </c>
      <c r="I478" s="179"/>
      <c r="J478" s="180"/>
    </row>
    <row r="479" spans="1:10" ht="15" customHeight="1" x14ac:dyDescent="0.25">
      <c r="A479" s="181" t="s">
        <v>1933</v>
      </c>
      <c r="B479" s="241" t="s">
        <v>1934</v>
      </c>
      <c r="C479" s="481" t="s">
        <v>341</v>
      </c>
      <c r="D479" s="481"/>
      <c r="E479" s="231" t="s">
        <v>1935</v>
      </c>
      <c r="F479" s="239">
        <v>1</v>
      </c>
      <c r="G479" s="240">
        <v>3.9</v>
      </c>
      <c r="H479" s="240">
        <f>ROUND(ROUND(F479,8)*G479,2)</f>
        <v>3.9</v>
      </c>
      <c r="I479" s="179"/>
      <c r="J479" s="180"/>
    </row>
    <row r="480" spans="1:10" ht="15" customHeight="1" x14ac:dyDescent="0.25">
      <c r="A480" s="182"/>
      <c r="B480" s="183"/>
      <c r="C480" s="183"/>
      <c r="D480" s="183"/>
      <c r="E480" s="183"/>
      <c r="F480" s="477" t="s">
        <v>1938</v>
      </c>
      <c r="G480" s="477"/>
      <c r="H480" s="139">
        <f>SUM(H479:H479)</f>
        <v>3.9</v>
      </c>
      <c r="I480" s="179"/>
      <c r="J480" s="180"/>
    </row>
    <row r="481" spans="1:10" ht="15" customHeight="1" x14ac:dyDescent="0.25">
      <c r="A481" s="474" t="s">
        <v>1812</v>
      </c>
      <c r="B481" s="475"/>
      <c r="C481" s="476" t="s">
        <v>42</v>
      </c>
      <c r="D481" s="476"/>
      <c r="E481" s="230" t="s">
        <v>44</v>
      </c>
      <c r="F481" s="230" t="s">
        <v>1813</v>
      </c>
      <c r="G481" s="230" t="s">
        <v>1814</v>
      </c>
      <c r="H481" s="230" t="s">
        <v>1802</v>
      </c>
      <c r="I481" s="179"/>
      <c r="J481" s="180"/>
    </row>
    <row r="482" spans="1:10" ht="21" customHeight="1" x14ac:dyDescent="0.25">
      <c r="A482" s="181" t="s">
        <v>2160</v>
      </c>
      <c r="B482" s="241" t="s">
        <v>2161</v>
      </c>
      <c r="C482" s="481" t="s">
        <v>51</v>
      </c>
      <c r="D482" s="481"/>
      <c r="E482" s="231" t="s">
        <v>1817</v>
      </c>
      <c r="F482" s="239">
        <v>0.25</v>
      </c>
      <c r="G482" s="240">
        <v>39.47</v>
      </c>
      <c r="H482" s="240">
        <f>ROUND(ROUND(F482,8)*G482,2)</f>
        <v>9.8699999999999992</v>
      </c>
      <c r="I482" s="179"/>
      <c r="J482" s="180"/>
    </row>
    <row r="483" spans="1:10" ht="15" customHeight="1" x14ac:dyDescent="0.25">
      <c r="A483" s="181" t="s">
        <v>2162</v>
      </c>
      <c r="B483" s="241" t="s">
        <v>2163</v>
      </c>
      <c r="C483" s="481" t="s">
        <v>341</v>
      </c>
      <c r="D483" s="481"/>
      <c r="E483" s="231" t="s">
        <v>579</v>
      </c>
      <c r="F483" s="239">
        <v>1</v>
      </c>
      <c r="G483" s="240">
        <v>2.25</v>
      </c>
      <c r="H483" s="240">
        <f>ROUND(ROUND(F483,8)*G483,2)</f>
        <v>2.25</v>
      </c>
      <c r="I483" s="179"/>
      <c r="J483" s="180"/>
    </row>
    <row r="484" spans="1:10" ht="15" customHeight="1" x14ac:dyDescent="0.25">
      <c r="A484" s="182"/>
      <c r="B484" s="183"/>
      <c r="C484" s="183"/>
      <c r="D484" s="183"/>
      <c r="E484" s="183"/>
      <c r="F484" s="477" t="s">
        <v>1826</v>
      </c>
      <c r="G484" s="477"/>
      <c r="H484" s="139">
        <f>SUM(H482:H483)</f>
        <v>12.12</v>
      </c>
      <c r="I484" s="179"/>
      <c r="J484" s="180"/>
    </row>
    <row r="485" spans="1:10" ht="15" customHeight="1" x14ac:dyDescent="0.25">
      <c r="A485" s="474" t="s">
        <v>1827</v>
      </c>
      <c r="B485" s="475"/>
      <c r="C485" s="476" t="s">
        <v>42</v>
      </c>
      <c r="D485" s="476"/>
      <c r="E485" s="230" t="s">
        <v>44</v>
      </c>
      <c r="F485" s="230" t="s">
        <v>1813</v>
      </c>
      <c r="G485" s="230" t="s">
        <v>1814</v>
      </c>
      <c r="H485" s="230" t="s">
        <v>1802</v>
      </c>
      <c r="I485" s="179"/>
      <c r="J485" s="180"/>
    </row>
    <row r="486" spans="1:10" ht="15" customHeight="1" x14ac:dyDescent="0.25">
      <c r="A486" s="181" t="s">
        <v>1952</v>
      </c>
      <c r="B486" s="241" t="s">
        <v>1953</v>
      </c>
      <c r="C486" s="481" t="s">
        <v>341</v>
      </c>
      <c r="D486" s="481"/>
      <c r="E486" s="231" t="s">
        <v>1935</v>
      </c>
      <c r="F486" s="239">
        <v>1</v>
      </c>
      <c r="G486" s="240">
        <v>15.88</v>
      </c>
      <c r="H486" s="240">
        <f>ROUND(ROUND(F486,8)*G486,2)</f>
        <v>15.88</v>
      </c>
      <c r="I486" s="179"/>
      <c r="J486" s="180"/>
    </row>
    <row r="487" spans="1:10" ht="15" customHeight="1" x14ac:dyDescent="0.25">
      <c r="A487" s="182"/>
      <c r="B487" s="183"/>
      <c r="C487" s="183"/>
      <c r="D487" s="183"/>
      <c r="E487" s="183"/>
      <c r="F487" s="477" t="s">
        <v>1832</v>
      </c>
      <c r="G487" s="477"/>
      <c r="H487" s="139">
        <f>SUM(H486:H486)</f>
        <v>15.88</v>
      </c>
      <c r="I487" s="179"/>
      <c r="J487" s="180"/>
    </row>
    <row r="488" spans="1:10" ht="15" customHeight="1" x14ac:dyDescent="0.25">
      <c r="A488" s="474" t="s">
        <v>1912</v>
      </c>
      <c r="B488" s="475"/>
      <c r="C488" s="476" t="s">
        <v>42</v>
      </c>
      <c r="D488" s="476"/>
      <c r="E488" s="230" t="s">
        <v>44</v>
      </c>
      <c r="F488" s="230" t="s">
        <v>1813</v>
      </c>
      <c r="G488" s="230" t="s">
        <v>1814</v>
      </c>
      <c r="H488" s="230" t="s">
        <v>1802</v>
      </c>
      <c r="I488" s="179"/>
      <c r="J488" s="180"/>
    </row>
    <row r="489" spans="1:10" ht="15" customHeight="1" x14ac:dyDescent="0.25">
      <c r="A489" s="181" t="s">
        <v>2164</v>
      </c>
      <c r="B489" s="241" t="s">
        <v>2165</v>
      </c>
      <c r="C489" s="481" t="s">
        <v>341</v>
      </c>
      <c r="D489" s="481"/>
      <c r="E489" s="231" t="s">
        <v>579</v>
      </c>
      <c r="F489" s="239">
        <v>0.1</v>
      </c>
      <c r="G489" s="240">
        <v>5.08</v>
      </c>
      <c r="H489" s="240">
        <f>ROUND(ROUND(F489,8)*G489,2)</f>
        <v>0.51</v>
      </c>
      <c r="I489" s="179"/>
      <c r="J489" s="180"/>
    </row>
    <row r="490" spans="1:10" ht="15" customHeight="1" x14ac:dyDescent="0.25">
      <c r="A490" s="182"/>
      <c r="B490" s="183"/>
      <c r="C490" s="183"/>
      <c r="D490" s="183"/>
      <c r="E490" s="183"/>
      <c r="F490" s="477" t="s">
        <v>1915</v>
      </c>
      <c r="G490" s="477"/>
      <c r="H490" s="139">
        <f>SUM(H489:H489)</f>
        <v>0.51</v>
      </c>
      <c r="I490" s="179"/>
      <c r="J490" s="180"/>
    </row>
    <row r="491" spans="1:10" ht="15" customHeight="1" x14ac:dyDescent="0.25">
      <c r="A491" s="483" t="s">
        <v>2166</v>
      </c>
      <c r="B491" s="484"/>
      <c r="C491" s="484"/>
      <c r="D491" s="183"/>
      <c r="E491" s="183"/>
      <c r="F491" s="482" t="s">
        <v>1834</v>
      </c>
      <c r="G491" s="482"/>
      <c r="H491" s="140">
        <v>32.409999999999997</v>
      </c>
      <c r="I491" s="179"/>
      <c r="J491" s="180"/>
    </row>
    <row r="492" spans="1:10" ht="2.1" customHeight="1" x14ac:dyDescent="0.25">
      <c r="A492" s="483"/>
      <c r="B492" s="484"/>
      <c r="C492" s="484"/>
      <c r="D492" s="183"/>
      <c r="E492" s="183"/>
      <c r="F492" s="183"/>
      <c r="G492" s="183"/>
      <c r="H492" s="183"/>
      <c r="I492" s="179"/>
      <c r="J492" s="180"/>
    </row>
    <row r="493" spans="1:10" ht="9.9499999999999993" customHeight="1" x14ac:dyDescent="0.25">
      <c r="A493" s="182"/>
      <c r="B493" s="183"/>
      <c r="C493" s="183"/>
      <c r="D493" s="183"/>
      <c r="E493" s="183"/>
      <c r="F493" s="485"/>
      <c r="G493" s="485"/>
      <c r="H493" s="485"/>
      <c r="I493" s="179"/>
      <c r="J493" s="180"/>
    </row>
    <row r="494" spans="1:10" ht="20.100000000000001" customHeight="1" x14ac:dyDescent="0.25">
      <c r="A494" s="486" t="s">
        <v>2167</v>
      </c>
      <c r="B494" s="487"/>
      <c r="C494" s="487"/>
      <c r="D494" s="487"/>
      <c r="E494" s="487"/>
      <c r="F494" s="487"/>
      <c r="G494" s="487"/>
      <c r="H494" s="487"/>
      <c r="I494" s="179"/>
      <c r="J494" s="180"/>
    </row>
    <row r="495" spans="1:10" ht="15" customHeight="1" x14ac:dyDescent="0.25">
      <c r="A495" s="474" t="s">
        <v>1932</v>
      </c>
      <c r="B495" s="475"/>
      <c r="C495" s="476" t="s">
        <v>42</v>
      </c>
      <c r="D495" s="476"/>
      <c r="E495" s="230" t="s">
        <v>44</v>
      </c>
      <c r="F495" s="230" t="s">
        <v>1813</v>
      </c>
      <c r="G495" s="230" t="s">
        <v>1814</v>
      </c>
      <c r="H495" s="230" t="s">
        <v>1802</v>
      </c>
      <c r="I495" s="179"/>
      <c r="J495" s="180"/>
    </row>
    <row r="496" spans="1:10" ht="15" customHeight="1" x14ac:dyDescent="0.25">
      <c r="A496" s="181" t="s">
        <v>1933</v>
      </c>
      <c r="B496" s="241" t="s">
        <v>1934</v>
      </c>
      <c r="C496" s="481" t="s">
        <v>341</v>
      </c>
      <c r="D496" s="481"/>
      <c r="E496" s="231" t="s">
        <v>1935</v>
      </c>
      <c r="F496" s="239">
        <v>0.3</v>
      </c>
      <c r="G496" s="240">
        <v>3.9</v>
      </c>
      <c r="H496" s="240">
        <f>ROUND(ROUND(F496,8)*G496,2)</f>
        <v>1.17</v>
      </c>
      <c r="I496" s="179"/>
      <c r="J496" s="180"/>
    </row>
    <row r="497" spans="1:10" ht="15" customHeight="1" x14ac:dyDescent="0.25">
      <c r="A497" s="182"/>
      <c r="B497" s="183"/>
      <c r="C497" s="183"/>
      <c r="D497" s="183"/>
      <c r="E497" s="183"/>
      <c r="F497" s="477" t="s">
        <v>1938</v>
      </c>
      <c r="G497" s="477"/>
      <c r="H497" s="139">
        <f>SUM(H496:H496)</f>
        <v>1.17</v>
      </c>
      <c r="I497" s="179"/>
      <c r="J497" s="180"/>
    </row>
    <row r="498" spans="1:10" ht="15" customHeight="1" x14ac:dyDescent="0.25">
      <c r="A498" s="474" t="s">
        <v>1812</v>
      </c>
      <c r="B498" s="475"/>
      <c r="C498" s="476" t="s">
        <v>42</v>
      </c>
      <c r="D498" s="476"/>
      <c r="E498" s="230" t="s">
        <v>44</v>
      </c>
      <c r="F498" s="230" t="s">
        <v>1813</v>
      </c>
      <c r="G498" s="230" t="s">
        <v>1814</v>
      </c>
      <c r="H498" s="230" t="s">
        <v>1802</v>
      </c>
      <c r="I498" s="179"/>
      <c r="J498" s="180"/>
    </row>
    <row r="499" spans="1:10" ht="21" customHeight="1" x14ac:dyDescent="0.25">
      <c r="A499" s="181" t="s">
        <v>2168</v>
      </c>
      <c r="B499" s="241" t="s">
        <v>2169</v>
      </c>
      <c r="C499" s="481" t="s">
        <v>341</v>
      </c>
      <c r="D499" s="481"/>
      <c r="E499" s="231" t="s">
        <v>1951</v>
      </c>
      <c r="F499" s="239">
        <v>0.25</v>
      </c>
      <c r="G499" s="240">
        <v>21.33</v>
      </c>
      <c r="H499" s="240">
        <f>ROUND(ROUND(F499,8)*G499,2)</f>
        <v>5.33</v>
      </c>
      <c r="I499" s="179"/>
      <c r="J499" s="180"/>
    </row>
    <row r="500" spans="1:10" ht="15" customHeight="1" x14ac:dyDescent="0.25">
      <c r="A500" s="181" t="s">
        <v>2170</v>
      </c>
      <c r="B500" s="241" t="s">
        <v>2171</v>
      </c>
      <c r="C500" s="481" t="s">
        <v>51</v>
      </c>
      <c r="D500" s="481"/>
      <c r="E500" s="231" t="s">
        <v>85</v>
      </c>
      <c r="F500" s="239">
        <v>6.4000000000000001E-2</v>
      </c>
      <c r="G500" s="240">
        <v>152</v>
      </c>
      <c r="H500" s="240">
        <f>ROUND(ROUND(F500,8)*G500,2)</f>
        <v>9.73</v>
      </c>
      <c r="I500" s="179"/>
      <c r="J500" s="180"/>
    </row>
    <row r="501" spans="1:10" ht="21" customHeight="1" x14ac:dyDescent="0.25">
      <c r="A501" s="181" t="s">
        <v>2172</v>
      </c>
      <c r="B501" s="241" t="s">
        <v>2173</v>
      </c>
      <c r="C501" s="481" t="s">
        <v>341</v>
      </c>
      <c r="D501" s="481"/>
      <c r="E501" s="231" t="s">
        <v>89</v>
      </c>
      <c r="F501" s="239">
        <v>6.4000000000000001E-2</v>
      </c>
      <c r="G501" s="240">
        <v>147</v>
      </c>
      <c r="H501" s="240">
        <f>ROUND(ROUND(F501,8)*G501,2)</f>
        <v>9.41</v>
      </c>
      <c r="I501" s="179"/>
      <c r="J501" s="180"/>
    </row>
    <row r="502" spans="1:10" ht="15" customHeight="1" x14ac:dyDescent="0.25">
      <c r="A502" s="181" t="s">
        <v>2174</v>
      </c>
      <c r="B502" s="241" t="s">
        <v>2175</v>
      </c>
      <c r="C502" s="481" t="s">
        <v>341</v>
      </c>
      <c r="D502" s="481"/>
      <c r="E502" s="231" t="s">
        <v>786</v>
      </c>
      <c r="F502" s="239">
        <v>18</v>
      </c>
      <c r="G502" s="240">
        <v>0.9</v>
      </c>
      <c r="H502" s="240">
        <f>ROUND(ROUND(F502,8)*G502,2)</f>
        <v>16.2</v>
      </c>
      <c r="I502" s="179"/>
      <c r="J502" s="180"/>
    </row>
    <row r="503" spans="1:10" ht="15" customHeight="1" x14ac:dyDescent="0.25">
      <c r="A503" s="182"/>
      <c r="B503" s="183"/>
      <c r="C503" s="183"/>
      <c r="D503" s="183"/>
      <c r="E503" s="183"/>
      <c r="F503" s="477" t="s">
        <v>1826</v>
      </c>
      <c r="G503" s="477"/>
      <c r="H503" s="139">
        <f>SUM(H499:H502)</f>
        <v>40.67</v>
      </c>
      <c r="I503" s="179"/>
      <c r="J503" s="180"/>
    </row>
    <row r="504" spans="1:10" ht="15" customHeight="1" x14ac:dyDescent="0.25">
      <c r="A504" s="474" t="s">
        <v>1827</v>
      </c>
      <c r="B504" s="475"/>
      <c r="C504" s="476" t="s">
        <v>42</v>
      </c>
      <c r="D504" s="476"/>
      <c r="E504" s="230" t="s">
        <v>44</v>
      </c>
      <c r="F504" s="230" t="s">
        <v>1813</v>
      </c>
      <c r="G504" s="230" t="s">
        <v>1814</v>
      </c>
      <c r="H504" s="230" t="s">
        <v>1802</v>
      </c>
      <c r="I504" s="179"/>
      <c r="J504" s="180"/>
    </row>
    <row r="505" spans="1:10" ht="15" customHeight="1" x14ac:dyDescent="0.25">
      <c r="A505" s="181" t="s">
        <v>1952</v>
      </c>
      <c r="B505" s="241" t="s">
        <v>1953</v>
      </c>
      <c r="C505" s="481" t="s">
        <v>341</v>
      </c>
      <c r="D505" s="481"/>
      <c r="E505" s="231" t="s">
        <v>1935</v>
      </c>
      <c r="F505" s="239">
        <v>0.3</v>
      </c>
      <c r="G505" s="240">
        <v>15.88</v>
      </c>
      <c r="H505" s="240">
        <f>ROUND(ROUND(F505,8)*G505,2)</f>
        <v>4.76</v>
      </c>
      <c r="I505" s="179"/>
      <c r="J505" s="180"/>
    </row>
    <row r="506" spans="1:10" ht="15" customHeight="1" x14ac:dyDescent="0.25">
      <c r="A506" s="181" t="s">
        <v>1851</v>
      </c>
      <c r="B506" s="241" t="s">
        <v>1852</v>
      </c>
      <c r="C506" s="481" t="s">
        <v>51</v>
      </c>
      <c r="D506" s="481"/>
      <c r="E506" s="231" t="s">
        <v>1024</v>
      </c>
      <c r="F506" s="239">
        <v>3</v>
      </c>
      <c r="G506" s="240">
        <v>26.03</v>
      </c>
      <c r="H506" s="240">
        <f>ROUND(ROUND(F506,8)*G506,2)</f>
        <v>78.09</v>
      </c>
      <c r="I506" s="179"/>
      <c r="J506" s="180"/>
    </row>
    <row r="507" spans="1:10" ht="15" customHeight="1" x14ac:dyDescent="0.25">
      <c r="A507" s="181" t="s">
        <v>1830</v>
      </c>
      <c r="B507" s="241" t="s">
        <v>1831</v>
      </c>
      <c r="C507" s="481" t="s">
        <v>51</v>
      </c>
      <c r="D507" s="481"/>
      <c r="E507" s="231" t="s">
        <v>1024</v>
      </c>
      <c r="F507" s="239">
        <v>3</v>
      </c>
      <c r="G507" s="240">
        <v>19.68</v>
      </c>
      <c r="H507" s="240">
        <f>ROUND(ROUND(F507,8)*G507,2)</f>
        <v>59.04</v>
      </c>
      <c r="I507" s="179"/>
      <c r="J507" s="180"/>
    </row>
    <row r="508" spans="1:10" ht="15" customHeight="1" x14ac:dyDescent="0.25">
      <c r="A508" s="182"/>
      <c r="B508" s="183"/>
      <c r="C508" s="183"/>
      <c r="D508" s="183"/>
      <c r="E508" s="183"/>
      <c r="F508" s="477" t="s">
        <v>1832</v>
      </c>
      <c r="G508" s="477"/>
      <c r="H508" s="139">
        <f>SUM(H505:H507)</f>
        <v>141.89000000000001</v>
      </c>
      <c r="I508" s="179"/>
      <c r="J508" s="180"/>
    </row>
    <row r="509" spans="1:10" ht="15" customHeight="1" x14ac:dyDescent="0.25">
      <c r="A509" s="483" t="s">
        <v>2176</v>
      </c>
      <c r="B509" s="484"/>
      <c r="C509" s="484"/>
      <c r="D509" s="183"/>
      <c r="E509" s="183"/>
      <c r="F509" s="482" t="s">
        <v>1834</v>
      </c>
      <c r="G509" s="482"/>
      <c r="H509" s="140">
        <v>183.73</v>
      </c>
      <c r="I509" s="179"/>
      <c r="J509" s="180"/>
    </row>
    <row r="510" spans="1:10" ht="9.9499999999999993" customHeight="1" x14ac:dyDescent="0.25">
      <c r="A510" s="182"/>
      <c r="B510" s="183"/>
      <c r="C510" s="183"/>
      <c r="D510" s="183"/>
      <c r="E510" s="183"/>
      <c r="F510" s="485"/>
      <c r="G510" s="485"/>
      <c r="H510" s="485"/>
      <c r="I510" s="179"/>
      <c r="J510" s="180"/>
    </row>
    <row r="511" spans="1:10" ht="20.100000000000001" customHeight="1" x14ac:dyDescent="0.25">
      <c r="A511" s="486" t="s">
        <v>2177</v>
      </c>
      <c r="B511" s="487"/>
      <c r="C511" s="487"/>
      <c r="D511" s="487"/>
      <c r="E511" s="487"/>
      <c r="F511" s="487"/>
      <c r="G511" s="487"/>
      <c r="H511" s="487"/>
      <c r="I511" s="179"/>
      <c r="J511" s="180"/>
    </row>
    <row r="512" spans="1:10" ht="20.100000000000001" customHeight="1" x14ac:dyDescent="0.25">
      <c r="A512" s="488" t="s">
        <v>1836</v>
      </c>
      <c r="B512" s="489"/>
      <c r="C512" s="489"/>
      <c r="D512" s="489"/>
      <c r="E512" s="233" t="s">
        <v>44</v>
      </c>
      <c r="F512" s="233" t="s">
        <v>1837</v>
      </c>
      <c r="G512" s="233" t="s">
        <v>1838</v>
      </c>
      <c r="H512" s="233" t="s">
        <v>1839</v>
      </c>
      <c r="I512" s="179"/>
      <c r="J512" s="180"/>
    </row>
    <row r="513" spans="1:10" ht="15" customHeight="1" x14ac:dyDescent="0.25">
      <c r="A513" s="170" t="s">
        <v>1840</v>
      </c>
      <c r="B513" s="490" t="s">
        <v>1841</v>
      </c>
      <c r="C513" s="490"/>
      <c r="D513" s="490"/>
      <c r="E513" s="127" t="s">
        <v>1024</v>
      </c>
      <c r="F513" s="234">
        <v>0.4</v>
      </c>
      <c r="G513" s="238">
        <v>21.94</v>
      </c>
      <c r="H513" s="238">
        <f>ROUND(ROUND(F513,8)*G513,2)</f>
        <v>8.7799999999999994</v>
      </c>
      <c r="I513" s="179"/>
      <c r="J513" s="180"/>
    </row>
    <row r="514" spans="1:10" ht="15" customHeight="1" x14ac:dyDescent="0.25">
      <c r="A514" s="170" t="s">
        <v>2178</v>
      </c>
      <c r="B514" s="490" t="s">
        <v>2179</v>
      </c>
      <c r="C514" s="490"/>
      <c r="D514" s="490"/>
      <c r="E514" s="127" t="s">
        <v>1024</v>
      </c>
      <c r="F514" s="234">
        <v>0.4</v>
      </c>
      <c r="G514" s="238">
        <v>26.03</v>
      </c>
      <c r="H514" s="238">
        <f>ROUND(ROUND(F514,8)*G514,2)</f>
        <v>10.41</v>
      </c>
      <c r="I514" s="179"/>
      <c r="J514" s="180"/>
    </row>
    <row r="515" spans="1:10" ht="15" customHeight="1" x14ac:dyDescent="0.25">
      <c r="A515" s="184"/>
      <c r="B515" s="141"/>
      <c r="C515" s="141"/>
      <c r="D515" s="141"/>
      <c r="E515" s="141"/>
      <c r="F515" s="491" t="s">
        <v>1844</v>
      </c>
      <c r="G515" s="491"/>
      <c r="H515" s="140">
        <f>SUM(H513:H514)</f>
        <v>19.189999999999998</v>
      </c>
      <c r="I515" s="179"/>
      <c r="J515" s="180"/>
    </row>
    <row r="516" spans="1:10" ht="15" customHeight="1" x14ac:dyDescent="0.25">
      <c r="A516" s="182"/>
      <c r="B516" s="183"/>
      <c r="C516" s="183"/>
      <c r="D516" s="183"/>
      <c r="E516" s="183"/>
      <c r="F516" s="482" t="s">
        <v>1845</v>
      </c>
      <c r="G516" s="482"/>
      <c r="H516" s="236">
        <f>SUM(H515)</f>
        <v>19.189999999999998</v>
      </c>
      <c r="I516" s="179"/>
      <c r="J516" s="180"/>
    </row>
    <row r="517" spans="1:10" ht="15" customHeight="1" x14ac:dyDescent="0.25">
      <c r="A517" s="182"/>
      <c r="B517" s="183"/>
      <c r="C517" s="183"/>
      <c r="D517" s="183"/>
      <c r="E517" s="183"/>
      <c r="F517" s="482" t="s">
        <v>1846</v>
      </c>
      <c r="G517" s="482"/>
      <c r="H517" s="142">
        <v>1</v>
      </c>
      <c r="I517" s="179"/>
      <c r="J517" s="180"/>
    </row>
    <row r="518" spans="1:10" ht="15" customHeight="1" x14ac:dyDescent="0.25">
      <c r="A518" s="182"/>
      <c r="B518" s="183"/>
      <c r="C518" s="183"/>
      <c r="D518" s="183"/>
      <c r="E518" s="183"/>
      <c r="F518" s="482" t="s">
        <v>1847</v>
      </c>
      <c r="G518" s="482"/>
      <c r="H518" s="236">
        <f>ROUND(H516/H517,4)</f>
        <v>19.190000000000001</v>
      </c>
      <c r="I518" s="179"/>
      <c r="J518" s="180"/>
    </row>
    <row r="519" spans="1:10" ht="20.100000000000001" customHeight="1" x14ac:dyDescent="0.25">
      <c r="A519" s="488" t="s">
        <v>1880</v>
      </c>
      <c r="B519" s="489"/>
      <c r="C519" s="489"/>
      <c r="D519" s="489"/>
      <c r="E519" s="233" t="s">
        <v>44</v>
      </c>
      <c r="F519" s="233" t="s">
        <v>1837</v>
      </c>
      <c r="G519" s="233" t="s">
        <v>1881</v>
      </c>
      <c r="H519" s="233" t="s">
        <v>1882</v>
      </c>
      <c r="I519" s="179"/>
      <c r="J519" s="180"/>
    </row>
    <row r="520" spans="1:10" ht="15.95" customHeight="1" x14ac:dyDescent="0.25">
      <c r="A520" s="170" t="s">
        <v>2180</v>
      </c>
      <c r="B520" s="492" t="s">
        <v>2181</v>
      </c>
      <c r="C520" s="492"/>
      <c r="D520" s="492"/>
      <c r="E520" s="127" t="s">
        <v>188</v>
      </c>
      <c r="F520" s="234">
        <v>1</v>
      </c>
      <c r="G520" s="235">
        <v>30.81</v>
      </c>
      <c r="H520" s="235">
        <f>ROUND(ROUND(F520,8)*G520,2)</f>
        <v>30.81</v>
      </c>
      <c r="I520" s="179"/>
      <c r="J520" s="180"/>
    </row>
    <row r="521" spans="1:10" ht="15" customHeight="1" x14ac:dyDescent="0.25">
      <c r="A521" s="184"/>
      <c r="B521" s="141"/>
      <c r="C521" s="141"/>
      <c r="D521" s="141"/>
      <c r="E521" s="141"/>
      <c r="F521" s="491" t="s">
        <v>1889</v>
      </c>
      <c r="G521" s="491"/>
      <c r="H521" s="143">
        <f>SUM(H520:H520)</f>
        <v>30.81</v>
      </c>
      <c r="I521" s="179"/>
      <c r="J521" s="180"/>
    </row>
    <row r="522" spans="1:10" ht="15" customHeight="1" x14ac:dyDescent="0.25">
      <c r="A522" s="182"/>
      <c r="B522" s="183"/>
      <c r="C522" s="183"/>
      <c r="D522" s="183"/>
      <c r="E522" s="183"/>
      <c r="F522" s="482" t="s">
        <v>1848</v>
      </c>
      <c r="G522" s="482"/>
      <c r="H522" s="236">
        <f>SUM(H518,H521)</f>
        <v>50</v>
      </c>
      <c r="I522" s="179"/>
      <c r="J522" s="180"/>
    </row>
    <row r="523" spans="1:10" ht="15" customHeight="1" x14ac:dyDescent="0.25">
      <c r="A523" s="483" t="s">
        <v>2182</v>
      </c>
      <c r="B523" s="484"/>
      <c r="C523" s="484"/>
      <c r="D523" s="183"/>
      <c r="E523" s="183"/>
      <c r="F523" s="482" t="s">
        <v>1834</v>
      </c>
      <c r="G523" s="482"/>
      <c r="H523" s="140">
        <v>50</v>
      </c>
      <c r="I523" s="179"/>
      <c r="J523" s="180"/>
    </row>
    <row r="524" spans="1:10" ht="9.9499999999999993" customHeight="1" x14ac:dyDescent="0.25">
      <c r="A524" s="182"/>
      <c r="B524" s="183"/>
      <c r="C524" s="183"/>
      <c r="D524" s="183"/>
      <c r="E524" s="183"/>
      <c r="F524" s="485"/>
      <c r="G524" s="485"/>
      <c r="H524" s="485"/>
      <c r="I524" s="179"/>
      <c r="J524" s="180"/>
    </row>
    <row r="525" spans="1:10" ht="20.100000000000001" customHeight="1" x14ac:dyDescent="0.25">
      <c r="A525" s="486" t="s">
        <v>2183</v>
      </c>
      <c r="B525" s="487"/>
      <c r="C525" s="487"/>
      <c r="D525" s="487"/>
      <c r="E525" s="487"/>
      <c r="F525" s="487"/>
      <c r="G525" s="487"/>
      <c r="H525" s="487"/>
      <c r="I525" s="179"/>
      <c r="J525" s="180"/>
    </row>
    <row r="526" spans="1:10" ht="20.100000000000001" customHeight="1" x14ac:dyDescent="0.25">
      <c r="A526" s="488" t="s">
        <v>1836</v>
      </c>
      <c r="B526" s="489"/>
      <c r="C526" s="489"/>
      <c r="D526" s="489"/>
      <c r="E526" s="233" t="s">
        <v>44</v>
      </c>
      <c r="F526" s="233" t="s">
        <v>1837</v>
      </c>
      <c r="G526" s="233" t="s">
        <v>1838</v>
      </c>
      <c r="H526" s="233" t="s">
        <v>1839</v>
      </c>
      <c r="I526" s="179"/>
      <c r="J526" s="180"/>
    </row>
    <row r="527" spans="1:10" ht="15" customHeight="1" x14ac:dyDescent="0.25">
      <c r="A527" s="170" t="s">
        <v>1840</v>
      </c>
      <c r="B527" s="490" t="s">
        <v>1841</v>
      </c>
      <c r="C527" s="490"/>
      <c r="D527" s="490"/>
      <c r="E527" s="127" t="s">
        <v>1024</v>
      </c>
      <c r="F527" s="234">
        <v>0.25</v>
      </c>
      <c r="G527" s="238">
        <v>21.94</v>
      </c>
      <c r="H527" s="238">
        <f>ROUND(ROUND(F527,8)*G527,2)</f>
        <v>5.49</v>
      </c>
      <c r="I527" s="179"/>
      <c r="J527" s="180"/>
    </row>
    <row r="528" spans="1:10" ht="15" customHeight="1" x14ac:dyDescent="0.25">
      <c r="A528" s="170" t="s">
        <v>2178</v>
      </c>
      <c r="B528" s="490" t="s">
        <v>2179</v>
      </c>
      <c r="C528" s="490"/>
      <c r="D528" s="490"/>
      <c r="E528" s="127" t="s">
        <v>1024</v>
      </c>
      <c r="F528" s="234">
        <v>0.25</v>
      </c>
      <c r="G528" s="238">
        <v>26.03</v>
      </c>
      <c r="H528" s="238">
        <f>ROUND(ROUND(F528,8)*G528,2)</f>
        <v>6.51</v>
      </c>
      <c r="I528" s="179"/>
      <c r="J528" s="180"/>
    </row>
    <row r="529" spans="1:10" ht="15" customHeight="1" x14ac:dyDescent="0.25">
      <c r="A529" s="184"/>
      <c r="B529" s="141"/>
      <c r="C529" s="141"/>
      <c r="D529" s="141"/>
      <c r="E529" s="141"/>
      <c r="F529" s="491" t="s">
        <v>1844</v>
      </c>
      <c r="G529" s="491"/>
      <c r="H529" s="140">
        <f>SUM(H527:H528)</f>
        <v>12</v>
      </c>
      <c r="I529" s="179"/>
      <c r="J529" s="180"/>
    </row>
    <row r="530" spans="1:10" ht="15" customHeight="1" x14ac:dyDescent="0.25">
      <c r="A530" s="182"/>
      <c r="B530" s="183"/>
      <c r="C530" s="183"/>
      <c r="D530" s="183"/>
      <c r="E530" s="183"/>
      <c r="F530" s="482" t="s">
        <v>1845</v>
      </c>
      <c r="G530" s="482"/>
      <c r="H530" s="236">
        <f>SUM(H529)</f>
        <v>12</v>
      </c>
      <c r="I530" s="179"/>
      <c r="J530" s="180"/>
    </row>
    <row r="531" spans="1:10" ht="15" customHeight="1" x14ac:dyDescent="0.25">
      <c r="A531" s="182"/>
      <c r="B531" s="183"/>
      <c r="C531" s="183"/>
      <c r="D531" s="183"/>
      <c r="E531" s="183"/>
      <c r="F531" s="482" t="s">
        <v>1846</v>
      </c>
      <c r="G531" s="482"/>
      <c r="H531" s="142">
        <v>1</v>
      </c>
      <c r="I531" s="179"/>
      <c r="J531" s="180"/>
    </row>
    <row r="532" spans="1:10" ht="15" customHeight="1" x14ac:dyDescent="0.25">
      <c r="A532" s="182"/>
      <c r="B532" s="183"/>
      <c r="C532" s="183"/>
      <c r="D532" s="183"/>
      <c r="E532" s="183"/>
      <c r="F532" s="482" t="s">
        <v>1847</v>
      </c>
      <c r="G532" s="482"/>
      <c r="H532" s="236">
        <f>ROUND(H530/H531,4)</f>
        <v>12</v>
      </c>
      <c r="I532" s="179"/>
      <c r="J532" s="180"/>
    </row>
    <row r="533" spans="1:10" ht="20.100000000000001" customHeight="1" x14ac:dyDescent="0.25">
      <c r="A533" s="488" t="s">
        <v>1880</v>
      </c>
      <c r="B533" s="489"/>
      <c r="C533" s="489"/>
      <c r="D533" s="489"/>
      <c r="E533" s="233" t="s">
        <v>44</v>
      </c>
      <c r="F533" s="233" t="s">
        <v>1837</v>
      </c>
      <c r="G533" s="233" t="s">
        <v>1881</v>
      </c>
      <c r="H533" s="233" t="s">
        <v>1882</v>
      </c>
      <c r="I533" s="179"/>
      <c r="J533" s="180"/>
    </row>
    <row r="534" spans="1:10" ht="15" customHeight="1" x14ac:dyDescent="0.25">
      <c r="A534" s="170" t="s">
        <v>2184</v>
      </c>
      <c r="B534" s="492" t="s">
        <v>2185</v>
      </c>
      <c r="C534" s="492"/>
      <c r="D534" s="492"/>
      <c r="E534" s="127" t="s">
        <v>226</v>
      </c>
      <c r="F534" s="234">
        <v>1</v>
      </c>
      <c r="G534" s="235">
        <v>4.72</v>
      </c>
      <c r="H534" s="235">
        <f>ROUND(ROUND(F534,8)*G534,2)</f>
        <v>4.72</v>
      </c>
      <c r="I534" s="179"/>
      <c r="J534" s="180"/>
    </row>
    <row r="535" spans="1:10" ht="15" customHeight="1" x14ac:dyDescent="0.25">
      <c r="A535" s="184"/>
      <c r="B535" s="141"/>
      <c r="C535" s="141"/>
      <c r="D535" s="141"/>
      <c r="E535" s="141"/>
      <c r="F535" s="491" t="s">
        <v>1889</v>
      </c>
      <c r="G535" s="491"/>
      <c r="H535" s="143">
        <f>SUM(H534:H534)</f>
        <v>4.72</v>
      </c>
      <c r="I535" s="179"/>
      <c r="J535" s="180"/>
    </row>
    <row r="536" spans="1:10" ht="15" customHeight="1" x14ac:dyDescent="0.25">
      <c r="A536" s="182"/>
      <c r="B536" s="183"/>
      <c r="C536" s="183"/>
      <c r="D536" s="183"/>
      <c r="E536" s="183"/>
      <c r="F536" s="482" t="s">
        <v>1848</v>
      </c>
      <c r="G536" s="482"/>
      <c r="H536" s="236">
        <f>SUM(H532,H535)</f>
        <v>16.72</v>
      </c>
      <c r="I536" s="179"/>
      <c r="J536" s="180"/>
    </row>
    <row r="537" spans="1:10" ht="15" customHeight="1" x14ac:dyDescent="0.25">
      <c r="A537" s="483" t="s">
        <v>2186</v>
      </c>
      <c r="B537" s="484"/>
      <c r="C537" s="484"/>
      <c r="D537" s="183"/>
      <c r="E537" s="183"/>
      <c r="F537" s="482" t="s">
        <v>1834</v>
      </c>
      <c r="G537" s="482"/>
      <c r="H537" s="140">
        <v>16.72</v>
      </c>
      <c r="I537" s="179"/>
      <c r="J537" s="180"/>
    </row>
    <row r="538" spans="1:10" ht="9.9499999999999993" customHeight="1" x14ac:dyDescent="0.25">
      <c r="A538" s="182"/>
      <c r="B538" s="183"/>
      <c r="C538" s="183"/>
      <c r="D538" s="183"/>
      <c r="E538" s="183"/>
      <c r="F538" s="485"/>
      <c r="G538" s="485"/>
      <c r="H538" s="485"/>
      <c r="I538" s="179"/>
      <c r="J538" s="180"/>
    </row>
    <row r="539" spans="1:10" ht="20.100000000000001" customHeight="1" x14ac:dyDescent="0.25">
      <c r="A539" s="486" t="s">
        <v>2187</v>
      </c>
      <c r="B539" s="487"/>
      <c r="C539" s="487"/>
      <c r="D539" s="487"/>
      <c r="E539" s="487"/>
      <c r="F539" s="487"/>
      <c r="G539" s="487"/>
      <c r="H539" s="487"/>
      <c r="I539" s="179"/>
      <c r="J539" s="180"/>
    </row>
    <row r="540" spans="1:10" ht="15" customHeight="1" x14ac:dyDescent="0.25">
      <c r="A540" s="474" t="s">
        <v>1812</v>
      </c>
      <c r="B540" s="475"/>
      <c r="C540" s="476" t="s">
        <v>42</v>
      </c>
      <c r="D540" s="476"/>
      <c r="E540" s="230" t="s">
        <v>44</v>
      </c>
      <c r="F540" s="230" t="s">
        <v>1813</v>
      </c>
      <c r="G540" s="230" t="s">
        <v>1814</v>
      </c>
      <c r="H540" s="230" t="s">
        <v>1802</v>
      </c>
      <c r="I540" s="179"/>
      <c r="J540" s="180"/>
    </row>
    <row r="541" spans="1:10" ht="21" customHeight="1" x14ac:dyDescent="0.25">
      <c r="A541" s="181" t="s">
        <v>2188</v>
      </c>
      <c r="B541" s="241" t="s">
        <v>2189</v>
      </c>
      <c r="C541" s="481" t="s">
        <v>82</v>
      </c>
      <c r="D541" s="481"/>
      <c r="E541" s="231" t="s">
        <v>188</v>
      </c>
      <c r="F541" s="239">
        <v>1.0556000000000001</v>
      </c>
      <c r="G541" s="240">
        <v>5.64</v>
      </c>
      <c r="H541" s="240">
        <f>ROUND(ROUND(F541,8)*G541,2)</f>
        <v>5.95</v>
      </c>
      <c r="I541" s="179"/>
      <c r="J541" s="180"/>
    </row>
    <row r="542" spans="1:10" ht="15" customHeight="1" x14ac:dyDescent="0.25">
      <c r="A542" s="182"/>
      <c r="B542" s="183"/>
      <c r="C542" s="183"/>
      <c r="D542" s="183"/>
      <c r="E542" s="183"/>
      <c r="F542" s="477" t="s">
        <v>1826</v>
      </c>
      <c r="G542" s="477"/>
      <c r="H542" s="139">
        <f>SUM(H541:H541)</f>
        <v>5.95</v>
      </c>
      <c r="I542" s="179"/>
      <c r="J542" s="180"/>
    </row>
    <row r="543" spans="1:10" ht="15" customHeight="1" x14ac:dyDescent="0.25">
      <c r="A543" s="474" t="s">
        <v>2190</v>
      </c>
      <c r="B543" s="475"/>
      <c r="C543" s="476" t="s">
        <v>42</v>
      </c>
      <c r="D543" s="476"/>
      <c r="E543" s="230" t="s">
        <v>44</v>
      </c>
      <c r="F543" s="230" t="s">
        <v>1813</v>
      </c>
      <c r="G543" s="230" t="s">
        <v>1814</v>
      </c>
      <c r="H543" s="230" t="s">
        <v>1802</v>
      </c>
      <c r="I543" s="179"/>
      <c r="J543" s="180"/>
    </row>
    <row r="544" spans="1:10" ht="21" customHeight="1" x14ac:dyDescent="0.25">
      <c r="A544" s="181" t="s">
        <v>2191</v>
      </c>
      <c r="B544" s="241" t="s">
        <v>2192</v>
      </c>
      <c r="C544" s="481" t="s">
        <v>82</v>
      </c>
      <c r="D544" s="481"/>
      <c r="E544" s="231" t="s">
        <v>1024</v>
      </c>
      <c r="F544" s="239">
        <v>5.7079199999999997E-2</v>
      </c>
      <c r="G544" s="240">
        <v>31.67</v>
      </c>
      <c r="H544" s="240">
        <f>ROUND(ROUND(F544,8)*G544,2)</f>
        <v>1.81</v>
      </c>
      <c r="I544" s="179"/>
      <c r="J544" s="180"/>
    </row>
    <row r="545" spans="1:10" ht="15" customHeight="1" x14ac:dyDescent="0.25">
      <c r="A545" s="181" t="s">
        <v>2193</v>
      </c>
      <c r="B545" s="241" t="s">
        <v>2194</v>
      </c>
      <c r="C545" s="481" t="s">
        <v>82</v>
      </c>
      <c r="D545" s="481"/>
      <c r="E545" s="231" t="s">
        <v>1024</v>
      </c>
      <c r="F545" s="239">
        <v>0.1141585</v>
      </c>
      <c r="G545" s="240">
        <v>44.2</v>
      </c>
      <c r="H545" s="240">
        <f>ROUND(ROUND(F545,8)*G545,2)</f>
        <v>5.05</v>
      </c>
      <c r="I545" s="179"/>
      <c r="J545" s="180"/>
    </row>
    <row r="546" spans="1:10" ht="18" customHeight="1" x14ac:dyDescent="0.25">
      <c r="A546" s="182"/>
      <c r="B546" s="183"/>
      <c r="C546" s="183"/>
      <c r="D546" s="183"/>
      <c r="E546" s="183"/>
      <c r="F546" s="477" t="s">
        <v>2195</v>
      </c>
      <c r="G546" s="477"/>
      <c r="H546" s="139">
        <f>SUM(H544:H545)</f>
        <v>6.8599999999999994</v>
      </c>
      <c r="I546" s="179"/>
      <c r="J546" s="180"/>
    </row>
    <row r="547" spans="1:10" ht="15" customHeight="1" x14ac:dyDescent="0.25">
      <c r="A547" s="474" t="s">
        <v>1912</v>
      </c>
      <c r="B547" s="475"/>
      <c r="C547" s="476" t="s">
        <v>42</v>
      </c>
      <c r="D547" s="476"/>
      <c r="E547" s="230" t="s">
        <v>44</v>
      </c>
      <c r="F547" s="230" t="s">
        <v>1813</v>
      </c>
      <c r="G547" s="230" t="s">
        <v>1814</v>
      </c>
      <c r="H547" s="230" t="s">
        <v>1802</v>
      </c>
      <c r="I547" s="179"/>
      <c r="J547" s="180"/>
    </row>
    <row r="548" spans="1:10" ht="45.95" customHeight="1" x14ac:dyDescent="0.25">
      <c r="A548" s="181" t="s">
        <v>2196</v>
      </c>
      <c r="B548" s="241" t="s">
        <v>2197</v>
      </c>
      <c r="C548" s="481" t="s">
        <v>82</v>
      </c>
      <c r="D548" s="481"/>
      <c r="E548" s="231" t="s">
        <v>188</v>
      </c>
      <c r="F548" s="239">
        <v>1</v>
      </c>
      <c r="G548" s="240">
        <v>10.85</v>
      </c>
      <c r="H548" s="240">
        <f>ROUND(ROUND(F548,8)*G548,2)</f>
        <v>10.85</v>
      </c>
      <c r="I548" s="179"/>
      <c r="J548" s="180"/>
    </row>
    <row r="549" spans="1:10" ht="15" customHeight="1" x14ac:dyDescent="0.25">
      <c r="A549" s="182"/>
      <c r="B549" s="183"/>
      <c r="C549" s="183"/>
      <c r="D549" s="183"/>
      <c r="E549" s="183"/>
      <c r="F549" s="477" t="s">
        <v>1915</v>
      </c>
      <c r="G549" s="477"/>
      <c r="H549" s="139">
        <f>SUM(H548:H548)</f>
        <v>10.85</v>
      </c>
      <c r="I549" s="179"/>
      <c r="J549" s="180"/>
    </row>
    <row r="550" spans="1:10" ht="15" customHeight="1" x14ac:dyDescent="0.25">
      <c r="A550" s="483" t="s">
        <v>2198</v>
      </c>
      <c r="B550" s="484"/>
      <c r="C550" s="484"/>
      <c r="D550" s="183"/>
      <c r="E550" s="183"/>
      <c r="F550" s="482" t="s">
        <v>1834</v>
      </c>
      <c r="G550" s="482"/>
      <c r="H550" s="140">
        <v>23.66</v>
      </c>
      <c r="I550" s="179"/>
      <c r="J550" s="180"/>
    </row>
    <row r="551" spans="1:10" ht="9.9499999999999993" customHeight="1" x14ac:dyDescent="0.25">
      <c r="A551" s="182"/>
      <c r="B551" s="183"/>
      <c r="C551" s="183"/>
      <c r="D551" s="183"/>
      <c r="E551" s="183"/>
      <c r="F551" s="485"/>
      <c r="G551" s="485"/>
      <c r="H551" s="485"/>
      <c r="I551" s="179"/>
      <c r="J551" s="180"/>
    </row>
    <row r="552" spans="1:10" ht="20.100000000000001" customHeight="1" x14ac:dyDescent="0.25">
      <c r="A552" s="486" t="s">
        <v>2199</v>
      </c>
      <c r="B552" s="487"/>
      <c r="C552" s="487"/>
      <c r="D552" s="487"/>
      <c r="E552" s="487"/>
      <c r="F552" s="487"/>
      <c r="G552" s="487"/>
      <c r="H552" s="487"/>
      <c r="I552" s="179"/>
      <c r="J552" s="180"/>
    </row>
    <row r="553" spans="1:10" ht="15" customHeight="1" x14ac:dyDescent="0.25">
      <c r="A553" s="474" t="s">
        <v>1812</v>
      </c>
      <c r="B553" s="475"/>
      <c r="C553" s="476" t="s">
        <v>42</v>
      </c>
      <c r="D553" s="476"/>
      <c r="E553" s="230" t="s">
        <v>44</v>
      </c>
      <c r="F553" s="230" t="s">
        <v>1813</v>
      </c>
      <c r="G553" s="230" t="s">
        <v>1814</v>
      </c>
      <c r="H553" s="230" t="s">
        <v>1802</v>
      </c>
      <c r="I553" s="179"/>
      <c r="J553" s="180"/>
    </row>
    <row r="554" spans="1:10" ht="15" customHeight="1" x14ac:dyDescent="0.25">
      <c r="A554" s="181" t="s">
        <v>2200</v>
      </c>
      <c r="B554" s="241" t="s">
        <v>2201</v>
      </c>
      <c r="C554" s="481" t="s">
        <v>341</v>
      </c>
      <c r="D554" s="481"/>
      <c r="E554" s="231" t="s">
        <v>579</v>
      </c>
      <c r="F554" s="239">
        <v>1</v>
      </c>
      <c r="G554" s="240">
        <v>43.6</v>
      </c>
      <c r="H554" s="240">
        <f>ROUND(ROUND(F554,8)*G554,2)</f>
        <v>43.6</v>
      </c>
      <c r="I554" s="179"/>
      <c r="J554" s="180"/>
    </row>
    <row r="555" spans="1:10" ht="15" customHeight="1" x14ac:dyDescent="0.25">
      <c r="A555" s="182"/>
      <c r="B555" s="183"/>
      <c r="C555" s="183"/>
      <c r="D555" s="183"/>
      <c r="E555" s="183"/>
      <c r="F555" s="477" t="s">
        <v>1826</v>
      </c>
      <c r="G555" s="477"/>
      <c r="H555" s="139">
        <f>SUM(H554:H554)</f>
        <v>43.6</v>
      </c>
      <c r="I555" s="179"/>
      <c r="J555" s="180"/>
    </row>
    <row r="556" spans="1:10" ht="15" customHeight="1" x14ac:dyDescent="0.25">
      <c r="A556" s="474" t="s">
        <v>1827</v>
      </c>
      <c r="B556" s="475"/>
      <c r="C556" s="476" t="s">
        <v>42</v>
      </c>
      <c r="D556" s="476"/>
      <c r="E556" s="230" t="s">
        <v>44</v>
      </c>
      <c r="F556" s="230" t="s">
        <v>1813</v>
      </c>
      <c r="G556" s="230" t="s">
        <v>1814</v>
      </c>
      <c r="H556" s="230" t="s">
        <v>1802</v>
      </c>
      <c r="I556" s="179"/>
      <c r="J556" s="180"/>
    </row>
    <row r="557" spans="1:10" ht="15" customHeight="1" x14ac:dyDescent="0.25">
      <c r="A557" s="181" t="s">
        <v>2178</v>
      </c>
      <c r="B557" s="241" t="s">
        <v>2179</v>
      </c>
      <c r="C557" s="481" t="s">
        <v>51</v>
      </c>
      <c r="D557" s="481"/>
      <c r="E557" s="231" t="s">
        <v>1024</v>
      </c>
      <c r="F557" s="239">
        <v>1.1000000000000001</v>
      </c>
      <c r="G557" s="240">
        <v>26.03</v>
      </c>
      <c r="H557" s="240">
        <f>ROUND(ROUND(F557,8)*G557,2)</f>
        <v>28.63</v>
      </c>
      <c r="I557" s="179"/>
      <c r="J557" s="180"/>
    </row>
    <row r="558" spans="1:10" ht="15" customHeight="1" x14ac:dyDescent="0.25">
      <c r="A558" s="181" t="s">
        <v>1830</v>
      </c>
      <c r="B558" s="241" t="s">
        <v>1831</v>
      </c>
      <c r="C558" s="481" t="s">
        <v>51</v>
      </c>
      <c r="D558" s="481"/>
      <c r="E558" s="231" t="s">
        <v>1024</v>
      </c>
      <c r="F558" s="239">
        <v>1.1000000000000001</v>
      </c>
      <c r="G558" s="240">
        <v>19.68</v>
      </c>
      <c r="H558" s="240">
        <f>ROUND(ROUND(F558,8)*G558,2)</f>
        <v>21.65</v>
      </c>
      <c r="I558" s="179"/>
      <c r="J558" s="180"/>
    </row>
    <row r="559" spans="1:10" ht="15" customHeight="1" x14ac:dyDescent="0.25">
      <c r="A559" s="182"/>
      <c r="B559" s="183"/>
      <c r="C559" s="183"/>
      <c r="D559" s="183"/>
      <c r="E559" s="183"/>
      <c r="F559" s="477" t="s">
        <v>1832</v>
      </c>
      <c r="G559" s="477"/>
      <c r="H559" s="139">
        <f>SUM(H557:H558)</f>
        <v>50.28</v>
      </c>
      <c r="I559" s="179"/>
      <c r="J559" s="180"/>
    </row>
    <row r="560" spans="1:10" ht="15" customHeight="1" x14ac:dyDescent="0.25">
      <c r="A560" s="483" t="s">
        <v>2202</v>
      </c>
      <c r="B560" s="484"/>
      <c r="C560" s="484"/>
      <c r="D560" s="183"/>
      <c r="E560" s="183"/>
      <c r="F560" s="482" t="s">
        <v>1834</v>
      </c>
      <c r="G560" s="482"/>
      <c r="H560" s="140">
        <v>93.88</v>
      </c>
      <c r="I560" s="179"/>
      <c r="J560" s="180"/>
    </row>
    <row r="561" spans="1:10" ht="9.9499999999999993" customHeight="1" x14ac:dyDescent="0.25">
      <c r="A561" s="182"/>
      <c r="B561" s="183"/>
      <c r="C561" s="183"/>
      <c r="D561" s="183"/>
      <c r="E561" s="183"/>
      <c r="F561" s="485"/>
      <c r="G561" s="485"/>
      <c r="H561" s="485"/>
      <c r="I561" s="179"/>
      <c r="J561" s="180"/>
    </row>
    <row r="562" spans="1:10" ht="20.100000000000001" customHeight="1" x14ac:dyDescent="0.25">
      <c r="A562" s="486" t="s">
        <v>2203</v>
      </c>
      <c r="B562" s="487"/>
      <c r="C562" s="487"/>
      <c r="D562" s="487"/>
      <c r="E562" s="487"/>
      <c r="F562" s="487"/>
      <c r="G562" s="487"/>
      <c r="H562" s="487"/>
      <c r="I562" s="179"/>
      <c r="J562" s="180"/>
    </row>
    <row r="563" spans="1:10" ht="15" customHeight="1" x14ac:dyDescent="0.25">
      <c r="A563" s="474" t="s">
        <v>1812</v>
      </c>
      <c r="B563" s="475"/>
      <c r="C563" s="476" t="s">
        <v>42</v>
      </c>
      <c r="D563" s="476"/>
      <c r="E563" s="230" t="s">
        <v>44</v>
      </c>
      <c r="F563" s="230" t="s">
        <v>1813</v>
      </c>
      <c r="G563" s="230" t="s">
        <v>1814</v>
      </c>
      <c r="H563" s="230" t="s">
        <v>1802</v>
      </c>
      <c r="I563" s="179"/>
      <c r="J563" s="180"/>
    </row>
    <row r="564" spans="1:10" ht="21" customHeight="1" x14ac:dyDescent="0.25">
      <c r="A564" s="181" t="s">
        <v>2204</v>
      </c>
      <c r="B564" s="241" t="s">
        <v>2205</v>
      </c>
      <c r="C564" s="481" t="s">
        <v>2206</v>
      </c>
      <c r="D564" s="481"/>
      <c r="E564" s="231" t="s">
        <v>579</v>
      </c>
      <c r="F564" s="239">
        <v>1</v>
      </c>
      <c r="G564" s="240">
        <v>37.840000000000003</v>
      </c>
      <c r="H564" s="240">
        <f>ROUND(ROUND(F564,8)*G564,2)</f>
        <v>37.840000000000003</v>
      </c>
      <c r="I564" s="179"/>
      <c r="J564" s="180"/>
    </row>
    <row r="565" spans="1:10" ht="29.1" customHeight="1" x14ac:dyDescent="0.25">
      <c r="A565" s="181" t="s">
        <v>2207</v>
      </c>
      <c r="B565" s="241" t="s">
        <v>2208</v>
      </c>
      <c r="C565" s="481" t="s">
        <v>2209</v>
      </c>
      <c r="D565" s="481"/>
      <c r="E565" s="231" t="s">
        <v>226</v>
      </c>
      <c r="F565" s="239">
        <v>2</v>
      </c>
      <c r="G565" s="240">
        <v>2.27</v>
      </c>
      <c r="H565" s="240">
        <f>ROUND(ROUND(F565,8)*G565,2)</f>
        <v>4.54</v>
      </c>
      <c r="I565" s="179"/>
      <c r="J565" s="180"/>
    </row>
    <row r="566" spans="1:10" ht="15" customHeight="1" x14ac:dyDescent="0.25">
      <c r="A566" s="182"/>
      <c r="B566" s="183"/>
      <c r="C566" s="183"/>
      <c r="D566" s="183"/>
      <c r="E566" s="183"/>
      <c r="F566" s="477" t="s">
        <v>1826</v>
      </c>
      <c r="G566" s="477"/>
      <c r="H566" s="139">
        <f>SUM(H564:H565)</f>
        <v>42.38</v>
      </c>
      <c r="I566" s="179"/>
      <c r="J566" s="180"/>
    </row>
    <row r="567" spans="1:10" ht="15" customHeight="1" x14ac:dyDescent="0.25">
      <c r="A567" s="474" t="s">
        <v>1827</v>
      </c>
      <c r="B567" s="475"/>
      <c r="C567" s="476" t="s">
        <v>42</v>
      </c>
      <c r="D567" s="476"/>
      <c r="E567" s="230" t="s">
        <v>44</v>
      </c>
      <c r="F567" s="230" t="s">
        <v>1813</v>
      </c>
      <c r="G567" s="230" t="s">
        <v>1814</v>
      </c>
      <c r="H567" s="230" t="s">
        <v>1802</v>
      </c>
      <c r="I567" s="179"/>
      <c r="J567" s="180"/>
    </row>
    <row r="568" spans="1:10" ht="15" customHeight="1" x14ac:dyDescent="0.25">
      <c r="A568" s="181" t="s">
        <v>2210</v>
      </c>
      <c r="B568" s="241" t="s">
        <v>2211</v>
      </c>
      <c r="C568" s="481" t="s">
        <v>82</v>
      </c>
      <c r="D568" s="481"/>
      <c r="E568" s="231" t="s">
        <v>1024</v>
      </c>
      <c r="F568" s="239">
        <v>0.353163</v>
      </c>
      <c r="G568" s="240">
        <v>18.940000000000001</v>
      </c>
      <c r="H568" s="240">
        <f>ROUND(ROUND(F568,8)*G568,2)</f>
        <v>6.69</v>
      </c>
      <c r="I568" s="179"/>
      <c r="J568" s="180"/>
    </row>
    <row r="569" spans="1:10" ht="15" customHeight="1" x14ac:dyDescent="0.25">
      <c r="A569" s="181" t="s">
        <v>2178</v>
      </c>
      <c r="B569" s="241" t="s">
        <v>2179</v>
      </c>
      <c r="C569" s="481" t="s">
        <v>51</v>
      </c>
      <c r="D569" s="481"/>
      <c r="E569" s="231" t="s">
        <v>1024</v>
      </c>
      <c r="F569" s="239">
        <v>0.353163</v>
      </c>
      <c r="G569" s="240">
        <v>26.03</v>
      </c>
      <c r="H569" s="240">
        <f>ROUND(ROUND(F569,8)*G569,2)</f>
        <v>9.19</v>
      </c>
      <c r="I569" s="179"/>
      <c r="J569" s="180"/>
    </row>
    <row r="570" spans="1:10" ht="15" customHeight="1" x14ac:dyDescent="0.25">
      <c r="A570" s="182"/>
      <c r="B570" s="183"/>
      <c r="C570" s="183"/>
      <c r="D570" s="183"/>
      <c r="E570" s="183"/>
      <c r="F570" s="477" t="s">
        <v>1832</v>
      </c>
      <c r="G570" s="477"/>
      <c r="H570" s="139">
        <f>SUM(H568:H569)</f>
        <v>15.879999999999999</v>
      </c>
      <c r="I570" s="179"/>
      <c r="J570" s="180"/>
    </row>
    <row r="571" spans="1:10" ht="15" customHeight="1" x14ac:dyDescent="0.25">
      <c r="A571" s="483" t="s">
        <v>2212</v>
      </c>
      <c r="B571" s="484"/>
      <c r="C571" s="484"/>
      <c r="D571" s="183"/>
      <c r="E571" s="183"/>
      <c r="F571" s="482" t="s">
        <v>1834</v>
      </c>
      <c r="G571" s="482"/>
      <c r="H571" s="140">
        <v>58.26</v>
      </c>
      <c r="I571" s="179"/>
      <c r="J571" s="180"/>
    </row>
    <row r="572" spans="1:10" ht="2.1" customHeight="1" x14ac:dyDescent="0.25">
      <c r="A572" s="483"/>
      <c r="B572" s="484"/>
      <c r="C572" s="484"/>
      <c r="D572" s="183"/>
      <c r="E572" s="183"/>
      <c r="F572" s="183"/>
      <c r="G572" s="183"/>
      <c r="H572" s="183"/>
      <c r="I572" s="179"/>
      <c r="J572" s="180"/>
    </row>
    <row r="573" spans="1:10" ht="9.9499999999999993" customHeight="1" x14ac:dyDescent="0.25">
      <c r="A573" s="182"/>
      <c r="B573" s="183"/>
      <c r="C573" s="183"/>
      <c r="D573" s="183"/>
      <c r="E573" s="183"/>
      <c r="F573" s="485"/>
      <c r="G573" s="485"/>
      <c r="H573" s="485"/>
      <c r="I573" s="179"/>
      <c r="J573" s="180"/>
    </row>
    <row r="574" spans="1:10" ht="20.100000000000001" customHeight="1" x14ac:dyDescent="0.25">
      <c r="A574" s="486" t="s">
        <v>2213</v>
      </c>
      <c r="B574" s="487"/>
      <c r="C574" s="487"/>
      <c r="D574" s="487"/>
      <c r="E574" s="487"/>
      <c r="F574" s="487"/>
      <c r="G574" s="487"/>
      <c r="H574" s="487"/>
      <c r="I574" s="179"/>
      <c r="J574" s="180"/>
    </row>
    <row r="575" spans="1:10" ht="20.100000000000001" customHeight="1" x14ac:dyDescent="0.25">
      <c r="A575" s="488" t="s">
        <v>1836</v>
      </c>
      <c r="B575" s="489"/>
      <c r="C575" s="489"/>
      <c r="D575" s="489"/>
      <c r="E575" s="233" t="s">
        <v>44</v>
      </c>
      <c r="F575" s="233" t="s">
        <v>1837</v>
      </c>
      <c r="G575" s="233" t="s">
        <v>1838</v>
      </c>
      <c r="H575" s="233" t="s">
        <v>1839</v>
      </c>
      <c r="I575" s="179"/>
      <c r="J575" s="180"/>
    </row>
    <row r="576" spans="1:10" ht="15" customHeight="1" x14ac:dyDescent="0.25">
      <c r="A576" s="170" t="s">
        <v>1840</v>
      </c>
      <c r="B576" s="490" t="s">
        <v>1841</v>
      </c>
      <c r="C576" s="490"/>
      <c r="D576" s="490"/>
      <c r="E576" s="127" t="s">
        <v>1024</v>
      </c>
      <c r="F576" s="234">
        <v>1.5</v>
      </c>
      <c r="G576" s="238">
        <v>21.94</v>
      </c>
      <c r="H576" s="238">
        <f>ROUND(ROUND(F576,8)*G576,2)</f>
        <v>32.909999999999997</v>
      </c>
      <c r="I576" s="179"/>
      <c r="J576" s="180"/>
    </row>
    <row r="577" spans="1:10" ht="15" customHeight="1" x14ac:dyDescent="0.25">
      <c r="A577" s="170" t="s">
        <v>2178</v>
      </c>
      <c r="B577" s="490" t="s">
        <v>2179</v>
      </c>
      <c r="C577" s="490"/>
      <c r="D577" s="490"/>
      <c r="E577" s="127" t="s">
        <v>1024</v>
      </c>
      <c r="F577" s="234">
        <v>1.5</v>
      </c>
      <c r="G577" s="238">
        <v>26.03</v>
      </c>
      <c r="H577" s="238">
        <f>ROUND(ROUND(F577,8)*G577,2)</f>
        <v>39.049999999999997</v>
      </c>
      <c r="I577" s="179"/>
      <c r="J577" s="180"/>
    </row>
    <row r="578" spans="1:10" ht="15" customHeight="1" x14ac:dyDescent="0.25">
      <c r="A578" s="184"/>
      <c r="B578" s="141"/>
      <c r="C578" s="141"/>
      <c r="D578" s="141"/>
      <c r="E578" s="141"/>
      <c r="F578" s="491" t="s">
        <v>1844</v>
      </c>
      <c r="G578" s="491"/>
      <c r="H578" s="140">
        <f>SUM(H576:H577)</f>
        <v>71.959999999999994</v>
      </c>
      <c r="I578" s="179"/>
      <c r="J578" s="180"/>
    </row>
    <row r="579" spans="1:10" ht="15" customHeight="1" x14ac:dyDescent="0.25">
      <c r="A579" s="182"/>
      <c r="B579" s="183"/>
      <c r="C579" s="183"/>
      <c r="D579" s="183"/>
      <c r="E579" s="183"/>
      <c r="F579" s="482" t="s">
        <v>1845</v>
      </c>
      <c r="G579" s="482"/>
      <c r="H579" s="236">
        <f>SUM(H578)</f>
        <v>71.959999999999994</v>
      </c>
      <c r="I579" s="179"/>
      <c r="J579" s="180"/>
    </row>
    <row r="580" spans="1:10" ht="15" customHeight="1" x14ac:dyDescent="0.25">
      <c r="A580" s="182"/>
      <c r="B580" s="183"/>
      <c r="C580" s="183"/>
      <c r="D580" s="183"/>
      <c r="E580" s="183"/>
      <c r="F580" s="482" t="s">
        <v>1846</v>
      </c>
      <c r="G580" s="482"/>
      <c r="H580" s="142">
        <v>1</v>
      </c>
      <c r="I580" s="179"/>
      <c r="J580" s="180"/>
    </row>
    <row r="581" spans="1:10" ht="15" customHeight="1" x14ac:dyDescent="0.25">
      <c r="A581" s="182"/>
      <c r="B581" s="183"/>
      <c r="C581" s="183"/>
      <c r="D581" s="183"/>
      <c r="E581" s="183"/>
      <c r="F581" s="482" t="s">
        <v>1847</v>
      </c>
      <c r="G581" s="482"/>
      <c r="H581" s="236">
        <f>ROUND(H579/H580,4)</f>
        <v>71.959999999999994</v>
      </c>
      <c r="I581" s="179"/>
      <c r="J581" s="180"/>
    </row>
    <row r="582" spans="1:10" ht="20.100000000000001" customHeight="1" x14ac:dyDescent="0.25">
      <c r="A582" s="488" t="s">
        <v>1880</v>
      </c>
      <c r="B582" s="489"/>
      <c r="C582" s="489"/>
      <c r="D582" s="489"/>
      <c r="E582" s="233" t="s">
        <v>44</v>
      </c>
      <c r="F582" s="233" t="s">
        <v>1837</v>
      </c>
      <c r="G582" s="233" t="s">
        <v>1881</v>
      </c>
      <c r="H582" s="233" t="s">
        <v>1882</v>
      </c>
      <c r="I582" s="179"/>
      <c r="J582" s="180"/>
    </row>
    <row r="583" spans="1:10" ht="15.95" customHeight="1" x14ac:dyDescent="0.25">
      <c r="A583" s="170" t="s">
        <v>2214</v>
      </c>
      <c r="B583" s="492" t="s">
        <v>2215</v>
      </c>
      <c r="C583" s="492"/>
      <c r="D583" s="492"/>
      <c r="E583" s="127" t="s">
        <v>251</v>
      </c>
      <c r="F583" s="234">
        <v>1</v>
      </c>
      <c r="G583" s="235">
        <v>116.15</v>
      </c>
      <c r="H583" s="235">
        <f>ROUND(ROUND(F583,8)*G583,2)</f>
        <v>116.15</v>
      </c>
      <c r="I583" s="179"/>
      <c r="J583" s="180"/>
    </row>
    <row r="584" spans="1:10" ht="15" customHeight="1" x14ac:dyDescent="0.25">
      <c r="A584" s="184"/>
      <c r="B584" s="141"/>
      <c r="C584" s="141"/>
      <c r="D584" s="141"/>
      <c r="E584" s="141"/>
      <c r="F584" s="491" t="s">
        <v>1889</v>
      </c>
      <c r="G584" s="491"/>
      <c r="H584" s="143">
        <f>SUM(H583:H583)</f>
        <v>116.15</v>
      </c>
      <c r="I584" s="179"/>
      <c r="J584" s="180"/>
    </row>
    <row r="585" spans="1:10" ht="15" customHeight="1" x14ac:dyDescent="0.25">
      <c r="A585" s="182"/>
      <c r="B585" s="183"/>
      <c r="C585" s="183"/>
      <c r="D585" s="183"/>
      <c r="E585" s="183"/>
      <c r="F585" s="482" t="s">
        <v>1848</v>
      </c>
      <c r="G585" s="482"/>
      <c r="H585" s="236">
        <f>SUM(H581,H584)</f>
        <v>188.11</v>
      </c>
      <c r="I585" s="179"/>
      <c r="J585" s="180"/>
    </row>
    <row r="586" spans="1:10" ht="15" customHeight="1" x14ac:dyDescent="0.25">
      <c r="A586" s="483" t="s">
        <v>2216</v>
      </c>
      <c r="B586" s="484"/>
      <c r="C586" s="484"/>
      <c r="D586" s="183"/>
      <c r="E586" s="183"/>
      <c r="F586" s="482" t="s">
        <v>1834</v>
      </c>
      <c r="G586" s="482"/>
      <c r="H586" s="140">
        <v>188.11</v>
      </c>
      <c r="I586" s="179"/>
      <c r="J586" s="180"/>
    </row>
    <row r="587" spans="1:10" ht="9.9499999999999993" customHeight="1" x14ac:dyDescent="0.25">
      <c r="A587" s="182"/>
      <c r="B587" s="183"/>
      <c r="C587" s="183"/>
      <c r="D587" s="183"/>
      <c r="E587" s="183"/>
      <c r="F587" s="485"/>
      <c r="G587" s="485"/>
      <c r="H587" s="485"/>
      <c r="I587" s="179"/>
      <c r="J587" s="180"/>
    </row>
    <row r="588" spans="1:10" ht="20.100000000000001" customHeight="1" x14ac:dyDescent="0.25">
      <c r="A588" s="486" t="s">
        <v>2217</v>
      </c>
      <c r="B588" s="487"/>
      <c r="C588" s="487"/>
      <c r="D588" s="487"/>
      <c r="E588" s="487"/>
      <c r="F588" s="487"/>
      <c r="G588" s="487"/>
      <c r="H588" s="487"/>
      <c r="I588" s="179"/>
      <c r="J588" s="180"/>
    </row>
    <row r="589" spans="1:10" ht="15" customHeight="1" x14ac:dyDescent="0.25">
      <c r="A589" s="474" t="s">
        <v>2021</v>
      </c>
      <c r="B589" s="475"/>
      <c r="C589" s="476" t="s">
        <v>42</v>
      </c>
      <c r="D589" s="476"/>
      <c r="E589" s="230" t="s">
        <v>44</v>
      </c>
      <c r="F589" s="230" t="s">
        <v>1813</v>
      </c>
      <c r="G589" s="230" t="s">
        <v>1814</v>
      </c>
      <c r="H589" s="230" t="s">
        <v>1802</v>
      </c>
      <c r="I589" s="179"/>
      <c r="J589" s="180"/>
    </row>
    <row r="590" spans="1:10" ht="29.1" customHeight="1" x14ac:dyDescent="0.25">
      <c r="A590" s="181" t="s">
        <v>2218</v>
      </c>
      <c r="B590" s="241" t="s">
        <v>2219</v>
      </c>
      <c r="C590" s="481" t="s">
        <v>82</v>
      </c>
      <c r="D590" s="481"/>
      <c r="E590" s="231" t="s">
        <v>2027</v>
      </c>
      <c r="F590" s="239">
        <v>0.52800000000000002</v>
      </c>
      <c r="G590" s="240">
        <v>52.35</v>
      </c>
      <c r="H590" s="240">
        <f>ROUND(ROUND(F590,8)*G590,2)</f>
        <v>27.64</v>
      </c>
      <c r="I590" s="179"/>
      <c r="J590" s="180"/>
    </row>
    <row r="591" spans="1:10" ht="18" customHeight="1" x14ac:dyDescent="0.25">
      <c r="A591" s="182"/>
      <c r="B591" s="183"/>
      <c r="C591" s="183"/>
      <c r="D591" s="183"/>
      <c r="E591" s="183"/>
      <c r="F591" s="477" t="s">
        <v>2028</v>
      </c>
      <c r="G591" s="477"/>
      <c r="H591" s="139">
        <f>SUM(H590:H590)</f>
        <v>27.64</v>
      </c>
      <c r="I591" s="179"/>
      <c r="J591" s="180"/>
    </row>
    <row r="592" spans="1:10" ht="15" customHeight="1" x14ac:dyDescent="0.25">
      <c r="A592" s="474" t="s">
        <v>1812</v>
      </c>
      <c r="B592" s="475"/>
      <c r="C592" s="476" t="s">
        <v>42</v>
      </c>
      <c r="D592" s="476"/>
      <c r="E592" s="230" t="s">
        <v>44</v>
      </c>
      <c r="F592" s="230" t="s">
        <v>1813</v>
      </c>
      <c r="G592" s="230" t="s">
        <v>1814</v>
      </c>
      <c r="H592" s="230" t="s">
        <v>1802</v>
      </c>
      <c r="I592" s="179"/>
      <c r="J592" s="180"/>
    </row>
    <row r="593" spans="1:10" ht="21" customHeight="1" x14ac:dyDescent="0.25">
      <c r="A593" s="181" t="s">
        <v>2220</v>
      </c>
      <c r="B593" s="241" t="s">
        <v>2221</v>
      </c>
      <c r="C593" s="481" t="s">
        <v>82</v>
      </c>
      <c r="D593" s="481"/>
      <c r="E593" s="231" t="s">
        <v>85</v>
      </c>
      <c r="F593" s="239">
        <v>1.1000000000000001</v>
      </c>
      <c r="G593" s="240">
        <v>90</v>
      </c>
      <c r="H593" s="240">
        <f>ROUND(ROUND(F593,8)*G593,2)</f>
        <v>99</v>
      </c>
      <c r="I593" s="179"/>
      <c r="J593" s="180"/>
    </row>
    <row r="594" spans="1:10" ht="15" customHeight="1" x14ac:dyDescent="0.25">
      <c r="A594" s="182"/>
      <c r="B594" s="183"/>
      <c r="C594" s="183"/>
      <c r="D594" s="183"/>
      <c r="E594" s="183"/>
      <c r="F594" s="477" t="s">
        <v>1826</v>
      </c>
      <c r="G594" s="477"/>
      <c r="H594" s="139">
        <f>SUM(H593:H593)</f>
        <v>99</v>
      </c>
      <c r="I594" s="179"/>
      <c r="J594" s="180"/>
    </row>
    <row r="595" spans="1:10" ht="15" customHeight="1" x14ac:dyDescent="0.25">
      <c r="A595" s="474" t="s">
        <v>1827</v>
      </c>
      <c r="B595" s="475"/>
      <c r="C595" s="476" t="s">
        <v>42</v>
      </c>
      <c r="D595" s="476"/>
      <c r="E595" s="230" t="s">
        <v>44</v>
      </c>
      <c r="F595" s="230" t="s">
        <v>1813</v>
      </c>
      <c r="G595" s="230" t="s">
        <v>1814</v>
      </c>
      <c r="H595" s="230" t="s">
        <v>1802</v>
      </c>
      <c r="I595" s="179"/>
      <c r="J595" s="180"/>
    </row>
    <row r="596" spans="1:10" ht="15" customHeight="1" x14ac:dyDescent="0.25">
      <c r="A596" s="181" t="s">
        <v>1830</v>
      </c>
      <c r="B596" s="241" t="s">
        <v>1831</v>
      </c>
      <c r="C596" s="481" t="s">
        <v>51</v>
      </c>
      <c r="D596" s="481"/>
      <c r="E596" s="231" t="s">
        <v>1024</v>
      </c>
      <c r="F596" s="239">
        <v>0.7</v>
      </c>
      <c r="G596" s="240">
        <v>19.68</v>
      </c>
      <c r="H596" s="240">
        <f>ROUND(ROUND(F596,8)*G596,2)</f>
        <v>13.78</v>
      </c>
      <c r="I596" s="179"/>
      <c r="J596" s="180"/>
    </row>
    <row r="597" spans="1:10" ht="15" customHeight="1" x14ac:dyDescent="0.25">
      <c r="A597" s="182"/>
      <c r="B597" s="183"/>
      <c r="C597" s="183"/>
      <c r="D597" s="183"/>
      <c r="E597" s="183"/>
      <c r="F597" s="477" t="s">
        <v>1832</v>
      </c>
      <c r="G597" s="477"/>
      <c r="H597" s="139">
        <f>SUM(H596:H596)</f>
        <v>13.78</v>
      </c>
      <c r="I597" s="179"/>
      <c r="J597" s="180"/>
    </row>
    <row r="598" spans="1:10" ht="15" customHeight="1" x14ac:dyDescent="0.25">
      <c r="A598" s="483" t="s">
        <v>2222</v>
      </c>
      <c r="B598" s="484"/>
      <c r="C598" s="484"/>
      <c r="D598" s="183"/>
      <c r="E598" s="183"/>
      <c r="F598" s="482" t="s">
        <v>1834</v>
      </c>
      <c r="G598" s="482"/>
      <c r="H598" s="140">
        <v>140.41999999999999</v>
      </c>
      <c r="I598" s="179"/>
      <c r="J598" s="180"/>
    </row>
    <row r="599" spans="1:10" ht="9.9499999999999993" customHeight="1" x14ac:dyDescent="0.25">
      <c r="A599" s="182"/>
      <c r="B599" s="183"/>
      <c r="C599" s="183"/>
      <c r="D599" s="183"/>
      <c r="E599" s="183"/>
      <c r="F599" s="485"/>
      <c r="G599" s="485"/>
      <c r="H599" s="485"/>
      <c r="I599" s="179"/>
      <c r="J599" s="180"/>
    </row>
    <row r="600" spans="1:10" ht="20.100000000000001" customHeight="1" x14ac:dyDescent="0.25">
      <c r="A600" s="486" t="s">
        <v>2223</v>
      </c>
      <c r="B600" s="487"/>
      <c r="C600" s="487"/>
      <c r="D600" s="487"/>
      <c r="E600" s="487"/>
      <c r="F600" s="487"/>
      <c r="G600" s="487"/>
      <c r="H600" s="487"/>
      <c r="I600" s="179"/>
      <c r="J600" s="180"/>
    </row>
    <row r="601" spans="1:10" ht="15" customHeight="1" x14ac:dyDescent="0.25">
      <c r="A601" s="474" t="s">
        <v>1812</v>
      </c>
      <c r="B601" s="475"/>
      <c r="C601" s="476" t="s">
        <v>42</v>
      </c>
      <c r="D601" s="476"/>
      <c r="E601" s="230" t="s">
        <v>44</v>
      </c>
      <c r="F601" s="230" t="s">
        <v>1813</v>
      </c>
      <c r="G601" s="230" t="s">
        <v>1814</v>
      </c>
      <c r="H601" s="230" t="s">
        <v>1802</v>
      </c>
      <c r="I601" s="179"/>
      <c r="J601" s="180"/>
    </row>
    <row r="602" spans="1:10" ht="21" customHeight="1" x14ac:dyDescent="0.25">
      <c r="A602" s="181" t="s">
        <v>2224</v>
      </c>
      <c r="B602" s="241" t="s">
        <v>2225</v>
      </c>
      <c r="C602" s="481" t="s">
        <v>1859</v>
      </c>
      <c r="D602" s="481"/>
      <c r="E602" s="231" t="s">
        <v>226</v>
      </c>
      <c r="F602" s="239">
        <v>1</v>
      </c>
      <c r="G602" s="240">
        <v>737.57</v>
      </c>
      <c r="H602" s="240">
        <f>ROUND(ROUND(F602,8)*G602,2)</f>
        <v>737.57</v>
      </c>
      <c r="I602" s="179"/>
      <c r="J602" s="180"/>
    </row>
    <row r="603" spans="1:10" ht="15" customHeight="1" x14ac:dyDescent="0.25">
      <c r="A603" s="182"/>
      <c r="B603" s="183"/>
      <c r="C603" s="183"/>
      <c r="D603" s="183"/>
      <c r="E603" s="183"/>
      <c r="F603" s="477" t="s">
        <v>1826</v>
      </c>
      <c r="G603" s="477"/>
      <c r="H603" s="139">
        <f>SUM(H602:H602)</f>
        <v>737.57</v>
      </c>
      <c r="I603" s="179"/>
      <c r="J603" s="180"/>
    </row>
    <row r="604" spans="1:10" ht="15" customHeight="1" x14ac:dyDescent="0.25">
      <c r="A604" s="474" t="s">
        <v>1827</v>
      </c>
      <c r="B604" s="475"/>
      <c r="C604" s="476" t="s">
        <v>42</v>
      </c>
      <c r="D604" s="476"/>
      <c r="E604" s="230" t="s">
        <v>44</v>
      </c>
      <c r="F604" s="230" t="s">
        <v>1813</v>
      </c>
      <c r="G604" s="230" t="s">
        <v>1814</v>
      </c>
      <c r="H604" s="230" t="s">
        <v>1802</v>
      </c>
      <c r="I604" s="179"/>
      <c r="J604" s="180"/>
    </row>
    <row r="605" spans="1:10" ht="15" customHeight="1" x14ac:dyDescent="0.25">
      <c r="A605" s="181" t="s">
        <v>2178</v>
      </c>
      <c r="B605" s="241" t="s">
        <v>2179</v>
      </c>
      <c r="C605" s="481" t="s">
        <v>51</v>
      </c>
      <c r="D605" s="481"/>
      <c r="E605" s="231" t="s">
        <v>1024</v>
      </c>
      <c r="F605" s="239">
        <v>0.1</v>
      </c>
      <c r="G605" s="240">
        <v>26.03</v>
      </c>
      <c r="H605" s="240">
        <f>ROUND(ROUND(F605,8)*G605,2)</f>
        <v>2.6</v>
      </c>
      <c r="I605" s="179"/>
      <c r="J605" s="180"/>
    </row>
    <row r="606" spans="1:10" ht="15" customHeight="1" x14ac:dyDescent="0.25">
      <c r="A606" s="181" t="s">
        <v>1830</v>
      </c>
      <c r="B606" s="241" t="s">
        <v>1831</v>
      </c>
      <c r="C606" s="481" t="s">
        <v>51</v>
      </c>
      <c r="D606" s="481"/>
      <c r="E606" s="231" t="s">
        <v>1024</v>
      </c>
      <c r="F606" s="239">
        <v>0.5</v>
      </c>
      <c r="G606" s="240">
        <v>19.68</v>
      </c>
      <c r="H606" s="240">
        <f>ROUND(ROUND(F606,8)*G606,2)</f>
        <v>9.84</v>
      </c>
      <c r="I606" s="179"/>
      <c r="J606" s="180"/>
    </row>
    <row r="607" spans="1:10" ht="15" customHeight="1" x14ac:dyDescent="0.25">
      <c r="A607" s="182"/>
      <c r="B607" s="183"/>
      <c r="C607" s="183"/>
      <c r="D607" s="183"/>
      <c r="E607" s="183"/>
      <c r="F607" s="477" t="s">
        <v>1832</v>
      </c>
      <c r="G607" s="477"/>
      <c r="H607" s="139">
        <f>SUM(H605:H606)</f>
        <v>12.44</v>
      </c>
      <c r="I607" s="179"/>
      <c r="J607" s="180"/>
    </row>
    <row r="608" spans="1:10" ht="15" customHeight="1" x14ac:dyDescent="0.25">
      <c r="A608" s="483" t="s">
        <v>2226</v>
      </c>
      <c r="B608" s="484"/>
      <c r="C608" s="484"/>
      <c r="D608" s="183"/>
      <c r="E608" s="183"/>
      <c r="F608" s="482" t="s">
        <v>1834</v>
      </c>
      <c r="G608" s="482"/>
      <c r="H608" s="140">
        <v>750.01</v>
      </c>
      <c r="I608" s="179"/>
      <c r="J608" s="180"/>
    </row>
    <row r="609" spans="1:10" ht="2.1" customHeight="1" x14ac:dyDescent="0.25">
      <c r="A609" s="483"/>
      <c r="B609" s="484"/>
      <c r="C609" s="484"/>
      <c r="D609" s="183"/>
      <c r="E609" s="183"/>
      <c r="F609" s="183"/>
      <c r="G609" s="183"/>
      <c r="H609" s="183"/>
      <c r="I609" s="179"/>
      <c r="J609" s="180"/>
    </row>
    <row r="610" spans="1:10" ht="9.9499999999999993" customHeight="1" x14ac:dyDescent="0.25">
      <c r="A610" s="182"/>
      <c r="B610" s="183"/>
      <c r="C610" s="183"/>
      <c r="D610" s="183"/>
      <c r="E610" s="183"/>
      <c r="F610" s="485"/>
      <c r="G610" s="485"/>
      <c r="H610" s="485"/>
      <c r="I610" s="179"/>
      <c r="J610" s="180"/>
    </row>
    <row r="611" spans="1:10" ht="20.100000000000001" customHeight="1" x14ac:dyDescent="0.25">
      <c r="A611" s="486" t="s">
        <v>2227</v>
      </c>
      <c r="B611" s="487"/>
      <c r="C611" s="487"/>
      <c r="D611" s="487"/>
      <c r="E611" s="487"/>
      <c r="F611" s="487"/>
      <c r="G611" s="487"/>
      <c r="H611" s="487"/>
      <c r="I611" s="179"/>
      <c r="J611" s="180"/>
    </row>
    <row r="612" spans="1:10" ht="15" customHeight="1" x14ac:dyDescent="0.25">
      <c r="A612" s="474" t="s">
        <v>1812</v>
      </c>
      <c r="B612" s="475"/>
      <c r="C612" s="476" t="s">
        <v>42</v>
      </c>
      <c r="D612" s="476"/>
      <c r="E612" s="230" t="s">
        <v>44</v>
      </c>
      <c r="F612" s="230" t="s">
        <v>1813</v>
      </c>
      <c r="G612" s="230" t="s">
        <v>1814</v>
      </c>
      <c r="H612" s="230" t="s">
        <v>1802</v>
      </c>
      <c r="I612" s="179"/>
      <c r="J612" s="180"/>
    </row>
    <row r="613" spans="1:10" ht="29.1" customHeight="1" x14ac:dyDescent="0.25">
      <c r="A613" s="181" t="s">
        <v>2228</v>
      </c>
      <c r="B613" s="241" t="s">
        <v>2229</v>
      </c>
      <c r="C613" s="481" t="s">
        <v>2230</v>
      </c>
      <c r="D613" s="481"/>
      <c r="E613" s="231" t="s">
        <v>226</v>
      </c>
      <c r="F613" s="239">
        <v>1</v>
      </c>
      <c r="G613" s="240">
        <v>866.68</v>
      </c>
      <c r="H613" s="240">
        <f>ROUND(ROUND(F613,8)*G613,2)</f>
        <v>866.68</v>
      </c>
      <c r="I613" s="179"/>
      <c r="J613" s="180"/>
    </row>
    <row r="614" spans="1:10" ht="15" customHeight="1" x14ac:dyDescent="0.25">
      <c r="A614" s="182"/>
      <c r="B614" s="183"/>
      <c r="C614" s="183"/>
      <c r="D614" s="183"/>
      <c r="E614" s="183"/>
      <c r="F614" s="477" t="s">
        <v>1826</v>
      </c>
      <c r="G614" s="477"/>
      <c r="H614" s="139">
        <f>SUM(H613:H613)</f>
        <v>866.68</v>
      </c>
      <c r="I614" s="179"/>
      <c r="J614" s="180"/>
    </row>
    <row r="615" spans="1:10" ht="15" customHeight="1" x14ac:dyDescent="0.25">
      <c r="A615" s="474" t="s">
        <v>1827</v>
      </c>
      <c r="B615" s="475"/>
      <c r="C615" s="476" t="s">
        <v>42</v>
      </c>
      <c r="D615" s="476"/>
      <c r="E615" s="230" t="s">
        <v>44</v>
      </c>
      <c r="F615" s="230" t="s">
        <v>1813</v>
      </c>
      <c r="G615" s="230" t="s">
        <v>1814</v>
      </c>
      <c r="H615" s="230" t="s">
        <v>1802</v>
      </c>
      <c r="I615" s="179"/>
      <c r="J615" s="180"/>
    </row>
    <row r="616" spans="1:10" ht="15" customHeight="1" x14ac:dyDescent="0.25">
      <c r="A616" s="181" t="s">
        <v>2210</v>
      </c>
      <c r="B616" s="241" t="s">
        <v>2211</v>
      </c>
      <c r="C616" s="481" t="s">
        <v>82</v>
      </c>
      <c r="D616" s="481"/>
      <c r="E616" s="231" t="s">
        <v>1024</v>
      </c>
      <c r="F616" s="239">
        <v>1</v>
      </c>
      <c r="G616" s="240">
        <v>18.940000000000001</v>
      </c>
      <c r="H616" s="240">
        <f>ROUND(ROUND(F616,8)*G616,2)</f>
        <v>18.940000000000001</v>
      </c>
      <c r="I616" s="179"/>
      <c r="J616" s="180"/>
    </row>
    <row r="617" spans="1:10" ht="15" customHeight="1" x14ac:dyDescent="0.25">
      <c r="A617" s="181" t="s">
        <v>2178</v>
      </c>
      <c r="B617" s="241" t="s">
        <v>2179</v>
      </c>
      <c r="C617" s="481" t="s">
        <v>51</v>
      </c>
      <c r="D617" s="481"/>
      <c r="E617" s="231" t="s">
        <v>1024</v>
      </c>
      <c r="F617" s="239">
        <v>0.3</v>
      </c>
      <c r="G617" s="240">
        <v>26.03</v>
      </c>
      <c r="H617" s="240">
        <f>ROUND(ROUND(F617,8)*G617,2)</f>
        <v>7.81</v>
      </c>
      <c r="I617" s="179"/>
      <c r="J617" s="180"/>
    </row>
    <row r="618" spans="1:10" ht="15" customHeight="1" x14ac:dyDescent="0.25">
      <c r="A618" s="182"/>
      <c r="B618" s="183"/>
      <c r="C618" s="183"/>
      <c r="D618" s="183"/>
      <c r="E618" s="183"/>
      <c r="F618" s="477" t="s">
        <v>1832</v>
      </c>
      <c r="G618" s="477"/>
      <c r="H618" s="139">
        <f>SUM(H616:H617)</f>
        <v>26.75</v>
      </c>
      <c r="I618" s="179"/>
      <c r="J618" s="180"/>
    </row>
    <row r="619" spans="1:10" ht="15" customHeight="1" x14ac:dyDescent="0.25">
      <c r="A619" s="483" t="s">
        <v>2231</v>
      </c>
      <c r="B619" s="484"/>
      <c r="C619" s="484"/>
      <c r="D619" s="183"/>
      <c r="E619" s="183"/>
      <c r="F619" s="482" t="s">
        <v>1834</v>
      </c>
      <c r="G619" s="482"/>
      <c r="H619" s="140">
        <v>893.43</v>
      </c>
      <c r="I619" s="179"/>
      <c r="J619" s="180"/>
    </row>
    <row r="620" spans="1:10" ht="2.1" customHeight="1" x14ac:dyDescent="0.25">
      <c r="A620" s="483"/>
      <c r="B620" s="484"/>
      <c r="C620" s="484"/>
      <c r="D620" s="183"/>
      <c r="E620" s="183"/>
      <c r="F620" s="183"/>
      <c r="G620" s="183"/>
      <c r="H620" s="183"/>
      <c r="I620" s="179"/>
      <c r="J620" s="180"/>
    </row>
    <row r="621" spans="1:10" ht="9.9499999999999993" customHeight="1" x14ac:dyDescent="0.25">
      <c r="A621" s="182"/>
      <c r="B621" s="183"/>
      <c r="C621" s="183"/>
      <c r="D621" s="183"/>
      <c r="E621" s="183"/>
      <c r="F621" s="485"/>
      <c r="G621" s="485"/>
      <c r="H621" s="485"/>
      <c r="I621" s="179"/>
      <c r="J621" s="180"/>
    </row>
    <row r="622" spans="1:10" ht="20.100000000000001" customHeight="1" x14ac:dyDescent="0.25">
      <c r="A622" s="486" t="s">
        <v>2232</v>
      </c>
      <c r="B622" s="487"/>
      <c r="C622" s="487"/>
      <c r="D622" s="487"/>
      <c r="E622" s="487"/>
      <c r="F622" s="487"/>
      <c r="G622" s="487"/>
      <c r="H622" s="487"/>
      <c r="I622" s="179"/>
      <c r="J622" s="180"/>
    </row>
    <row r="623" spans="1:10" ht="15" customHeight="1" x14ac:dyDescent="0.25">
      <c r="A623" s="474" t="s">
        <v>1812</v>
      </c>
      <c r="B623" s="475"/>
      <c r="C623" s="476" t="s">
        <v>42</v>
      </c>
      <c r="D623" s="476"/>
      <c r="E623" s="230" t="s">
        <v>44</v>
      </c>
      <c r="F623" s="230" t="s">
        <v>1813</v>
      </c>
      <c r="G623" s="230" t="s">
        <v>1814</v>
      </c>
      <c r="H623" s="230" t="s">
        <v>1802</v>
      </c>
      <c r="I623" s="179"/>
      <c r="J623" s="180"/>
    </row>
    <row r="624" spans="1:10" ht="15" customHeight="1" x14ac:dyDescent="0.25">
      <c r="A624" s="181" t="s">
        <v>2233</v>
      </c>
      <c r="B624" s="241" t="s">
        <v>2234</v>
      </c>
      <c r="C624" s="481" t="s">
        <v>51</v>
      </c>
      <c r="D624" s="481"/>
      <c r="E624" s="231" t="s">
        <v>226</v>
      </c>
      <c r="F624" s="239">
        <v>1</v>
      </c>
      <c r="G624" s="240">
        <v>4.18</v>
      </c>
      <c r="H624" s="240">
        <f>ROUND(ROUND(F624,8)*G624,2)</f>
        <v>4.18</v>
      </c>
      <c r="I624" s="179"/>
      <c r="J624" s="180"/>
    </row>
    <row r="625" spans="1:10" ht="21" customHeight="1" x14ac:dyDescent="0.25">
      <c r="A625" s="181" t="s">
        <v>2235</v>
      </c>
      <c r="B625" s="241" t="s">
        <v>2236</v>
      </c>
      <c r="C625" s="481" t="s">
        <v>82</v>
      </c>
      <c r="D625" s="481"/>
      <c r="E625" s="231" t="s">
        <v>226</v>
      </c>
      <c r="F625" s="239">
        <v>1</v>
      </c>
      <c r="G625" s="240">
        <v>6.78</v>
      </c>
      <c r="H625" s="240">
        <f>ROUND(ROUND(F625,8)*G625,2)</f>
        <v>6.78</v>
      </c>
      <c r="I625" s="179"/>
      <c r="J625" s="180"/>
    </row>
    <row r="626" spans="1:10" ht="15" customHeight="1" x14ac:dyDescent="0.25">
      <c r="A626" s="182"/>
      <c r="B626" s="183"/>
      <c r="C626" s="183"/>
      <c r="D626" s="183"/>
      <c r="E626" s="183"/>
      <c r="F626" s="477" t="s">
        <v>1826</v>
      </c>
      <c r="G626" s="477"/>
      <c r="H626" s="139">
        <f>SUM(H624:H625)</f>
        <v>10.96</v>
      </c>
      <c r="I626" s="179"/>
      <c r="J626" s="180"/>
    </row>
    <row r="627" spans="1:10" ht="15" customHeight="1" x14ac:dyDescent="0.25">
      <c r="A627" s="474" t="s">
        <v>1827</v>
      </c>
      <c r="B627" s="475"/>
      <c r="C627" s="476" t="s">
        <v>42</v>
      </c>
      <c r="D627" s="476"/>
      <c r="E627" s="230" t="s">
        <v>44</v>
      </c>
      <c r="F627" s="230" t="s">
        <v>1813</v>
      </c>
      <c r="G627" s="230" t="s">
        <v>1814</v>
      </c>
      <c r="H627" s="230" t="s">
        <v>1802</v>
      </c>
      <c r="I627" s="179"/>
      <c r="J627" s="180"/>
    </row>
    <row r="628" spans="1:10" ht="15" customHeight="1" x14ac:dyDescent="0.25">
      <c r="A628" s="181" t="s">
        <v>2210</v>
      </c>
      <c r="B628" s="241" t="s">
        <v>2211</v>
      </c>
      <c r="C628" s="481" t="s">
        <v>82</v>
      </c>
      <c r="D628" s="481"/>
      <c r="E628" s="231" t="s">
        <v>1024</v>
      </c>
      <c r="F628" s="239">
        <v>2.5</v>
      </c>
      <c r="G628" s="240">
        <v>18.940000000000001</v>
      </c>
      <c r="H628" s="240">
        <f>ROUND(ROUND(F628,8)*G628,2)</f>
        <v>47.35</v>
      </c>
      <c r="I628" s="179"/>
      <c r="J628" s="180"/>
    </row>
    <row r="629" spans="1:10" ht="15" customHeight="1" x14ac:dyDescent="0.25">
      <c r="A629" s="181" t="s">
        <v>2178</v>
      </c>
      <c r="B629" s="241" t="s">
        <v>2179</v>
      </c>
      <c r="C629" s="481" t="s">
        <v>51</v>
      </c>
      <c r="D629" s="481"/>
      <c r="E629" s="231" t="s">
        <v>1024</v>
      </c>
      <c r="F629" s="239">
        <v>2.5</v>
      </c>
      <c r="G629" s="240">
        <v>26.03</v>
      </c>
      <c r="H629" s="240">
        <f>ROUND(ROUND(F629,8)*G629,2)</f>
        <v>65.08</v>
      </c>
      <c r="I629" s="179"/>
      <c r="J629" s="180"/>
    </row>
    <row r="630" spans="1:10" ht="15" customHeight="1" x14ac:dyDescent="0.25">
      <c r="A630" s="182"/>
      <c r="B630" s="183"/>
      <c r="C630" s="183"/>
      <c r="D630" s="183"/>
      <c r="E630" s="183"/>
      <c r="F630" s="477" t="s">
        <v>1832</v>
      </c>
      <c r="G630" s="477"/>
      <c r="H630" s="139">
        <f>SUM(H628:H629)</f>
        <v>112.43</v>
      </c>
      <c r="I630" s="179"/>
      <c r="J630" s="180"/>
    </row>
    <row r="631" spans="1:10" ht="15" customHeight="1" x14ac:dyDescent="0.25">
      <c r="A631" s="483" t="s">
        <v>2237</v>
      </c>
      <c r="B631" s="484"/>
      <c r="C631" s="484"/>
      <c r="D631" s="183"/>
      <c r="E631" s="183"/>
      <c r="F631" s="482" t="s">
        <v>1834</v>
      </c>
      <c r="G631" s="482"/>
      <c r="H631" s="140">
        <v>123.39</v>
      </c>
      <c r="I631" s="179"/>
      <c r="J631" s="180"/>
    </row>
    <row r="632" spans="1:10" ht="2.1" customHeight="1" x14ac:dyDescent="0.25">
      <c r="A632" s="483"/>
      <c r="B632" s="484"/>
      <c r="C632" s="484"/>
      <c r="D632" s="183"/>
      <c r="E632" s="183"/>
      <c r="F632" s="183"/>
      <c r="G632" s="183"/>
      <c r="H632" s="183"/>
      <c r="I632" s="179"/>
      <c r="J632" s="180"/>
    </row>
    <row r="633" spans="1:10" ht="9.9499999999999993" customHeight="1" x14ac:dyDescent="0.25">
      <c r="A633" s="182"/>
      <c r="B633" s="183"/>
      <c r="C633" s="183"/>
      <c r="D633" s="183"/>
      <c r="E633" s="183"/>
      <c r="F633" s="485"/>
      <c r="G633" s="485"/>
      <c r="H633" s="485"/>
      <c r="I633" s="179"/>
      <c r="J633" s="180"/>
    </row>
    <row r="634" spans="1:10" ht="20.100000000000001" customHeight="1" x14ac:dyDescent="0.25">
      <c r="A634" s="486" t="s">
        <v>2238</v>
      </c>
      <c r="B634" s="487"/>
      <c r="C634" s="487"/>
      <c r="D634" s="487"/>
      <c r="E634" s="487"/>
      <c r="F634" s="487"/>
      <c r="G634" s="487"/>
      <c r="H634" s="487"/>
      <c r="I634" s="179"/>
      <c r="J634" s="180"/>
    </row>
    <row r="635" spans="1:10" ht="15" customHeight="1" x14ac:dyDescent="0.25">
      <c r="A635" s="474" t="s">
        <v>1812</v>
      </c>
      <c r="B635" s="475"/>
      <c r="C635" s="476" t="s">
        <v>42</v>
      </c>
      <c r="D635" s="476"/>
      <c r="E635" s="230" t="s">
        <v>44</v>
      </c>
      <c r="F635" s="230" t="s">
        <v>1813</v>
      </c>
      <c r="G635" s="230" t="s">
        <v>1814</v>
      </c>
      <c r="H635" s="230" t="s">
        <v>1802</v>
      </c>
      <c r="I635" s="179"/>
      <c r="J635" s="180"/>
    </row>
    <row r="636" spans="1:10" ht="15" customHeight="1" x14ac:dyDescent="0.25">
      <c r="A636" s="181" t="s">
        <v>1815</v>
      </c>
      <c r="B636" s="241" t="s">
        <v>1816</v>
      </c>
      <c r="C636" s="481" t="s">
        <v>51</v>
      </c>
      <c r="D636" s="481"/>
      <c r="E636" s="231" t="s">
        <v>1817</v>
      </c>
      <c r="F636" s="239">
        <v>0.1</v>
      </c>
      <c r="G636" s="240">
        <v>14.37</v>
      </c>
      <c r="H636" s="240">
        <f>ROUND(ROUND(F636,8)*G636,2)</f>
        <v>1.44</v>
      </c>
      <c r="I636" s="179"/>
      <c r="J636" s="180"/>
    </row>
    <row r="637" spans="1:10" ht="15" customHeight="1" x14ac:dyDescent="0.25">
      <c r="A637" s="181" t="s">
        <v>2239</v>
      </c>
      <c r="B637" s="241" t="s">
        <v>2240</v>
      </c>
      <c r="C637" s="481" t="s">
        <v>51</v>
      </c>
      <c r="D637" s="481"/>
      <c r="E637" s="231" t="s">
        <v>188</v>
      </c>
      <c r="F637" s="239">
        <v>1.05</v>
      </c>
      <c r="G637" s="240">
        <v>5.28</v>
      </c>
      <c r="H637" s="240">
        <f>ROUND(ROUND(F637,8)*G637,2)</f>
        <v>5.54</v>
      </c>
      <c r="I637" s="179"/>
      <c r="J637" s="180"/>
    </row>
    <row r="638" spans="1:10" ht="15" customHeight="1" x14ac:dyDescent="0.25">
      <c r="A638" s="182"/>
      <c r="B638" s="183"/>
      <c r="C638" s="183"/>
      <c r="D638" s="183"/>
      <c r="E638" s="183"/>
      <c r="F638" s="477" t="s">
        <v>1826</v>
      </c>
      <c r="G638" s="477"/>
      <c r="H638" s="139">
        <f>SUM(H636:H637)</f>
        <v>6.98</v>
      </c>
      <c r="I638" s="179"/>
      <c r="J638" s="180"/>
    </row>
    <row r="639" spans="1:10" ht="15" customHeight="1" x14ac:dyDescent="0.25">
      <c r="A639" s="474" t="s">
        <v>1827</v>
      </c>
      <c r="B639" s="475"/>
      <c r="C639" s="476" t="s">
        <v>42</v>
      </c>
      <c r="D639" s="476"/>
      <c r="E639" s="230" t="s">
        <v>44</v>
      </c>
      <c r="F639" s="230" t="s">
        <v>1813</v>
      </c>
      <c r="G639" s="230" t="s">
        <v>1814</v>
      </c>
      <c r="H639" s="230" t="s">
        <v>1802</v>
      </c>
      <c r="I639" s="179"/>
      <c r="J639" s="180"/>
    </row>
    <row r="640" spans="1:10" ht="15" customHeight="1" x14ac:dyDescent="0.25">
      <c r="A640" s="181" t="s">
        <v>2178</v>
      </c>
      <c r="B640" s="241" t="s">
        <v>2179</v>
      </c>
      <c r="C640" s="481" t="s">
        <v>51</v>
      </c>
      <c r="D640" s="481"/>
      <c r="E640" s="231" t="s">
        <v>1024</v>
      </c>
      <c r="F640" s="239">
        <v>0.14000000000000001</v>
      </c>
      <c r="G640" s="240">
        <v>26.03</v>
      </c>
      <c r="H640" s="240">
        <f>ROUND(ROUND(F640,8)*G640,2)</f>
        <v>3.64</v>
      </c>
      <c r="I640" s="179"/>
      <c r="J640" s="180"/>
    </row>
    <row r="641" spans="1:10" ht="15" customHeight="1" x14ac:dyDescent="0.25">
      <c r="A641" s="181" t="s">
        <v>1830</v>
      </c>
      <c r="B641" s="241" t="s">
        <v>1831</v>
      </c>
      <c r="C641" s="481" t="s">
        <v>51</v>
      </c>
      <c r="D641" s="481"/>
      <c r="E641" s="231" t="s">
        <v>1024</v>
      </c>
      <c r="F641" s="239">
        <v>0.14000000000000001</v>
      </c>
      <c r="G641" s="240">
        <v>19.68</v>
      </c>
      <c r="H641" s="240">
        <f>ROUND(ROUND(F641,8)*G641,2)</f>
        <v>2.76</v>
      </c>
      <c r="I641" s="179"/>
      <c r="J641" s="180"/>
    </row>
    <row r="642" spans="1:10" ht="15" customHeight="1" x14ac:dyDescent="0.25">
      <c r="A642" s="182"/>
      <c r="B642" s="183"/>
      <c r="C642" s="183"/>
      <c r="D642" s="183"/>
      <c r="E642" s="183"/>
      <c r="F642" s="477" t="s">
        <v>1832</v>
      </c>
      <c r="G642" s="477"/>
      <c r="H642" s="139">
        <f>SUM(H640:H641)</f>
        <v>6.4</v>
      </c>
      <c r="I642" s="179"/>
      <c r="J642" s="180"/>
    </row>
    <row r="643" spans="1:10" ht="15" customHeight="1" x14ac:dyDescent="0.25">
      <c r="A643" s="483" t="s">
        <v>2241</v>
      </c>
      <c r="B643" s="484"/>
      <c r="C643" s="484"/>
      <c r="D643" s="183"/>
      <c r="E643" s="183"/>
      <c r="F643" s="482" t="s">
        <v>1834</v>
      </c>
      <c r="G643" s="482"/>
      <c r="H643" s="140">
        <v>13.38</v>
      </c>
      <c r="I643" s="179"/>
      <c r="J643" s="180"/>
    </row>
    <row r="644" spans="1:10" ht="9.9499999999999993" customHeight="1" x14ac:dyDescent="0.25">
      <c r="A644" s="182"/>
      <c r="B644" s="183"/>
      <c r="C644" s="183"/>
      <c r="D644" s="183"/>
      <c r="E644" s="183"/>
      <c r="F644" s="485"/>
      <c r="G644" s="485"/>
      <c r="H644" s="485"/>
      <c r="I644" s="179"/>
      <c r="J644" s="180"/>
    </row>
    <row r="645" spans="1:10" ht="20.100000000000001" customHeight="1" x14ac:dyDescent="0.25">
      <c r="A645" s="486" t="s">
        <v>2242</v>
      </c>
      <c r="B645" s="487"/>
      <c r="C645" s="487"/>
      <c r="D645" s="487"/>
      <c r="E645" s="487"/>
      <c r="F645" s="487"/>
      <c r="G645" s="487"/>
      <c r="H645" s="487"/>
      <c r="I645" s="179"/>
      <c r="J645" s="180"/>
    </row>
    <row r="646" spans="1:10" ht="15" customHeight="1" x14ac:dyDescent="0.25">
      <c r="A646" s="474" t="s">
        <v>1812</v>
      </c>
      <c r="B646" s="475"/>
      <c r="C646" s="476" t="s">
        <v>42</v>
      </c>
      <c r="D646" s="476"/>
      <c r="E646" s="230" t="s">
        <v>44</v>
      </c>
      <c r="F646" s="230" t="s">
        <v>1813</v>
      </c>
      <c r="G646" s="230" t="s">
        <v>1814</v>
      </c>
      <c r="H646" s="230" t="s">
        <v>1802</v>
      </c>
      <c r="I646" s="179"/>
      <c r="J646" s="180"/>
    </row>
    <row r="647" spans="1:10" ht="21" customHeight="1" x14ac:dyDescent="0.25">
      <c r="A647" s="181" t="s">
        <v>2243</v>
      </c>
      <c r="B647" s="241" t="s">
        <v>2244</v>
      </c>
      <c r="C647" s="481" t="s">
        <v>82</v>
      </c>
      <c r="D647" s="481"/>
      <c r="E647" s="231" t="s">
        <v>226</v>
      </c>
      <c r="F647" s="239">
        <v>1</v>
      </c>
      <c r="G647" s="240">
        <v>4.5999999999999996</v>
      </c>
      <c r="H647" s="240">
        <f>ROUND(ROUND(F647,8)*G647,2)</f>
        <v>4.5999999999999996</v>
      </c>
      <c r="I647" s="179"/>
      <c r="J647" s="180"/>
    </row>
    <row r="648" spans="1:10" ht="15" customHeight="1" x14ac:dyDescent="0.25">
      <c r="A648" s="182"/>
      <c r="B648" s="183"/>
      <c r="C648" s="183"/>
      <c r="D648" s="183"/>
      <c r="E648" s="183"/>
      <c r="F648" s="477" t="s">
        <v>1826</v>
      </c>
      <c r="G648" s="477"/>
      <c r="H648" s="139">
        <f>SUM(H647:H647)</f>
        <v>4.5999999999999996</v>
      </c>
      <c r="I648" s="179"/>
      <c r="J648" s="180"/>
    </row>
    <row r="649" spans="1:10" ht="15" customHeight="1" x14ac:dyDescent="0.25">
      <c r="A649" s="474" t="s">
        <v>2190</v>
      </c>
      <c r="B649" s="475"/>
      <c r="C649" s="476" t="s">
        <v>42</v>
      </c>
      <c r="D649" s="476"/>
      <c r="E649" s="230" t="s">
        <v>44</v>
      </c>
      <c r="F649" s="230" t="s">
        <v>1813</v>
      </c>
      <c r="G649" s="230" t="s">
        <v>1814</v>
      </c>
      <c r="H649" s="230" t="s">
        <v>1802</v>
      </c>
      <c r="I649" s="179"/>
      <c r="J649" s="180"/>
    </row>
    <row r="650" spans="1:10" ht="21" customHeight="1" x14ac:dyDescent="0.25">
      <c r="A650" s="181" t="s">
        <v>2191</v>
      </c>
      <c r="B650" s="241" t="s">
        <v>2192</v>
      </c>
      <c r="C650" s="481" t="s">
        <v>82</v>
      </c>
      <c r="D650" s="481"/>
      <c r="E650" s="231" t="s">
        <v>1024</v>
      </c>
      <c r="F650" s="239">
        <v>0.24</v>
      </c>
      <c r="G650" s="240">
        <v>31.67</v>
      </c>
      <c r="H650" s="240">
        <f>ROUND(ROUND(F650,8)*G650,2)</f>
        <v>7.6</v>
      </c>
      <c r="I650" s="179"/>
      <c r="J650" s="180"/>
    </row>
    <row r="651" spans="1:10" ht="15" customHeight="1" x14ac:dyDescent="0.25">
      <c r="A651" s="181" t="s">
        <v>2193</v>
      </c>
      <c r="B651" s="241" t="s">
        <v>2194</v>
      </c>
      <c r="C651" s="481" t="s">
        <v>82</v>
      </c>
      <c r="D651" s="481"/>
      <c r="E651" s="231" t="s">
        <v>1024</v>
      </c>
      <c r="F651" s="239">
        <v>0.24</v>
      </c>
      <c r="G651" s="240">
        <v>44.2</v>
      </c>
      <c r="H651" s="240">
        <f>ROUND(ROUND(F651,8)*G651,2)</f>
        <v>10.61</v>
      </c>
      <c r="I651" s="179"/>
      <c r="J651" s="180"/>
    </row>
    <row r="652" spans="1:10" ht="18" customHeight="1" x14ac:dyDescent="0.25">
      <c r="A652" s="182"/>
      <c r="B652" s="183"/>
      <c r="C652" s="183"/>
      <c r="D652" s="183"/>
      <c r="E652" s="183"/>
      <c r="F652" s="477" t="s">
        <v>2195</v>
      </c>
      <c r="G652" s="477"/>
      <c r="H652" s="139">
        <f>SUM(H650:H651)</f>
        <v>18.21</v>
      </c>
      <c r="I652" s="179"/>
      <c r="J652" s="180"/>
    </row>
    <row r="653" spans="1:10" ht="15" customHeight="1" x14ac:dyDescent="0.25">
      <c r="A653" s="483" t="s">
        <v>2245</v>
      </c>
      <c r="B653" s="484"/>
      <c r="C653" s="484"/>
      <c r="D653" s="183"/>
      <c r="E653" s="183"/>
      <c r="F653" s="482" t="s">
        <v>1834</v>
      </c>
      <c r="G653" s="482"/>
      <c r="H653" s="140">
        <v>22.81</v>
      </c>
      <c r="I653" s="179"/>
      <c r="J653" s="180"/>
    </row>
    <row r="654" spans="1:10" ht="9.9499999999999993" customHeight="1" x14ac:dyDescent="0.25">
      <c r="A654" s="182"/>
      <c r="B654" s="183"/>
      <c r="C654" s="183"/>
      <c r="D654" s="183"/>
      <c r="E654" s="183"/>
      <c r="F654" s="485"/>
      <c r="G654" s="485"/>
      <c r="H654" s="485"/>
      <c r="I654" s="179"/>
      <c r="J654" s="180"/>
    </row>
    <row r="655" spans="1:10" ht="20.100000000000001" customHeight="1" x14ac:dyDescent="0.25">
      <c r="A655" s="486" t="s">
        <v>2246</v>
      </c>
      <c r="B655" s="487"/>
      <c r="C655" s="487"/>
      <c r="D655" s="487"/>
      <c r="E655" s="487"/>
      <c r="F655" s="487"/>
      <c r="G655" s="487"/>
      <c r="H655" s="487"/>
      <c r="I655" s="179"/>
      <c r="J655" s="180"/>
    </row>
    <row r="656" spans="1:10" ht="15" customHeight="1" x14ac:dyDescent="0.25">
      <c r="A656" s="474" t="s">
        <v>1812</v>
      </c>
      <c r="B656" s="475"/>
      <c r="C656" s="476" t="s">
        <v>42</v>
      </c>
      <c r="D656" s="476"/>
      <c r="E656" s="230" t="s">
        <v>44</v>
      </c>
      <c r="F656" s="230" t="s">
        <v>1813</v>
      </c>
      <c r="G656" s="230" t="s">
        <v>1814</v>
      </c>
      <c r="H656" s="230" t="s">
        <v>1802</v>
      </c>
      <c r="I656" s="179"/>
      <c r="J656" s="180"/>
    </row>
    <row r="657" spans="1:10" ht="21" customHeight="1" x14ac:dyDescent="0.25">
      <c r="A657" s="181" t="s">
        <v>2247</v>
      </c>
      <c r="B657" s="241" t="s">
        <v>2248</v>
      </c>
      <c r="C657" s="481" t="s">
        <v>1927</v>
      </c>
      <c r="D657" s="481"/>
      <c r="E657" s="231" t="s">
        <v>579</v>
      </c>
      <c r="F657" s="239">
        <v>1</v>
      </c>
      <c r="G657" s="240">
        <v>130.88999999999999</v>
      </c>
      <c r="H657" s="240">
        <f>ROUND(ROUND(F657,8)*G657,2)</f>
        <v>130.88999999999999</v>
      </c>
      <c r="I657" s="179"/>
      <c r="J657" s="180"/>
    </row>
    <row r="658" spans="1:10" ht="21" customHeight="1" x14ac:dyDescent="0.25">
      <c r="A658" s="181" t="s">
        <v>2249</v>
      </c>
      <c r="B658" s="241" t="s">
        <v>2250</v>
      </c>
      <c r="C658" s="481" t="s">
        <v>1927</v>
      </c>
      <c r="D658" s="481"/>
      <c r="E658" s="231" t="s">
        <v>579</v>
      </c>
      <c r="F658" s="239">
        <v>1</v>
      </c>
      <c r="G658" s="240">
        <v>269.3</v>
      </c>
      <c r="H658" s="240">
        <f>ROUND(ROUND(F658,8)*G658,2)</f>
        <v>269.3</v>
      </c>
      <c r="I658" s="179"/>
      <c r="J658" s="180"/>
    </row>
    <row r="659" spans="1:10" ht="15" customHeight="1" x14ac:dyDescent="0.25">
      <c r="A659" s="182"/>
      <c r="B659" s="183"/>
      <c r="C659" s="183"/>
      <c r="D659" s="183"/>
      <c r="E659" s="183"/>
      <c r="F659" s="477" t="s">
        <v>1826</v>
      </c>
      <c r="G659" s="477"/>
      <c r="H659" s="139">
        <f>SUM(H657:H658)</f>
        <v>400.19</v>
      </c>
      <c r="I659" s="179"/>
      <c r="J659" s="180"/>
    </row>
    <row r="660" spans="1:10" ht="15" customHeight="1" x14ac:dyDescent="0.25">
      <c r="A660" s="474" t="s">
        <v>1827</v>
      </c>
      <c r="B660" s="475"/>
      <c r="C660" s="476" t="s">
        <v>42</v>
      </c>
      <c r="D660" s="476"/>
      <c r="E660" s="230" t="s">
        <v>44</v>
      </c>
      <c r="F660" s="230" t="s">
        <v>1813</v>
      </c>
      <c r="G660" s="230" t="s">
        <v>1814</v>
      </c>
      <c r="H660" s="230" t="s">
        <v>1802</v>
      </c>
      <c r="I660" s="179"/>
      <c r="J660" s="180"/>
    </row>
    <row r="661" spans="1:10" ht="15" customHeight="1" x14ac:dyDescent="0.25">
      <c r="A661" s="181" t="s">
        <v>2210</v>
      </c>
      <c r="B661" s="241" t="s">
        <v>2211</v>
      </c>
      <c r="C661" s="481" t="s">
        <v>82</v>
      </c>
      <c r="D661" s="481"/>
      <c r="E661" s="231" t="s">
        <v>1024</v>
      </c>
      <c r="F661" s="239">
        <v>0.28460000000000002</v>
      </c>
      <c r="G661" s="240">
        <v>18.940000000000001</v>
      </c>
      <c r="H661" s="240">
        <f>ROUND(ROUND(F661,8)*G661,2)</f>
        <v>5.39</v>
      </c>
      <c r="I661" s="179"/>
      <c r="J661" s="180"/>
    </row>
    <row r="662" spans="1:10" ht="15" customHeight="1" x14ac:dyDescent="0.25">
      <c r="A662" s="181" t="s">
        <v>2178</v>
      </c>
      <c r="B662" s="241" t="s">
        <v>2179</v>
      </c>
      <c r="C662" s="481" t="s">
        <v>51</v>
      </c>
      <c r="D662" s="481"/>
      <c r="E662" s="231" t="s">
        <v>1024</v>
      </c>
      <c r="F662" s="239">
        <v>0.28460000000000002</v>
      </c>
      <c r="G662" s="240">
        <v>26.03</v>
      </c>
      <c r="H662" s="240">
        <f>ROUND(ROUND(F662,8)*G662,2)</f>
        <v>7.41</v>
      </c>
      <c r="I662" s="179"/>
      <c r="J662" s="180"/>
    </row>
    <row r="663" spans="1:10" ht="15" customHeight="1" x14ac:dyDescent="0.25">
      <c r="A663" s="182"/>
      <c r="B663" s="183"/>
      <c r="C663" s="183"/>
      <c r="D663" s="183"/>
      <c r="E663" s="183"/>
      <c r="F663" s="477" t="s">
        <v>1832</v>
      </c>
      <c r="G663" s="477"/>
      <c r="H663" s="139">
        <f>SUM(H661:H662)</f>
        <v>12.8</v>
      </c>
      <c r="I663" s="179"/>
      <c r="J663" s="180"/>
    </row>
    <row r="664" spans="1:10" ht="15" customHeight="1" x14ac:dyDescent="0.25">
      <c r="A664" s="483" t="s">
        <v>2251</v>
      </c>
      <c r="B664" s="484"/>
      <c r="C664" s="484"/>
      <c r="D664" s="183"/>
      <c r="E664" s="183"/>
      <c r="F664" s="482" t="s">
        <v>1834</v>
      </c>
      <c r="G664" s="482"/>
      <c r="H664" s="140">
        <v>412.99</v>
      </c>
      <c r="I664" s="179"/>
      <c r="J664" s="180"/>
    </row>
    <row r="665" spans="1:10" ht="9.9499999999999993" customHeight="1" x14ac:dyDescent="0.25">
      <c r="A665" s="182"/>
      <c r="B665" s="183"/>
      <c r="C665" s="183"/>
      <c r="D665" s="183"/>
      <c r="E665" s="183"/>
      <c r="F665" s="485"/>
      <c r="G665" s="485"/>
      <c r="H665" s="485"/>
      <c r="I665" s="179"/>
      <c r="J665" s="180"/>
    </row>
    <row r="666" spans="1:10" ht="20.100000000000001" customHeight="1" x14ac:dyDescent="0.25">
      <c r="A666" s="486" t="s">
        <v>2252</v>
      </c>
      <c r="B666" s="487"/>
      <c r="C666" s="487"/>
      <c r="D666" s="487"/>
      <c r="E666" s="487"/>
      <c r="F666" s="487"/>
      <c r="G666" s="487"/>
      <c r="H666" s="487"/>
      <c r="I666" s="179"/>
      <c r="J666" s="180"/>
    </row>
    <row r="667" spans="1:10" ht="15" customHeight="1" x14ac:dyDescent="0.25">
      <c r="A667" s="474" t="s">
        <v>1812</v>
      </c>
      <c r="B667" s="475"/>
      <c r="C667" s="476" t="s">
        <v>42</v>
      </c>
      <c r="D667" s="476"/>
      <c r="E667" s="230" t="s">
        <v>44</v>
      </c>
      <c r="F667" s="230" t="s">
        <v>1813</v>
      </c>
      <c r="G667" s="230" t="s">
        <v>1814</v>
      </c>
      <c r="H667" s="230" t="s">
        <v>1802</v>
      </c>
      <c r="I667" s="179"/>
      <c r="J667" s="180"/>
    </row>
    <row r="668" spans="1:10" ht="15" customHeight="1" x14ac:dyDescent="0.25">
      <c r="A668" s="181" t="s">
        <v>2253</v>
      </c>
      <c r="B668" s="241" t="s">
        <v>2254</v>
      </c>
      <c r="C668" s="481" t="s">
        <v>341</v>
      </c>
      <c r="D668" s="481"/>
      <c r="E668" s="231" t="s">
        <v>579</v>
      </c>
      <c r="F668" s="239">
        <v>1</v>
      </c>
      <c r="G668" s="240">
        <v>8</v>
      </c>
      <c r="H668" s="240">
        <f>ROUND(ROUND(F668,8)*G668,2)</f>
        <v>8</v>
      </c>
      <c r="I668" s="179"/>
      <c r="J668" s="180"/>
    </row>
    <row r="669" spans="1:10" ht="15" customHeight="1" x14ac:dyDescent="0.25">
      <c r="A669" s="182"/>
      <c r="B669" s="183"/>
      <c r="C669" s="183"/>
      <c r="D669" s="183"/>
      <c r="E669" s="183"/>
      <c r="F669" s="477" t="s">
        <v>1826</v>
      </c>
      <c r="G669" s="477"/>
      <c r="H669" s="139">
        <f>SUM(H668:H668)</f>
        <v>8</v>
      </c>
      <c r="I669" s="179"/>
      <c r="J669" s="180"/>
    </row>
    <row r="670" spans="1:10" ht="15" customHeight="1" x14ac:dyDescent="0.25">
      <c r="A670" s="474" t="s">
        <v>1827</v>
      </c>
      <c r="B670" s="475"/>
      <c r="C670" s="476" t="s">
        <v>42</v>
      </c>
      <c r="D670" s="476"/>
      <c r="E670" s="230" t="s">
        <v>44</v>
      </c>
      <c r="F670" s="230" t="s">
        <v>1813</v>
      </c>
      <c r="G670" s="230" t="s">
        <v>1814</v>
      </c>
      <c r="H670" s="230" t="s">
        <v>1802</v>
      </c>
      <c r="I670" s="179"/>
      <c r="J670" s="180"/>
    </row>
    <row r="671" spans="1:10" ht="15" customHeight="1" x14ac:dyDescent="0.25">
      <c r="A671" s="181" t="s">
        <v>2178</v>
      </c>
      <c r="B671" s="241" t="s">
        <v>2179</v>
      </c>
      <c r="C671" s="481" t="s">
        <v>51</v>
      </c>
      <c r="D671" s="481"/>
      <c r="E671" s="231" t="s">
        <v>1024</v>
      </c>
      <c r="F671" s="239">
        <v>0.5</v>
      </c>
      <c r="G671" s="240">
        <v>26.03</v>
      </c>
      <c r="H671" s="240">
        <f>ROUND(ROUND(F671,8)*G671,2)</f>
        <v>13.02</v>
      </c>
      <c r="I671" s="179"/>
      <c r="J671" s="180"/>
    </row>
    <row r="672" spans="1:10" ht="15" customHeight="1" x14ac:dyDescent="0.25">
      <c r="A672" s="181" t="s">
        <v>1830</v>
      </c>
      <c r="B672" s="241" t="s">
        <v>1831</v>
      </c>
      <c r="C672" s="481" t="s">
        <v>51</v>
      </c>
      <c r="D672" s="481"/>
      <c r="E672" s="231" t="s">
        <v>1024</v>
      </c>
      <c r="F672" s="239">
        <v>0.5</v>
      </c>
      <c r="G672" s="240">
        <v>19.68</v>
      </c>
      <c r="H672" s="240">
        <f>ROUND(ROUND(F672,8)*G672,2)</f>
        <v>9.84</v>
      </c>
      <c r="I672" s="179"/>
      <c r="J672" s="180"/>
    </row>
    <row r="673" spans="1:10" ht="15" customHeight="1" x14ac:dyDescent="0.25">
      <c r="A673" s="182"/>
      <c r="B673" s="183"/>
      <c r="C673" s="183"/>
      <c r="D673" s="183"/>
      <c r="E673" s="183"/>
      <c r="F673" s="477" t="s">
        <v>1832</v>
      </c>
      <c r="G673" s="477"/>
      <c r="H673" s="139">
        <f>SUM(H671:H672)</f>
        <v>22.86</v>
      </c>
      <c r="I673" s="179"/>
      <c r="J673" s="180"/>
    </row>
    <row r="674" spans="1:10" ht="15" customHeight="1" x14ac:dyDescent="0.25">
      <c r="A674" s="483" t="s">
        <v>2255</v>
      </c>
      <c r="B674" s="484"/>
      <c r="C674" s="484"/>
      <c r="D674" s="183"/>
      <c r="E674" s="183"/>
      <c r="F674" s="482" t="s">
        <v>1834</v>
      </c>
      <c r="G674" s="482"/>
      <c r="H674" s="140">
        <v>30.86</v>
      </c>
      <c r="I674" s="179"/>
      <c r="J674" s="180"/>
    </row>
    <row r="675" spans="1:10" ht="9.9499999999999993" customHeight="1" x14ac:dyDescent="0.25">
      <c r="A675" s="182"/>
      <c r="B675" s="183"/>
      <c r="C675" s="183"/>
      <c r="D675" s="183"/>
      <c r="E675" s="183"/>
      <c r="F675" s="485"/>
      <c r="G675" s="485"/>
      <c r="H675" s="485"/>
      <c r="I675" s="179"/>
      <c r="J675" s="180"/>
    </row>
    <row r="676" spans="1:10" ht="20.100000000000001" customHeight="1" x14ac:dyDescent="0.25">
      <c r="A676" s="486" t="s">
        <v>2256</v>
      </c>
      <c r="B676" s="487"/>
      <c r="C676" s="487"/>
      <c r="D676" s="487"/>
      <c r="E676" s="487"/>
      <c r="F676" s="487"/>
      <c r="G676" s="487"/>
      <c r="H676" s="487"/>
      <c r="I676" s="179"/>
      <c r="J676" s="180"/>
    </row>
    <row r="677" spans="1:10" ht="15" customHeight="1" x14ac:dyDescent="0.25">
      <c r="A677" s="474" t="s">
        <v>1812</v>
      </c>
      <c r="B677" s="475"/>
      <c r="C677" s="476" t="s">
        <v>42</v>
      </c>
      <c r="D677" s="476"/>
      <c r="E677" s="230" t="s">
        <v>44</v>
      </c>
      <c r="F677" s="230" t="s">
        <v>1813</v>
      </c>
      <c r="G677" s="230" t="s">
        <v>1814</v>
      </c>
      <c r="H677" s="230" t="s">
        <v>1802</v>
      </c>
      <c r="I677" s="179"/>
      <c r="J677" s="180"/>
    </row>
    <row r="678" spans="1:10" ht="21" customHeight="1" x14ac:dyDescent="0.25">
      <c r="A678" s="181" t="s">
        <v>2257</v>
      </c>
      <c r="B678" s="241" t="s">
        <v>2258</v>
      </c>
      <c r="C678" s="481" t="s">
        <v>341</v>
      </c>
      <c r="D678" s="481"/>
      <c r="E678" s="231" t="s">
        <v>579</v>
      </c>
      <c r="F678" s="239">
        <v>1</v>
      </c>
      <c r="G678" s="240">
        <v>259.8</v>
      </c>
      <c r="H678" s="240">
        <f>ROUND(ROUND(F678,8)*G678,2)</f>
        <v>259.8</v>
      </c>
      <c r="I678" s="179"/>
      <c r="J678" s="180"/>
    </row>
    <row r="679" spans="1:10" ht="15" customHeight="1" x14ac:dyDescent="0.25">
      <c r="A679" s="182"/>
      <c r="B679" s="183"/>
      <c r="C679" s="183"/>
      <c r="D679" s="183"/>
      <c r="E679" s="183"/>
      <c r="F679" s="477" t="s">
        <v>1826</v>
      </c>
      <c r="G679" s="477"/>
      <c r="H679" s="139">
        <f>SUM(H678:H678)</f>
        <v>259.8</v>
      </c>
      <c r="I679" s="179"/>
      <c r="J679" s="180"/>
    </row>
    <row r="680" spans="1:10" ht="15" customHeight="1" x14ac:dyDescent="0.25">
      <c r="A680" s="474" t="s">
        <v>1827</v>
      </c>
      <c r="B680" s="475"/>
      <c r="C680" s="476" t="s">
        <v>42</v>
      </c>
      <c r="D680" s="476"/>
      <c r="E680" s="230" t="s">
        <v>44</v>
      </c>
      <c r="F680" s="230" t="s">
        <v>1813</v>
      </c>
      <c r="G680" s="230" t="s">
        <v>1814</v>
      </c>
      <c r="H680" s="230" t="s">
        <v>1802</v>
      </c>
      <c r="I680" s="179"/>
      <c r="J680" s="180"/>
    </row>
    <row r="681" spans="1:10" ht="15" customHeight="1" x14ac:dyDescent="0.25">
      <c r="A681" s="181" t="s">
        <v>2178</v>
      </c>
      <c r="B681" s="241" t="s">
        <v>2179</v>
      </c>
      <c r="C681" s="481" t="s">
        <v>51</v>
      </c>
      <c r="D681" s="481"/>
      <c r="E681" s="231" t="s">
        <v>1024</v>
      </c>
      <c r="F681" s="239">
        <v>0.20880000000000001</v>
      </c>
      <c r="G681" s="240">
        <v>26.03</v>
      </c>
      <c r="H681" s="240">
        <f>ROUND(ROUND(F681,8)*G681,2)</f>
        <v>5.44</v>
      </c>
      <c r="I681" s="179"/>
      <c r="J681" s="180"/>
    </row>
    <row r="682" spans="1:10" ht="15" customHeight="1" x14ac:dyDescent="0.25">
      <c r="A682" s="182"/>
      <c r="B682" s="183"/>
      <c r="C682" s="183"/>
      <c r="D682" s="183"/>
      <c r="E682" s="183"/>
      <c r="F682" s="477" t="s">
        <v>1832</v>
      </c>
      <c r="G682" s="477"/>
      <c r="H682" s="139">
        <f>SUM(H681:H681)</f>
        <v>5.44</v>
      </c>
      <c r="I682" s="179"/>
      <c r="J682" s="180"/>
    </row>
    <row r="683" spans="1:10" ht="15" customHeight="1" x14ac:dyDescent="0.25">
      <c r="A683" s="474" t="s">
        <v>2190</v>
      </c>
      <c r="B683" s="475"/>
      <c r="C683" s="476" t="s">
        <v>42</v>
      </c>
      <c r="D683" s="476"/>
      <c r="E683" s="230" t="s">
        <v>44</v>
      </c>
      <c r="F683" s="230" t="s">
        <v>1813</v>
      </c>
      <c r="G683" s="230" t="s">
        <v>1814</v>
      </c>
      <c r="H683" s="230" t="s">
        <v>1802</v>
      </c>
      <c r="I683" s="179"/>
      <c r="J683" s="180"/>
    </row>
    <row r="684" spans="1:10" ht="21" customHeight="1" x14ac:dyDescent="0.25">
      <c r="A684" s="181" t="s">
        <v>2191</v>
      </c>
      <c r="B684" s="241" t="s">
        <v>2192</v>
      </c>
      <c r="C684" s="481" t="s">
        <v>82</v>
      </c>
      <c r="D684" s="481"/>
      <c r="E684" s="231" t="s">
        <v>1024</v>
      </c>
      <c r="F684" s="239">
        <v>6.5250000000000002E-2</v>
      </c>
      <c r="G684" s="240">
        <v>31.67</v>
      </c>
      <c r="H684" s="240">
        <f>ROUND(ROUND(F684,8)*G684,2)</f>
        <v>2.0699999999999998</v>
      </c>
      <c r="I684" s="179"/>
      <c r="J684" s="180"/>
    </row>
    <row r="685" spans="1:10" ht="18" customHeight="1" x14ac:dyDescent="0.25">
      <c r="A685" s="182"/>
      <c r="B685" s="183"/>
      <c r="C685" s="183"/>
      <c r="D685" s="183"/>
      <c r="E685" s="183"/>
      <c r="F685" s="477" t="s">
        <v>2195</v>
      </c>
      <c r="G685" s="477"/>
      <c r="H685" s="139">
        <f>SUM(H684:H684)</f>
        <v>2.0699999999999998</v>
      </c>
      <c r="I685" s="179"/>
      <c r="J685" s="180"/>
    </row>
    <row r="686" spans="1:10" ht="15" customHeight="1" x14ac:dyDescent="0.25">
      <c r="A686" s="483" t="s">
        <v>2259</v>
      </c>
      <c r="B686" s="484"/>
      <c r="C686" s="484"/>
      <c r="D686" s="183"/>
      <c r="E686" s="183"/>
      <c r="F686" s="482" t="s">
        <v>1834</v>
      </c>
      <c r="G686" s="482"/>
      <c r="H686" s="140">
        <v>267.31</v>
      </c>
      <c r="I686" s="179"/>
      <c r="J686" s="180"/>
    </row>
    <row r="687" spans="1:10" ht="9.9499999999999993" customHeight="1" x14ac:dyDescent="0.25">
      <c r="A687" s="182"/>
      <c r="B687" s="183"/>
      <c r="C687" s="183"/>
      <c r="D687" s="183"/>
      <c r="E687" s="183"/>
      <c r="F687" s="485"/>
      <c r="G687" s="485"/>
      <c r="H687" s="485"/>
      <c r="I687" s="179"/>
      <c r="J687" s="180"/>
    </row>
    <row r="688" spans="1:10" ht="20.100000000000001" customHeight="1" x14ac:dyDescent="0.25">
      <c r="A688" s="486" t="s">
        <v>2260</v>
      </c>
      <c r="B688" s="487"/>
      <c r="C688" s="487"/>
      <c r="D688" s="487"/>
      <c r="E688" s="487"/>
      <c r="F688" s="487"/>
      <c r="G688" s="487"/>
      <c r="H688" s="487"/>
      <c r="I688" s="179"/>
      <c r="J688" s="180"/>
    </row>
    <row r="689" spans="1:10" ht="20.100000000000001" customHeight="1" x14ac:dyDescent="0.25">
      <c r="A689" s="488" t="s">
        <v>1836</v>
      </c>
      <c r="B689" s="489"/>
      <c r="C689" s="489"/>
      <c r="D689" s="489"/>
      <c r="E689" s="233" t="s">
        <v>44</v>
      </c>
      <c r="F689" s="233" t="s">
        <v>1837</v>
      </c>
      <c r="G689" s="233" t="s">
        <v>1838</v>
      </c>
      <c r="H689" s="233" t="s">
        <v>1839</v>
      </c>
      <c r="I689" s="179"/>
      <c r="J689" s="180"/>
    </row>
    <row r="690" spans="1:10" ht="15" customHeight="1" x14ac:dyDescent="0.25">
      <c r="A690" s="170" t="s">
        <v>2035</v>
      </c>
      <c r="B690" s="490" t="s">
        <v>2036</v>
      </c>
      <c r="C690" s="490"/>
      <c r="D690" s="490"/>
      <c r="E690" s="127" t="s">
        <v>1024</v>
      </c>
      <c r="F690" s="234">
        <v>1.1499999999999999</v>
      </c>
      <c r="G690" s="238">
        <v>26.03</v>
      </c>
      <c r="H690" s="238">
        <f>ROUND(ROUND(F690,8)*G690,2)</f>
        <v>29.93</v>
      </c>
      <c r="I690" s="179"/>
      <c r="J690" s="180"/>
    </row>
    <row r="691" spans="1:10" ht="15" customHeight="1" x14ac:dyDescent="0.25">
      <c r="A691" s="170" t="s">
        <v>1851</v>
      </c>
      <c r="B691" s="490" t="s">
        <v>1852</v>
      </c>
      <c r="C691" s="490"/>
      <c r="D691" s="490"/>
      <c r="E691" s="127" t="s">
        <v>1024</v>
      </c>
      <c r="F691" s="234">
        <v>0.2</v>
      </c>
      <c r="G691" s="238">
        <v>26.03</v>
      </c>
      <c r="H691" s="238">
        <f>ROUND(ROUND(F691,8)*G691,2)</f>
        <v>5.21</v>
      </c>
      <c r="I691" s="179"/>
      <c r="J691" s="180"/>
    </row>
    <row r="692" spans="1:10" ht="15" customHeight="1" x14ac:dyDescent="0.25">
      <c r="A692" s="170" t="s">
        <v>1830</v>
      </c>
      <c r="B692" s="490" t="s">
        <v>1831</v>
      </c>
      <c r="C692" s="490"/>
      <c r="D692" s="490"/>
      <c r="E692" s="127" t="s">
        <v>1024</v>
      </c>
      <c r="F692" s="234">
        <v>0.85</v>
      </c>
      <c r="G692" s="238">
        <v>19.68</v>
      </c>
      <c r="H692" s="238">
        <f>ROUND(ROUND(F692,8)*G692,2)</f>
        <v>16.73</v>
      </c>
      <c r="I692" s="179"/>
      <c r="J692" s="180"/>
    </row>
    <row r="693" spans="1:10" ht="15" customHeight="1" x14ac:dyDescent="0.25">
      <c r="A693" s="184"/>
      <c r="B693" s="141"/>
      <c r="C693" s="141"/>
      <c r="D693" s="141"/>
      <c r="E693" s="141"/>
      <c r="F693" s="491" t="s">
        <v>1844</v>
      </c>
      <c r="G693" s="491"/>
      <c r="H693" s="140">
        <f>SUM(H690:H692)</f>
        <v>51.870000000000005</v>
      </c>
      <c r="I693" s="179"/>
      <c r="J693" s="180"/>
    </row>
    <row r="694" spans="1:10" ht="15" customHeight="1" x14ac:dyDescent="0.25">
      <c r="A694" s="182"/>
      <c r="B694" s="183"/>
      <c r="C694" s="183"/>
      <c r="D694" s="183"/>
      <c r="E694" s="183"/>
      <c r="F694" s="482" t="s">
        <v>1845</v>
      </c>
      <c r="G694" s="482"/>
      <c r="H694" s="236">
        <f>SUM(H693)</f>
        <v>51.870000000000005</v>
      </c>
      <c r="I694" s="179"/>
      <c r="J694" s="180"/>
    </row>
    <row r="695" spans="1:10" ht="15" customHeight="1" x14ac:dyDescent="0.25">
      <c r="A695" s="182"/>
      <c r="B695" s="183"/>
      <c r="C695" s="183"/>
      <c r="D695" s="183"/>
      <c r="E695" s="183"/>
      <c r="F695" s="482" t="s">
        <v>1846</v>
      </c>
      <c r="G695" s="482"/>
      <c r="H695" s="142">
        <v>1</v>
      </c>
      <c r="I695" s="179"/>
      <c r="J695" s="180"/>
    </row>
    <row r="696" spans="1:10" ht="15" customHeight="1" x14ac:dyDescent="0.25">
      <c r="A696" s="182"/>
      <c r="B696" s="183"/>
      <c r="C696" s="183"/>
      <c r="D696" s="183"/>
      <c r="E696" s="183"/>
      <c r="F696" s="482" t="s">
        <v>1847</v>
      </c>
      <c r="G696" s="482"/>
      <c r="H696" s="236">
        <f>ROUND(H694/H695,4)</f>
        <v>51.87</v>
      </c>
      <c r="I696" s="179"/>
      <c r="J696" s="180"/>
    </row>
    <row r="697" spans="1:10" ht="20.100000000000001" customHeight="1" x14ac:dyDescent="0.25">
      <c r="A697" s="488" t="s">
        <v>1880</v>
      </c>
      <c r="B697" s="489"/>
      <c r="C697" s="489"/>
      <c r="D697" s="489"/>
      <c r="E697" s="233" t="s">
        <v>44</v>
      </c>
      <c r="F697" s="233" t="s">
        <v>1837</v>
      </c>
      <c r="G697" s="233" t="s">
        <v>1881</v>
      </c>
      <c r="H697" s="233" t="s">
        <v>1882</v>
      </c>
      <c r="I697" s="179"/>
      <c r="J697" s="180"/>
    </row>
    <row r="698" spans="1:10" ht="15" customHeight="1" x14ac:dyDescent="0.25">
      <c r="A698" s="170" t="s">
        <v>2261</v>
      </c>
      <c r="B698" s="492" t="s">
        <v>2262</v>
      </c>
      <c r="C698" s="492"/>
      <c r="D698" s="492"/>
      <c r="E698" s="127" t="s">
        <v>1817</v>
      </c>
      <c r="F698" s="234">
        <v>16</v>
      </c>
      <c r="G698" s="235">
        <v>1.24</v>
      </c>
      <c r="H698" s="235">
        <f t="shared" ref="H698:H704" si="3">ROUND(ROUND(F698,8)*G698,2)</f>
        <v>19.84</v>
      </c>
      <c r="I698" s="179"/>
      <c r="J698" s="180"/>
    </row>
    <row r="699" spans="1:10" ht="15" customHeight="1" x14ac:dyDescent="0.25">
      <c r="A699" s="170" t="s">
        <v>2170</v>
      </c>
      <c r="B699" s="492" t="s">
        <v>2171</v>
      </c>
      <c r="C699" s="492"/>
      <c r="D699" s="492"/>
      <c r="E699" s="127" t="s">
        <v>85</v>
      </c>
      <c r="F699" s="234">
        <v>2.5000000000000001E-3</v>
      </c>
      <c r="G699" s="235">
        <v>152</v>
      </c>
      <c r="H699" s="235">
        <f t="shared" si="3"/>
        <v>0.38</v>
      </c>
      <c r="I699" s="179"/>
      <c r="J699" s="180"/>
    </row>
    <row r="700" spans="1:10" ht="15" customHeight="1" x14ac:dyDescent="0.25">
      <c r="A700" s="170" t="s">
        <v>2263</v>
      </c>
      <c r="B700" s="492" t="s">
        <v>2264</v>
      </c>
      <c r="C700" s="492"/>
      <c r="D700" s="492"/>
      <c r="E700" s="127" t="s">
        <v>1817</v>
      </c>
      <c r="F700" s="234">
        <v>11.2</v>
      </c>
      <c r="G700" s="235">
        <v>0.56999999999999995</v>
      </c>
      <c r="H700" s="235">
        <f t="shared" si="3"/>
        <v>6.38</v>
      </c>
      <c r="I700" s="179"/>
      <c r="J700" s="180"/>
    </row>
    <row r="701" spans="1:10" ht="15" customHeight="1" x14ac:dyDescent="0.25">
      <c r="A701" s="170" t="s">
        <v>2265</v>
      </c>
      <c r="B701" s="492" t="s">
        <v>2266</v>
      </c>
      <c r="C701" s="492"/>
      <c r="D701" s="492"/>
      <c r="E701" s="127" t="s">
        <v>188</v>
      </c>
      <c r="F701" s="234">
        <v>2</v>
      </c>
      <c r="G701" s="235">
        <v>1.78</v>
      </c>
      <c r="H701" s="235">
        <f t="shared" si="3"/>
        <v>3.56</v>
      </c>
      <c r="I701" s="179"/>
      <c r="J701" s="180"/>
    </row>
    <row r="702" spans="1:10" ht="15" customHeight="1" x14ac:dyDescent="0.25">
      <c r="A702" s="170" t="s">
        <v>2267</v>
      </c>
      <c r="B702" s="492" t="s">
        <v>2268</v>
      </c>
      <c r="C702" s="492"/>
      <c r="D702" s="492"/>
      <c r="E702" s="127" t="s">
        <v>1024</v>
      </c>
      <c r="F702" s="234">
        <v>1.1499999999999999</v>
      </c>
      <c r="G702" s="235">
        <v>3.62</v>
      </c>
      <c r="H702" s="235">
        <f t="shared" si="3"/>
        <v>4.16</v>
      </c>
      <c r="I702" s="179"/>
      <c r="J702" s="180"/>
    </row>
    <row r="703" spans="1:10" ht="15" customHeight="1" x14ac:dyDescent="0.25">
      <c r="A703" s="170" t="s">
        <v>2269</v>
      </c>
      <c r="B703" s="492" t="s">
        <v>2270</v>
      </c>
      <c r="C703" s="492"/>
      <c r="D703" s="492"/>
      <c r="E703" s="127" t="s">
        <v>226</v>
      </c>
      <c r="F703" s="234">
        <v>0.18</v>
      </c>
      <c r="G703" s="235">
        <v>37.06</v>
      </c>
      <c r="H703" s="235">
        <f t="shared" si="3"/>
        <v>6.67</v>
      </c>
      <c r="I703" s="179"/>
      <c r="J703" s="180"/>
    </row>
    <row r="704" spans="1:10" ht="15" customHeight="1" x14ac:dyDescent="0.25">
      <c r="A704" s="170" t="s">
        <v>2271</v>
      </c>
      <c r="B704" s="492" t="s">
        <v>2272</v>
      </c>
      <c r="C704" s="492"/>
      <c r="D704" s="492"/>
      <c r="E704" s="127" t="s">
        <v>1817</v>
      </c>
      <c r="F704" s="234">
        <v>0.2</v>
      </c>
      <c r="G704" s="235">
        <v>66.260000000000005</v>
      </c>
      <c r="H704" s="235">
        <f t="shared" si="3"/>
        <v>13.25</v>
      </c>
      <c r="I704" s="179"/>
      <c r="J704" s="180"/>
    </row>
    <row r="705" spans="1:10" ht="15" customHeight="1" x14ac:dyDescent="0.25">
      <c r="A705" s="184"/>
      <c r="B705" s="141"/>
      <c r="C705" s="141"/>
      <c r="D705" s="141"/>
      <c r="E705" s="141"/>
      <c r="F705" s="491" t="s">
        <v>1889</v>
      </c>
      <c r="G705" s="491"/>
      <c r="H705" s="143">
        <f>SUM(H698:H704)</f>
        <v>54.239999999999995</v>
      </c>
      <c r="I705" s="179"/>
      <c r="J705" s="180"/>
    </row>
    <row r="706" spans="1:10" ht="20.100000000000001" customHeight="1" x14ac:dyDescent="0.25">
      <c r="A706" s="488" t="s">
        <v>2009</v>
      </c>
      <c r="B706" s="489"/>
      <c r="C706" s="489"/>
      <c r="D706" s="489"/>
      <c r="E706" s="233" t="s">
        <v>44</v>
      </c>
      <c r="F706" s="233" t="s">
        <v>1837</v>
      </c>
      <c r="G706" s="233" t="s">
        <v>1814</v>
      </c>
      <c r="H706" s="233" t="s">
        <v>1882</v>
      </c>
      <c r="I706" s="179"/>
      <c r="J706" s="180"/>
    </row>
    <row r="707" spans="1:10" ht="15.95" customHeight="1" x14ac:dyDescent="0.25">
      <c r="A707" s="170" t="s">
        <v>2273</v>
      </c>
      <c r="B707" s="492" t="s">
        <v>2274</v>
      </c>
      <c r="C707" s="492"/>
      <c r="D707" s="492"/>
      <c r="E707" s="127"/>
      <c r="F707" s="237">
        <v>1</v>
      </c>
      <c r="G707" s="235">
        <v>54.03</v>
      </c>
      <c r="H707" s="235">
        <f>ROUND(ROUND(F707,8)*G707,2)</f>
        <v>54.03</v>
      </c>
      <c r="I707" s="179"/>
      <c r="J707" s="180"/>
    </row>
    <row r="708" spans="1:10" ht="15" customHeight="1" x14ac:dyDescent="0.25">
      <c r="A708" s="184"/>
      <c r="B708" s="141"/>
      <c r="C708" s="141"/>
      <c r="D708" s="141"/>
      <c r="E708" s="141"/>
      <c r="F708" s="491" t="s">
        <v>2014</v>
      </c>
      <c r="G708" s="491"/>
      <c r="H708" s="143">
        <f>SUM(H707:H707)</f>
        <v>54.03</v>
      </c>
      <c r="I708" s="179"/>
      <c r="J708" s="180"/>
    </row>
    <row r="709" spans="1:10" ht="15" customHeight="1" x14ac:dyDescent="0.25">
      <c r="A709" s="182"/>
      <c r="B709" s="183"/>
      <c r="C709" s="183"/>
      <c r="D709" s="183"/>
      <c r="E709" s="183"/>
      <c r="F709" s="482" t="s">
        <v>1848</v>
      </c>
      <c r="G709" s="482"/>
      <c r="H709" s="236">
        <f>SUM(H696,H705,H708)</f>
        <v>160.13999999999999</v>
      </c>
      <c r="I709" s="179"/>
      <c r="J709" s="180"/>
    </row>
    <row r="710" spans="1:10" ht="15" customHeight="1" x14ac:dyDescent="0.25">
      <c r="A710" s="483" t="s">
        <v>2275</v>
      </c>
      <c r="B710" s="484"/>
      <c r="C710" s="484"/>
      <c r="D710" s="183"/>
      <c r="E710" s="183"/>
      <c r="F710" s="482" t="s">
        <v>1834</v>
      </c>
      <c r="G710" s="482"/>
      <c r="H710" s="140">
        <v>160.13999999999999</v>
      </c>
      <c r="I710" s="179"/>
      <c r="J710" s="180"/>
    </row>
    <row r="711" spans="1:10" ht="9.9499999999999993" customHeight="1" x14ac:dyDescent="0.25">
      <c r="A711" s="182"/>
      <c r="B711" s="183"/>
      <c r="C711" s="183"/>
      <c r="D711" s="183"/>
      <c r="E711" s="183"/>
      <c r="F711" s="485"/>
      <c r="G711" s="485"/>
      <c r="H711" s="485"/>
      <c r="I711" s="179"/>
      <c r="J711" s="180"/>
    </row>
    <row r="712" spans="1:10" ht="20.100000000000001" customHeight="1" x14ac:dyDescent="0.25">
      <c r="A712" s="486" t="s">
        <v>2276</v>
      </c>
      <c r="B712" s="487"/>
      <c r="C712" s="487"/>
      <c r="D712" s="487"/>
      <c r="E712" s="487"/>
      <c r="F712" s="487"/>
      <c r="G712" s="487"/>
      <c r="H712" s="487"/>
      <c r="I712" s="179"/>
      <c r="J712" s="180"/>
    </row>
    <row r="713" spans="1:10" ht="15" customHeight="1" x14ac:dyDescent="0.25">
      <c r="A713" s="474" t="s">
        <v>1812</v>
      </c>
      <c r="B713" s="475"/>
      <c r="C713" s="476" t="s">
        <v>42</v>
      </c>
      <c r="D713" s="476"/>
      <c r="E713" s="230" t="s">
        <v>44</v>
      </c>
      <c r="F713" s="230" t="s">
        <v>1813</v>
      </c>
      <c r="G713" s="230" t="s">
        <v>1814</v>
      </c>
      <c r="H713" s="230" t="s">
        <v>1802</v>
      </c>
      <c r="I713" s="179"/>
      <c r="J713" s="180"/>
    </row>
    <row r="714" spans="1:10" ht="29.1" customHeight="1" x14ac:dyDescent="0.25">
      <c r="A714" s="181" t="s">
        <v>2277</v>
      </c>
      <c r="B714" s="241" t="s">
        <v>2278</v>
      </c>
      <c r="C714" s="481" t="s">
        <v>82</v>
      </c>
      <c r="D714" s="481"/>
      <c r="E714" s="231" t="s">
        <v>226</v>
      </c>
      <c r="F714" s="239">
        <v>1</v>
      </c>
      <c r="G714" s="240">
        <v>3.14</v>
      </c>
      <c r="H714" s="240">
        <f>ROUND(ROUND(F714,8)*G714,2)</f>
        <v>3.14</v>
      </c>
      <c r="I714" s="179"/>
      <c r="J714" s="180"/>
    </row>
    <row r="715" spans="1:10" ht="15" customHeight="1" x14ac:dyDescent="0.25">
      <c r="A715" s="182"/>
      <c r="B715" s="183"/>
      <c r="C715" s="183"/>
      <c r="D715" s="183"/>
      <c r="E715" s="183"/>
      <c r="F715" s="477" t="s">
        <v>1826</v>
      </c>
      <c r="G715" s="477"/>
      <c r="H715" s="139">
        <f>SUM(H714:H714)</f>
        <v>3.14</v>
      </c>
      <c r="I715" s="179"/>
      <c r="J715" s="180"/>
    </row>
    <row r="716" spans="1:10" ht="15" customHeight="1" x14ac:dyDescent="0.25">
      <c r="A716" s="474" t="s">
        <v>1827</v>
      </c>
      <c r="B716" s="475"/>
      <c r="C716" s="476" t="s">
        <v>42</v>
      </c>
      <c r="D716" s="476"/>
      <c r="E716" s="230" t="s">
        <v>44</v>
      </c>
      <c r="F716" s="230" t="s">
        <v>1813</v>
      </c>
      <c r="G716" s="230" t="s">
        <v>1814</v>
      </c>
      <c r="H716" s="230" t="s">
        <v>1802</v>
      </c>
      <c r="I716" s="179"/>
      <c r="J716" s="180"/>
    </row>
    <row r="717" spans="1:10" ht="15" customHeight="1" x14ac:dyDescent="0.25">
      <c r="A717" s="181" t="s">
        <v>2279</v>
      </c>
      <c r="B717" s="241" t="s">
        <v>2280</v>
      </c>
      <c r="C717" s="481" t="s">
        <v>51</v>
      </c>
      <c r="D717" s="481"/>
      <c r="E717" s="231" t="s">
        <v>1024</v>
      </c>
      <c r="F717" s="239">
        <v>2.0300000000000001E-3</v>
      </c>
      <c r="G717" s="240">
        <v>26.03</v>
      </c>
      <c r="H717" s="240">
        <f>ROUND(ROUND(F717,8)*G717,2)</f>
        <v>0.05</v>
      </c>
      <c r="I717" s="179"/>
      <c r="J717" s="180"/>
    </row>
    <row r="718" spans="1:10" ht="15" customHeight="1" x14ac:dyDescent="0.25">
      <c r="A718" s="181" t="s">
        <v>1830</v>
      </c>
      <c r="B718" s="241" t="s">
        <v>1831</v>
      </c>
      <c r="C718" s="481" t="s">
        <v>51</v>
      </c>
      <c r="D718" s="481"/>
      <c r="E718" s="231" t="s">
        <v>1024</v>
      </c>
      <c r="F718" s="239">
        <v>1.0120000000000001E-2</v>
      </c>
      <c r="G718" s="240">
        <v>19.68</v>
      </c>
      <c r="H718" s="240">
        <f>ROUND(ROUND(F718,8)*G718,2)</f>
        <v>0.2</v>
      </c>
      <c r="I718" s="179"/>
      <c r="J718" s="180"/>
    </row>
    <row r="719" spans="1:10" ht="15" customHeight="1" x14ac:dyDescent="0.25">
      <c r="A719" s="182"/>
      <c r="B719" s="183"/>
      <c r="C719" s="183"/>
      <c r="D719" s="183"/>
      <c r="E719" s="183"/>
      <c r="F719" s="477" t="s">
        <v>1832</v>
      </c>
      <c r="G719" s="477"/>
      <c r="H719" s="139">
        <f>SUM(H717:H718)</f>
        <v>0.25</v>
      </c>
      <c r="I719" s="179"/>
      <c r="J719" s="180"/>
    </row>
    <row r="720" spans="1:10" ht="15" customHeight="1" x14ac:dyDescent="0.25">
      <c r="A720" s="483" t="s">
        <v>2281</v>
      </c>
      <c r="B720" s="484"/>
      <c r="C720" s="484"/>
      <c r="D720" s="183"/>
      <c r="E720" s="183"/>
      <c r="F720" s="495" t="s">
        <v>1834</v>
      </c>
      <c r="G720" s="495"/>
      <c r="H720" s="195">
        <v>3.39</v>
      </c>
      <c r="I720" s="179"/>
      <c r="J720" s="180"/>
    </row>
    <row r="721" spans="1:12" s="39" customFormat="1" ht="16.5" x14ac:dyDescent="0.3">
      <c r="A721" s="208" t="s">
        <v>2282</v>
      </c>
      <c r="B721" s="196"/>
      <c r="C721" s="196"/>
      <c r="D721" s="197"/>
      <c r="E721" s="197"/>
      <c r="F721" s="197"/>
      <c r="G721" s="197"/>
      <c r="H721" s="197"/>
      <c r="I721" s="197"/>
      <c r="J721" s="209" t="s">
        <v>2283</v>
      </c>
      <c r="K721" s="38"/>
      <c r="L721" s="38"/>
    </row>
    <row r="722" spans="1:12" s="39" customFormat="1" ht="16.5" customHeight="1" x14ac:dyDescent="0.3">
      <c r="A722" s="496" t="s">
        <v>2284</v>
      </c>
      <c r="B722" s="497"/>
      <c r="C722" s="497"/>
      <c r="D722" s="497"/>
      <c r="E722" s="497"/>
      <c r="F722" s="497"/>
      <c r="G722" s="497"/>
      <c r="H722" s="497"/>
      <c r="I722" s="498"/>
      <c r="J722" s="502" t="s">
        <v>2285</v>
      </c>
      <c r="K722" s="38"/>
      <c r="L722" s="38"/>
    </row>
    <row r="723" spans="1:12" s="39" customFormat="1" ht="16.5" x14ac:dyDescent="0.3">
      <c r="A723" s="499"/>
      <c r="B723" s="500"/>
      <c r="C723" s="500"/>
      <c r="D723" s="500"/>
      <c r="E723" s="500"/>
      <c r="F723" s="500"/>
      <c r="G723" s="500"/>
      <c r="H723" s="500"/>
      <c r="I723" s="501"/>
      <c r="J723" s="503"/>
      <c r="K723" s="38"/>
      <c r="L723" s="38"/>
    </row>
    <row r="724" spans="1:12" s="39" customFormat="1" ht="16.5" x14ac:dyDescent="0.3">
      <c r="A724" s="210" t="s">
        <v>2286</v>
      </c>
      <c r="B724" s="199" t="s">
        <v>2287</v>
      </c>
      <c r="C724" s="199"/>
      <c r="D724" s="199" t="s">
        <v>2288</v>
      </c>
      <c r="E724" s="199" t="s">
        <v>2289</v>
      </c>
      <c r="F724" s="199" t="s">
        <v>2290</v>
      </c>
      <c r="G724" s="199" t="s">
        <v>2291</v>
      </c>
      <c r="H724" s="199" t="s">
        <v>2292</v>
      </c>
      <c r="I724" s="199" t="s">
        <v>2293</v>
      </c>
      <c r="J724" s="211" t="s">
        <v>2294</v>
      </c>
      <c r="K724" s="38"/>
      <c r="L724" s="38"/>
    </row>
    <row r="725" spans="1:12" s="39" customFormat="1" ht="16.5" x14ac:dyDescent="0.3">
      <c r="A725" s="212"/>
      <c r="B725" s="196"/>
      <c r="C725" s="196"/>
      <c r="D725" s="196"/>
      <c r="E725" s="197"/>
      <c r="F725" s="197"/>
      <c r="G725" s="198" t="s">
        <v>2295</v>
      </c>
      <c r="H725" s="197"/>
      <c r="I725" s="197"/>
      <c r="J725" s="213"/>
      <c r="K725" s="38"/>
      <c r="L725" s="38"/>
    </row>
    <row r="726" spans="1:12" s="39" customFormat="1" ht="16.5" x14ac:dyDescent="0.3">
      <c r="A726" s="212"/>
      <c r="B726" s="196"/>
      <c r="C726" s="196"/>
      <c r="D726" s="196"/>
      <c r="E726" s="197"/>
      <c r="F726" s="197"/>
      <c r="G726" s="197"/>
      <c r="H726" s="197"/>
      <c r="I726" s="197"/>
      <c r="J726" s="213"/>
      <c r="K726" s="38"/>
      <c r="L726" s="38"/>
    </row>
    <row r="727" spans="1:12" s="39" customFormat="1" ht="16.5" x14ac:dyDescent="0.3">
      <c r="A727" s="208" t="s">
        <v>2296</v>
      </c>
      <c r="B727" s="232" t="s">
        <v>2287</v>
      </c>
      <c r="C727" s="232"/>
      <c r="D727" s="199" t="s">
        <v>2297</v>
      </c>
      <c r="E727" s="232" t="s">
        <v>2298</v>
      </c>
      <c r="F727" s="493" t="s">
        <v>2293</v>
      </c>
      <c r="G727" s="493"/>
      <c r="H727" s="493"/>
      <c r="I727" s="493" t="s">
        <v>2294</v>
      </c>
      <c r="J727" s="494"/>
      <c r="K727" s="38"/>
      <c r="L727" s="38"/>
    </row>
    <row r="728" spans="1:12" s="39" customFormat="1" ht="16.5" x14ac:dyDescent="0.3">
      <c r="A728" s="212"/>
      <c r="B728" s="196"/>
      <c r="C728" s="196"/>
      <c r="D728" s="196"/>
      <c r="E728" s="197"/>
      <c r="F728" s="197"/>
      <c r="G728" s="198" t="s">
        <v>2299</v>
      </c>
      <c r="H728" s="197"/>
      <c r="I728" s="197"/>
      <c r="J728" s="213">
        <v>0</v>
      </c>
      <c r="K728" s="38"/>
      <c r="L728" s="38"/>
    </row>
    <row r="729" spans="1:12" s="39" customFormat="1" ht="16.5" x14ac:dyDescent="0.3">
      <c r="A729" s="212"/>
      <c r="B729" s="196"/>
      <c r="C729" s="196"/>
      <c r="D729" s="196"/>
      <c r="E729" s="197"/>
      <c r="F729" s="197"/>
      <c r="G729" s="197"/>
      <c r="H729" s="197"/>
      <c r="I729" s="197"/>
      <c r="J729" s="213"/>
      <c r="K729" s="38"/>
      <c r="L729" s="38"/>
    </row>
    <row r="730" spans="1:12" s="39" customFormat="1" ht="16.5" x14ac:dyDescent="0.3">
      <c r="A730" s="210" t="s">
        <v>2300</v>
      </c>
      <c r="B730" s="232" t="s">
        <v>2287</v>
      </c>
      <c r="C730" s="232"/>
      <c r="D730" s="232" t="s">
        <v>2301</v>
      </c>
      <c r="E730" s="232" t="s">
        <v>2302</v>
      </c>
      <c r="F730" s="232" t="s">
        <v>2303</v>
      </c>
      <c r="G730" s="232" t="s">
        <v>2304</v>
      </c>
      <c r="H730" s="493" t="s">
        <v>2305</v>
      </c>
      <c r="I730" s="493"/>
      <c r="J730" s="494"/>
      <c r="K730" s="38"/>
      <c r="L730" s="38"/>
    </row>
    <row r="731" spans="1:12" s="39" customFormat="1" ht="16.5" x14ac:dyDescent="0.3">
      <c r="A731" s="212"/>
      <c r="B731" s="196"/>
      <c r="C731" s="196"/>
      <c r="D731" s="197"/>
      <c r="E731" s="197"/>
      <c r="F731" s="197"/>
      <c r="G731" s="198" t="s">
        <v>2306</v>
      </c>
      <c r="H731" s="197"/>
      <c r="I731" s="197"/>
      <c r="J731" s="213"/>
      <c r="K731" s="38"/>
      <c r="L731" s="38"/>
    </row>
    <row r="732" spans="1:12" s="39" customFormat="1" ht="16.5" x14ac:dyDescent="0.3">
      <c r="A732" s="212"/>
      <c r="B732" s="196"/>
      <c r="C732" s="196"/>
      <c r="D732" s="197"/>
      <c r="E732" s="197"/>
      <c r="F732" s="197"/>
      <c r="G732" s="197"/>
      <c r="H732" s="197"/>
      <c r="I732" s="197"/>
      <c r="J732" s="213"/>
      <c r="K732" s="38"/>
      <c r="L732" s="38"/>
    </row>
    <row r="733" spans="1:12" s="39" customFormat="1" ht="16.5" x14ac:dyDescent="0.3">
      <c r="A733" s="214"/>
      <c r="B733" s="196"/>
      <c r="C733" s="196"/>
      <c r="D733" s="197"/>
      <c r="E733" s="197"/>
      <c r="F733" s="197"/>
      <c r="G733" s="198" t="s">
        <v>2307</v>
      </c>
      <c r="H733" s="197"/>
      <c r="I733" s="197"/>
      <c r="J733" s="215">
        <v>0</v>
      </c>
      <c r="K733" s="38"/>
      <c r="L733" s="38"/>
    </row>
    <row r="734" spans="1:12" s="39" customFormat="1" ht="16.5" x14ac:dyDescent="0.3">
      <c r="A734" s="214"/>
      <c r="B734" s="196"/>
      <c r="C734" s="196"/>
      <c r="D734" s="197"/>
      <c r="E734" s="197"/>
      <c r="F734" s="197"/>
      <c r="G734" s="198" t="s">
        <v>2308</v>
      </c>
      <c r="H734" s="197"/>
      <c r="I734" s="197"/>
      <c r="J734" s="215">
        <v>1</v>
      </c>
      <c r="K734" s="38"/>
      <c r="L734" s="38"/>
    </row>
    <row r="735" spans="1:12" s="39" customFormat="1" ht="16.5" x14ac:dyDescent="0.3">
      <c r="A735" s="214"/>
      <c r="B735" s="196"/>
      <c r="C735" s="196"/>
      <c r="D735" s="197"/>
      <c r="E735" s="197"/>
      <c r="F735" s="197"/>
      <c r="G735" s="198" t="s">
        <v>2309</v>
      </c>
      <c r="H735" s="197"/>
      <c r="I735" s="197"/>
      <c r="J735" s="215">
        <v>0</v>
      </c>
      <c r="K735" s="38"/>
      <c r="L735" s="38"/>
    </row>
    <row r="736" spans="1:12" s="39" customFormat="1" ht="16.5" x14ac:dyDescent="0.3">
      <c r="A736" s="214"/>
      <c r="B736" s="196"/>
      <c r="C736" s="196"/>
      <c r="D736" s="197"/>
      <c r="E736" s="197"/>
      <c r="F736" s="197"/>
      <c r="G736" s="201"/>
      <c r="H736" s="197"/>
      <c r="I736" s="197"/>
      <c r="J736" s="216"/>
      <c r="K736" s="38"/>
      <c r="L736" s="38"/>
    </row>
    <row r="737" spans="1:12" s="39" customFormat="1" ht="16.5" x14ac:dyDescent="0.3">
      <c r="A737" s="208" t="s">
        <v>2310</v>
      </c>
      <c r="B737" s="232" t="s">
        <v>2287</v>
      </c>
      <c r="C737" s="232"/>
      <c r="D737" s="232" t="s">
        <v>2297</v>
      </c>
      <c r="E737" s="232" t="s">
        <v>2311</v>
      </c>
      <c r="F737" s="493" t="s">
        <v>2293</v>
      </c>
      <c r="G737" s="493"/>
      <c r="H737" s="493"/>
      <c r="I737" s="493" t="s">
        <v>2312</v>
      </c>
      <c r="J737" s="494"/>
      <c r="K737" s="38"/>
      <c r="L737" s="38"/>
    </row>
    <row r="738" spans="1:12" s="39" customFormat="1" ht="16.5" x14ac:dyDescent="0.3">
      <c r="A738" s="212"/>
      <c r="B738" s="196"/>
      <c r="C738" s="196"/>
      <c r="D738" s="197"/>
      <c r="E738" s="197"/>
      <c r="F738" s="197"/>
      <c r="G738" s="198" t="s">
        <v>2313</v>
      </c>
      <c r="H738" s="197"/>
      <c r="I738" s="197"/>
      <c r="J738" s="213">
        <v>0</v>
      </c>
      <c r="K738" s="38"/>
      <c r="L738" s="38"/>
    </row>
    <row r="739" spans="1:12" s="39" customFormat="1" ht="16.5" x14ac:dyDescent="0.3">
      <c r="A739" s="212"/>
      <c r="B739" s="196"/>
      <c r="C739" s="196"/>
      <c r="D739" s="197"/>
      <c r="E739" s="197"/>
      <c r="F739" s="197"/>
      <c r="G739" s="197"/>
      <c r="H739" s="202"/>
      <c r="I739" s="197"/>
      <c r="J739" s="213"/>
      <c r="K739" s="38"/>
      <c r="L739" s="38"/>
    </row>
    <row r="740" spans="1:12" s="39" customFormat="1" ht="16.5" x14ac:dyDescent="0.3">
      <c r="A740" s="208" t="s">
        <v>2314</v>
      </c>
      <c r="B740" s="232" t="s">
        <v>2287</v>
      </c>
      <c r="C740" s="199" t="s">
        <v>2315</v>
      </c>
      <c r="D740" s="232" t="s">
        <v>2297</v>
      </c>
      <c r="E740" s="232" t="s">
        <v>2311</v>
      </c>
      <c r="F740" s="493" t="s">
        <v>2293</v>
      </c>
      <c r="G740" s="493"/>
      <c r="H740" s="493"/>
      <c r="I740" s="493" t="s">
        <v>2312</v>
      </c>
      <c r="J740" s="494"/>
      <c r="K740" s="38"/>
      <c r="L740" s="38"/>
    </row>
    <row r="741" spans="1:12" s="39" customFormat="1" ht="33.75" x14ac:dyDescent="0.3">
      <c r="A741" s="214" t="s">
        <v>2316</v>
      </c>
      <c r="B741" s="196" t="s">
        <v>2317</v>
      </c>
      <c r="C741" s="196" t="s">
        <v>2318</v>
      </c>
      <c r="D741" s="196" t="s">
        <v>2319</v>
      </c>
      <c r="E741" s="200">
        <v>115000</v>
      </c>
      <c r="F741" s="203"/>
      <c r="G741" s="197"/>
      <c r="H741" s="204">
        <v>1</v>
      </c>
      <c r="I741" s="197"/>
      <c r="J741" s="217">
        <v>115000</v>
      </c>
      <c r="K741" s="38"/>
      <c r="L741" s="38"/>
    </row>
    <row r="742" spans="1:12" s="39" customFormat="1" ht="16.5" x14ac:dyDescent="0.3">
      <c r="A742" s="218"/>
      <c r="B742" s="137"/>
      <c r="C742" s="137"/>
      <c r="D742" s="205"/>
      <c r="E742" s="205"/>
      <c r="F742" s="205"/>
      <c r="G742" s="206" t="s">
        <v>2320</v>
      </c>
      <c r="H742" s="197"/>
      <c r="I742" s="205"/>
      <c r="J742" s="219">
        <v>115000</v>
      </c>
      <c r="K742" s="38"/>
      <c r="L742" s="38"/>
    </row>
    <row r="743" spans="1:12" s="39" customFormat="1" ht="16.5" x14ac:dyDescent="0.3">
      <c r="A743" s="218"/>
      <c r="B743" s="137"/>
      <c r="C743" s="137"/>
      <c r="D743" s="205"/>
      <c r="E743" s="205"/>
      <c r="F743" s="205"/>
      <c r="G743" s="205"/>
      <c r="H743" s="205"/>
      <c r="I743" s="205"/>
      <c r="J743" s="220"/>
      <c r="K743" s="38"/>
      <c r="L743" s="38"/>
    </row>
    <row r="744" spans="1:12" s="39" customFormat="1" ht="16.5" x14ac:dyDescent="0.3">
      <c r="A744" s="221" t="s">
        <v>2321</v>
      </c>
      <c r="B744" s="207" t="s">
        <v>2287</v>
      </c>
      <c r="C744" s="207"/>
      <c r="D744" s="207" t="s">
        <v>2297</v>
      </c>
      <c r="E744" s="207" t="s">
        <v>2322</v>
      </c>
      <c r="F744" s="207" t="s">
        <v>2323</v>
      </c>
      <c r="G744" s="207" t="s">
        <v>2324</v>
      </c>
      <c r="H744" s="207" t="s">
        <v>2305</v>
      </c>
      <c r="I744" s="207" t="s">
        <v>2293</v>
      </c>
      <c r="J744" s="222" t="s">
        <v>2325</v>
      </c>
    </row>
    <row r="745" spans="1:12" s="39" customFormat="1" ht="16.5" x14ac:dyDescent="0.3">
      <c r="A745" s="218"/>
      <c r="B745" s="137"/>
      <c r="C745" s="137"/>
      <c r="D745" s="205"/>
      <c r="E745" s="205"/>
      <c r="F745" s="205"/>
      <c r="G745" s="206" t="s">
        <v>2326</v>
      </c>
      <c r="H745" s="197"/>
      <c r="I745" s="205"/>
      <c r="J745" s="219"/>
      <c r="K745" s="38"/>
      <c r="L745" s="38"/>
    </row>
    <row r="746" spans="1:12" s="39" customFormat="1" ht="16.5" x14ac:dyDescent="0.3">
      <c r="A746" s="189" t="s">
        <v>2327</v>
      </c>
      <c r="B746" s="133" t="s">
        <v>2328</v>
      </c>
      <c r="C746" s="134"/>
      <c r="D746" s="135"/>
      <c r="E746" s="205"/>
      <c r="F746" s="205"/>
      <c r="G746" s="205"/>
      <c r="H746" s="205"/>
      <c r="I746" s="205"/>
      <c r="J746" s="219"/>
      <c r="K746" s="38"/>
      <c r="L746" s="38"/>
    </row>
    <row r="747" spans="1:12" s="39" customFormat="1" ht="16.5" x14ac:dyDescent="0.3">
      <c r="A747" s="190" t="s">
        <v>2329</v>
      </c>
      <c r="B747" s="136">
        <v>120000</v>
      </c>
      <c r="C747" s="137">
        <v>0.88100000000000001</v>
      </c>
      <c r="D747" s="138"/>
      <c r="E747" s="205"/>
      <c r="F747" s="205"/>
      <c r="G747" s="206" t="s">
        <v>2330</v>
      </c>
      <c r="H747" s="205"/>
      <c r="I747" s="197"/>
      <c r="J747" s="215">
        <f>B749</f>
        <v>115000</v>
      </c>
      <c r="K747" s="38"/>
      <c r="L747" s="38"/>
    </row>
    <row r="748" spans="1:12" s="39" customFormat="1" ht="16.5" x14ac:dyDescent="0.3">
      <c r="A748" s="190" t="s">
        <v>2331</v>
      </c>
      <c r="B748" s="136">
        <v>110000</v>
      </c>
      <c r="C748" s="137">
        <v>0.88100000000000001</v>
      </c>
      <c r="D748" s="138"/>
      <c r="E748" s="205"/>
      <c r="F748" s="205"/>
      <c r="G748" s="206" t="s">
        <v>2332</v>
      </c>
      <c r="H748" s="205"/>
      <c r="I748" s="197"/>
      <c r="J748" s="215">
        <f>J747*0.3325</f>
        <v>38237.5</v>
      </c>
      <c r="K748" s="38"/>
      <c r="L748" s="38"/>
    </row>
    <row r="749" spans="1:12" s="39" customFormat="1" ht="17.25" thickBot="1" x14ac:dyDescent="0.35">
      <c r="A749" s="191" t="s">
        <v>2333</v>
      </c>
      <c r="B749" s="192">
        <f>(B747+B748)/2</f>
        <v>115000</v>
      </c>
      <c r="C749" s="193"/>
      <c r="D749" s="192"/>
      <c r="E749" s="223"/>
      <c r="F749" s="223"/>
      <c r="G749" s="224" t="s">
        <v>2334</v>
      </c>
      <c r="H749" s="223"/>
      <c r="I749" s="225"/>
      <c r="J749" s="226">
        <f>J747+J748</f>
        <v>153237.5</v>
      </c>
      <c r="K749" s="38"/>
      <c r="L749" s="38"/>
    </row>
    <row r="750" spans="1:12" s="39" customFormat="1" ht="16.5" customHeight="1" x14ac:dyDescent="0.3">
      <c r="A750" s="496" t="s">
        <v>4722</v>
      </c>
      <c r="B750" s="497"/>
      <c r="C750" s="497"/>
      <c r="D750" s="497"/>
      <c r="E750" s="497"/>
      <c r="F750" s="497"/>
      <c r="G750" s="497"/>
      <c r="H750" s="497"/>
      <c r="I750" s="498"/>
      <c r="J750" s="502" t="s">
        <v>2285</v>
      </c>
      <c r="K750" s="38"/>
      <c r="L750" s="38"/>
    </row>
    <row r="751" spans="1:12" s="39" customFormat="1" ht="16.5" x14ac:dyDescent="0.3">
      <c r="A751" s="499"/>
      <c r="B751" s="500"/>
      <c r="C751" s="500"/>
      <c r="D751" s="500"/>
      <c r="E751" s="500"/>
      <c r="F751" s="500"/>
      <c r="G751" s="500"/>
      <c r="H751" s="500"/>
      <c r="I751" s="501"/>
      <c r="J751" s="503"/>
      <c r="K751" s="38"/>
      <c r="L751" s="38"/>
    </row>
    <row r="752" spans="1:12" s="39" customFormat="1" ht="16.5" x14ac:dyDescent="0.3">
      <c r="A752" s="210" t="s">
        <v>2286</v>
      </c>
      <c r="B752" s="199" t="s">
        <v>2287</v>
      </c>
      <c r="C752" s="199"/>
      <c r="D752" s="199" t="s">
        <v>2288</v>
      </c>
      <c r="E752" s="199" t="s">
        <v>2289</v>
      </c>
      <c r="F752" s="199" t="s">
        <v>2290</v>
      </c>
      <c r="G752" s="199" t="s">
        <v>2291</v>
      </c>
      <c r="H752" s="199" t="s">
        <v>2292</v>
      </c>
      <c r="I752" s="199" t="s">
        <v>2293</v>
      </c>
      <c r="J752" s="211" t="s">
        <v>2294</v>
      </c>
      <c r="K752" s="38"/>
      <c r="L752" s="38"/>
    </row>
    <row r="753" spans="1:12" s="39" customFormat="1" ht="16.5" x14ac:dyDescent="0.3">
      <c r="A753" s="212"/>
      <c r="B753" s="196"/>
      <c r="C753" s="196"/>
      <c r="D753" s="196"/>
      <c r="E753" s="197"/>
      <c r="F753" s="197"/>
      <c r="G753" s="198" t="s">
        <v>2295</v>
      </c>
      <c r="H753" s="197"/>
      <c r="I753" s="197"/>
      <c r="J753" s="213"/>
      <c r="K753" s="38"/>
      <c r="L753" s="38"/>
    </row>
    <row r="754" spans="1:12" s="39" customFormat="1" ht="16.5" x14ac:dyDescent="0.3">
      <c r="A754" s="212"/>
      <c r="B754" s="196"/>
      <c r="C754" s="196"/>
      <c r="D754" s="196"/>
      <c r="E754" s="197"/>
      <c r="F754" s="197"/>
      <c r="G754" s="197"/>
      <c r="H754" s="197"/>
      <c r="I754" s="197"/>
      <c r="J754" s="213"/>
      <c r="K754" s="38"/>
      <c r="L754" s="38"/>
    </row>
    <row r="755" spans="1:12" s="39" customFormat="1" ht="16.5" x14ac:dyDescent="0.3">
      <c r="A755" s="208" t="s">
        <v>2296</v>
      </c>
      <c r="B755" s="232" t="s">
        <v>2287</v>
      </c>
      <c r="C755" s="232"/>
      <c r="D755" s="199" t="s">
        <v>2297</v>
      </c>
      <c r="E755" s="232" t="s">
        <v>2298</v>
      </c>
      <c r="F755" s="493" t="s">
        <v>2293</v>
      </c>
      <c r="G755" s="493"/>
      <c r="H755" s="493"/>
      <c r="I755" s="493" t="s">
        <v>2294</v>
      </c>
      <c r="J755" s="494"/>
      <c r="K755" s="38"/>
      <c r="L755" s="38"/>
    </row>
    <row r="756" spans="1:12" s="39" customFormat="1" ht="16.5" x14ac:dyDescent="0.3">
      <c r="A756" s="212"/>
      <c r="B756" s="196"/>
      <c r="C756" s="196"/>
      <c r="D756" s="196"/>
      <c r="E756" s="197"/>
      <c r="F756" s="197"/>
      <c r="G756" s="198" t="s">
        <v>2299</v>
      </c>
      <c r="H756" s="197"/>
      <c r="I756" s="197"/>
      <c r="J756" s="213">
        <v>0</v>
      </c>
      <c r="K756" s="38"/>
      <c r="L756" s="38"/>
    </row>
    <row r="757" spans="1:12" s="39" customFormat="1" ht="16.5" x14ac:dyDescent="0.3">
      <c r="A757" s="212"/>
      <c r="B757" s="196"/>
      <c r="C757" s="196"/>
      <c r="D757" s="196"/>
      <c r="E757" s="197"/>
      <c r="F757" s="197"/>
      <c r="G757" s="197"/>
      <c r="H757" s="197"/>
      <c r="I757" s="197"/>
      <c r="J757" s="213"/>
      <c r="K757" s="38"/>
      <c r="L757" s="38"/>
    </row>
    <row r="758" spans="1:12" s="39" customFormat="1" ht="16.5" x14ac:dyDescent="0.3">
      <c r="A758" s="210" t="s">
        <v>2300</v>
      </c>
      <c r="B758" s="232" t="s">
        <v>2287</v>
      </c>
      <c r="C758" s="232"/>
      <c r="D758" s="232" t="s">
        <v>2301</v>
      </c>
      <c r="E758" s="232" t="s">
        <v>2302</v>
      </c>
      <c r="F758" s="232" t="s">
        <v>2303</v>
      </c>
      <c r="G758" s="232" t="s">
        <v>2304</v>
      </c>
      <c r="H758" s="493" t="s">
        <v>2305</v>
      </c>
      <c r="I758" s="493"/>
      <c r="J758" s="494"/>
      <c r="K758" s="38"/>
      <c r="L758" s="38"/>
    </row>
    <row r="759" spans="1:12" s="39" customFormat="1" ht="16.5" x14ac:dyDescent="0.3">
      <c r="A759" s="212"/>
      <c r="B759" s="196"/>
      <c r="C759" s="196"/>
      <c r="D759" s="197"/>
      <c r="E759" s="197"/>
      <c r="F759" s="197"/>
      <c r="G759" s="198" t="s">
        <v>2306</v>
      </c>
      <c r="H759" s="197"/>
      <c r="I759" s="197"/>
      <c r="J759" s="213"/>
      <c r="K759" s="38"/>
      <c r="L759" s="38"/>
    </row>
    <row r="760" spans="1:12" s="39" customFormat="1" ht="16.5" x14ac:dyDescent="0.3">
      <c r="A760" s="212"/>
      <c r="B760" s="196"/>
      <c r="C760" s="196"/>
      <c r="D760" s="197"/>
      <c r="E760" s="197"/>
      <c r="F760" s="197"/>
      <c r="G760" s="197"/>
      <c r="H760" s="197"/>
      <c r="I760" s="197"/>
      <c r="J760" s="213"/>
      <c r="K760" s="38"/>
      <c r="L760" s="38"/>
    </row>
    <row r="761" spans="1:12" s="39" customFormat="1" ht="16.5" x14ac:dyDescent="0.3">
      <c r="A761" s="214"/>
      <c r="B761" s="196"/>
      <c r="C761" s="196"/>
      <c r="D761" s="197"/>
      <c r="E761" s="197"/>
      <c r="F761" s="197"/>
      <c r="G761" s="198" t="s">
        <v>2307</v>
      </c>
      <c r="H761" s="197"/>
      <c r="I761" s="197"/>
      <c r="J761" s="215">
        <v>0</v>
      </c>
      <c r="K761" s="38"/>
      <c r="L761" s="38"/>
    </row>
    <row r="762" spans="1:12" s="39" customFormat="1" ht="16.5" x14ac:dyDescent="0.3">
      <c r="A762" s="214"/>
      <c r="B762" s="196"/>
      <c r="C762" s="196"/>
      <c r="D762" s="197"/>
      <c r="E762" s="197"/>
      <c r="F762" s="197"/>
      <c r="G762" s="198" t="s">
        <v>2308</v>
      </c>
      <c r="H762" s="197"/>
      <c r="I762" s="197"/>
      <c r="J762" s="215">
        <v>1</v>
      </c>
      <c r="K762" s="38"/>
      <c r="L762" s="38"/>
    </row>
    <row r="763" spans="1:12" s="39" customFormat="1" ht="16.5" x14ac:dyDescent="0.3">
      <c r="A763" s="214"/>
      <c r="B763" s="196"/>
      <c r="C763" s="196"/>
      <c r="D763" s="197"/>
      <c r="E763" s="197"/>
      <c r="F763" s="197"/>
      <c r="G763" s="198" t="s">
        <v>2309</v>
      </c>
      <c r="H763" s="197"/>
      <c r="I763" s="197"/>
      <c r="J763" s="215">
        <v>0</v>
      </c>
      <c r="K763" s="38"/>
      <c r="L763" s="38"/>
    </row>
    <row r="764" spans="1:12" s="39" customFormat="1" ht="16.5" x14ac:dyDescent="0.3">
      <c r="A764" s="214"/>
      <c r="B764" s="196"/>
      <c r="C764" s="196"/>
      <c r="D764" s="197"/>
      <c r="E764" s="197"/>
      <c r="F764" s="197"/>
      <c r="G764" s="201"/>
      <c r="H764" s="197"/>
      <c r="I764" s="197"/>
      <c r="J764" s="216"/>
      <c r="K764" s="38"/>
      <c r="L764" s="38"/>
    </row>
    <row r="765" spans="1:12" s="39" customFormat="1" ht="16.5" x14ac:dyDescent="0.3">
      <c r="A765" s="208" t="s">
        <v>2310</v>
      </c>
      <c r="B765" s="232" t="s">
        <v>2287</v>
      </c>
      <c r="C765" s="232"/>
      <c r="D765" s="232" t="s">
        <v>2297</v>
      </c>
      <c r="E765" s="232" t="s">
        <v>2311</v>
      </c>
      <c r="F765" s="493" t="s">
        <v>2293</v>
      </c>
      <c r="G765" s="493"/>
      <c r="H765" s="493"/>
      <c r="I765" s="493" t="s">
        <v>2312</v>
      </c>
      <c r="J765" s="494"/>
      <c r="K765" s="38"/>
      <c r="L765" s="38"/>
    </row>
    <row r="766" spans="1:12" s="39" customFormat="1" ht="16.5" x14ac:dyDescent="0.3">
      <c r="A766" s="212"/>
      <c r="B766" s="196"/>
      <c r="C766" s="196"/>
      <c r="D766" s="197"/>
      <c r="E766" s="197"/>
      <c r="F766" s="197"/>
      <c r="G766" s="198" t="s">
        <v>2313</v>
      </c>
      <c r="H766" s="197"/>
      <c r="I766" s="197"/>
      <c r="J766" s="213">
        <v>0</v>
      </c>
      <c r="K766" s="38"/>
      <c r="L766" s="38"/>
    </row>
    <row r="767" spans="1:12" s="39" customFormat="1" ht="16.5" x14ac:dyDescent="0.3">
      <c r="A767" s="212"/>
      <c r="B767" s="196"/>
      <c r="C767" s="196"/>
      <c r="D767" s="197"/>
      <c r="E767" s="197"/>
      <c r="F767" s="197"/>
      <c r="G767" s="197"/>
      <c r="H767" s="202"/>
      <c r="I767" s="197"/>
      <c r="J767" s="213"/>
      <c r="K767" s="38"/>
      <c r="L767" s="38"/>
    </row>
    <row r="768" spans="1:12" s="39" customFormat="1" ht="16.5" x14ac:dyDescent="0.3">
      <c r="A768" s="208" t="s">
        <v>2314</v>
      </c>
      <c r="B768" s="232" t="s">
        <v>2287</v>
      </c>
      <c r="C768" s="199" t="s">
        <v>2315</v>
      </c>
      <c r="D768" s="232" t="s">
        <v>2297</v>
      </c>
      <c r="E768" s="232" t="s">
        <v>2311</v>
      </c>
      <c r="F768" s="493" t="s">
        <v>2293</v>
      </c>
      <c r="G768" s="493"/>
      <c r="H768" s="493"/>
      <c r="I768" s="493" t="s">
        <v>2312</v>
      </c>
      <c r="J768" s="494"/>
      <c r="K768" s="38"/>
      <c r="L768" s="38"/>
    </row>
    <row r="769" spans="1:12" s="39" customFormat="1" ht="90.75" x14ac:dyDescent="0.3">
      <c r="A769" s="395" t="s">
        <v>4717</v>
      </c>
      <c r="B769" s="196" t="s">
        <v>2317</v>
      </c>
      <c r="C769" s="196" t="s">
        <v>2318</v>
      </c>
      <c r="D769" s="196" t="s">
        <v>2319</v>
      </c>
      <c r="E769" s="200">
        <v>115000</v>
      </c>
      <c r="F769" s="203"/>
      <c r="G769" s="197"/>
      <c r="H769" s="204">
        <v>1</v>
      </c>
      <c r="I769" s="197"/>
      <c r="J769" s="217">
        <v>115000</v>
      </c>
      <c r="K769" s="38"/>
      <c r="L769" s="38"/>
    </row>
    <row r="770" spans="1:12" s="39" customFormat="1" ht="16.5" x14ac:dyDescent="0.3">
      <c r="A770" s="393"/>
      <c r="B770" s="137"/>
      <c r="C770" s="137"/>
      <c r="D770" s="205"/>
      <c r="E770" s="205"/>
      <c r="F770" s="205"/>
      <c r="G770" s="206" t="s">
        <v>2320</v>
      </c>
      <c r="H770" s="197"/>
      <c r="I770" s="205"/>
      <c r="J770" s="219">
        <v>115000</v>
      </c>
      <c r="K770" s="38"/>
      <c r="L770" s="38"/>
    </row>
    <row r="771" spans="1:12" s="39" customFormat="1" ht="16.5" x14ac:dyDescent="0.3">
      <c r="A771" s="218"/>
      <c r="B771" s="137"/>
      <c r="C771" s="137"/>
      <c r="D771" s="205"/>
      <c r="E771" s="205"/>
      <c r="F771" s="205"/>
      <c r="G771" s="205"/>
      <c r="H771" s="205"/>
      <c r="I771" s="205"/>
      <c r="J771" s="220"/>
      <c r="K771" s="38"/>
      <c r="L771" s="38"/>
    </row>
    <row r="772" spans="1:12" s="39" customFormat="1" ht="16.5" x14ac:dyDescent="0.3">
      <c r="A772" s="221" t="s">
        <v>2321</v>
      </c>
      <c r="B772" s="207" t="s">
        <v>2287</v>
      </c>
      <c r="C772" s="207"/>
      <c r="D772" s="207" t="s">
        <v>2297</v>
      </c>
      <c r="E772" s="207" t="s">
        <v>2322</v>
      </c>
      <c r="F772" s="207" t="s">
        <v>2323</v>
      </c>
      <c r="G772" s="207" t="s">
        <v>2324</v>
      </c>
      <c r="H772" s="207" t="s">
        <v>2305</v>
      </c>
      <c r="I772" s="207" t="s">
        <v>2293</v>
      </c>
      <c r="J772" s="222" t="s">
        <v>2325</v>
      </c>
    </row>
    <row r="773" spans="1:12" s="39" customFormat="1" ht="16.5" x14ac:dyDescent="0.3">
      <c r="A773" s="218"/>
      <c r="B773" s="137"/>
      <c r="C773" s="137"/>
      <c r="D773" s="205"/>
      <c r="E773" s="205"/>
      <c r="F773" s="205"/>
      <c r="G773" s="206" t="s">
        <v>2326</v>
      </c>
      <c r="H773" s="197"/>
      <c r="I773" s="205"/>
      <c r="J773" s="219"/>
      <c r="K773" s="38"/>
      <c r="L773" s="38"/>
    </row>
    <row r="774" spans="1:12" s="39" customFormat="1" ht="16.5" x14ac:dyDescent="0.3">
      <c r="A774" s="189" t="s">
        <v>2327</v>
      </c>
      <c r="B774" s="133" t="s">
        <v>2328</v>
      </c>
      <c r="C774" s="134"/>
      <c r="D774" s="135"/>
      <c r="E774" s="205"/>
      <c r="F774" s="205"/>
      <c r="G774" s="205"/>
      <c r="H774" s="205"/>
      <c r="I774" s="205"/>
      <c r="J774" s="219"/>
      <c r="K774" s="38"/>
      <c r="L774" s="38"/>
    </row>
    <row r="775" spans="1:12" s="39" customFormat="1" ht="24" x14ac:dyDescent="0.3">
      <c r="A775" s="396" t="s">
        <v>4718</v>
      </c>
      <c r="B775" s="136">
        <v>1950000</v>
      </c>
      <c r="C775" s="137">
        <v>0.88100000000000001</v>
      </c>
      <c r="D775" s="138"/>
      <c r="E775" s="205"/>
      <c r="F775" s="205"/>
      <c r="G775" s="206" t="s">
        <v>2330</v>
      </c>
      <c r="H775" s="205"/>
      <c r="I775" s="197"/>
      <c r="J775" s="215">
        <f>B778</f>
        <v>1856466.6666666667</v>
      </c>
      <c r="K775" s="38"/>
      <c r="L775" s="38"/>
    </row>
    <row r="776" spans="1:12" s="39" customFormat="1" ht="16.5" x14ac:dyDescent="0.3">
      <c r="A776" s="394" t="s">
        <v>4719</v>
      </c>
      <c r="B776" s="136">
        <v>1499400</v>
      </c>
      <c r="C776" s="137">
        <v>0.88100000000000001</v>
      </c>
      <c r="D776" s="138"/>
      <c r="E776" s="205"/>
      <c r="F776" s="205"/>
      <c r="G776" s="206" t="s">
        <v>2332</v>
      </c>
      <c r="H776" s="205"/>
      <c r="I776" s="197"/>
      <c r="J776" s="215">
        <f>J775*0.3325</f>
        <v>617275.16666666674</v>
      </c>
      <c r="K776" s="38"/>
      <c r="L776" s="38"/>
    </row>
    <row r="777" spans="1:12" s="39" customFormat="1" ht="16.5" x14ac:dyDescent="0.3">
      <c r="A777" s="190" t="s">
        <v>4720</v>
      </c>
      <c r="B777" s="136">
        <v>2120000</v>
      </c>
      <c r="C777" s="137">
        <v>0.88100000000000001</v>
      </c>
      <c r="D777" s="138"/>
      <c r="E777" s="205"/>
      <c r="F777" s="205"/>
      <c r="G777" s="206"/>
      <c r="H777" s="205"/>
      <c r="I777" s="197"/>
      <c r="J777" s="215"/>
      <c r="K777" s="38"/>
      <c r="L777" s="38"/>
    </row>
    <row r="778" spans="1:12" s="39" customFormat="1" ht="17.25" thickBot="1" x14ac:dyDescent="0.35">
      <c r="A778" s="191" t="s">
        <v>2333</v>
      </c>
      <c r="B778" s="192">
        <f>(B775+B776+B777)/3</f>
        <v>1856466.6666666667</v>
      </c>
      <c r="C778" s="193"/>
      <c r="D778" s="192"/>
      <c r="E778" s="223"/>
      <c r="F778" s="223"/>
      <c r="G778" s="224" t="s">
        <v>2334</v>
      </c>
      <c r="H778" s="223"/>
      <c r="I778" s="225"/>
      <c r="J778" s="226">
        <f>J775+J776+J777</f>
        <v>2473741.8333333335</v>
      </c>
      <c r="K778" s="38"/>
      <c r="L778" s="38"/>
    </row>
    <row r="779" spans="1:12" s="39" customFormat="1" ht="53.25" customHeight="1" x14ac:dyDescent="0.3">
      <c r="A779" s="362"/>
      <c r="B779" s="194"/>
      <c r="C779" s="186"/>
      <c r="D779" s="194"/>
      <c r="E779" s="187"/>
      <c r="F779" s="187"/>
      <c r="G779" s="188"/>
      <c r="H779" s="187"/>
      <c r="I779" s="185"/>
      <c r="J779" s="363"/>
      <c r="K779" s="38"/>
      <c r="L779" s="38"/>
    </row>
    <row r="780" spans="1:12" ht="26.1" customHeight="1" thickBot="1" x14ac:dyDescent="0.3">
      <c r="A780" s="468" t="s">
        <v>25</v>
      </c>
      <c r="B780" s="469"/>
      <c r="C780" s="469"/>
      <c r="D780" s="469"/>
      <c r="E780" s="469"/>
      <c r="F780" s="469"/>
      <c r="G780" s="469"/>
      <c r="H780" s="469"/>
      <c r="I780" s="364"/>
      <c r="J780" s="365"/>
    </row>
  </sheetData>
  <mergeCells count="885">
    <mergeCell ref="F768:H768"/>
    <mergeCell ref="I768:J768"/>
    <mergeCell ref="A1:J1"/>
    <mergeCell ref="A2:A4"/>
    <mergeCell ref="A5:J5"/>
    <mergeCell ref="A712:H712"/>
    <mergeCell ref="A713:B713"/>
    <mergeCell ref="C713:D713"/>
    <mergeCell ref="C714:D714"/>
    <mergeCell ref="F715:G715"/>
    <mergeCell ref="F711:H711"/>
    <mergeCell ref="F693:G693"/>
    <mergeCell ref="F694:G694"/>
    <mergeCell ref="F695:G695"/>
    <mergeCell ref="F696:G696"/>
    <mergeCell ref="A697:D697"/>
    <mergeCell ref="B698:D698"/>
    <mergeCell ref="B699:D699"/>
    <mergeCell ref="B700:D700"/>
    <mergeCell ref="B701:D701"/>
    <mergeCell ref="B702:D702"/>
    <mergeCell ref="B703:D703"/>
    <mergeCell ref="B704:D704"/>
    <mergeCell ref="F705:G705"/>
    <mergeCell ref="A706:D706"/>
    <mergeCell ref="A720:C720"/>
    <mergeCell ref="F720:G720"/>
    <mergeCell ref="A780:H780"/>
    <mergeCell ref="A716:B716"/>
    <mergeCell ref="C716:D716"/>
    <mergeCell ref="C717:D717"/>
    <mergeCell ref="C718:D718"/>
    <mergeCell ref="F719:G719"/>
    <mergeCell ref="A722:I723"/>
    <mergeCell ref="F740:H740"/>
    <mergeCell ref="I740:J740"/>
    <mergeCell ref="J722:J723"/>
    <mergeCell ref="F727:H727"/>
    <mergeCell ref="I727:J727"/>
    <mergeCell ref="H730:J730"/>
    <mergeCell ref="F737:H737"/>
    <mergeCell ref="I737:J737"/>
    <mergeCell ref="A750:I751"/>
    <mergeCell ref="J750:J751"/>
    <mergeCell ref="F755:H755"/>
    <mergeCell ref="I755:J755"/>
    <mergeCell ref="H758:J758"/>
    <mergeCell ref="F765:H765"/>
    <mergeCell ref="I765:J765"/>
    <mergeCell ref="B707:D707"/>
    <mergeCell ref="F708:G708"/>
    <mergeCell ref="F709:G709"/>
    <mergeCell ref="A710:C710"/>
    <mergeCell ref="F710:G710"/>
    <mergeCell ref="B692:D692"/>
    <mergeCell ref="A676:H676"/>
    <mergeCell ref="A677:B677"/>
    <mergeCell ref="C677:D677"/>
    <mergeCell ref="C678:D678"/>
    <mergeCell ref="F679:G679"/>
    <mergeCell ref="A680:B680"/>
    <mergeCell ref="C680:D680"/>
    <mergeCell ref="C681:D681"/>
    <mergeCell ref="F682:G682"/>
    <mergeCell ref="A683:B683"/>
    <mergeCell ref="C683:D683"/>
    <mergeCell ref="C684:D684"/>
    <mergeCell ref="F685:G685"/>
    <mergeCell ref="A686:C686"/>
    <mergeCell ref="F686:G686"/>
    <mergeCell ref="F687:H687"/>
    <mergeCell ref="A688:H688"/>
    <mergeCell ref="A689:D689"/>
    <mergeCell ref="B690:D690"/>
    <mergeCell ref="B691:D691"/>
    <mergeCell ref="F675:H675"/>
    <mergeCell ref="A660:B660"/>
    <mergeCell ref="C660:D660"/>
    <mergeCell ref="C661:D661"/>
    <mergeCell ref="C662:D662"/>
    <mergeCell ref="F663:G663"/>
    <mergeCell ref="A664:C664"/>
    <mergeCell ref="F664:G664"/>
    <mergeCell ref="F665:H665"/>
    <mergeCell ref="A666:H666"/>
    <mergeCell ref="A667:B667"/>
    <mergeCell ref="C667:D667"/>
    <mergeCell ref="C668:D668"/>
    <mergeCell ref="F669:G669"/>
    <mergeCell ref="A670:B670"/>
    <mergeCell ref="C670:D670"/>
    <mergeCell ref="C671:D671"/>
    <mergeCell ref="C672:D672"/>
    <mergeCell ref="F673:G673"/>
    <mergeCell ref="A674:C674"/>
    <mergeCell ref="F674:G674"/>
    <mergeCell ref="F659:G659"/>
    <mergeCell ref="F644:H644"/>
    <mergeCell ref="A645:H645"/>
    <mergeCell ref="A646:B646"/>
    <mergeCell ref="C646:D646"/>
    <mergeCell ref="C647:D647"/>
    <mergeCell ref="F648:G648"/>
    <mergeCell ref="A649:B649"/>
    <mergeCell ref="C649:D649"/>
    <mergeCell ref="C650:D650"/>
    <mergeCell ref="C651:D651"/>
    <mergeCell ref="F652:G652"/>
    <mergeCell ref="A653:C653"/>
    <mergeCell ref="F653:G653"/>
    <mergeCell ref="F654:H654"/>
    <mergeCell ref="A655:H655"/>
    <mergeCell ref="A656:B656"/>
    <mergeCell ref="C656:D656"/>
    <mergeCell ref="C657:D657"/>
    <mergeCell ref="C658:D658"/>
    <mergeCell ref="C636:D636"/>
    <mergeCell ref="C637:D637"/>
    <mergeCell ref="F638:G638"/>
    <mergeCell ref="A639:B639"/>
    <mergeCell ref="C639:D639"/>
    <mergeCell ref="C640:D640"/>
    <mergeCell ref="C641:D641"/>
    <mergeCell ref="F642:G642"/>
    <mergeCell ref="A643:C643"/>
    <mergeCell ref="F643:G643"/>
    <mergeCell ref="A635:B635"/>
    <mergeCell ref="C635:D635"/>
    <mergeCell ref="F618:G618"/>
    <mergeCell ref="A619:C620"/>
    <mergeCell ref="F619:G619"/>
    <mergeCell ref="F621:H621"/>
    <mergeCell ref="A622:H622"/>
    <mergeCell ref="A623:B623"/>
    <mergeCell ref="C623:D623"/>
    <mergeCell ref="C624:D624"/>
    <mergeCell ref="C625:D625"/>
    <mergeCell ref="F626:G626"/>
    <mergeCell ref="A627:B627"/>
    <mergeCell ref="C627:D627"/>
    <mergeCell ref="C628:D628"/>
    <mergeCell ref="C629:D629"/>
    <mergeCell ref="F630:G630"/>
    <mergeCell ref="A631:C632"/>
    <mergeCell ref="F631:G631"/>
    <mergeCell ref="F633:H633"/>
    <mergeCell ref="A634:H634"/>
    <mergeCell ref="C617:D617"/>
    <mergeCell ref="A601:B601"/>
    <mergeCell ref="C601:D601"/>
    <mergeCell ref="C602:D602"/>
    <mergeCell ref="F603:G603"/>
    <mergeCell ref="A604:B604"/>
    <mergeCell ref="C604:D604"/>
    <mergeCell ref="C605:D605"/>
    <mergeCell ref="C606:D606"/>
    <mergeCell ref="F607:G607"/>
    <mergeCell ref="A608:C609"/>
    <mergeCell ref="F608:G608"/>
    <mergeCell ref="F610:H610"/>
    <mergeCell ref="A611:H611"/>
    <mergeCell ref="A612:B612"/>
    <mergeCell ref="C612:D612"/>
    <mergeCell ref="C613:D613"/>
    <mergeCell ref="F614:G614"/>
    <mergeCell ref="A615:B615"/>
    <mergeCell ref="C615:D615"/>
    <mergeCell ref="C616:D616"/>
    <mergeCell ref="A600:H600"/>
    <mergeCell ref="F585:G585"/>
    <mergeCell ref="A586:C586"/>
    <mergeCell ref="F586:G586"/>
    <mergeCell ref="F587:H587"/>
    <mergeCell ref="A588:H588"/>
    <mergeCell ref="A589:B589"/>
    <mergeCell ref="C589:D589"/>
    <mergeCell ref="C590:D590"/>
    <mergeCell ref="F591:G591"/>
    <mergeCell ref="A592:B592"/>
    <mergeCell ref="C592:D592"/>
    <mergeCell ref="C593:D593"/>
    <mergeCell ref="F594:G594"/>
    <mergeCell ref="A595:B595"/>
    <mergeCell ref="C595:D595"/>
    <mergeCell ref="C596:D596"/>
    <mergeCell ref="F597:G597"/>
    <mergeCell ref="A598:C598"/>
    <mergeCell ref="F598:G598"/>
    <mergeCell ref="F599:H599"/>
    <mergeCell ref="F584:G584"/>
    <mergeCell ref="F566:G566"/>
    <mergeCell ref="A567:B567"/>
    <mergeCell ref="C567:D567"/>
    <mergeCell ref="C568:D568"/>
    <mergeCell ref="C569:D569"/>
    <mergeCell ref="F570:G570"/>
    <mergeCell ref="A571:C572"/>
    <mergeCell ref="F571:G571"/>
    <mergeCell ref="F573:H573"/>
    <mergeCell ref="A574:H574"/>
    <mergeCell ref="A575:D575"/>
    <mergeCell ref="B576:D576"/>
    <mergeCell ref="B577:D577"/>
    <mergeCell ref="F578:G578"/>
    <mergeCell ref="F579:G579"/>
    <mergeCell ref="F580:G580"/>
    <mergeCell ref="F581:G581"/>
    <mergeCell ref="A582:D582"/>
    <mergeCell ref="B583:D583"/>
    <mergeCell ref="C565:D565"/>
    <mergeCell ref="A550:C550"/>
    <mergeCell ref="F550:G550"/>
    <mergeCell ref="F551:H551"/>
    <mergeCell ref="A552:H552"/>
    <mergeCell ref="A553:B553"/>
    <mergeCell ref="C553:D553"/>
    <mergeCell ref="C554:D554"/>
    <mergeCell ref="F555:G555"/>
    <mergeCell ref="A556:B556"/>
    <mergeCell ref="C556:D556"/>
    <mergeCell ref="C557:D557"/>
    <mergeCell ref="C558:D558"/>
    <mergeCell ref="F559:G559"/>
    <mergeCell ref="A560:C560"/>
    <mergeCell ref="F560:G560"/>
    <mergeCell ref="F561:H561"/>
    <mergeCell ref="A562:H562"/>
    <mergeCell ref="A563:B563"/>
    <mergeCell ref="C563:D563"/>
    <mergeCell ref="C564:D564"/>
    <mergeCell ref="F549:G549"/>
    <mergeCell ref="B534:D534"/>
    <mergeCell ref="F535:G535"/>
    <mergeCell ref="F536:G536"/>
    <mergeCell ref="A537:C537"/>
    <mergeCell ref="F537:G537"/>
    <mergeCell ref="F538:H538"/>
    <mergeCell ref="A539:H539"/>
    <mergeCell ref="A540:B540"/>
    <mergeCell ref="C540:D540"/>
    <mergeCell ref="C541:D541"/>
    <mergeCell ref="F542:G542"/>
    <mergeCell ref="A543:B543"/>
    <mergeCell ref="C543:D543"/>
    <mergeCell ref="C544:D544"/>
    <mergeCell ref="C545:D545"/>
    <mergeCell ref="F546:G546"/>
    <mergeCell ref="A547:B547"/>
    <mergeCell ref="C547:D547"/>
    <mergeCell ref="C548:D548"/>
    <mergeCell ref="A533:D533"/>
    <mergeCell ref="F515:G515"/>
    <mergeCell ref="F516:G516"/>
    <mergeCell ref="F517:G517"/>
    <mergeCell ref="F518:G518"/>
    <mergeCell ref="A519:D519"/>
    <mergeCell ref="B520:D520"/>
    <mergeCell ref="F521:G521"/>
    <mergeCell ref="F522:G522"/>
    <mergeCell ref="A523:C523"/>
    <mergeCell ref="F523:G523"/>
    <mergeCell ref="F524:H524"/>
    <mergeCell ref="A525:H525"/>
    <mergeCell ref="A526:D526"/>
    <mergeCell ref="B527:D527"/>
    <mergeCell ref="B528:D528"/>
    <mergeCell ref="F529:G529"/>
    <mergeCell ref="F530:G530"/>
    <mergeCell ref="F531:G531"/>
    <mergeCell ref="F532:G532"/>
    <mergeCell ref="B513:D513"/>
    <mergeCell ref="B514:D514"/>
    <mergeCell ref="C496:D496"/>
    <mergeCell ref="F497:G497"/>
    <mergeCell ref="A498:B498"/>
    <mergeCell ref="C498:D498"/>
    <mergeCell ref="C499:D499"/>
    <mergeCell ref="C500:D500"/>
    <mergeCell ref="C501:D501"/>
    <mergeCell ref="C502:D502"/>
    <mergeCell ref="F503:G503"/>
    <mergeCell ref="A504:B504"/>
    <mergeCell ref="C504:D504"/>
    <mergeCell ref="C505:D505"/>
    <mergeCell ref="C506:D506"/>
    <mergeCell ref="C507:D507"/>
    <mergeCell ref="F508:G508"/>
    <mergeCell ref="A509:C509"/>
    <mergeCell ref="F509:G509"/>
    <mergeCell ref="F510:H510"/>
    <mergeCell ref="A511:H511"/>
    <mergeCell ref="A512:D512"/>
    <mergeCell ref="A495:B495"/>
    <mergeCell ref="C495:D495"/>
    <mergeCell ref="C479:D479"/>
    <mergeCell ref="F480:G480"/>
    <mergeCell ref="A481:B481"/>
    <mergeCell ref="C481:D481"/>
    <mergeCell ref="C482:D482"/>
    <mergeCell ref="C483:D483"/>
    <mergeCell ref="F484:G484"/>
    <mergeCell ref="A485:B485"/>
    <mergeCell ref="C485:D485"/>
    <mergeCell ref="C486:D486"/>
    <mergeCell ref="F487:G487"/>
    <mergeCell ref="A488:B488"/>
    <mergeCell ref="C488:D488"/>
    <mergeCell ref="C489:D489"/>
    <mergeCell ref="F490:G490"/>
    <mergeCell ref="A491:C492"/>
    <mergeCell ref="F491:G491"/>
    <mergeCell ref="F493:H493"/>
    <mergeCell ref="A494:H494"/>
    <mergeCell ref="A478:B478"/>
    <mergeCell ref="C478:D478"/>
    <mergeCell ref="F462:G462"/>
    <mergeCell ref="A463:B463"/>
    <mergeCell ref="C463:D463"/>
    <mergeCell ref="C464:D464"/>
    <mergeCell ref="C465:D465"/>
    <mergeCell ref="F466:G466"/>
    <mergeCell ref="A467:B467"/>
    <mergeCell ref="C467:D467"/>
    <mergeCell ref="C468:D468"/>
    <mergeCell ref="C469:D469"/>
    <mergeCell ref="F470:G470"/>
    <mergeCell ref="A471:B471"/>
    <mergeCell ref="C471:D471"/>
    <mergeCell ref="C472:D472"/>
    <mergeCell ref="F473:G473"/>
    <mergeCell ref="A474:C475"/>
    <mergeCell ref="F474:G474"/>
    <mergeCell ref="F476:H476"/>
    <mergeCell ref="A477:H477"/>
    <mergeCell ref="C461:D461"/>
    <mergeCell ref="C445:D445"/>
    <mergeCell ref="C446:D446"/>
    <mergeCell ref="F447:G447"/>
    <mergeCell ref="A448:B448"/>
    <mergeCell ref="C448:D448"/>
    <mergeCell ref="C449:D449"/>
    <mergeCell ref="C450:D450"/>
    <mergeCell ref="C451:D451"/>
    <mergeCell ref="F452:G452"/>
    <mergeCell ref="A453:B453"/>
    <mergeCell ref="C453:D453"/>
    <mergeCell ref="C454:D454"/>
    <mergeCell ref="F455:G455"/>
    <mergeCell ref="A456:C456"/>
    <mergeCell ref="F456:G456"/>
    <mergeCell ref="F457:H457"/>
    <mergeCell ref="A458:H458"/>
    <mergeCell ref="A459:B459"/>
    <mergeCell ref="C459:D459"/>
    <mergeCell ref="C460:D460"/>
    <mergeCell ref="A444:B444"/>
    <mergeCell ref="C444:D444"/>
    <mergeCell ref="C428:D428"/>
    <mergeCell ref="C429:D429"/>
    <mergeCell ref="C430:D430"/>
    <mergeCell ref="C431:D431"/>
    <mergeCell ref="C432:D432"/>
    <mergeCell ref="F433:G433"/>
    <mergeCell ref="A434:B434"/>
    <mergeCell ref="C434:D434"/>
    <mergeCell ref="C435:D435"/>
    <mergeCell ref="C436:D436"/>
    <mergeCell ref="F437:G437"/>
    <mergeCell ref="A438:C438"/>
    <mergeCell ref="F438:G438"/>
    <mergeCell ref="F439:H439"/>
    <mergeCell ref="A440:H440"/>
    <mergeCell ref="A441:B441"/>
    <mergeCell ref="C441:D441"/>
    <mergeCell ref="C442:D442"/>
    <mergeCell ref="F443:G443"/>
    <mergeCell ref="C427:D427"/>
    <mergeCell ref="F411:G411"/>
    <mergeCell ref="F412:G412"/>
    <mergeCell ref="F413:G413"/>
    <mergeCell ref="A414:D414"/>
    <mergeCell ref="B415:D415"/>
    <mergeCell ref="B416:D416"/>
    <mergeCell ref="F417:G417"/>
    <mergeCell ref="F418:G418"/>
    <mergeCell ref="A419:C419"/>
    <mergeCell ref="F419:G419"/>
    <mergeCell ref="F420:H420"/>
    <mergeCell ref="A421:H421"/>
    <mergeCell ref="A422:B422"/>
    <mergeCell ref="C422:D422"/>
    <mergeCell ref="C423:D423"/>
    <mergeCell ref="F424:G424"/>
    <mergeCell ref="A425:B425"/>
    <mergeCell ref="C425:D425"/>
    <mergeCell ref="C426:D426"/>
    <mergeCell ref="F410:G410"/>
    <mergeCell ref="A394:H394"/>
    <mergeCell ref="A395:B395"/>
    <mergeCell ref="C395:D395"/>
    <mergeCell ref="C396:D396"/>
    <mergeCell ref="C397:D397"/>
    <mergeCell ref="C398:D398"/>
    <mergeCell ref="C399:D399"/>
    <mergeCell ref="F400:G400"/>
    <mergeCell ref="A401:B401"/>
    <mergeCell ref="C401:D401"/>
    <mergeCell ref="C402:D402"/>
    <mergeCell ref="F403:G403"/>
    <mergeCell ref="A404:C404"/>
    <mergeCell ref="F404:G404"/>
    <mergeCell ref="F405:H405"/>
    <mergeCell ref="A406:H406"/>
    <mergeCell ref="A407:D407"/>
    <mergeCell ref="B408:D408"/>
    <mergeCell ref="B409:D409"/>
    <mergeCell ref="F393:H393"/>
    <mergeCell ref="A377:H377"/>
    <mergeCell ref="A378:B378"/>
    <mergeCell ref="C378:D378"/>
    <mergeCell ref="C379:D379"/>
    <mergeCell ref="C380:D380"/>
    <mergeCell ref="C381:D381"/>
    <mergeCell ref="C382:D382"/>
    <mergeCell ref="F383:G383"/>
    <mergeCell ref="A384:B384"/>
    <mergeCell ref="C384:D384"/>
    <mergeCell ref="C385:D385"/>
    <mergeCell ref="C386:D386"/>
    <mergeCell ref="F387:G387"/>
    <mergeCell ref="A388:B388"/>
    <mergeCell ref="C388:D388"/>
    <mergeCell ref="C389:D389"/>
    <mergeCell ref="F390:G390"/>
    <mergeCell ref="A391:C392"/>
    <mergeCell ref="F391:G391"/>
    <mergeCell ref="F376:H376"/>
    <mergeCell ref="A360:C361"/>
    <mergeCell ref="F360:G360"/>
    <mergeCell ref="F362:H362"/>
    <mergeCell ref="A363:H363"/>
    <mergeCell ref="A364:B364"/>
    <mergeCell ref="C364:D364"/>
    <mergeCell ref="C365:D365"/>
    <mergeCell ref="C366:D366"/>
    <mergeCell ref="F367:G367"/>
    <mergeCell ref="A368:B368"/>
    <mergeCell ref="C368:D368"/>
    <mergeCell ref="C369:D369"/>
    <mergeCell ref="F370:G370"/>
    <mergeCell ref="A371:B371"/>
    <mergeCell ref="C371:D371"/>
    <mergeCell ref="C372:D372"/>
    <mergeCell ref="C373:D373"/>
    <mergeCell ref="F374:G374"/>
    <mergeCell ref="A375:C375"/>
    <mergeCell ref="F375:G375"/>
    <mergeCell ref="F359:G359"/>
    <mergeCell ref="F340:G340"/>
    <mergeCell ref="A341:C342"/>
    <mergeCell ref="F341:G341"/>
    <mergeCell ref="F343:H343"/>
    <mergeCell ref="A344:H344"/>
    <mergeCell ref="A345:D345"/>
    <mergeCell ref="B346:D346"/>
    <mergeCell ref="B347:D347"/>
    <mergeCell ref="F348:G348"/>
    <mergeCell ref="F349:G349"/>
    <mergeCell ref="F350:G350"/>
    <mergeCell ref="F351:G351"/>
    <mergeCell ref="A352:D352"/>
    <mergeCell ref="B353:D353"/>
    <mergeCell ref="B354:D354"/>
    <mergeCell ref="B355:D355"/>
    <mergeCell ref="B356:D356"/>
    <mergeCell ref="B357:D357"/>
    <mergeCell ref="F358:G358"/>
    <mergeCell ref="F339:G339"/>
    <mergeCell ref="C321:D321"/>
    <mergeCell ref="F322:G322"/>
    <mergeCell ref="A323:C323"/>
    <mergeCell ref="F323:G323"/>
    <mergeCell ref="F324:H324"/>
    <mergeCell ref="A325:H325"/>
    <mergeCell ref="A326:D326"/>
    <mergeCell ref="B327:D327"/>
    <mergeCell ref="F328:G328"/>
    <mergeCell ref="F329:G329"/>
    <mergeCell ref="F330:G330"/>
    <mergeCell ref="F331:G331"/>
    <mergeCell ref="A332:D332"/>
    <mergeCell ref="B333:D333"/>
    <mergeCell ref="B334:D334"/>
    <mergeCell ref="F335:G335"/>
    <mergeCell ref="A336:D336"/>
    <mergeCell ref="B337:D337"/>
    <mergeCell ref="B338:D338"/>
    <mergeCell ref="C320:D320"/>
    <mergeCell ref="C305:D305"/>
    <mergeCell ref="F306:G306"/>
    <mergeCell ref="A307:B307"/>
    <mergeCell ref="C307:D307"/>
    <mergeCell ref="C308:D308"/>
    <mergeCell ref="F309:G309"/>
    <mergeCell ref="A310:C310"/>
    <mergeCell ref="F310:G310"/>
    <mergeCell ref="F311:H311"/>
    <mergeCell ref="A312:H312"/>
    <mergeCell ref="A313:B313"/>
    <mergeCell ref="C313:D313"/>
    <mergeCell ref="C314:D314"/>
    <mergeCell ref="C315:D315"/>
    <mergeCell ref="C316:D316"/>
    <mergeCell ref="C317:D317"/>
    <mergeCell ref="F318:G318"/>
    <mergeCell ref="A319:B319"/>
    <mergeCell ref="C319:D319"/>
    <mergeCell ref="C304:D304"/>
    <mergeCell ref="F289:G289"/>
    <mergeCell ref="A290:B290"/>
    <mergeCell ref="C290:D290"/>
    <mergeCell ref="C291:D291"/>
    <mergeCell ref="C292:D292"/>
    <mergeCell ref="F293:G293"/>
    <mergeCell ref="A294:B294"/>
    <mergeCell ref="C294:D294"/>
    <mergeCell ref="C295:D295"/>
    <mergeCell ref="F296:G296"/>
    <mergeCell ref="A297:C297"/>
    <mergeCell ref="F297:G297"/>
    <mergeCell ref="F298:H298"/>
    <mergeCell ref="A299:H299"/>
    <mergeCell ref="A300:B300"/>
    <mergeCell ref="C300:D300"/>
    <mergeCell ref="C301:D301"/>
    <mergeCell ref="F302:G302"/>
    <mergeCell ref="A303:B303"/>
    <mergeCell ref="C303:D303"/>
    <mergeCell ref="C288:D288"/>
    <mergeCell ref="C272:D272"/>
    <mergeCell ref="F273:G273"/>
    <mergeCell ref="A274:B274"/>
    <mergeCell ref="C274:D274"/>
    <mergeCell ref="C275:D275"/>
    <mergeCell ref="C276:D276"/>
    <mergeCell ref="C277:D277"/>
    <mergeCell ref="F278:G278"/>
    <mergeCell ref="A279:B279"/>
    <mergeCell ref="C279:D279"/>
    <mergeCell ref="C280:D280"/>
    <mergeCell ref="C281:D281"/>
    <mergeCell ref="F282:G282"/>
    <mergeCell ref="A283:C284"/>
    <mergeCell ref="F283:G283"/>
    <mergeCell ref="F285:H285"/>
    <mergeCell ref="A286:H286"/>
    <mergeCell ref="A287:B287"/>
    <mergeCell ref="C287:D287"/>
    <mergeCell ref="C271:D271"/>
    <mergeCell ref="A255:H255"/>
    <mergeCell ref="A256:B256"/>
    <mergeCell ref="C256:D256"/>
    <mergeCell ref="C257:D257"/>
    <mergeCell ref="F258:G258"/>
    <mergeCell ref="A259:B259"/>
    <mergeCell ref="C259:D259"/>
    <mergeCell ref="C260:D260"/>
    <mergeCell ref="C261:D261"/>
    <mergeCell ref="F262:G262"/>
    <mergeCell ref="A263:B263"/>
    <mergeCell ref="C263:D263"/>
    <mergeCell ref="C264:D264"/>
    <mergeCell ref="F265:G265"/>
    <mergeCell ref="A266:C267"/>
    <mergeCell ref="F266:G266"/>
    <mergeCell ref="F268:H268"/>
    <mergeCell ref="A269:H269"/>
    <mergeCell ref="A270:B270"/>
    <mergeCell ref="C270:D270"/>
    <mergeCell ref="F254:H254"/>
    <mergeCell ref="F236:G236"/>
    <mergeCell ref="A237:C238"/>
    <mergeCell ref="F237:G237"/>
    <mergeCell ref="F239:H239"/>
    <mergeCell ref="A240:H240"/>
    <mergeCell ref="A241:D241"/>
    <mergeCell ref="B242:D242"/>
    <mergeCell ref="B243:D243"/>
    <mergeCell ref="F244:G244"/>
    <mergeCell ref="F245:G245"/>
    <mergeCell ref="F246:G246"/>
    <mergeCell ref="F247:G247"/>
    <mergeCell ref="A248:D248"/>
    <mergeCell ref="B249:D249"/>
    <mergeCell ref="B250:D250"/>
    <mergeCell ref="F251:G251"/>
    <mergeCell ref="F252:G252"/>
    <mergeCell ref="A253:C253"/>
    <mergeCell ref="F253:G253"/>
    <mergeCell ref="C235:D235"/>
    <mergeCell ref="F220:G220"/>
    <mergeCell ref="A221:C221"/>
    <mergeCell ref="F221:G221"/>
    <mergeCell ref="F222:H222"/>
    <mergeCell ref="A223:H223"/>
    <mergeCell ref="A224:B224"/>
    <mergeCell ref="C224:D224"/>
    <mergeCell ref="C225:D225"/>
    <mergeCell ref="C226:D226"/>
    <mergeCell ref="C227:D227"/>
    <mergeCell ref="F228:G228"/>
    <mergeCell ref="A229:B229"/>
    <mergeCell ref="C229:D229"/>
    <mergeCell ref="C230:D230"/>
    <mergeCell ref="C231:D231"/>
    <mergeCell ref="F232:G232"/>
    <mergeCell ref="A233:B233"/>
    <mergeCell ref="C233:D233"/>
    <mergeCell ref="C234:D234"/>
    <mergeCell ref="C219:D219"/>
    <mergeCell ref="F204:G204"/>
    <mergeCell ref="A205:B205"/>
    <mergeCell ref="C205:D205"/>
    <mergeCell ref="C206:D206"/>
    <mergeCell ref="C207:D207"/>
    <mergeCell ref="F208:G208"/>
    <mergeCell ref="A209:C209"/>
    <mergeCell ref="F209:G209"/>
    <mergeCell ref="F210:H210"/>
    <mergeCell ref="A211:H211"/>
    <mergeCell ref="A212:B212"/>
    <mergeCell ref="C212:D212"/>
    <mergeCell ref="C213:D213"/>
    <mergeCell ref="C214:D214"/>
    <mergeCell ref="C215:D215"/>
    <mergeCell ref="F216:G216"/>
    <mergeCell ref="A217:B217"/>
    <mergeCell ref="C217:D217"/>
    <mergeCell ref="C218:D218"/>
    <mergeCell ref="C203:D203"/>
    <mergeCell ref="C188:D188"/>
    <mergeCell ref="F189:G189"/>
    <mergeCell ref="A190:B190"/>
    <mergeCell ref="C190:D190"/>
    <mergeCell ref="C191:D191"/>
    <mergeCell ref="F192:G192"/>
    <mergeCell ref="A193:B193"/>
    <mergeCell ref="C193:D193"/>
    <mergeCell ref="C194:D194"/>
    <mergeCell ref="F195:G195"/>
    <mergeCell ref="A196:C196"/>
    <mergeCell ref="F196:G196"/>
    <mergeCell ref="F197:H197"/>
    <mergeCell ref="A198:H198"/>
    <mergeCell ref="A199:B199"/>
    <mergeCell ref="C199:D199"/>
    <mergeCell ref="C200:D200"/>
    <mergeCell ref="F201:G201"/>
    <mergeCell ref="A202:B202"/>
    <mergeCell ref="C202:D202"/>
    <mergeCell ref="C187:D187"/>
    <mergeCell ref="F171:H171"/>
    <mergeCell ref="A172:H172"/>
    <mergeCell ref="A173:B173"/>
    <mergeCell ref="C173:D173"/>
    <mergeCell ref="C174:D174"/>
    <mergeCell ref="C175:D175"/>
    <mergeCell ref="C176:D176"/>
    <mergeCell ref="C177:D177"/>
    <mergeCell ref="F178:G178"/>
    <mergeCell ref="A179:B179"/>
    <mergeCell ref="C179:D179"/>
    <mergeCell ref="C180:D180"/>
    <mergeCell ref="C181:D181"/>
    <mergeCell ref="F182:G182"/>
    <mergeCell ref="A183:C183"/>
    <mergeCell ref="F183:G183"/>
    <mergeCell ref="F184:H184"/>
    <mergeCell ref="A185:H185"/>
    <mergeCell ref="A186:B186"/>
    <mergeCell ref="C186:D186"/>
    <mergeCell ref="A170:C170"/>
    <mergeCell ref="F170:G170"/>
    <mergeCell ref="C153:D153"/>
    <mergeCell ref="C154:D154"/>
    <mergeCell ref="C155:D155"/>
    <mergeCell ref="F156:G156"/>
    <mergeCell ref="A157:C157"/>
    <mergeCell ref="F157:G157"/>
    <mergeCell ref="F158:H158"/>
    <mergeCell ref="A159:H159"/>
    <mergeCell ref="A160:B160"/>
    <mergeCell ref="C160:D160"/>
    <mergeCell ref="C161:D161"/>
    <mergeCell ref="C162:D162"/>
    <mergeCell ref="C163:D163"/>
    <mergeCell ref="C164:D164"/>
    <mergeCell ref="F165:G165"/>
    <mergeCell ref="A166:B166"/>
    <mergeCell ref="C166:D166"/>
    <mergeCell ref="C167:D167"/>
    <mergeCell ref="C168:D168"/>
    <mergeCell ref="F169:G169"/>
    <mergeCell ref="A152:B152"/>
    <mergeCell ref="C152:D152"/>
    <mergeCell ref="F136:G136"/>
    <mergeCell ref="A137:C137"/>
    <mergeCell ref="F137:G137"/>
    <mergeCell ref="F138:H138"/>
    <mergeCell ref="A139:H139"/>
    <mergeCell ref="A140:B140"/>
    <mergeCell ref="C140:D140"/>
    <mergeCell ref="C141:D141"/>
    <mergeCell ref="C142:D142"/>
    <mergeCell ref="F143:G143"/>
    <mergeCell ref="A144:B144"/>
    <mergeCell ref="C144:D144"/>
    <mergeCell ref="C145:D145"/>
    <mergeCell ref="C146:D146"/>
    <mergeCell ref="C147:D147"/>
    <mergeCell ref="C148:D148"/>
    <mergeCell ref="C149:D149"/>
    <mergeCell ref="C150:D150"/>
    <mergeCell ref="F151:G151"/>
    <mergeCell ref="C135:D135"/>
    <mergeCell ref="C120:D120"/>
    <mergeCell ref="C121:D121"/>
    <mergeCell ref="F122:G122"/>
    <mergeCell ref="A123:B123"/>
    <mergeCell ref="C123:D123"/>
    <mergeCell ref="C124:D124"/>
    <mergeCell ref="C125:D125"/>
    <mergeCell ref="F126:G126"/>
    <mergeCell ref="A127:B127"/>
    <mergeCell ref="C127:D127"/>
    <mergeCell ref="C128:D128"/>
    <mergeCell ref="F129:G129"/>
    <mergeCell ref="A130:C130"/>
    <mergeCell ref="F130:G130"/>
    <mergeCell ref="F131:H131"/>
    <mergeCell ref="A132:H132"/>
    <mergeCell ref="A133:B133"/>
    <mergeCell ref="C133:D133"/>
    <mergeCell ref="C134:D134"/>
    <mergeCell ref="C119:D119"/>
    <mergeCell ref="C102:D102"/>
    <mergeCell ref="C103:D103"/>
    <mergeCell ref="C104:D104"/>
    <mergeCell ref="C105:D105"/>
    <mergeCell ref="F106:G106"/>
    <mergeCell ref="A107:B107"/>
    <mergeCell ref="C107:D107"/>
    <mergeCell ref="C108:D108"/>
    <mergeCell ref="C109:D109"/>
    <mergeCell ref="F110:G110"/>
    <mergeCell ref="A111:B111"/>
    <mergeCell ref="C111:D111"/>
    <mergeCell ref="C112:D112"/>
    <mergeCell ref="F113:G113"/>
    <mergeCell ref="A114:C115"/>
    <mergeCell ref="F114:G114"/>
    <mergeCell ref="F116:H116"/>
    <mergeCell ref="A117:H117"/>
    <mergeCell ref="A118:B118"/>
    <mergeCell ref="C118:D118"/>
    <mergeCell ref="A101:B101"/>
    <mergeCell ref="C101:D101"/>
    <mergeCell ref="C86:D86"/>
    <mergeCell ref="F87:G87"/>
    <mergeCell ref="A88:C88"/>
    <mergeCell ref="F88:G88"/>
    <mergeCell ref="F89:H89"/>
    <mergeCell ref="A90:H90"/>
    <mergeCell ref="A91:B91"/>
    <mergeCell ref="C91:D91"/>
    <mergeCell ref="C92:D92"/>
    <mergeCell ref="F93:G93"/>
    <mergeCell ref="A94:B94"/>
    <mergeCell ref="C94:D94"/>
    <mergeCell ref="C95:D95"/>
    <mergeCell ref="C96:D96"/>
    <mergeCell ref="F97:G97"/>
    <mergeCell ref="A98:C98"/>
    <mergeCell ref="F98:G98"/>
    <mergeCell ref="F99:H99"/>
    <mergeCell ref="A100:H100"/>
    <mergeCell ref="C85:D85"/>
    <mergeCell ref="F69:G69"/>
    <mergeCell ref="F70:G70"/>
    <mergeCell ref="A71:D71"/>
    <mergeCell ref="B72:D72"/>
    <mergeCell ref="B73:D73"/>
    <mergeCell ref="B74:D74"/>
    <mergeCell ref="F75:G75"/>
    <mergeCell ref="F76:G76"/>
    <mergeCell ref="A77:C77"/>
    <mergeCell ref="F77:G77"/>
    <mergeCell ref="F78:H78"/>
    <mergeCell ref="A79:H79"/>
    <mergeCell ref="A80:B80"/>
    <mergeCell ref="C80:D80"/>
    <mergeCell ref="C81:D81"/>
    <mergeCell ref="C82:D82"/>
    <mergeCell ref="F83:G83"/>
    <mergeCell ref="A84:B84"/>
    <mergeCell ref="C84:D84"/>
    <mergeCell ref="C49:D49"/>
    <mergeCell ref="F68:G68"/>
    <mergeCell ref="C51:D51"/>
    <mergeCell ref="C52:D52"/>
    <mergeCell ref="C53:D53"/>
    <mergeCell ref="C54:D54"/>
    <mergeCell ref="C55:D55"/>
    <mergeCell ref="F56:G56"/>
    <mergeCell ref="A57:B57"/>
    <mergeCell ref="C57:D57"/>
    <mergeCell ref="C58:D58"/>
    <mergeCell ref="C59:D59"/>
    <mergeCell ref="F60:G60"/>
    <mergeCell ref="A61:C61"/>
    <mergeCell ref="F61:G61"/>
    <mergeCell ref="F62:H62"/>
    <mergeCell ref="A63:H63"/>
    <mergeCell ref="A64:D64"/>
    <mergeCell ref="B65:D65"/>
    <mergeCell ref="B66:D66"/>
    <mergeCell ref="F67:G67"/>
    <mergeCell ref="F29:G29"/>
    <mergeCell ref="F30:H30"/>
    <mergeCell ref="A31:H31"/>
    <mergeCell ref="A32:B32"/>
    <mergeCell ref="C32:D32"/>
    <mergeCell ref="C50:D50"/>
    <mergeCell ref="C34:D34"/>
    <mergeCell ref="F35:G35"/>
    <mergeCell ref="A36:C36"/>
    <mergeCell ref="F36:G36"/>
    <mergeCell ref="F37:H37"/>
    <mergeCell ref="A38:H38"/>
    <mergeCell ref="A39:B39"/>
    <mergeCell ref="C39:D39"/>
    <mergeCell ref="C40:D40"/>
    <mergeCell ref="C41:D41"/>
    <mergeCell ref="F42:G42"/>
    <mergeCell ref="A43:C44"/>
    <mergeCell ref="F43:G43"/>
    <mergeCell ref="F45:H45"/>
    <mergeCell ref="A46:H46"/>
    <mergeCell ref="A47:B47"/>
    <mergeCell ref="C47:D47"/>
    <mergeCell ref="C48:D48"/>
    <mergeCell ref="A14:B14"/>
    <mergeCell ref="C14:D14"/>
    <mergeCell ref="C15:D15"/>
    <mergeCell ref="C8:D8"/>
    <mergeCell ref="C9:D9"/>
    <mergeCell ref="C10:D10"/>
    <mergeCell ref="C11:D11"/>
    <mergeCell ref="C33:D33"/>
    <mergeCell ref="F25:G25"/>
    <mergeCell ref="F17:G17"/>
    <mergeCell ref="A18:C18"/>
    <mergeCell ref="F18:G18"/>
    <mergeCell ref="F19:H19"/>
    <mergeCell ref="A20:H20"/>
    <mergeCell ref="C12:D12"/>
    <mergeCell ref="A21:D21"/>
    <mergeCell ref="B22:D22"/>
    <mergeCell ref="B23:D23"/>
    <mergeCell ref="F24:G24"/>
    <mergeCell ref="C16:D16"/>
    <mergeCell ref="F26:G26"/>
    <mergeCell ref="F27:G27"/>
    <mergeCell ref="F28:G28"/>
    <mergeCell ref="A29:C29"/>
    <mergeCell ref="H2:J2"/>
    <mergeCell ref="H3:J3"/>
    <mergeCell ref="H4:J4"/>
    <mergeCell ref="B2:G2"/>
    <mergeCell ref="B3:G3"/>
    <mergeCell ref="A6:H6"/>
    <mergeCell ref="A7:B7"/>
    <mergeCell ref="C7:D7"/>
    <mergeCell ref="F13:G13"/>
    <mergeCell ref="B4:G4"/>
  </mergeCells>
  <pageMargins left="0.7" right="0.7" top="0.75" bottom="0.75" header="0.3" footer="0.3"/>
  <pageSetup paperSize="9" scale="51"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38"/>
  <sheetViews>
    <sheetView view="pageBreakPreview" topLeftCell="A2507" zoomScale="60" zoomScaleNormal="100" workbookViewId="0">
      <selection activeCell="Q2528" sqref="Q2528"/>
    </sheetView>
  </sheetViews>
  <sheetFormatPr defaultRowHeight="15" x14ac:dyDescent="0.25"/>
  <cols>
    <col min="1" max="1" width="20.42578125" customWidth="1"/>
    <col min="2" max="2" width="39.42578125" customWidth="1"/>
    <col min="3" max="3" width="6.140625" customWidth="1"/>
    <col min="4" max="4" width="3" customWidth="1"/>
    <col min="5" max="10" width="6.140625" customWidth="1"/>
    <col min="11" max="11" width="6.85546875" customWidth="1"/>
    <col min="12" max="12" width="26.42578125" customWidth="1"/>
  </cols>
  <sheetData>
    <row r="1" spans="1:12" x14ac:dyDescent="0.25">
      <c r="A1" s="537" t="s">
        <v>4707</v>
      </c>
      <c r="B1" s="538"/>
      <c r="C1" s="538"/>
      <c r="D1" s="538"/>
      <c r="E1" s="538"/>
      <c r="F1" s="538"/>
      <c r="G1" s="538"/>
      <c r="H1" s="538"/>
      <c r="I1" s="538"/>
      <c r="J1" s="538"/>
      <c r="K1" s="538"/>
      <c r="L1" s="539"/>
    </row>
    <row r="2" spans="1:12" ht="15" customHeight="1" x14ac:dyDescent="0.25">
      <c r="A2" s="426"/>
      <c r="B2" s="417" t="s">
        <v>4698</v>
      </c>
      <c r="C2" s="417"/>
      <c r="D2" s="417"/>
      <c r="E2" s="417"/>
      <c r="F2" s="417"/>
      <c r="G2" s="417"/>
      <c r="H2" s="417"/>
      <c r="I2" s="417"/>
      <c r="J2" s="417" t="s">
        <v>4696</v>
      </c>
      <c r="K2" s="417"/>
      <c r="L2" s="418"/>
    </row>
    <row r="3" spans="1:12" ht="15" customHeight="1" x14ac:dyDescent="0.25">
      <c r="A3" s="426"/>
      <c r="B3" s="417" t="s">
        <v>4699</v>
      </c>
      <c r="C3" s="417"/>
      <c r="D3" s="417"/>
      <c r="E3" s="417"/>
      <c r="F3" s="417"/>
      <c r="G3" s="417"/>
      <c r="H3" s="417"/>
      <c r="I3" s="417"/>
      <c r="J3" s="417" t="s">
        <v>4709</v>
      </c>
      <c r="K3" s="417"/>
      <c r="L3" s="418"/>
    </row>
    <row r="4" spans="1:12" ht="59.25" customHeight="1" x14ac:dyDescent="0.25">
      <c r="A4" s="426"/>
      <c r="B4" s="467" t="s">
        <v>4700</v>
      </c>
      <c r="C4" s="467"/>
      <c r="D4" s="467"/>
      <c r="E4" s="467"/>
      <c r="F4" s="467"/>
      <c r="G4" s="467"/>
      <c r="H4" s="467"/>
      <c r="I4" s="467"/>
      <c r="J4" s="467" t="s">
        <v>4697</v>
      </c>
      <c r="K4" s="467"/>
      <c r="L4" s="471"/>
    </row>
    <row r="5" spans="1:12" ht="18" customHeight="1" x14ac:dyDescent="0.25">
      <c r="A5" s="426"/>
      <c r="B5" s="417" t="s">
        <v>4701</v>
      </c>
      <c r="C5" s="417"/>
      <c r="D5" s="417"/>
      <c r="E5" s="417"/>
      <c r="F5" s="417"/>
      <c r="G5" s="417"/>
      <c r="H5" s="417"/>
      <c r="I5" s="417"/>
      <c r="J5" s="417"/>
      <c r="K5" s="417"/>
      <c r="L5" s="418"/>
    </row>
    <row r="6" spans="1:12" ht="20.100000000000001" customHeight="1" x14ac:dyDescent="0.25">
      <c r="A6" s="472" t="s">
        <v>2335</v>
      </c>
      <c r="B6" s="473"/>
      <c r="C6" s="473"/>
      <c r="D6" s="473"/>
      <c r="E6" s="473"/>
      <c r="F6" s="473"/>
      <c r="G6" s="473"/>
      <c r="H6" s="473"/>
      <c r="I6" s="473"/>
      <c r="J6" s="473"/>
      <c r="K6" s="473"/>
      <c r="L6" s="508"/>
    </row>
    <row r="7" spans="1:12" ht="15" customHeight="1" x14ac:dyDescent="0.25">
      <c r="A7" s="474" t="s">
        <v>1932</v>
      </c>
      <c r="B7" s="475"/>
      <c r="C7" s="475"/>
      <c r="D7" s="476" t="s">
        <v>42</v>
      </c>
      <c r="E7" s="476"/>
      <c r="F7" s="476"/>
      <c r="G7" s="230" t="s">
        <v>44</v>
      </c>
      <c r="H7" s="476" t="s">
        <v>1813</v>
      </c>
      <c r="I7" s="476"/>
      <c r="J7" s="476" t="s">
        <v>1814</v>
      </c>
      <c r="K7" s="476"/>
      <c r="L7" s="366" t="s">
        <v>1802</v>
      </c>
    </row>
    <row r="8" spans="1:12" ht="21" customHeight="1" x14ac:dyDescent="0.25">
      <c r="A8" s="181" t="s">
        <v>2336</v>
      </c>
      <c r="B8" s="509" t="s">
        <v>2337</v>
      </c>
      <c r="C8" s="509"/>
      <c r="D8" s="481" t="s">
        <v>82</v>
      </c>
      <c r="E8" s="481"/>
      <c r="F8" s="481"/>
      <c r="G8" s="231" t="s">
        <v>1024</v>
      </c>
      <c r="H8" s="510">
        <v>1</v>
      </c>
      <c r="I8" s="510"/>
      <c r="J8" s="511">
        <v>7.63</v>
      </c>
      <c r="K8" s="511"/>
      <c r="L8" s="367">
        <f t="shared" ref="L8:L13" si="0">TRUNC(TRUNC(H8,8)*J8,2)</f>
        <v>7.63</v>
      </c>
    </row>
    <row r="9" spans="1:12" ht="21" customHeight="1" x14ac:dyDescent="0.25">
      <c r="A9" s="181" t="s">
        <v>2338</v>
      </c>
      <c r="B9" s="509" t="s">
        <v>2339</v>
      </c>
      <c r="C9" s="509"/>
      <c r="D9" s="481" t="s">
        <v>82</v>
      </c>
      <c r="E9" s="481"/>
      <c r="F9" s="481"/>
      <c r="G9" s="231" t="s">
        <v>1024</v>
      </c>
      <c r="H9" s="510">
        <v>1</v>
      </c>
      <c r="I9" s="510"/>
      <c r="J9" s="511">
        <v>1.28</v>
      </c>
      <c r="K9" s="511"/>
      <c r="L9" s="367">
        <f t="shared" si="0"/>
        <v>1.28</v>
      </c>
    </row>
    <row r="10" spans="1:12" ht="21" customHeight="1" x14ac:dyDescent="0.25">
      <c r="A10" s="181" t="s">
        <v>2340</v>
      </c>
      <c r="B10" s="509" t="s">
        <v>2341</v>
      </c>
      <c r="C10" s="509"/>
      <c r="D10" s="481" t="s">
        <v>82</v>
      </c>
      <c r="E10" s="481"/>
      <c r="F10" s="481"/>
      <c r="G10" s="231" t="s">
        <v>1024</v>
      </c>
      <c r="H10" s="510">
        <v>1</v>
      </c>
      <c r="I10" s="510"/>
      <c r="J10" s="511">
        <v>1.62</v>
      </c>
      <c r="K10" s="511"/>
      <c r="L10" s="367">
        <f t="shared" si="0"/>
        <v>1.62</v>
      </c>
    </row>
    <row r="11" spans="1:12" ht="21" customHeight="1" x14ac:dyDescent="0.25">
      <c r="A11" s="181" t="s">
        <v>2342</v>
      </c>
      <c r="B11" s="509" t="s">
        <v>2343</v>
      </c>
      <c r="C11" s="509"/>
      <c r="D11" s="481" t="s">
        <v>82</v>
      </c>
      <c r="E11" s="481"/>
      <c r="F11" s="481"/>
      <c r="G11" s="231" t="s">
        <v>1024</v>
      </c>
      <c r="H11" s="510">
        <v>1</v>
      </c>
      <c r="I11" s="510"/>
      <c r="J11" s="511">
        <v>0.68</v>
      </c>
      <c r="K11" s="511"/>
      <c r="L11" s="367">
        <f t="shared" si="0"/>
        <v>0.68</v>
      </c>
    </row>
    <row r="12" spans="1:12" ht="21" customHeight="1" x14ac:dyDescent="0.25">
      <c r="A12" s="181" t="s">
        <v>2344</v>
      </c>
      <c r="B12" s="509" t="s">
        <v>2345</v>
      </c>
      <c r="C12" s="509"/>
      <c r="D12" s="481" t="s">
        <v>82</v>
      </c>
      <c r="E12" s="481"/>
      <c r="F12" s="481"/>
      <c r="G12" s="231" t="s">
        <v>1024</v>
      </c>
      <c r="H12" s="510">
        <v>1</v>
      </c>
      <c r="I12" s="510"/>
      <c r="J12" s="511">
        <v>0.11</v>
      </c>
      <c r="K12" s="511"/>
      <c r="L12" s="367">
        <f t="shared" si="0"/>
        <v>0.11</v>
      </c>
    </row>
    <row r="13" spans="1:12" ht="21" customHeight="1" x14ac:dyDescent="0.25">
      <c r="A13" s="181" t="s">
        <v>2346</v>
      </c>
      <c r="B13" s="509" t="s">
        <v>2347</v>
      </c>
      <c r="C13" s="509"/>
      <c r="D13" s="481" t="s">
        <v>82</v>
      </c>
      <c r="E13" s="481"/>
      <c r="F13" s="481"/>
      <c r="G13" s="231" t="s">
        <v>1024</v>
      </c>
      <c r="H13" s="510">
        <v>1</v>
      </c>
      <c r="I13" s="510"/>
      <c r="J13" s="511">
        <v>0.66</v>
      </c>
      <c r="K13" s="511"/>
      <c r="L13" s="367">
        <f t="shared" si="0"/>
        <v>0.66</v>
      </c>
    </row>
    <row r="14" spans="1:12" ht="15" customHeight="1" x14ac:dyDescent="0.25">
      <c r="A14" s="182"/>
      <c r="B14" s="183"/>
      <c r="C14" s="183"/>
      <c r="D14" s="183"/>
      <c r="E14" s="183"/>
      <c r="F14" s="183"/>
      <c r="G14" s="183"/>
      <c r="H14" s="477" t="s">
        <v>1938</v>
      </c>
      <c r="I14" s="477"/>
      <c r="J14" s="477"/>
      <c r="K14" s="477"/>
      <c r="L14" s="368">
        <f>SUM(L8:L13)</f>
        <v>11.98</v>
      </c>
    </row>
    <row r="15" spans="1:12" ht="15" customHeight="1" x14ac:dyDescent="0.25">
      <c r="A15" s="474" t="s">
        <v>1827</v>
      </c>
      <c r="B15" s="475"/>
      <c r="C15" s="475"/>
      <c r="D15" s="476" t="s">
        <v>42</v>
      </c>
      <c r="E15" s="476"/>
      <c r="F15" s="476"/>
      <c r="G15" s="230" t="s">
        <v>44</v>
      </c>
      <c r="H15" s="476" t="s">
        <v>1813</v>
      </c>
      <c r="I15" s="476"/>
      <c r="J15" s="476" t="s">
        <v>1814</v>
      </c>
      <c r="K15" s="476"/>
      <c r="L15" s="366" t="s">
        <v>1802</v>
      </c>
    </row>
    <row r="16" spans="1:12" ht="15" customHeight="1" x14ac:dyDescent="0.25">
      <c r="A16" s="181" t="s">
        <v>2348</v>
      </c>
      <c r="B16" s="509" t="s">
        <v>2349</v>
      </c>
      <c r="C16" s="509"/>
      <c r="D16" s="481" t="s">
        <v>82</v>
      </c>
      <c r="E16" s="481"/>
      <c r="F16" s="481"/>
      <c r="G16" s="231" t="s">
        <v>1024</v>
      </c>
      <c r="H16" s="510">
        <v>1</v>
      </c>
      <c r="I16" s="510"/>
      <c r="J16" s="511">
        <v>18.940000000000001</v>
      </c>
      <c r="K16" s="511"/>
      <c r="L16" s="367">
        <f>TRUNC(TRUNC(H16,8)*J16,2)</f>
        <v>18.940000000000001</v>
      </c>
    </row>
    <row r="17" spans="1:12" ht="15" customHeight="1" x14ac:dyDescent="0.25">
      <c r="A17" s="182"/>
      <c r="B17" s="183"/>
      <c r="C17" s="183"/>
      <c r="D17" s="183"/>
      <c r="E17" s="183"/>
      <c r="F17" s="183"/>
      <c r="G17" s="183"/>
      <c r="H17" s="477" t="s">
        <v>1832</v>
      </c>
      <c r="I17" s="477"/>
      <c r="J17" s="477"/>
      <c r="K17" s="477"/>
      <c r="L17" s="368">
        <f>SUM(L16:L16)</f>
        <v>18.940000000000001</v>
      </c>
    </row>
    <row r="18" spans="1:12" ht="15" customHeight="1" x14ac:dyDescent="0.25">
      <c r="A18" s="474" t="s">
        <v>1912</v>
      </c>
      <c r="B18" s="475"/>
      <c r="C18" s="475"/>
      <c r="D18" s="476" t="s">
        <v>42</v>
      </c>
      <c r="E18" s="476"/>
      <c r="F18" s="476"/>
      <c r="G18" s="230" t="s">
        <v>44</v>
      </c>
      <c r="H18" s="476" t="s">
        <v>1813</v>
      </c>
      <c r="I18" s="476"/>
      <c r="J18" s="476" t="s">
        <v>1814</v>
      </c>
      <c r="K18" s="476"/>
      <c r="L18" s="366" t="s">
        <v>1802</v>
      </c>
    </row>
    <row r="19" spans="1:12" ht="21" customHeight="1" x14ac:dyDescent="0.25">
      <c r="A19" s="181" t="s">
        <v>2350</v>
      </c>
      <c r="B19" s="509" t="s">
        <v>2351</v>
      </c>
      <c r="C19" s="509"/>
      <c r="D19" s="481" t="s">
        <v>82</v>
      </c>
      <c r="E19" s="481"/>
      <c r="F19" s="481"/>
      <c r="G19" s="231" t="s">
        <v>1024</v>
      </c>
      <c r="H19" s="510">
        <v>1</v>
      </c>
      <c r="I19" s="510"/>
      <c r="J19" s="511">
        <v>0.21</v>
      </c>
      <c r="K19" s="511"/>
      <c r="L19" s="367">
        <f>TRUNC(TRUNC(H19,8)*J19,2)</f>
        <v>0.21</v>
      </c>
    </row>
    <row r="20" spans="1:12" ht="15" customHeight="1" x14ac:dyDescent="0.25">
      <c r="A20" s="182"/>
      <c r="B20" s="183"/>
      <c r="C20" s="183"/>
      <c r="D20" s="183"/>
      <c r="E20" s="183"/>
      <c r="F20" s="183"/>
      <c r="G20" s="183"/>
      <c r="H20" s="477" t="s">
        <v>1915</v>
      </c>
      <c r="I20" s="477"/>
      <c r="J20" s="477"/>
      <c r="K20" s="477"/>
      <c r="L20" s="368">
        <f>SUM(L19:L19)</f>
        <v>0.21</v>
      </c>
    </row>
    <row r="21" spans="1:12" ht="15" customHeight="1" x14ac:dyDescent="0.25">
      <c r="A21" s="182"/>
      <c r="B21" s="183"/>
      <c r="C21" s="183"/>
      <c r="D21" s="183"/>
      <c r="E21" s="183"/>
      <c r="F21" s="183"/>
      <c r="G21" s="183"/>
      <c r="H21" s="482" t="s">
        <v>1834</v>
      </c>
      <c r="I21" s="482"/>
      <c r="J21" s="482"/>
      <c r="K21" s="482"/>
      <c r="L21" s="369">
        <f>ROUND(SUM(L14,L17,L20),2)</f>
        <v>31.13</v>
      </c>
    </row>
    <row r="22" spans="1:12" ht="9.9499999999999993" customHeight="1" x14ac:dyDescent="0.25">
      <c r="A22" s="182"/>
      <c r="B22" s="183"/>
      <c r="C22" s="183"/>
      <c r="D22" s="183"/>
      <c r="E22" s="183"/>
      <c r="F22" s="183"/>
      <c r="G22" s="183"/>
      <c r="H22" s="485"/>
      <c r="I22" s="485"/>
      <c r="J22" s="485"/>
      <c r="K22" s="485"/>
      <c r="L22" s="512"/>
    </row>
    <row r="23" spans="1:12" ht="20.100000000000001" customHeight="1" x14ac:dyDescent="0.25">
      <c r="A23" s="486" t="s">
        <v>2352</v>
      </c>
      <c r="B23" s="487"/>
      <c r="C23" s="487"/>
      <c r="D23" s="487"/>
      <c r="E23" s="487"/>
      <c r="F23" s="487"/>
      <c r="G23" s="487"/>
      <c r="H23" s="487"/>
      <c r="I23" s="487"/>
      <c r="J23" s="487"/>
      <c r="K23" s="487"/>
      <c r="L23" s="513"/>
    </row>
    <row r="24" spans="1:12" ht="15" customHeight="1" x14ac:dyDescent="0.25">
      <c r="A24" s="474" t="s">
        <v>1932</v>
      </c>
      <c r="B24" s="475"/>
      <c r="C24" s="475"/>
      <c r="D24" s="476" t="s">
        <v>42</v>
      </c>
      <c r="E24" s="476"/>
      <c r="F24" s="476"/>
      <c r="G24" s="230" t="s">
        <v>44</v>
      </c>
      <c r="H24" s="476" t="s">
        <v>1813</v>
      </c>
      <c r="I24" s="476"/>
      <c r="J24" s="476" t="s">
        <v>1814</v>
      </c>
      <c r="K24" s="476"/>
      <c r="L24" s="366" t="s">
        <v>1802</v>
      </c>
    </row>
    <row r="25" spans="1:12" ht="21" customHeight="1" x14ac:dyDescent="0.25">
      <c r="A25" s="181" t="s">
        <v>2336</v>
      </c>
      <c r="B25" s="509" t="s">
        <v>2337</v>
      </c>
      <c r="C25" s="509"/>
      <c r="D25" s="481" t="s">
        <v>82</v>
      </c>
      <c r="E25" s="481"/>
      <c r="F25" s="481"/>
      <c r="G25" s="231" t="s">
        <v>1024</v>
      </c>
      <c r="H25" s="510">
        <v>1</v>
      </c>
      <c r="I25" s="510"/>
      <c r="J25" s="511">
        <v>7.63</v>
      </c>
      <c r="K25" s="511"/>
      <c r="L25" s="367">
        <f t="shared" ref="L25:L30" si="1">TRUNC(TRUNC(H25,8)*J25,2)</f>
        <v>7.63</v>
      </c>
    </row>
    <row r="26" spans="1:12" ht="21" customHeight="1" x14ac:dyDescent="0.25">
      <c r="A26" s="181" t="s">
        <v>2353</v>
      </c>
      <c r="B26" s="509" t="s">
        <v>2354</v>
      </c>
      <c r="C26" s="509"/>
      <c r="D26" s="481" t="s">
        <v>82</v>
      </c>
      <c r="E26" s="481"/>
      <c r="F26" s="481"/>
      <c r="G26" s="231" t="s">
        <v>1024</v>
      </c>
      <c r="H26" s="510">
        <v>1</v>
      </c>
      <c r="I26" s="510"/>
      <c r="J26" s="511">
        <v>1.26</v>
      </c>
      <c r="K26" s="511"/>
      <c r="L26" s="367">
        <f t="shared" si="1"/>
        <v>1.26</v>
      </c>
    </row>
    <row r="27" spans="1:12" ht="21" customHeight="1" x14ac:dyDescent="0.25">
      <c r="A27" s="181" t="s">
        <v>2340</v>
      </c>
      <c r="B27" s="509" t="s">
        <v>2341</v>
      </c>
      <c r="C27" s="509"/>
      <c r="D27" s="481" t="s">
        <v>82</v>
      </c>
      <c r="E27" s="481"/>
      <c r="F27" s="481"/>
      <c r="G27" s="231" t="s">
        <v>1024</v>
      </c>
      <c r="H27" s="510">
        <v>1</v>
      </c>
      <c r="I27" s="510"/>
      <c r="J27" s="511">
        <v>1.62</v>
      </c>
      <c r="K27" s="511"/>
      <c r="L27" s="367">
        <f t="shared" si="1"/>
        <v>1.62</v>
      </c>
    </row>
    <row r="28" spans="1:12" ht="29.1" customHeight="1" x14ac:dyDescent="0.25">
      <c r="A28" s="181" t="s">
        <v>2355</v>
      </c>
      <c r="B28" s="509" t="s">
        <v>2356</v>
      </c>
      <c r="C28" s="509"/>
      <c r="D28" s="481" t="s">
        <v>82</v>
      </c>
      <c r="E28" s="481"/>
      <c r="F28" s="481"/>
      <c r="G28" s="231" t="s">
        <v>1024</v>
      </c>
      <c r="H28" s="510">
        <v>1</v>
      </c>
      <c r="I28" s="510"/>
      <c r="J28" s="511">
        <v>0.28000000000000003</v>
      </c>
      <c r="K28" s="511"/>
      <c r="L28" s="367">
        <f t="shared" si="1"/>
        <v>0.28000000000000003</v>
      </c>
    </row>
    <row r="29" spans="1:12" ht="21" customHeight="1" x14ac:dyDescent="0.25">
      <c r="A29" s="181" t="s">
        <v>2344</v>
      </c>
      <c r="B29" s="509" t="s">
        <v>2345</v>
      </c>
      <c r="C29" s="509"/>
      <c r="D29" s="481" t="s">
        <v>82</v>
      </c>
      <c r="E29" s="481"/>
      <c r="F29" s="481"/>
      <c r="G29" s="231" t="s">
        <v>1024</v>
      </c>
      <c r="H29" s="510">
        <v>1</v>
      </c>
      <c r="I29" s="510"/>
      <c r="J29" s="511">
        <v>0.11</v>
      </c>
      <c r="K29" s="511"/>
      <c r="L29" s="367">
        <f t="shared" si="1"/>
        <v>0.11</v>
      </c>
    </row>
    <row r="30" spans="1:12" ht="21" customHeight="1" x14ac:dyDescent="0.25">
      <c r="A30" s="181" t="s">
        <v>2346</v>
      </c>
      <c r="B30" s="509" t="s">
        <v>2347</v>
      </c>
      <c r="C30" s="509"/>
      <c r="D30" s="481" t="s">
        <v>82</v>
      </c>
      <c r="E30" s="481"/>
      <c r="F30" s="481"/>
      <c r="G30" s="231" t="s">
        <v>1024</v>
      </c>
      <c r="H30" s="510">
        <v>1</v>
      </c>
      <c r="I30" s="510"/>
      <c r="J30" s="511">
        <v>0.66</v>
      </c>
      <c r="K30" s="511"/>
      <c r="L30" s="367">
        <f t="shared" si="1"/>
        <v>0.66</v>
      </c>
    </row>
    <row r="31" spans="1:12" ht="15" customHeight="1" x14ac:dyDescent="0.25">
      <c r="A31" s="182"/>
      <c r="B31" s="183"/>
      <c r="C31" s="183"/>
      <c r="D31" s="183"/>
      <c r="E31" s="183"/>
      <c r="F31" s="183"/>
      <c r="G31" s="183"/>
      <c r="H31" s="477" t="s">
        <v>1938</v>
      </c>
      <c r="I31" s="477"/>
      <c r="J31" s="477"/>
      <c r="K31" s="477"/>
      <c r="L31" s="368">
        <f>SUM(L25:L30)</f>
        <v>11.56</v>
      </c>
    </row>
    <row r="32" spans="1:12" ht="15" customHeight="1" x14ac:dyDescent="0.25">
      <c r="A32" s="474" t="s">
        <v>1827</v>
      </c>
      <c r="B32" s="475"/>
      <c r="C32" s="475"/>
      <c r="D32" s="476" t="s">
        <v>42</v>
      </c>
      <c r="E32" s="476"/>
      <c r="F32" s="476"/>
      <c r="G32" s="230" t="s">
        <v>44</v>
      </c>
      <c r="H32" s="476" t="s">
        <v>1813</v>
      </c>
      <c r="I32" s="476"/>
      <c r="J32" s="476" t="s">
        <v>1814</v>
      </c>
      <c r="K32" s="476"/>
      <c r="L32" s="366" t="s">
        <v>1802</v>
      </c>
    </row>
    <row r="33" spans="1:12" ht="15" customHeight="1" x14ac:dyDescent="0.25">
      <c r="A33" s="181" t="s">
        <v>2357</v>
      </c>
      <c r="B33" s="509" t="s">
        <v>2358</v>
      </c>
      <c r="C33" s="509"/>
      <c r="D33" s="481" t="s">
        <v>82</v>
      </c>
      <c r="E33" s="481"/>
      <c r="F33" s="481"/>
      <c r="G33" s="231" t="s">
        <v>1024</v>
      </c>
      <c r="H33" s="510">
        <v>1</v>
      </c>
      <c r="I33" s="510"/>
      <c r="J33" s="511">
        <v>18.940000000000001</v>
      </c>
      <c r="K33" s="511"/>
      <c r="L33" s="367">
        <f>TRUNC(TRUNC(H33,8)*J33,2)</f>
        <v>18.940000000000001</v>
      </c>
    </row>
    <row r="34" spans="1:12" ht="15" customHeight="1" x14ac:dyDescent="0.25">
      <c r="A34" s="182"/>
      <c r="B34" s="183"/>
      <c r="C34" s="183"/>
      <c r="D34" s="183"/>
      <c r="E34" s="183"/>
      <c r="F34" s="183"/>
      <c r="G34" s="183"/>
      <c r="H34" s="477" t="s">
        <v>1832</v>
      </c>
      <c r="I34" s="477"/>
      <c r="J34" s="477"/>
      <c r="K34" s="477"/>
      <c r="L34" s="368">
        <f>SUM(L33:L33)</f>
        <v>18.940000000000001</v>
      </c>
    </row>
    <row r="35" spans="1:12" ht="15" customHeight="1" x14ac:dyDescent="0.25">
      <c r="A35" s="474" t="s">
        <v>1912</v>
      </c>
      <c r="B35" s="475"/>
      <c r="C35" s="475"/>
      <c r="D35" s="476" t="s">
        <v>42</v>
      </c>
      <c r="E35" s="476"/>
      <c r="F35" s="476"/>
      <c r="G35" s="230" t="s">
        <v>44</v>
      </c>
      <c r="H35" s="476" t="s">
        <v>1813</v>
      </c>
      <c r="I35" s="476"/>
      <c r="J35" s="476" t="s">
        <v>1814</v>
      </c>
      <c r="K35" s="476"/>
      <c r="L35" s="366" t="s">
        <v>1802</v>
      </c>
    </row>
    <row r="36" spans="1:12" ht="21" customHeight="1" x14ac:dyDescent="0.25">
      <c r="A36" s="181" t="s">
        <v>2359</v>
      </c>
      <c r="B36" s="509" t="s">
        <v>2360</v>
      </c>
      <c r="C36" s="509"/>
      <c r="D36" s="481" t="s">
        <v>82</v>
      </c>
      <c r="E36" s="481"/>
      <c r="F36" s="481"/>
      <c r="G36" s="231" t="s">
        <v>1024</v>
      </c>
      <c r="H36" s="510">
        <v>1</v>
      </c>
      <c r="I36" s="510"/>
      <c r="J36" s="511">
        <v>0.27</v>
      </c>
      <c r="K36" s="511"/>
      <c r="L36" s="367">
        <f>TRUNC(TRUNC(H36,8)*J36,2)</f>
        <v>0.27</v>
      </c>
    </row>
    <row r="37" spans="1:12" ht="15" customHeight="1" x14ac:dyDescent="0.25">
      <c r="A37" s="182"/>
      <c r="B37" s="183"/>
      <c r="C37" s="183"/>
      <c r="D37" s="183"/>
      <c r="E37" s="183"/>
      <c r="F37" s="183"/>
      <c r="G37" s="183"/>
      <c r="H37" s="477" t="s">
        <v>1915</v>
      </c>
      <c r="I37" s="477"/>
      <c r="J37" s="477"/>
      <c r="K37" s="477"/>
      <c r="L37" s="368">
        <f>SUM(L36:L36)</f>
        <v>0.27</v>
      </c>
    </row>
    <row r="38" spans="1:12" ht="15" customHeight="1" x14ac:dyDescent="0.25">
      <c r="A38" s="182"/>
      <c r="B38" s="183"/>
      <c r="C38" s="183"/>
      <c r="D38" s="183"/>
      <c r="E38" s="183"/>
      <c r="F38" s="183"/>
      <c r="G38" s="183"/>
      <c r="H38" s="482" t="s">
        <v>1834</v>
      </c>
      <c r="I38" s="482"/>
      <c r="J38" s="482"/>
      <c r="K38" s="482"/>
      <c r="L38" s="369">
        <f>ROUND(SUM(L31,L34,L37),2)</f>
        <v>30.77</v>
      </c>
    </row>
    <row r="39" spans="1:12" ht="9.9499999999999993" customHeight="1" x14ac:dyDescent="0.25">
      <c r="A39" s="182"/>
      <c r="B39" s="183"/>
      <c r="C39" s="183"/>
      <c r="D39" s="183"/>
      <c r="E39" s="183"/>
      <c r="F39" s="183"/>
      <c r="G39" s="183"/>
      <c r="H39" s="485"/>
      <c r="I39" s="485"/>
      <c r="J39" s="485"/>
      <c r="K39" s="485"/>
      <c r="L39" s="512"/>
    </row>
    <row r="40" spans="1:12" ht="20.100000000000001" customHeight="1" x14ac:dyDescent="0.25">
      <c r="A40" s="486" t="s">
        <v>2361</v>
      </c>
      <c r="B40" s="487"/>
      <c r="C40" s="487"/>
      <c r="D40" s="487"/>
      <c r="E40" s="487"/>
      <c r="F40" s="487"/>
      <c r="G40" s="487"/>
      <c r="H40" s="487"/>
      <c r="I40" s="487"/>
      <c r="J40" s="487"/>
      <c r="K40" s="487"/>
      <c r="L40" s="513"/>
    </row>
    <row r="41" spans="1:12" ht="15" customHeight="1" x14ac:dyDescent="0.25">
      <c r="A41" s="474" t="s">
        <v>1932</v>
      </c>
      <c r="B41" s="475"/>
      <c r="C41" s="475"/>
      <c r="D41" s="476" t="s">
        <v>42</v>
      </c>
      <c r="E41" s="476"/>
      <c r="F41" s="476"/>
      <c r="G41" s="230" t="s">
        <v>44</v>
      </c>
      <c r="H41" s="476" t="s">
        <v>1813</v>
      </c>
      <c r="I41" s="476"/>
      <c r="J41" s="476" t="s">
        <v>1814</v>
      </c>
      <c r="K41" s="476"/>
      <c r="L41" s="366" t="s">
        <v>1802</v>
      </c>
    </row>
    <row r="42" spans="1:12" ht="21" customHeight="1" x14ac:dyDescent="0.25">
      <c r="A42" s="181" t="s">
        <v>2336</v>
      </c>
      <c r="B42" s="509" t="s">
        <v>2337</v>
      </c>
      <c r="C42" s="509"/>
      <c r="D42" s="481" t="s">
        <v>82</v>
      </c>
      <c r="E42" s="481"/>
      <c r="F42" s="481"/>
      <c r="G42" s="231" t="s">
        <v>1024</v>
      </c>
      <c r="H42" s="510">
        <v>1</v>
      </c>
      <c r="I42" s="510"/>
      <c r="J42" s="511">
        <v>7.63</v>
      </c>
      <c r="K42" s="511"/>
      <c r="L42" s="367">
        <f t="shared" ref="L42:L47" si="2">TRUNC(TRUNC(H42,8)*J42,2)</f>
        <v>7.63</v>
      </c>
    </row>
    <row r="43" spans="1:12" ht="21" customHeight="1" x14ac:dyDescent="0.25">
      <c r="A43" s="181" t="s">
        <v>2362</v>
      </c>
      <c r="B43" s="509" t="s">
        <v>2363</v>
      </c>
      <c r="C43" s="509"/>
      <c r="D43" s="481" t="s">
        <v>82</v>
      </c>
      <c r="E43" s="481"/>
      <c r="F43" s="481"/>
      <c r="G43" s="231" t="s">
        <v>1024</v>
      </c>
      <c r="H43" s="510">
        <v>1</v>
      </c>
      <c r="I43" s="510"/>
      <c r="J43" s="511">
        <v>1.34</v>
      </c>
      <c r="K43" s="511"/>
      <c r="L43" s="367">
        <f t="shared" si="2"/>
        <v>1.34</v>
      </c>
    </row>
    <row r="44" spans="1:12" ht="21" customHeight="1" x14ac:dyDescent="0.25">
      <c r="A44" s="181" t="s">
        <v>2340</v>
      </c>
      <c r="B44" s="509" t="s">
        <v>2341</v>
      </c>
      <c r="C44" s="509"/>
      <c r="D44" s="481" t="s">
        <v>82</v>
      </c>
      <c r="E44" s="481"/>
      <c r="F44" s="481"/>
      <c r="G44" s="231" t="s">
        <v>1024</v>
      </c>
      <c r="H44" s="510">
        <v>1</v>
      </c>
      <c r="I44" s="510"/>
      <c r="J44" s="511">
        <v>1.62</v>
      </c>
      <c r="K44" s="511"/>
      <c r="L44" s="367">
        <f t="shared" si="2"/>
        <v>1.62</v>
      </c>
    </row>
    <row r="45" spans="1:12" ht="21" customHeight="1" x14ac:dyDescent="0.25">
      <c r="A45" s="181" t="s">
        <v>2364</v>
      </c>
      <c r="B45" s="509" t="s">
        <v>2365</v>
      </c>
      <c r="C45" s="509"/>
      <c r="D45" s="481" t="s">
        <v>82</v>
      </c>
      <c r="E45" s="481"/>
      <c r="F45" s="481"/>
      <c r="G45" s="231" t="s">
        <v>1024</v>
      </c>
      <c r="H45" s="510">
        <v>1</v>
      </c>
      <c r="I45" s="510"/>
      <c r="J45" s="511">
        <v>0.56999999999999995</v>
      </c>
      <c r="K45" s="511"/>
      <c r="L45" s="367">
        <f t="shared" si="2"/>
        <v>0.56999999999999995</v>
      </c>
    </row>
    <row r="46" spans="1:12" ht="21" customHeight="1" x14ac:dyDescent="0.25">
      <c r="A46" s="181" t="s">
        <v>2344</v>
      </c>
      <c r="B46" s="509" t="s">
        <v>2345</v>
      </c>
      <c r="C46" s="509"/>
      <c r="D46" s="481" t="s">
        <v>82</v>
      </c>
      <c r="E46" s="481"/>
      <c r="F46" s="481"/>
      <c r="G46" s="231" t="s">
        <v>1024</v>
      </c>
      <c r="H46" s="510">
        <v>1</v>
      </c>
      <c r="I46" s="510"/>
      <c r="J46" s="511">
        <v>0.11</v>
      </c>
      <c r="K46" s="511"/>
      <c r="L46" s="367">
        <f t="shared" si="2"/>
        <v>0.11</v>
      </c>
    </row>
    <row r="47" spans="1:12" ht="21" customHeight="1" x14ac:dyDescent="0.25">
      <c r="A47" s="181" t="s">
        <v>2346</v>
      </c>
      <c r="B47" s="509" t="s">
        <v>2347</v>
      </c>
      <c r="C47" s="509"/>
      <c r="D47" s="481" t="s">
        <v>82</v>
      </c>
      <c r="E47" s="481"/>
      <c r="F47" s="481"/>
      <c r="G47" s="231" t="s">
        <v>1024</v>
      </c>
      <c r="H47" s="510">
        <v>1</v>
      </c>
      <c r="I47" s="510"/>
      <c r="J47" s="511">
        <v>0.66</v>
      </c>
      <c r="K47" s="511"/>
      <c r="L47" s="367">
        <f t="shared" si="2"/>
        <v>0.66</v>
      </c>
    </row>
    <row r="48" spans="1:12" ht="15" customHeight="1" x14ac:dyDescent="0.25">
      <c r="A48" s="182"/>
      <c r="B48" s="183"/>
      <c r="C48" s="183"/>
      <c r="D48" s="183"/>
      <c r="E48" s="183"/>
      <c r="F48" s="183"/>
      <c r="G48" s="183"/>
      <c r="H48" s="477" t="s">
        <v>1938</v>
      </c>
      <c r="I48" s="477"/>
      <c r="J48" s="477"/>
      <c r="K48" s="477"/>
      <c r="L48" s="368">
        <f>SUM(L42:L47)</f>
        <v>11.93</v>
      </c>
    </row>
    <row r="49" spans="1:12" ht="15" customHeight="1" x14ac:dyDescent="0.25">
      <c r="A49" s="474" t="s">
        <v>1827</v>
      </c>
      <c r="B49" s="475"/>
      <c r="C49" s="475"/>
      <c r="D49" s="476" t="s">
        <v>42</v>
      </c>
      <c r="E49" s="476"/>
      <c r="F49" s="476"/>
      <c r="G49" s="230" t="s">
        <v>44</v>
      </c>
      <c r="H49" s="476" t="s">
        <v>1813</v>
      </c>
      <c r="I49" s="476"/>
      <c r="J49" s="476" t="s">
        <v>1814</v>
      </c>
      <c r="K49" s="476"/>
      <c r="L49" s="366" t="s">
        <v>1802</v>
      </c>
    </row>
    <row r="50" spans="1:12" ht="15" customHeight="1" x14ac:dyDescent="0.25">
      <c r="A50" s="181" t="s">
        <v>2366</v>
      </c>
      <c r="B50" s="509" t="s">
        <v>2367</v>
      </c>
      <c r="C50" s="509"/>
      <c r="D50" s="481" t="s">
        <v>82</v>
      </c>
      <c r="E50" s="481"/>
      <c r="F50" s="481"/>
      <c r="G50" s="231" t="s">
        <v>1024</v>
      </c>
      <c r="H50" s="510">
        <v>1</v>
      </c>
      <c r="I50" s="510"/>
      <c r="J50" s="511">
        <v>17.18</v>
      </c>
      <c r="K50" s="511"/>
      <c r="L50" s="367">
        <f>TRUNC(TRUNC(H50,8)*J50,2)</f>
        <v>17.18</v>
      </c>
    </row>
    <row r="51" spans="1:12" ht="15" customHeight="1" x14ac:dyDescent="0.25">
      <c r="A51" s="182"/>
      <c r="B51" s="183"/>
      <c r="C51" s="183"/>
      <c r="D51" s="183"/>
      <c r="E51" s="183"/>
      <c r="F51" s="183"/>
      <c r="G51" s="183"/>
      <c r="H51" s="477" t="s">
        <v>1832</v>
      </c>
      <c r="I51" s="477"/>
      <c r="J51" s="477"/>
      <c r="K51" s="477"/>
      <c r="L51" s="368">
        <f>SUM(L50:L50)</f>
        <v>17.18</v>
      </c>
    </row>
    <row r="52" spans="1:12" ht="15" customHeight="1" x14ac:dyDescent="0.25">
      <c r="A52" s="474" t="s">
        <v>1912</v>
      </c>
      <c r="B52" s="475"/>
      <c r="C52" s="475"/>
      <c r="D52" s="476" t="s">
        <v>42</v>
      </c>
      <c r="E52" s="476"/>
      <c r="F52" s="476"/>
      <c r="G52" s="230" t="s">
        <v>44</v>
      </c>
      <c r="H52" s="476" t="s">
        <v>1813</v>
      </c>
      <c r="I52" s="476"/>
      <c r="J52" s="476" t="s">
        <v>1814</v>
      </c>
      <c r="K52" s="476"/>
      <c r="L52" s="366" t="s">
        <v>1802</v>
      </c>
    </row>
    <row r="53" spans="1:12" ht="21" customHeight="1" x14ac:dyDescent="0.25">
      <c r="A53" s="181" t="s">
        <v>2368</v>
      </c>
      <c r="B53" s="509" t="s">
        <v>2369</v>
      </c>
      <c r="C53" s="509"/>
      <c r="D53" s="481" t="s">
        <v>82</v>
      </c>
      <c r="E53" s="481"/>
      <c r="F53" s="481"/>
      <c r="G53" s="231" t="s">
        <v>1024</v>
      </c>
      <c r="H53" s="510">
        <v>1</v>
      </c>
      <c r="I53" s="510"/>
      <c r="J53" s="511">
        <v>0.19</v>
      </c>
      <c r="K53" s="511"/>
      <c r="L53" s="367">
        <f>TRUNC(TRUNC(H53,8)*J53,2)</f>
        <v>0.19</v>
      </c>
    </row>
    <row r="54" spans="1:12" ht="15" customHeight="1" x14ac:dyDescent="0.25">
      <c r="A54" s="182"/>
      <c r="B54" s="183"/>
      <c r="C54" s="183"/>
      <c r="D54" s="183"/>
      <c r="E54" s="183"/>
      <c r="F54" s="183"/>
      <c r="G54" s="183"/>
      <c r="H54" s="477" t="s">
        <v>1915</v>
      </c>
      <c r="I54" s="477"/>
      <c r="J54" s="477"/>
      <c r="K54" s="477"/>
      <c r="L54" s="368">
        <f>SUM(L53:L53)</f>
        <v>0.19</v>
      </c>
    </row>
    <row r="55" spans="1:12" ht="15" customHeight="1" x14ac:dyDescent="0.25">
      <c r="A55" s="182"/>
      <c r="B55" s="183"/>
      <c r="C55" s="183"/>
      <c r="D55" s="183"/>
      <c r="E55" s="183"/>
      <c r="F55" s="183"/>
      <c r="G55" s="183"/>
      <c r="H55" s="482" t="s">
        <v>1834</v>
      </c>
      <c r="I55" s="482"/>
      <c r="J55" s="482"/>
      <c r="K55" s="482"/>
      <c r="L55" s="369">
        <f>ROUND(SUM(L48,L51,L54),2)</f>
        <v>29.3</v>
      </c>
    </row>
    <row r="56" spans="1:12" ht="9.9499999999999993" customHeight="1" x14ac:dyDescent="0.25">
      <c r="A56" s="182"/>
      <c r="B56" s="183"/>
      <c r="C56" s="183"/>
      <c r="D56" s="183"/>
      <c r="E56" s="183"/>
      <c r="F56" s="183"/>
      <c r="G56" s="183"/>
      <c r="H56" s="485"/>
      <c r="I56" s="485"/>
      <c r="J56" s="485"/>
      <c r="K56" s="485"/>
      <c r="L56" s="512"/>
    </row>
    <row r="57" spans="1:12" ht="20.100000000000001" customHeight="1" x14ac:dyDescent="0.25">
      <c r="A57" s="486" t="s">
        <v>2370</v>
      </c>
      <c r="B57" s="487"/>
      <c r="C57" s="487"/>
      <c r="D57" s="487"/>
      <c r="E57" s="487"/>
      <c r="F57" s="487"/>
      <c r="G57" s="487"/>
      <c r="H57" s="487"/>
      <c r="I57" s="487"/>
      <c r="J57" s="487"/>
      <c r="K57" s="487"/>
      <c r="L57" s="513"/>
    </row>
    <row r="58" spans="1:12" ht="15" customHeight="1" x14ac:dyDescent="0.25">
      <c r="A58" s="474" t="s">
        <v>1812</v>
      </c>
      <c r="B58" s="475"/>
      <c r="C58" s="475"/>
      <c r="D58" s="476" t="s">
        <v>42</v>
      </c>
      <c r="E58" s="476"/>
      <c r="F58" s="476"/>
      <c r="G58" s="230" t="s">
        <v>44</v>
      </c>
      <c r="H58" s="476" t="s">
        <v>1813</v>
      </c>
      <c r="I58" s="476"/>
      <c r="J58" s="476" t="s">
        <v>1814</v>
      </c>
      <c r="K58" s="476"/>
      <c r="L58" s="366" t="s">
        <v>1802</v>
      </c>
    </row>
    <row r="59" spans="1:12" ht="21" customHeight="1" x14ac:dyDescent="0.25">
      <c r="A59" s="181" t="s">
        <v>2220</v>
      </c>
      <c r="B59" s="509" t="s">
        <v>2221</v>
      </c>
      <c r="C59" s="509"/>
      <c r="D59" s="481" t="s">
        <v>82</v>
      </c>
      <c r="E59" s="481"/>
      <c r="F59" s="481"/>
      <c r="G59" s="231" t="s">
        <v>85</v>
      </c>
      <c r="H59" s="510">
        <v>1.1599999999999999</v>
      </c>
      <c r="I59" s="510"/>
      <c r="J59" s="511">
        <v>90</v>
      </c>
      <c r="K59" s="511"/>
      <c r="L59" s="367">
        <f>TRUNC(TRUNC(H59,8)*J59,2)</f>
        <v>104.4</v>
      </c>
    </row>
    <row r="60" spans="1:12" ht="15" customHeight="1" x14ac:dyDescent="0.25">
      <c r="A60" s="181" t="s">
        <v>2371</v>
      </c>
      <c r="B60" s="509" t="s">
        <v>2372</v>
      </c>
      <c r="C60" s="509"/>
      <c r="D60" s="481" t="s">
        <v>82</v>
      </c>
      <c r="E60" s="481"/>
      <c r="F60" s="481"/>
      <c r="G60" s="231" t="s">
        <v>1817</v>
      </c>
      <c r="H60" s="510">
        <v>116.4</v>
      </c>
      <c r="I60" s="510"/>
      <c r="J60" s="511">
        <v>1.46</v>
      </c>
      <c r="K60" s="511"/>
      <c r="L60" s="367">
        <f>TRUNC(TRUNC(H60,8)*J60,2)</f>
        <v>169.94</v>
      </c>
    </row>
    <row r="61" spans="1:12" ht="15" customHeight="1" x14ac:dyDescent="0.25">
      <c r="A61" s="181" t="s">
        <v>2373</v>
      </c>
      <c r="B61" s="509" t="s">
        <v>2374</v>
      </c>
      <c r="C61" s="509"/>
      <c r="D61" s="481" t="s">
        <v>82</v>
      </c>
      <c r="E61" s="481"/>
      <c r="F61" s="481"/>
      <c r="G61" s="231" t="s">
        <v>1817</v>
      </c>
      <c r="H61" s="510">
        <v>261.89</v>
      </c>
      <c r="I61" s="510"/>
      <c r="J61" s="511">
        <v>0.7</v>
      </c>
      <c r="K61" s="511"/>
      <c r="L61" s="367">
        <f>TRUNC(TRUNC(H61,8)*J61,2)</f>
        <v>183.32</v>
      </c>
    </row>
    <row r="62" spans="1:12" ht="15" customHeight="1" x14ac:dyDescent="0.25">
      <c r="A62" s="182"/>
      <c r="B62" s="183"/>
      <c r="C62" s="183"/>
      <c r="D62" s="183"/>
      <c r="E62" s="183"/>
      <c r="F62" s="183"/>
      <c r="G62" s="183"/>
      <c r="H62" s="477" t="s">
        <v>1826</v>
      </c>
      <c r="I62" s="477"/>
      <c r="J62" s="477"/>
      <c r="K62" s="477"/>
      <c r="L62" s="368">
        <f>SUM(L59:L61)</f>
        <v>457.66</v>
      </c>
    </row>
    <row r="63" spans="1:12" ht="15" customHeight="1" x14ac:dyDescent="0.25">
      <c r="A63" s="474" t="s">
        <v>2190</v>
      </c>
      <c r="B63" s="475"/>
      <c r="C63" s="475"/>
      <c r="D63" s="476" t="s">
        <v>42</v>
      </c>
      <c r="E63" s="476"/>
      <c r="F63" s="476"/>
      <c r="G63" s="230" t="s">
        <v>44</v>
      </c>
      <c r="H63" s="476" t="s">
        <v>1813</v>
      </c>
      <c r="I63" s="476"/>
      <c r="J63" s="476" t="s">
        <v>1814</v>
      </c>
      <c r="K63" s="476"/>
      <c r="L63" s="366" t="s">
        <v>1802</v>
      </c>
    </row>
    <row r="64" spans="1:12" ht="15" customHeight="1" x14ac:dyDescent="0.25">
      <c r="A64" s="181" t="s">
        <v>2375</v>
      </c>
      <c r="B64" s="509" t="s">
        <v>2376</v>
      </c>
      <c r="C64" s="509"/>
      <c r="D64" s="481" t="s">
        <v>82</v>
      </c>
      <c r="E64" s="481"/>
      <c r="F64" s="481"/>
      <c r="G64" s="231" t="s">
        <v>1024</v>
      </c>
      <c r="H64" s="510">
        <v>11.23</v>
      </c>
      <c r="I64" s="510"/>
      <c r="J64" s="511">
        <v>28.97</v>
      </c>
      <c r="K64" s="511"/>
      <c r="L64" s="367">
        <f>TRUNC(TRUNC(H64,8)*J64,2)</f>
        <v>325.33</v>
      </c>
    </row>
    <row r="65" spans="1:12" ht="18" customHeight="1" x14ac:dyDescent="0.25">
      <c r="A65" s="182"/>
      <c r="B65" s="183"/>
      <c r="C65" s="183"/>
      <c r="D65" s="183"/>
      <c r="E65" s="183"/>
      <c r="F65" s="183"/>
      <c r="G65" s="183"/>
      <c r="H65" s="477" t="s">
        <v>2195</v>
      </c>
      <c r="I65" s="477"/>
      <c r="J65" s="477"/>
      <c r="K65" s="477"/>
      <c r="L65" s="368">
        <f>SUM(L64:L64)</f>
        <v>325.33</v>
      </c>
    </row>
    <row r="66" spans="1:12" ht="15" customHeight="1" x14ac:dyDescent="0.25">
      <c r="A66" s="182"/>
      <c r="B66" s="183"/>
      <c r="C66" s="183"/>
      <c r="D66" s="183"/>
      <c r="E66" s="183"/>
      <c r="F66" s="183"/>
      <c r="G66" s="183"/>
      <c r="H66" s="482" t="s">
        <v>1834</v>
      </c>
      <c r="I66" s="482"/>
      <c r="J66" s="482"/>
      <c r="K66" s="482"/>
      <c r="L66" s="369">
        <f>ROUND(SUM(L62,L65),2)</f>
        <v>782.99</v>
      </c>
    </row>
    <row r="67" spans="1:12" ht="9.9499999999999993" customHeight="1" x14ac:dyDescent="0.25">
      <c r="A67" s="182"/>
      <c r="B67" s="183"/>
      <c r="C67" s="183"/>
      <c r="D67" s="183"/>
      <c r="E67" s="183"/>
      <c r="F67" s="183"/>
      <c r="G67" s="183"/>
      <c r="H67" s="485"/>
      <c r="I67" s="485"/>
      <c r="J67" s="485"/>
      <c r="K67" s="485"/>
      <c r="L67" s="512"/>
    </row>
    <row r="68" spans="1:12" ht="20.100000000000001" customHeight="1" x14ac:dyDescent="0.25">
      <c r="A68" s="486" t="s">
        <v>2377</v>
      </c>
      <c r="B68" s="487"/>
      <c r="C68" s="487"/>
      <c r="D68" s="487"/>
      <c r="E68" s="487"/>
      <c r="F68" s="487"/>
      <c r="G68" s="487"/>
      <c r="H68" s="487"/>
      <c r="I68" s="487"/>
      <c r="J68" s="487"/>
      <c r="K68" s="487"/>
      <c r="L68" s="513"/>
    </row>
    <row r="69" spans="1:12" ht="15" customHeight="1" x14ac:dyDescent="0.25">
      <c r="A69" s="474" t="s">
        <v>1932</v>
      </c>
      <c r="B69" s="475"/>
      <c r="C69" s="475"/>
      <c r="D69" s="476" t="s">
        <v>42</v>
      </c>
      <c r="E69" s="476"/>
      <c r="F69" s="476"/>
      <c r="G69" s="230" t="s">
        <v>44</v>
      </c>
      <c r="H69" s="476" t="s">
        <v>1813</v>
      </c>
      <c r="I69" s="476"/>
      <c r="J69" s="476" t="s">
        <v>1814</v>
      </c>
      <c r="K69" s="476"/>
      <c r="L69" s="366" t="s">
        <v>1802</v>
      </c>
    </row>
    <row r="70" spans="1:12" ht="21" customHeight="1" x14ac:dyDescent="0.25">
      <c r="A70" s="181" t="s">
        <v>2336</v>
      </c>
      <c r="B70" s="509" t="s">
        <v>2337</v>
      </c>
      <c r="C70" s="509"/>
      <c r="D70" s="481" t="s">
        <v>82</v>
      </c>
      <c r="E70" s="481"/>
      <c r="F70" s="481"/>
      <c r="G70" s="231" t="s">
        <v>1024</v>
      </c>
      <c r="H70" s="510">
        <v>1</v>
      </c>
      <c r="I70" s="510"/>
      <c r="J70" s="511">
        <v>7.63</v>
      </c>
      <c r="K70" s="511"/>
      <c r="L70" s="367">
        <f t="shared" ref="L70:L75" si="3">TRUNC(TRUNC(H70,8)*J70,2)</f>
        <v>7.63</v>
      </c>
    </row>
    <row r="71" spans="1:12" ht="21" customHeight="1" x14ac:dyDescent="0.25">
      <c r="A71" s="181" t="s">
        <v>2338</v>
      </c>
      <c r="B71" s="509" t="s">
        <v>2339</v>
      </c>
      <c r="C71" s="509"/>
      <c r="D71" s="481" t="s">
        <v>82</v>
      </c>
      <c r="E71" s="481"/>
      <c r="F71" s="481"/>
      <c r="G71" s="231" t="s">
        <v>1024</v>
      </c>
      <c r="H71" s="510">
        <v>1</v>
      </c>
      <c r="I71" s="510"/>
      <c r="J71" s="511">
        <v>1.28</v>
      </c>
      <c r="K71" s="511"/>
      <c r="L71" s="367">
        <f t="shared" si="3"/>
        <v>1.28</v>
      </c>
    </row>
    <row r="72" spans="1:12" ht="21" customHeight="1" x14ac:dyDescent="0.25">
      <c r="A72" s="181" t="s">
        <v>2340</v>
      </c>
      <c r="B72" s="509" t="s">
        <v>2341</v>
      </c>
      <c r="C72" s="509"/>
      <c r="D72" s="481" t="s">
        <v>82</v>
      </c>
      <c r="E72" s="481"/>
      <c r="F72" s="481"/>
      <c r="G72" s="231" t="s">
        <v>1024</v>
      </c>
      <c r="H72" s="510">
        <v>1</v>
      </c>
      <c r="I72" s="510"/>
      <c r="J72" s="511">
        <v>1.62</v>
      </c>
      <c r="K72" s="511"/>
      <c r="L72" s="367">
        <f t="shared" si="3"/>
        <v>1.62</v>
      </c>
    </row>
    <row r="73" spans="1:12" ht="21" customHeight="1" x14ac:dyDescent="0.25">
      <c r="A73" s="181" t="s">
        <v>2342</v>
      </c>
      <c r="B73" s="509" t="s">
        <v>2343</v>
      </c>
      <c r="C73" s="509"/>
      <c r="D73" s="481" t="s">
        <v>82</v>
      </c>
      <c r="E73" s="481"/>
      <c r="F73" s="481"/>
      <c r="G73" s="231" t="s">
        <v>1024</v>
      </c>
      <c r="H73" s="510">
        <v>1</v>
      </c>
      <c r="I73" s="510"/>
      <c r="J73" s="511">
        <v>0.68</v>
      </c>
      <c r="K73" s="511"/>
      <c r="L73" s="367">
        <f t="shared" si="3"/>
        <v>0.68</v>
      </c>
    </row>
    <row r="74" spans="1:12" ht="21" customHeight="1" x14ac:dyDescent="0.25">
      <c r="A74" s="181" t="s">
        <v>2344</v>
      </c>
      <c r="B74" s="509" t="s">
        <v>2345</v>
      </c>
      <c r="C74" s="509"/>
      <c r="D74" s="481" t="s">
        <v>82</v>
      </c>
      <c r="E74" s="481"/>
      <c r="F74" s="481"/>
      <c r="G74" s="231" t="s">
        <v>1024</v>
      </c>
      <c r="H74" s="510">
        <v>1</v>
      </c>
      <c r="I74" s="510"/>
      <c r="J74" s="511">
        <v>0.11</v>
      </c>
      <c r="K74" s="511"/>
      <c r="L74" s="367">
        <f t="shared" si="3"/>
        <v>0.11</v>
      </c>
    </row>
    <row r="75" spans="1:12" ht="21" customHeight="1" x14ac:dyDescent="0.25">
      <c r="A75" s="181" t="s">
        <v>2346</v>
      </c>
      <c r="B75" s="509" t="s">
        <v>2347</v>
      </c>
      <c r="C75" s="509"/>
      <c r="D75" s="481" t="s">
        <v>82</v>
      </c>
      <c r="E75" s="481"/>
      <c r="F75" s="481"/>
      <c r="G75" s="231" t="s">
        <v>1024</v>
      </c>
      <c r="H75" s="510">
        <v>1</v>
      </c>
      <c r="I75" s="510"/>
      <c r="J75" s="511">
        <v>0.66</v>
      </c>
      <c r="K75" s="511"/>
      <c r="L75" s="367">
        <f t="shared" si="3"/>
        <v>0.66</v>
      </c>
    </row>
    <row r="76" spans="1:12" ht="15" customHeight="1" x14ac:dyDescent="0.25">
      <c r="A76" s="182"/>
      <c r="B76" s="183"/>
      <c r="C76" s="183"/>
      <c r="D76" s="183"/>
      <c r="E76" s="183"/>
      <c r="F76" s="183"/>
      <c r="G76" s="183"/>
      <c r="H76" s="477" t="s">
        <v>1938</v>
      </c>
      <c r="I76" s="477"/>
      <c r="J76" s="477"/>
      <c r="K76" s="477"/>
      <c r="L76" s="368">
        <f>SUM(L70:L75)</f>
        <v>11.98</v>
      </c>
    </row>
    <row r="77" spans="1:12" ht="15" customHeight="1" x14ac:dyDescent="0.25">
      <c r="A77" s="474" t="s">
        <v>1827</v>
      </c>
      <c r="B77" s="475"/>
      <c r="C77" s="475"/>
      <c r="D77" s="476" t="s">
        <v>42</v>
      </c>
      <c r="E77" s="476"/>
      <c r="F77" s="476"/>
      <c r="G77" s="230" t="s">
        <v>44</v>
      </c>
      <c r="H77" s="476" t="s">
        <v>1813</v>
      </c>
      <c r="I77" s="476"/>
      <c r="J77" s="476" t="s">
        <v>1814</v>
      </c>
      <c r="K77" s="476"/>
      <c r="L77" s="366" t="s">
        <v>1802</v>
      </c>
    </row>
    <row r="78" spans="1:12" ht="15" customHeight="1" x14ac:dyDescent="0.25">
      <c r="A78" s="181" t="s">
        <v>2378</v>
      </c>
      <c r="B78" s="509" t="s">
        <v>2379</v>
      </c>
      <c r="C78" s="509"/>
      <c r="D78" s="481" t="s">
        <v>82</v>
      </c>
      <c r="E78" s="481"/>
      <c r="F78" s="481"/>
      <c r="G78" s="231" t="s">
        <v>1024</v>
      </c>
      <c r="H78" s="510">
        <v>1</v>
      </c>
      <c r="I78" s="510"/>
      <c r="J78" s="511">
        <v>23.81</v>
      </c>
      <c r="K78" s="511"/>
      <c r="L78" s="367">
        <f>TRUNC(TRUNC(H78,8)*J78,2)</f>
        <v>23.81</v>
      </c>
    </row>
    <row r="79" spans="1:12" ht="15" customHeight="1" x14ac:dyDescent="0.25">
      <c r="A79" s="182"/>
      <c r="B79" s="183"/>
      <c r="C79" s="183"/>
      <c r="D79" s="183"/>
      <c r="E79" s="183"/>
      <c r="F79" s="183"/>
      <c r="G79" s="183"/>
      <c r="H79" s="477" t="s">
        <v>1832</v>
      </c>
      <c r="I79" s="477"/>
      <c r="J79" s="477"/>
      <c r="K79" s="477"/>
      <c r="L79" s="368">
        <f>SUM(L78:L78)</f>
        <v>23.81</v>
      </c>
    </row>
    <row r="80" spans="1:12" ht="15" customHeight="1" x14ac:dyDescent="0.25">
      <c r="A80" s="474" t="s">
        <v>1912</v>
      </c>
      <c r="B80" s="475"/>
      <c r="C80" s="475"/>
      <c r="D80" s="476" t="s">
        <v>42</v>
      </c>
      <c r="E80" s="476"/>
      <c r="F80" s="476"/>
      <c r="G80" s="230" t="s">
        <v>44</v>
      </c>
      <c r="H80" s="476" t="s">
        <v>1813</v>
      </c>
      <c r="I80" s="476"/>
      <c r="J80" s="476" t="s">
        <v>1814</v>
      </c>
      <c r="K80" s="476"/>
      <c r="L80" s="366" t="s">
        <v>1802</v>
      </c>
    </row>
    <row r="81" spans="1:12" ht="21" customHeight="1" x14ac:dyDescent="0.25">
      <c r="A81" s="181" t="s">
        <v>2380</v>
      </c>
      <c r="B81" s="509" t="s">
        <v>2381</v>
      </c>
      <c r="C81" s="509"/>
      <c r="D81" s="481" t="s">
        <v>82</v>
      </c>
      <c r="E81" s="481"/>
      <c r="F81" s="481"/>
      <c r="G81" s="231" t="s">
        <v>1024</v>
      </c>
      <c r="H81" s="510">
        <v>1</v>
      </c>
      <c r="I81" s="510"/>
      <c r="J81" s="511">
        <v>0.27</v>
      </c>
      <c r="K81" s="511"/>
      <c r="L81" s="367">
        <f>TRUNC(TRUNC(H81,8)*J81,2)</f>
        <v>0.27</v>
      </c>
    </row>
    <row r="82" spans="1:12" ht="15" customHeight="1" x14ac:dyDescent="0.25">
      <c r="A82" s="182"/>
      <c r="B82" s="183"/>
      <c r="C82" s="183"/>
      <c r="D82" s="183"/>
      <c r="E82" s="183"/>
      <c r="F82" s="183"/>
      <c r="G82" s="183"/>
      <c r="H82" s="477" t="s">
        <v>1915</v>
      </c>
      <c r="I82" s="477"/>
      <c r="J82" s="477"/>
      <c r="K82" s="477"/>
      <c r="L82" s="368">
        <f>SUM(L81:L81)</f>
        <v>0.27</v>
      </c>
    </row>
    <row r="83" spans="1:12" ht="15" customHeight="1" x14ac:dyDescent="0.25">
      <c r="A83" s="182"/>
      <c r="B83" s="183"/>
      <c r="C83" s="183"/>
      <c r="D83" s="183"/>
      <c r="E83" s="183"/>
      <c r="F83" s="183"/>
      <c r="G83" s="183"/>
      <c r="H83" s="482" t="s">
        <v>1834</v>
      </c>
      <c r="I83" s="482"/>
      <c r="J83" s="482"/>
      <c r="K83" s="482"/>
      <c r="L83" s="369">
        <f>ROUND(SUM(L76,L79,L82),2)</f>
        <v>36.06</v>
      </c>
    </row>
    <row r="84" spans="1:12" ht="9.9499999999999993" customHeight="1" x14ac:dyDescent="0.25">
      <c r="A84" s="182"/>
      <c r="B84" s="183"/>
      <c r="C84" s="183"/>
      <c r="D84" s="183"/>
      <c r="E84" s="183"/>
      <c r="F84" s="183"/>
      <c r="G84" s="183"/>
      <c r="H84" s="485"/>
      <c r="I84" s="485"/>
      <c r="J84" s="485"/>
      <c r="K84" s="485"/>
      <c r="L84" s="512"/>
    </row>
    <row r="85" spans="1:12" ht="20.100000000000001" customHeight="1" x14ac:dyDescent="0.25">
      <c r="A85" s="486" t="s">
        <v>2382</v>
      </c>
      <c r="B85" s="487"/>
      <c r="C85" s="487"/>
      <c r="D85" s="487"/>
      <c r="E85" s="487"/>
      <c r="F85" s="487"/>
      <c r="G85" s="487"/>
      <c r="H85" s="487"/>
      <c r="I85" s="487"/>
      <c r="J85" s="487"/>
      <c r="K85" s="487"/>
      <c r="L85" s="513"/>
    </row>
    <row r="86" spans="1:12" ht="15" customHeight="1" x14ac:dyDescent="0.25">
      <c r="A86" s="474" t="s">
        <v>1812</v>
      </c>
      <c r="B86" s="475"/>
      <c r="C86" s="475"/>
      <c r="D86" s="476" t="s">
        <v>42</v>
      </c>
      <c r="E86" s="476"/>
      <c r="F86" s="476"/>
      <c r="G86" s="230" t="s">
        <v>44</v>
      </c>
      <c r="H86" s="476" t="s">
        <v>1813</v>
      </c>
      <c r="I86" s="476"/>
      <c r="J86" s="476" t="s">
        <v>1814</v>
      </c>
      <c r="K86" s="476"/>
      <c r="L86" s="366" t="s">
        <v>1802</v>
      </c>
    </row>
    <row r="87" spans="1:12" ht="21" customHeight="1" x14ac:dyDescent="0.25">
      <c r="A87" s="181" t="s">
        <v>2383</v>
      </c>
      <c r="B87" s="509" t="s">
        <v>2384</v>
      </c>
      <c r="C87" s="509"/>
      <c r="D87" s="481" t="s">
        <v>82</v>
      </c>
      <c r="E87" s="481"/>
      <c r="F87" s="481"/>
      <c r="G87" s="231" t="s">
        <v>1817</v>
      </c>
      <c r="H87" s="510">
        <v>2.5000000000000001E-2</v>
      </c>
      <c r="I87" s="510"/>
      <c r="J87" s="511">
        <v>23.85</v>
      </c>
      <c r="K87" s="511"/>
      <c r="L87" s="367">
        <f>TRUNC(TRUNC(H87,8)*J87,2)</f>
        <v>0.59</v>
      </c>
    </row>
    <row r="88" spans="1:12" ht="29.1" customHeight="1" x14ac:dyDescent="0.25">
      <c r="A88" s="181" t="s">
        <v>2385</v>
      </c>
      <c r="B88" s="509" t="s">
        <v>2386</v>
      </c>
      <c r="C88" s="509"/>
      <c r="D88" s="481" t="s">
        <v>82</v>
      </c>
      <c r="E88" s="481"/>
      <c r="F88" s="481"/>
      <c r="G88" s="231" t="s">
        <v>226</v>
      </c>
      <c r="H88" s="510">
        <v>0.43099999999999999</v>
      </c>
      <c r="I88" s="510"/>
      <c r="J88" s="511">
        <v>0.19</v>
      </c>
      <c r="K88" s="511"/>
      <c r="L88" s="367">
        <f>TRUNC(TRUNC(H88,8)*J88,2)</f>
        <v>0.08</v>
      </c>
    </row>
    <row r="89" spans="1:12" ht="15" customHeight="1" x14ac:dyDescent="0.25">
      <c r="A89" s="182"/>
      <c r="B89" s="183"/>
      <c r="C89" s="183"/>
      <c r="D89" s="183"/>
      <c r="E89" s="183"/>
      <c r="F89" s="183"/>
      <c r="G89" s="183"/>
      <c r="H89" s="477" t="s">
        <v>1826</v>
      </c>
      <c r="I89" s="477"/>
      <c r="J89" s="477"/>
      <c r="K89" s="477"/>
      <c r="L89" s="368">
        <f>SUM(L87:L88)</f>
        <v>0.66999999999999993</v>
      </c>
    </row>
    <row r="90" spans="1:12" ht="15" customHeight="1" x14ac:dyDescent="0.25">
      <c r="A90" s="474" t="s">
        <v>2190</v>
      </c>
      <c r="B90" s="475"/>
      <c r="C90" s="475"/>
      <c r="D90" s="476" t="s">
        <v>42</v>
      </c>
      <c r="E90" s="476"/>
      <c r="F90" s="476"/>
      <c r="G90" s="230" t="s">
        <v>44</v>
      </c>
      <c r="H90" s="476" t="s">
        <v>1813</v>
      </c>
      <c r="I90" s="476"/>
      <c r="J90" s="476" t="s">
        <v>1814</v>
      </c>
      <c r="K90" s="476"/>
      <c r="L90" s="366" t="s">
        <v>1802</v>
      </c>
    </row>
    <row r="91" spans="1:12" ht="21" customHeight="1" x14ac:dyDescent="0.25">
      <c r="A91" s="181" t="s">
        <v>2387</v>
      </c>
      <c r="B91" s="509" t="s">
        <v>2388</v>
      </c>
      <c r="C91" s="509"/>
      <c r="D91" s="481" t="s">
        <v>82</v>
      </c>
      <c r="E91" s="481"/>
      <c r="F91" s="481"/>
      <c r="G91" s="231" t="s">
        <v>1024</v>
      </c>
      <c r="H91" s="510">
        <v>1.4999999999999999E-2</v>
      </c>
      <c r="I91" s="510"/>
      <c r="J91" s="511">
        <v>31.13</v>
      </c>
      <c r="K91" s="511"/>
      <c r="L91" s="367">
        <f>TRUNC(TRUNC(H91,8)*J91,2)</f>
        <v>0.46</v>
      </c>
    </row>
    <row r="92" spans="1:12" ht="15" customHeight="1" x14ac:dyDescent="0.25">
      <c r="A92" s="181" t="s">
        <v>2389</v>
      </c>
      <c r="B92" s="509" t="s">
        <v>2390</v>
      </c>
      <c r="C92" s="509"/>
      <c r="D92" s="481" t="s">
        <v>82</v>
      </c>
      <c r="E92" s="481"/>
      <c r="F92" s="481"/>
      <c r="G92" s="231" t="s">
        <v>1024</v>
      </c>
      <c r="H92" s="510">
        <v>9.4E-2</v>
      </c>
      <c r="I92" s="510"/>
      <c r="J92" s="511">
        <v>36.06</v>
      </c>
      <c r="K92" s="511"/>
      <c r="L92" s="367">
        <f>TRUNC(TRUNC(H92,8)*J92,2)</f>
        <v>3.38</v>
      </c>
    </row>
    <row r="93" spans="1:12" ht="18" customHeight="1" x14ac:dyDescent="0.25">
      <c r="A93" s="182"/>
      <c r="B93" s="183"/>
      <c r="C93" s="183"/>
      <c r="D93" s="183"/>
      <c r="E93" s="183"/>
      <c r="F93" s="183"/>
      <c r="G93" s="183"/>
      <c r="H93" s="477" t="s">
        <v>2195</v>
      </c>
      <c r="I93" s="477"/>
      <c r="J93" s="477"/>
      <c r="K93" s="477"/>
      <c r="L93" s="368">
        <f>SUM(L91:L92)</f>
        <v>3.84</v>
      </c>
    </row>
    <row r="94" spans="1:12" ht="15" customHeight="1" x14ac:dyDescent="0.25">
      <c r="A94" s="474" t="s">
        <v>1912</v>
      </c>
      <c r="B94" s="475"/>
      <c r="C94" s="475"/>
      <c r="D94" s="476" t="s">
        <v>42</v>
      </c>
      <c r="E94" s="476"/>
      <c r="F94" s="476"/>
      <c r="G94" s="230" t="s">
        <v>44</v>
      </c>
      <c r="H94" s="476" t="s">
        <v>1813</v>
      </c>
      <c r="I94" s="476"/>
      <c r="J94" s="476" t="s">
        <v>1814</v>
      </c>
      <c r="K94" s="476"/>
      <c r="L94" s="366" t="s">
        <v>1802</v>
      </c>
    </row>
    <row r="95" spans="1:12" ht="21" customHeight="1" x14ac:dyDescent="0.25">
      <c r="A95" s="181" t="s">
        <v>2391</v>
      </c>
      <c r="B95" s="509" t="s">
        <v>2392</v>
      </c>
      <c r="C95" s="509"/>
      <c r="D95" s="481" t="s">
        <v>82</v>
      </c>
      <c r="E95" s="481"/>
      <c r="F95" s="481"/>
      <c r="G95" s="231" t="s">
        <v>1817</v>
      </c>
      <c r="H95" s="510">
        <v>1</v>
      </c>
      <c r="I95" s="510"/>
      <c r="J95" s="511">
        <v>10.210000000000001</v>
      </c>
      <c r="K95" s="511"/>
      <c r="L95" s="367">
        <f>TRUNC(TRUNC(H95,8)*J95,2)</f>
        <v>10.210000000000001</v>
      </c>
    </row>
    <row r="96" spans="1:12" ht="15" customHeight="1" x14ac:dyDescent="0.25">
      <c r="A96" s="182"/>
      <c r="B96" s="183"/>
      <c r="C96" s="183"/>
      <c r="D96" s="183"/>
      <c r="E96" s="183"/>
      <c r="F96" s="183"/>
      <c r="G96" s="183"/>
      <c r="H96" s="477" t="s">
        <v>1915</v>
      </c>
      <c r="I96" s="477"/>
      <c r="J96" s="477"/>
      <c r="K96" s="477"/>
      <c r="L96" s="368">
        <f>SUM(L95:L95)</f>
        <v>10.210000000000001</v>
      </c>
    </row>
    <row r="97" spans="1:12" ht="15" customHeight="1" x14ac:dyDescent="0.25">
      <c r="A97" s="182"/>
      <c r="B97" s="183"/>
      <c r="C97" s="183"/>
      <c r="D97" s="183"/>
      <c r="E97" s="183"/>
      <c r="F97" s="183"/>
      <c r="G97" s="183"/>
      <c r="H97" s="482" t="s">
        <v>1834</v>
      </c>
      <c r="I97" s="482"/>
      <c r="J97" s="482"/>
      <c r="K97" s="482"/>
      <c r="L97" s="369">
        <f>ROUND(SUM(L89,L93,L96),2)</f>
        <v>14.72</v>
      </c>
    </row>
    <row r="98" spans="1:12" ht="9.9499999999999993" customHeight="1" x14ac:dyDescent="0.25">
      <c r="A98" s="182"/>
      <c r="B98" s="183"/>
      <c r="C98" s="183"/>
      <c r="D98" s="183"/>
      <c r="E98" s="183"/>
      <c r="F98" s="183"/>
      <c r="G98" s="183"/>
      <c r="H98" s="485"/>
      <c r="I98" s="485"/>
      <c r="J98" s="485"/>
      <c r="K98" s="485"/>
      <c r="L98" s="512"/>
    </row>
    <row r="99" spans="1:12" ht="20.100000000000001" customHeight="1" x14ac:dyDescent="0.25">
      <c r="A99" s="486" t="s">
        <v>2393</v>
      </c>
      <c r="B99" s="487"/>
      <c r="C99" s="487"/>
      <c r="D99" s="487"/>
      <c r="E99" s="487"/>
      <c r="F99" s="487"/>
      <c r="G99" s="487"/>
      <c r="H99" s="487"/>
      <c r="I99" s="487"/>
      <c r="J99" s="487"/>
      <c r="K99" s="487"/>
      <c r="L99" s="513"/>
    </row>
    <row r="100" spans="1:12" ht="15" customHeight="1" x14ac:dyDescent="0.25">
      <c r="A100" s="474" t="s">
        <v>1812</v>
      </c>
      <c r="B100" s="475"/>
      <c r="C100" s="475"/>
      <c r="D100" s="476" t="s">
        <v>42</v>
      </c>
      <c r="E100" s="476"/>
      <c r="F100" s="476"/>
      <c r="G100" s="230" t="s">
        <v>44</v>
      </c>
      <c r="H100" s="476" t="s">
        <v>1813</v>
      </c>
      <c r="I100" s="476"/>
      <c r="J100" s="476" t="s">
        <v>1814</v>
      </c>
      <c r="K100" s="476"/>
      <c r="L100" s="366" t="s">
        <v>1802</v>
      </c>
    </row>
    <row r="101" spans="1:12" ht="21" customHeight="1" x14ac:dyDescent="0.25">
      <c r="A101" s="181" t="s">
        <v>2383</v>
      </c>
      <c r="B101" s="509" t="s">
        <v>2384</v>
      </c>
      <c r="C101" s="509"/>
      <c r="D101" s="481" t="s">
        <v>82</v>
      </c>
      <c r="E101" s="481"/>
      <c r="F101" s="481"/>
      <c r="G101" s="231" t="s">
        <v>1817</v>
      </c>
      <c r="H101" s="510">
        <v>2.5000000000000001E-2</v>
      </c>
      <c r="I101" s="510"/>
      <c r="J101" s="511">
        <v>23.85</v>
      </c>
      <c r="K101" s="511"/>
      <c r="L101" s="367">
        <f>TRUNC(TRUNC(H101,8)*J101,2)</f>
        <v>0.59</v>
      </c>
    </row>
    <row r="102" spans="1:12" ht="29.1" customHeight="1" x14ac:dyDescent="0.25">
      <c r="A102" s="181" t="s">
        <v>2385</v>
      </c>
      <c r="B102" s="509" t="s">
        <v>2386</v>
      </c>
      <c r="C102" s="509"/>
      <c r="D102" s="481" t="s">
        <v>82</v>
      </c>
      <c r="E102" s="481"/>
      <c r="F102" s="481"/>
      <c r="G102" s="231" t="s">
        <v>226</v>
      </c>
      <c r="H102" s="510">
        <v>0.27800000000000002</v>
      </c>
      <c r="I102" s="510"/>
      <c r="J102" s="511">
        <v>0.19</v>
      </c>
      <c r="K102" s="511"/>
      <c r="L102" s="367">
        <f>TRUNC(TRUNC(H102,8)*J102,2)</f>
        <v>0.05</v>
      </c>
    </row>
    <row r="103" spans="1:12" ht="15" customHeight="1" x14ac:dyDescent="0.25">
      <c r="A103" s="182"/>
      <c r="B103" s="183"/>
      <c r="C103" s="183"/>
      <c r="D103" s="183"/>
      <c r="E103" s="183"/>
      <c r="F103" s="183"/>
      <c r="G103" s="183"/>
      <c r="H103" s="477" t="s">
        <v>1826</v>
      </c>
      <c r="I103" s="477"/>
      <c r="J103" s="477"/>
      <c r="K103" s="477"/>
      <c r="L103" s="368">
        <f>SUM(L101:L102)</f>
        <v>0.64</v>
      </c>
    </row>
    <row r="104" spans="1:12" ht="15" customHeight="1" x14ac:dyDescent="0.25">
      <c r="A104" s="474" t="s">
        <v>2190</v>
      </c>
      <c r="B104" s="475"/>
      <c r="C104" s="475"/>
      <c r="D104" s="476" t="s">
        <v>42</v>
      </c>
      <c r="E104" s="476"/>
      <c r="F104" s="476"/>
      <c r="G104" s="230" t="s">
        <v>44</v>
      </c>
      <c r="H104" s="476" t="s">
        <v>1813</v>
      </c>
      <c r="I104" s="476"/>
      <c r="J104" s="476" t="s">
        <v>1814</v>
      </c>
      <c r="K104" s="476"/>
      <c r="L104" s="366" t="s">
        <v>1802</v>
      </c>
    </row>
    <row r="105" spans="1:12" ht="21" customHeight="1" x14ac:dyDescent="0.25">
      <c r="A105" s="181" t="s">
        <v>2387</v>
      </c>
      <c r="B105" s="509" t="s">
        <v>2388</v>
      </c>
      <c r="C105" s="509"/>
      <c r="D105" s="481" t="s">
        <v>82</v>
      </c>
      <c r="E105" s="481"/>
      <c r="F105" s="481"/>
      <c r="G105" s="231" t="s">
        <v>1024</v>
      </c>
      <c r="H105" s="510">
        <v>7.0000000000000001E-3</v>
      </c>
      <c r="I105" s="510"/>
      <c r="J105" s="511">
        <v>31.13</v>
      </c>
      <c r="K105" s="511"/>
      <c r="L105" s="367">
        <f>TRUNC(TRUNC(H105,8)*J105,2)</f>
        <v>0.21</v>
      </c>
    </row>
    <row r="106" spans="1:12" ht="15" customHeight="1" x14ac:dyDescent="0.25">
      <c r="A106" s="181" t="s">
        <v>2389</v>
      </c>
      <c r="B106" s="509" t="s">
        <v>2390</v>
      </c>
      <c r="C106" s="509"/>
      <c r="D106" s="481" t="s">
        <v>82</v>
      </c>
      <c r="E106" s="481"/>
      <c r="F106" s="481"/>
      <c r="G106" s="231" t="s">
        <v>1024</v>
      </c>
      <c r="H106" s="510">
        <v>4.2000000000000003E-2</v>
      </c>
      <c r="I106" s="510"/>
      <c r="J106" s="511">
        <v>36.06</v>
      </c>
      <c r="K106" s="511"/>
      <c r="L106" s="367">
        <f>TRUNC(TRUNC(H106,8)*J106,2)</f>
        <v>1.51</v>
      </c>
    </row>
    <row r="107" spans="1:12" ht="18" customHeight="1" x14ac:dyDescent="0.25">
      <c r="A107" s="182"/>
      <c r="B107" s="183"/>
      <c r="C107" s="183"/>
      <c r="D107" s="183"/>
      <c r="E107" s="183"/>
      <c r="F107" s="183"/>
      <c r="G107" s="183"/>
      <c r="H107" s="477" t="s">
        <v>2195</v>
      </c>
      <c r="I107" s="477"/>
      <c r="J107" s="477"/>
      <c r="K107" s="477"/>
      <c r="L107" s="368">
        <f>SUM(L105:L106)</f>
        <v>1.72</v>
      </c>
    </row>
    <row r="108" spans="1:12" ht="15" customHeight="1" x14ac:dyDescent="0.25">
      <c r="A108" s="474" t="s">
        <v>1912</v>
      </c>
      <c r="B108" s="475"/>
      <c r="C108" s="475"/>
      <c r="D108" s="476" t="s">
        <v>42</v>
      </c>
      <c r="E108" s="476"/>
      <c r="F108" s="476"/>
      <c r="G108" s="230" t="s">
        <v>44</v>
      </c>
      <c r="H108" s="476" t="s">
        <v>1813</v>
      </c>
      <c r="I108" s="476"/>
      <c r="J108" s="476" t="s">
        <v>1814</v>
      </c>
      <c r="K108" s="476"/>
      <c r="L108" s="366" t="s">
        <v>1802</v>
      </c>
    </row>
    <row r="109" spans="1:12" ht="21" customHeight="1" x14ac:dyDescent="0.25">
      <c r="A109" s="181" t="s">
        <v>2394</v>
      </c>
      <c r="B109" s="509" t="s">
        <v>2395</v>
      </c>
      <c r="C109" s="509"/>
      <c r="D109" s="481" t="s">
        <v>82</v>
      </c>
      <c r="E109" s="481"/>
      <c r="F109" s="481"/>
      <c r="G109" s="231" t="s">
        <v>1817</v>
      </c>
      <c r="H109" s="510">
        <v>1</v>
      </c>
      <c r="I109" s="510"/>
      <c r="J109" s="511">
        <v>8.73</v>
      </c>
      <c r="K109" s="511"/>
      <c r="L109" s="367">
        <f>TRUNC(TRUNC(H109,8)*J109,2)</f>
        <v>8.73</v>
      </c>
    </row>
    <row r="110" spans="1:12" ht="15" customHeight="1" x14ac:dyDescent="0.25">
      <c r="A110" s="182"/>
      <c r="B110" s="183"/>
      <c r="C110" s="183"/>
      <c r="D110" s="183"/>
      <c r="E110" s="183"/>
      <c r="F110" s="183"/>
      <c r="G110" s="183"/>
      <c r="H110" s="477" t="s">
        <v>1915</v>
      </c>
      <c r="I110" s="477"/>
      <c r="J110" s="477"/>
      <c r="K110" s="477"/>
      <c r="L110" s="368">
        <f>SUM(L109:L109)</f>
        <v>8.73</v>
      </c>
    </row>
    <row r="111" spans="1:12" ht="15" customHeight="1" x14ac:dyDescent="0.25">
      <c r="A111" s="182"/>
      <c r="B111" s="183"/>
      <c r="C111" s="183"/>
      <c r="D111" s="183"/>
      <c r="E111" s="183"/>
      <c r="F111" s="183"/>
      <c r="G111" s="183"/>
      <c r="H111" s="482" t="s">
        <v>1834</v>
      </c>
      <c r="I111" s="482"/>
      <c r="J111" s="482"/>
      <c r="K111" s="482"/>
      <c r="L111" s="369">
        <f>ROUND(SUM(L103,L107,L110),2)</f>
        <v>11.09</v>
      </c>
    </row>
    <row r="112" spans="1:12" ht="9.9499999999999993" customHeight="1" x14ac:dyDescent="0.25">
      <c r="A112" s="182"/>
      <c r="B112" s="183"/>
      <c r="C112" s="183"/>
      <c r="D112" s="183"/>
      <c r="E112" s="183"/>
      <c r="F112" s="183"/>
      <c r="G112" s="183"/>
      <c r="H112" s="485"/>
      <c r="I112" s="485"/>
      <c r="J112" s="485"/>
      <c r="K112" s="485"/>
      <c r="L112" s="512"/>
    </row>
    <row r="113" spans="1:12" ht="20.100000000000001" customHeight="1" x14ac:dyDescent="0.25">
      <c r="A113" s="486" t="s">
        <v>2396</v>
      </c>
      <c r="B113" s="487"/>
      <c r="C113" s="487"/>
      <c r="D113" s="487"/>
      <c r="E113" s="487"/>
      <c r="F113" s="487"/>
      <c r="G113" s="487"/>
      <c r="H113" s="487"/>
      <c r="I113" s="487"/>
      <c r="J113" s="487"/>
      <c r="K113" s="487"/>
      <c r="L113" s="513"/>
    </row>
    <row r="114" spans="1:12" ht="15" customHeight="1" x14ac:dyDescent="0.25">
      <c r="A114" s="474" t="s">
        <v>1812</v>
      </c>
      <c r="B114" s="475"/>
      <c r="C114" s="475"/>
      <c r="D114" s="476" t="s">
        <v>42</v>
      </c>
      <c r="E114" s="476"/>
      <c r="F114" s="476"/>
      <c r="G114" s="230" t="s">
        <v>44</v>
      </c>
      <c r="H114" s="476" t="s">
        <v>1813</v>
      </c>
      <c r="I114" s="476"/>
      <c r="J114" s="476" t="s">
        <v>1814</v>
      </c>
      <c r="K114" s="476"/>
      <c r="L114" s="366" t="s">
        <v>1802</v>
      </c>
    </row>
    <row r="115" spans="1:12" ht="21" customHeight="1" x14ac:dyDescent="0.25">
      <c r="A115" s="181" t="s">
        <v>2383</v>
      </c>
      <c r="B115" s="509" t="s">
        <v>2384</v>
      </c>
      <c r="C115" s="509"/>
      <c r="D115" s="481" t="s">
        <v>82</v>
      </c>
      <c r="E115" s="481"/>
      <c r="F115" s="481"/>
      <c r="G115" s="231" t="s">
        <v>1817</v>
      </c>
      <c r="H115" s="510">
        <v>2.5000000000000001E-2</v>
      </c>
      <c r="I115" s="510"/>
      <c r="J115" s="511">
        <v>23.85</v>
      </c>
      <c r="K115" s="511"/>
      <c r="L115" s="367">
        <f>TRUNC(TRUNC(H115,8)*J115,2)</f>
        <v>0.59</v>
      </c>
    </row>
    <row r="116" spans="1:12" ht="29.1" customHeight="1" x14ac:dyDescent="0.25">
      <c r="A116" s="181" t="s">
        <v>2385</v>
      </c>
      <c r="B116" s="509" t="s">
        <v>2386</v>
      </c>
      <c r="C116" s="509"/>
      <c r="D116" s="481" t="s">
        <v>82</v>
      </c>
      <c r="E116" s="481"/>
      <c r="F116" s="481"/>
      <c r="G116" s="231" t="s">
        <v>226</v>
      </c>
      <c r="H116" s="510">
        <v>1.04</v>
      </c>
      <c r="I116" s="510"/>
      <c r="J116" s="511">
        <v>0.19</v>
      </c>
      <c r="K116" s="511"/>
      <c r="L116" s="367">
        <f>TRUNC(TRUNC(H116,8)*J116,2)</f>
        <v>0.19</v>
      </c>
    </row>
    <row r="117" spans="1:12" ht="15" customHeight="1" x14ac:dyDescent="0.25">
      <c r="A117" s="182"/>
      <c r="B117" s="183"/>
      <c r="C117" s="183"/>
      <c r="D117" s="183"/>
      <c r="E117" s="183"/>
      <c r="F117" s="183"/>
      <c r="G117" s="183"/>
      <c r="H117" s="477" t="s">
        <v>1826</v>
      </c>
      <c r="I117" s="477"/>
      <c r="J117" s="477"/>
      <c r="K117" s="477"/>
      <c r="L117" s="368">
        <f>SUM(L115:L116)</f>
        <v>0.78</v>
      </c>
    </row>
    <row r="118" spans="1:12" ht="15" customHeight="1" x14ac:dyDescent="0.25">
      <c r="A118" s="474" t="s">
        <v>2190</v>
      </c>
      <c r="B118" s="475"/>
      <c r="C118" s="475"/>
      <c r="D118" s="476" t="s">
        <v>42</v>
      </c>
      <c r="E118" s="476"/>
      <c r="F118" s="476"/>
      <c r="G118" s="230" t="s">
        <v>44</v>
      </c>
      <c r="H118" s="476" t="s">
        <v>1813</v>
      </c>
      <c r="I118" s="476"/>
      <c r="J118" s="476" t="s">
        <v>1814</v>
      </c>
      <c r="K118" s="476"/>
      <c r="L118" s="366" t="s">
        <v>1802</v>
      </c>
    </row>
    <row r="119" spans="1:12" ht="21" customHeight="1" x14ac:dyDescent="0.25">
      <c r="A119" s="181" t="s">
        <v>2387</v>
      </c>
      <c r="B119" s="509" t="s">
        <v>2388</v>
      </c>
      <c r="C119" s="509"/>
      <c r="D119" s="481" t="s">
        <v>82</v>
      </c>
      <c r="E119" s="481"/>
      <c r="F119" s="481"/>
      <c r="G119" s="231" t="s">
        <v>1024</v>
      </c>
      <c r="H119" s="510">
        <v>5.8000000000000003E-2</v>
      </c>
      <c r="I119" s="510"/>
      <c r="J119" s="511">
        <v>31.13</v>
      </c>
      <c r="K119" s="511"/>
      <c r="L119" s="367">
        <f>TRUNC(TRUNC(H119,8)*J119,2)</f>
        <v>1.8</v>
      </c>
    </row>
    <row r="120" spans="1:12" ht="15" customHeight="1" x14ac:dyDescent="0.25">
      <c r="A120" s="181" t="s">
        <v>2389</v>
      </c>
      <c r="B120" s="509" t="s">
        <v>2390</v>
      </c>
      <c r="C120" s="509"/>
      <c r="D120" s="481" t="s">
        <v>82</v>
      </c>
      <c r="E120" s="481"/>
      <c r="F120" s="481"/>
      <c r="G120" s="231" t="s">
        <v>1024</v>
      </c>
      <c r="H120" s="510">
        <v>0.36599999999999999</v>
      </c>
      <c r="I120" s="510"/>
      <c r="J120" s="511">
        <v>36.06</v>
      </c>
      <c r="K120" s="511"/>
      <c r="L120" s="367">
        <f>TRUNC(TRUNC(H120,8)*J120,2)</f>
        <v>13.19</v>
      </c>
    </row>
    <row r="121" spans="1:12" ht="18" customHeight="1" x14ac:dyDescent="0.25">
      <c r="A121" s="182"/>
      <c r="B121" s="183"/>
      <c r="C121" s="183"/>
      <c r="D121" s="183"/>
      <c r="E121" s="183"/>
      <c r="F121" s="183"/>
      <c r="G121" s="183"/>
      <c r="H121" s="477" t="s">
        <v>2195</v>
      </c>
      <c r="I121" s="477"/>
      <c r="J121" s="477"/>
      <c r="K121" s="477"/>
      <c r="L121" s="368">
        <f>SUM(L119:L120)</f>
        <v>14.99</v>
      </c>
    </row>
    <row r="122" spans="1:12" ht="15" customHeight="1" x14ac:dyDescent="0.25">
      <c r="A122" s="474" t="s">
        <v>1912</v>
      </c>
      <c r="B122" s="475"/>
      <c r="C122" s="475"/>
      <c r="D122" s="476" t="s">
        <v>42</v>
      </c>
      <c r="E122" s="476"/>
      <c r="F122" s="476"/>
      <c r="G122" s="230" t="s">
        <v>44</v>
      </c>
      <c r="H122" s="476" t="s">
        <v>1813</v>
      </c>
      <c r="I122" s="476"/>
      <c r="J122" s="476" t="s">
        <v>1814</v>
      </c>
      <c r="K122" s="476"/>
      <c r="L122" s="366" t="s">
        <v>1802</v>
      </c>
    </row>
    <row r="123" spans="1:12" ht="21" customHeight="1" x14ac:dyDescent="0.25">
      <c r="A123" s="181" t="s">
        <v>2397</v>
      </c>
      <c r="B123" s="509" t="s">
        <v>2398</v>
      </c>
      <c r="C123" s="509"/>
      <c r="D123" s="481" t="s">
        <v>82</v>
      </c>
      <c r="E123" s="481"/>
      <c r="F123" s="481"/>
      <c r="G123" s="231" t="s">
        <v>1817</v>
      </c>
      <c r="H123" s="510">
        <v>1</v>
      </c>
      <c r="I123" s="510"/>
      <c r="J123" s="511">
        <v>11.37</v>
      </c>
      <c r="K123" s="511"/>
      <c r="L123" s="367">
        <f>TRUNC(TRUNC(H123,8)*J123,2)</f>
        <v>11.37</v>
      </c>
    </row>
    <row r="124" spans="1:12" ht="15" customHeight="1" x14ac:dyDescent="0.25">
      <c r="A124" s="182"/>
      <c r="B124" s="183"/>
      <c r="C124" s="183"/>
      <c r="D124" s="183"/>
      <c r="E124" s="183"/>
      <c r="F124" s="183"/>
      <c r="G124" s="183"/>
      <c r="H124" s="477" t="s">
        <v>1915</v>
      </c>
      <c r="I124" s="477"/>
      <c r="J124" s="477"/>
      <c r="K124" s="477"/>
      <c r="L124" s="368">
        <f>SUM(L123:L123)</f>
        <v>11.37</v>
      </c>
    </row>
    <row r="125" spans="1:12" ht="15" customHeight="1" x14ac:dyDescent="0.25">
      <c r="A125" s="182"/>
      <c r="B125" s="183"/>
      <c r="C125" s="183"/>
      <c r="D125" s="183"/>
      <c r="E125" s="183"/>
      <c r="F125" s="183"/>
      <c r="G125" s="183"/>
      <c r="H125" s="482" t="s">
        <v>1834</v>
      </c>
      <c r="I125" s="482"/>
      <c r="J125" s="482"/>
      <c r="K125" s="482"/>
      <c r="L125" s="369">
        <f>ROUND(SUM(L117,L121,L124),2)</f>
        <v>27.14</v>
      </c>
    </row>
    <row r="126" spans="1:12" ht="9.9499999999999993" customHeight="1" x14ac:dyDescent="0.25">
      <c r="A126" s="182"/>
      <c r="B126" s="183"/>
      <c r="C126" s="183"/>
      <c r="D126" s="183"/>
      <c r="E126" s="183"/>
      <c r="F126" s="183"/>
      <c r="G126" s="183"/>
      <c r="H126" s="485"/>
      <c r="I126" s="485"/>
      <c r="J126" s="485"/>
      <c r="K126" s="485"/>
      <c r="L126" s="512"/>
    </row>
    <row r="127" spans="1:12" ht="20.100000000000001" customHeight="1" x14ac:dyDescent="0.25">
      <c r="A127" s="486" t="s">
        <v>2399</v>
      </c>
      <c r="B127" s="487"/>
      <c r="C127" s="487"/>
      <c r="D127" s="487"/>
      <c r="E127" s="487"/>
      <c r="F127" s="487"/>
      <c r="G127" s="487"/>
      <c r="H127" s="487"/>
      <c r="I127" s="487"/>
      <c r="J127" s="487"/>
      <c r="K127" s="487"/>
      <c r="L127" s="513"/>
    </row>
    <row r="128" spans="1:12" ht="15" customHeight="1" x14ac:dyDescent="0.25">
      <c r="A128" s="474" t="s">
        <v>1932</v>
      </c>
      <c r="B128" s="475"/>
      <c r="C128" s="475"/>
      <c r="D128" s="476" t="s">
        <v>42</v>
      </c>
      <c r="E128" s="476"/>
      <c r="F128" s="476"/>
      <c r="G128" s="230" t="s">
        <v>44</v>
      </c>
      <c r="H128" s="476" t="s">
        <v>1813</v>
      </c>
      <c r="I128" s="476"/>
      <c r="J128" s="476" t="s">
        <v>1814</v>
      </c>
      <c r="K128" s="476"/>
      <c r="L128" s="366" t="s">
        <v>1802</v>
      </c>
    </row>
    <row r="129" spans="1:12" ht="21" customHeight="1" x14ac:dyDescent="0.25">
      <c r="A129" s="181" t="s">
        <v>2336</v>
      </c>
      <c r="B129" s="509" t="s">
        <v>2337</v>
      </c>
      <c r="C129" s="509"/>
      <c r="D129" s="481" t="s">
        <v>82</v>
      </c>
      <c r="E129" s="481"/>
      <c r="F129" s="481"/>
      <c r="G129" s="231" t="s">
        <v>1024</v>
      </c>
      <c r="H129" s="510">
        <v>1</v>
      </c>
      <c r="I129" s="510"/>
      <c r="J129" s="511">
        <v>7.63</v>
      </c>
      <c r="K129" s="511"/>
      <c r="L129" s="367">
        <f t="shared" ref="L129:L134" si="4">TRUNC(TRUNC(H129,8)*J129,2)</f>
        <v>7.63</v>
      </c>
    </row>
    <row r="130" spans="1:12" ht="21" customHeight="1" x14ac:dyDescent="0.25">
      <c r="A130" s="181" t="s">
        <v>2400</v>
      </c>
      <c r="B130" s="509" t="s">
        <v>2401</v>
      </c>
      <c r="C130" s="509"/>
      <c r="D130" s="481" t="s">
        <v>82</v>
      </c>
      <c r="E130" s="481"/>
      <c r="F130" s="481"/>
      <c r="G130" s="231" t="s">
        <v>1024</v>
      </c>
      <c r="H130" s="510">
        <v>1</v>
      </c>
      <c r="I130" s="510"/>
      <c r="J130" s="511">
        <v>1.2</v>
      </c>
      <c r="K130" s="511"/>
      <c r="L130" s="367">
        <f t="shared" si="4"/>
        <v>1.2</v>
      </c>
    </row>
    <row r="131" spans="1:12" ht="21" customHeight="1" x14ac:dyDescent="0.25">
      <c r="A131" s="181" t="s">
        <v>2340</v>
      </c>
      <c r="B131" s="509" t="s">
        <v>2341</v>
      </c>
      <c r="C131" s="509"/>
      <c r="D131" s="481" t="s">
        <v>82</v>
      </c>
      <c r="E131" s="481"/>
      <c r="F131" s="481"/>
      <c r="G131" s="231" t="s">
        <v>1024</v>
      </c>
      <c r="H131" s="510">
        <v>1</v>
      </c>
      <c r="I131" s="510"/>
      <c r="J131" s="511">
        <v>1.62</v>
      </c>
      <c r="K131" s="511"/>
      <c r="L131" s="367">
        <f t="shared" si="4"/>
        <v>1.62</v>
      </c>
    </row>
    <row r="132" spans="1:12" ht="21" customHeight="1" x14ac:dyDescent="0.25">
      <c r="A132" s="181" t="s">
        <v>2402</v>
      </c>
      <c r="B132" s="509" t="s">
        <v>2403</v>
      </c>
      <c r="C132" s="509"/>
      <c r="D132" s="481" t="s">
        <v>82</v>
      </c>
      <c r="E132" s="481"/>
      <c r="F132" s="481"/>
      <c r="G132" s="231" t="s">
        <v>1024</v>
      </c>
      <c r="H132" s="510">
        <v>1</v>
      </c>
      <c r="I132" s="510"/>
      <c r="J132" s="511">
        <v>0.81</v>
      </c>
      <c r="K132" s="511"/>
      <c r="L132" s="367">
        <f t="shared" si="4"/>
        <v>0.81</v>
      </c>
    </row>
    <row r="133" spans="1:12" ht="21" customHeight="1" x14ac:dyDescent="0.25">
      <c r="A133" s="181" t="s">
        <v>2344</v>
      </c>
      <c r="B133" s="509" t="s">
        <v>2345</v>
      </c>
      <c r="C133" s="509"/>
      <c r="D133" s="481" t="s">
        <v>82</v>
      </c>
      <c r="E133" s="481"/>
      <c r="F133" s="481"/>
      <c r="G133" s="231" t="s">
        <v>1024</v>
      </c>
      <c r="H133" s="510">
        <v>1</v>
      </c>
      <c r="I133" s="510"/>
      <c r="J133" s="511">
        <v>0.11</v>
      </c>
      <c r="K133" s="511"/>
      <c r="L133" s="367">
        <f t="shared" si="4"/>
        <v>0.11</v>
      </c>
    </row>
    <row r="134" spans="1:12" ht="21" customHeight="1" x14ac:dyDescent="0.25">
      <c r="A134" s="181" t="s">
        <v>2346</v>
      </c>
      <c r="B134" s="509" t="s">
        <v>2347</v>
      </c>
      <c r="C134" s="509"/>
      <c r="D134" s="481" t="s">
        <v>82</v>
      </c>
      <c r="E134" s="481"/>
      <c r="F134" s="481"/>
      <c r="G134" s="231" t="s">
        <v>1024</v>
      </c>
      <c r="H134" s="510">
        <v>1</v>
      </c>
      <c r="I134" s="510"/>
      <c r="J134" s="511">
        <v>0.66</v>
      </c>
      <c r="K134" s="511"/>
      <c r="L134" s="367">
        <f t="shared" si="4"/>
        <v>0.66</v>
      </c>
    </row>
    <row r="135" spans="1:12" ht="15" customHeight="1" x14ac:dyDescent="0.25">
      <c r="A135" s="182"/>
      <c r="B135" s="183"/>
      <c r="C135" s="183"/>
      <c r="D135" s="183"/>
      <c r="E135" s="183"/>
      <c r="F135" s="183"/>
      <c r="G135" s="183"/>
      <c r="H135" s="477" t="s">
        <v>1938</v>
      </c>
      <c r="I135" s="477"/>
      <c r="J135" s="477"/>
      <c r="K135" s="477"/>
      <c r="L135" s="368">
        <f>SUM(L129:L134)</f>
        <v>12.03</v>
      </c>
    </row>
    <row r="136" spans="1:12" ht="15" customHeight="1" x14ac:dyDescent="0.25">
      <c r="A136" s="474" t="s">
        <v>1827</v>
      </c>
      <c r="B136" s="475"/>
      <c r="C136" s="475"/>
      <c r="D136" s="476" t="s">
        <v>42</v>
      </c>
      <c r="E136" s="476"/>
      <c r="F136" s="476"/>
      <c r="G136" s="230" t="s">
        <v>44</v>
      </c>
      <c r="H136" s="476" t="s">
        <v>1813</v>
      </c>
      <c r="I136" s="476"/>
      <c r="J136" s="476" t="s">
        <v>1814</v>
      </c>
      <c r="K136" s="476"/>
      <c r="L136" s="366" t="s">
        <v>1802</v>
      </c>
    </row>
    <row r="137" spans="1:12" ht="15" customHeight="1" x14ac:dyDescent="0.25">
      <c r="A137" s="181" t="s">
        <v>2210</v>
      </c>
      <c r="B137" s="509" t="s">
        <v>2211</v>
      </c>
      <c r="C137" s="509"/>
      <c r="D137" s="481" t="s">
        <v>82</v>
      </c>
      <c r="E137" s="481"/>
      <c r="F137" s="481"/>
      <c r="G137" s="231" t="s">
        <v>1024</v>
      </c>
      <c r="H137" s="510">
        <v>1</v>
      </c>
      <c r="I137" s="510"/>
      <c r="J137" s="511">
        <v>18.940000000000001</v>
      </c>
      <c r="K137" s="511"/>
      <c r="L137" s="367">
        <f>TRUNC(TRUNC(H137,8)*J137,2)</f>
        <v>18.940000000000001</v>
      </c>
    </row>
    <row r="138" spans="1:12" ht="15" customHeight="1" x14ac:dyDescent="0.25">
      <c r="A138" s="182"/>
      <c r="B138" s="183"/>
      <c r="C138" s="183"/>
      <c r="D138" s="183"/>
      <c r="E138" s="183"/>
      <c r="F138" s="183"/>
      <c r="G138" s="183"/>
      <c r="H138" s="477" t="s">
        <v>1832</v>
      </c>
      <c r="I138" s="477"/>
      <c r="J138" s="477"/>
      <c r="K138" s="477"/>
      <c r="L138" s="368">
        <f>SUM(L137:L137)</f>
        <v>18.940000000000001</v>
      </c>
    </row>
    <row r="139" spans="1:12" ht="15" customHeight="1" x14ac:dyDescent="0.25">
      <c r="A139" s="474" t="s">
        <v>1912</v>
      </c>
      <c r="B139" s="475"/>
      <c r="C139" s="475"/>
      <c r="D139" s="476" t="s">
        <v>42</v>
      </c>
      <c r="E139" s="476"/>
      <c r="F139" s="476"/>
      <c r="G139" s="230" t="s">
        <v>44</v>
      </c>
      <c r="H139" s="476" t="s">
        <v>1813</v>
      </c>
      <c r="I139" s="476"/>
      <c r="J139" s="476" t="s">
        <v>1814</v>
      </c>
      <c r="K139" s="476"/>
      <c r="L139" s="366" t="s">
        <v>1802</v>
      </c>
    </row>
    <row r="140" spans="1:12" ht="21" customHeight="1" x14ac:dyDescent="0.25">
      <c r="A140" s="181" t="s">
        <v>2404</v>
      </c>
      <c r="B140" s="509" t="s">
        <v>2405</v>
      </c>
      <c r="C140" s="509"/>
      <c r="D140" s="481" t="s">
        <v>82</v>
      </c>
      <c r="E140" s="481"/>
      <c r="F140" s="481"/>
      <c r="G140" s="231" t="s">
        <v>1024</v>
      </c>
      <c r="H140" s="510">
        <v>1</v>
      </c>
      <c r="I140" s="510"/>
      <c r="J140" s="511">
        <v>0.7</v>
      </c>
      <c r="K140" s="511"/>
      <c r="L140" s="367">
        <f>TRUNC(TRUNC(H140,8)*J140,2)</f>
        <v>0.7</v>
      </c>
    </row>
    <row r="141" spans="1:12" ht="15" customHeight="1" x14ac:dyDescent="0.25">
      <c r="A141" s="182"/>
      <c r="B141" s="183"/>
      <c r="C141" s="183"/>
      <c r="D141" s="183"/>
      <c r="E141" s="183"/>
      <c r="F141" s="183"/>
      <c r="G141" s="183"/>
      <c r="H141" s="477" t="s">
        <v>1915</v>
      </c>
      <c r="I141" s="477"/>
      <c r="J141" s="477"/>
      <c r="K141" s="477"/>
      <c r="L141" s="368">
        <f>SUM(L140:L140)</f>
        <v>0.7</v>
      </c>
    </row>
    <row r="142" spans="1:12" ht="15" customHeight="1" x14ac:dyDescent="0.25">
      <c r="A142" s="182"/>
      <c r="B142" s="183"/>
      <c r="C142" s="183"/>
      <c r="D142" s="183"/>
      <c r="E142" s="183"/>
      <c r="F142" s="183"/>
      <c r="G142" s="183"/>
      <c r="H142" s="482" t="s">
        <v>1834</v>
      </c>
      <c r="I142" s="482"/>
      <c r="J142" s="482"/>
      <c r="K142" s="482"/>
      <c r="L142" s="369">
        <f>ROUND(SUM(L135,L138,L141),2)</f>
        <v>31.67</v>
      </c>
    </row>
    <row r="143" spans="1:12" ht="9.9499999999999993" customHeight="1" x14ac:dyDescent="0.25">
      <c r="A143" s="182"/>
      <c r="B143" s="183"/>
      <c r="C143" s="183"/>
      <c r="D143" s="183"/>
      <c r="E143" s="183"/>
      <c r="F143" s="183"/>
      <c r="G143" s="183"/>
      <c r="H143" s="485"/>
      <c r="I143" s="485"/>
      <c r="J143" s="485"/>
      <c r="K143" s="485"/>
      <c r="L143" s="512"/>
    </row>
    <row r="144" spans="1:12" ht="20.100000000000001" customHeight="1" x14ac:dyDescent="0.25">
      <c r="A144" s="486" t="s">
        <v>2406</v>
      </c>
      <c r="B144" s="487"/>
      <c r="C144" s="487"/>
      <c r="D144" s="487"/>
      <c r="E144" s="487"/>
      <c r="F144" s="487"/>
      <c r="G144" s="487"/>
      <c r="H144" s="487"/>
      <c r="I144" s="487"/>
      <c r="J144" s="487"/>
      <c r="K144" s="487"/>
      <c r="L144" s="513"/>
    </row>
    <row r="145" spans="1:12" ht="15" customHeight="1" x14ac:dyDescent="0.25">
      <c r="A145" s="474" t="s">
        <v>1932</v>
      </c>
      <c r="B145" s="475"/>
      <c r="C145" s="475"/>
      <c r="D145" s="476" t="s">
        <v>42</v>
      </c>
      <c r="E145" s="476"/>
      <c r="F145" s="476"/>
      <c r="G145" s="230" t="s">
        <v>44</v>
      </c>
      <c r="H145" s="476" t="s">
        <v>1813</v>
      </c>
      <c r="I145" s="476"/>
      <c r="J145" s="476" t="s">
        <v>1814</v>
      </c>
      <c r="K145" s="476"/>
      <c r="L145" s="366" t="s">
        <v>1802</v>
      </c>
    </row>
    <row r="146" spans="1:12" ht="21" customHeight="1" x14ac:dyDescent="0.25">
      <c r="A146" s="181" t="s">
        <v>2336</v>
      </c>
      <c r="B146" s="509" t="s">
        <v>2337</v>
      </c>
      <c r="C146" s="509"/>
      <c r="D146" s="481" t="s">
        <v>82</v>
      </c>
      <c r="E146" s="481"/>
      <c r="F146" s="481"/>
      <c r="G146" s="231" t="s">
        <v>1024</v>
      </c>
      <c r="H146" s="510">
        <v>1</v>
      </c>
      <c r="I146" s="510"/>
      <c r="J146" s="511">
        <v>7.63</v>
      </c>
      <c r="K146" s="511"/>
      <c r="L146" s="367">
        <f t="shared" ref="L146:L151" si="5">TRUNC(TRUNC(H146,8)*J146,2)</f>
        <v>7.63</v>
      </c>
    </row>
    <row r="147" spans="1:12" ht="21" customHeight="1" x14ac:dyDescent="0.25">
      <c r="A147" s="181" t="s">
        <v>2407</v>
      </c>
      <c r="B147" s="509" t="s">
        <v>2408</v>
      </c>
      <c r="C147" s="509"/>
      <c r="D147" s="481" t="s">
        <v>82</v>
      </c>
      <c r="E147" s="481"/>
      <c r="F147" s="481"/>
      <c r="G147" s="231" t="s">
        <v>1024</v>
      </c>
      <c r="H147" s="510">
        <v>1</v>
      </c>
      <c r="I147" s="510"/>
      <c r="J147" s="511">
        <v>1.07</v>
      </c>
      <c r="K147" s="511"/>
      <c r="L147" s="367">
        <f t="shared" si="5"/>
        <v>1.07</v>
      </c>
    </row>
    <row r="148" spans="1:12" ht="21" customHeight="1" x14ac:dyDescent="0.25">
      <c r="A148" s="181" t="s">
        <v>2340</v>
      </c>
      <c r="B148" s="509" t="s">
        <v>2341</v>
      </c>
      <c r="C148" s="509"/>
      <c r="D148" s="481" t="s">
        <v>82</v>
      </c>
      <c r="E148" s="481"/>
      <c r="F148" s="481"/>
      <c r="G148" s="231" t="s">
        <v>1024</v>
      </c>
      <c r="H148" s="510">
        <v>1</v>
      </c>
      <c r="I148" s="510"/>
      <c r="J148" s="511">
        <v>1.62</v>
      </c>
      <c r="K148" s="511"/>
      <c r="L148" s="367">
        <f t="shared" si="5"/>
        <v>1.62</v>
      </c>
    </row>
    <row r="149" spans="1:12" ht="21" customHeight="1" x14ac:dyDescent="0.25">
      <c r="A149" s="181" t="s">
        <v>2409</v>
      </c>
      <c r="B149" s="509" t="s">
        <v>2410</v>
      </c>
      <c r="C149" s="509"/>
      <c r="D149" s="481" t="s">
        <v>82</v>
      </c>
      <c r="E149" s="481"/>
      <c r="F149" s="481"/>
      <c r="G149" s="231" t="s">
        <v>1024</v>
      </c>
      <c r="H149" s="510">
        <v>1</v>
      </c>
      <c r="I149" s="510"/>
      <c r="J149" s="511">
        <v>0.41</v>
      </c>
      <c r="K149" s="511"/>
      <c r="L149" s="367">
        <f t="shared" si="5"/>
        <v>0.41</v>
      </c>
    </row>
    <row r="150" spans="1:12" ht="21" customHeight="1" x14ac:dyDescent="0.25">
      <c r="A150" s="181" t="s">
        <v>2344</v>
      </c>
      <c r="B150" s="509" t="s">
        <v>2345</v>
      </c>
      <c r="C150" s="509"/>
      <c r="D150" s="481" t="s">
        <v>82</v>
      </c>
      <c r="E150" s="481"/>
      <c r="F150" s="481"/>
      <c r="G150" s="231" t="s">
        <v>1024</v>
      </c>
      <c r="H150" s="510">
        <v>1</v>
      </c>
      <c r="I150" s="510"/>
      <c r="J150" s="511">
        <v>0.11</v>
      </c>
      <c r="K150" s="511"/>
      <c r="L150" s="367">
        <f t="shared" si="5"/>
        <v>0.11</v>
      </c>
    </row>
    <row r="151" spans="1:12" ht="21" customHeight="1" x14ac:dyDescent="0.25">
      <c r="A151" s="181" t="s">
        <v>2346</v>
      </c>
      <c r="B151" s="509" t="s">
        <v>2347</v>
      </c>
      <c r="C151" s="509"/>
      <c r="D151" s="481" t="s">
        <v>82</v>
      </c>
      <c r="E151" s="481"/>
      <c r="F151" s="481"/>
      <c r="G151" s="231" t="s">
        <v>1024</v>
      </c>
      <c r="H151" s="510">
        <v>1</v>
      </c>
      <c r="I151" s="510"/>
      <c r="J151" s="511">
        <v>0.66</v>
      </c>
      <c r="K151" s="511"/>
      <c r="L151" s="367">
        <f t="shared" si="5"/>
        <v>0.66</v>
      </c>
    </row>
    <row r="152" spans="1:12" ht="15" customHeight="1" x14ac:dyDescent="0.25">
      <c r="A152" s="182"/>
      <c r="B152" s="183"/>
      <c r="C152" s="183"/>
      <c r="D152" s="183"/>
      <c r="E152" s="183"/>
      <c r="F152" s="183"/>
      <c r="G152" s="183"/>
      <c r="H152" s="477" t="s">
        <v>1938</v>
      </c>
      <c r="I152" s="477"/>
      <c r="J152" s="477"/>
      <c r="K152" s="477"/>
      <c r="L152" s="368">
        <f>SUM(L146:L151)</f>
        <v>11.5</v>
      </c>
    </row>
    <row r="153" spans="1:12" ht="15" customHeight="1" x14ac:dyDescent="0.25">
      <c r="A153" s="474" t="s">
        <v>1827</v>
      </c>
      <c r="B153" s="475"/>
      <c r="C153" s="475"/>
      <c r="D153" s="476" t="s">
        <v>42</v>
      </c>
      <c r="E153" s="476"/>
      <c r="F153" s="476"/>
      <c r="G153" s="230" t="s">
        <v>44</v>
      </c>
      <c r="H153" s="476" t="s">
        <v>1813</v>
      </c>
      <c r="I153" s="476"/>
      <c r="J153" s="476" t="s">
        <v>1814</v>
      </c>
      <c r="K153" s="476"/>
      <c r="L153" s="366" t="s">
        <v>1802</v>
      </c>
    </row>
    <row r="154" spans="1:12" ht="21" customHeight="1" x14ac:dyDescent="0.25">
      <c r="A154" s="181" t="s">
        <v>2411</v>
      </c>
      <c r="B154" s="509" t="s">
        <v>2412</v>
      </c>
      <c r="C154" s="509"/>
      <c r="D154" s="481" t="s">
        <v>82</v>
      </c>
      <c r="E154" s="481"/>
      <c r="F154" s="481"/>
      <c r="G154" s="231" t="s">
        <v>1024</v>
      </c>
      <c r="H154" s="510">
        <v>1</v>
      </c>
      <c r="I154" s="510"/>
      <c r="J154" s="511">
        <v>18.940000000000001</v>
      </c>
      <c r="K154" s="511"/>
      <c r="L154" s="367">
        <f>TRUNC(TRUNC(H154,8)*J154,2)</f>
        <v>18.940000000000001</v>
      </c>
    </row>
    <row r="155" spans="1:12" ht="15" customHeight="1" x14ac:dyDescent="0.25">
      <c r="A155" s="182"/>
      <c r="B155" s="183"/>
      <c r="C155" s="183"/>
      <c r="D155" s="183"/>
      <c r="E155" s="183"/>
      <c r="F155" s="183"/>
      <c r="G155" s="183"/>
      <c r="H155" s="477" t="s">
        <v>1832</v>
      </c>
      <c r="I155" s="477"/>
      <c r="J155" s="477"/>
      <c r="K155" s="477"/>
      <c r="L155" s="368">
        <f>SUM(L154:L154)</f>
        <v>18.940000000000001</v>
      </c>
    </row>
    <row r="156" spans="1:12" ht="15" customHeight="1" x14ac:dyDescent="0.25">
      <c r="A156" s="474" t="s">
        <v>1912</v>
      </c>
      <c r="B156" s="475"/>
      <c r="C156" s="475"/>
      <c r="D156" s="476" t="s">
        <v>42</v>
      </c>
      <c r="E156" s="476"/>
      <c r="F156" s="476"/>
      <c r="G156" s="230" t="s">
        <v>44</v>
      </c>
      <c r="H156" s="476" t="s">
        <v>1813</v>
      </c>
      <c r="I156" s="476"/>
      <c r="J156" s="476" t="s">
        <v>1814</v>
      </c>
      <c r="K156" s="476"/>
      <c r="L156" s="366" t="s">
        <v>1802</v>
      </c>
    </row>
    <row r="157" spans="1:12" ht="29.1" customHeight="1" x14ac:dyDescent="0.25">
      <c r="A157" s="181" t="s">
        <v>2413</v>
      </c>
      <c r="B157" s="509" t="s">
        <v>2414</v>
      </c>
      <c r="C157" s="509"/>
      <c r="D157" s="481" t="s">
        <v>82</v>
      </c>
      <c r="E157" s="481"/>
      <c r="F157" s="481"/>
      <c r="G157" s="231" t="s">
        <v>1024</v>
      </c>
      <c r="H157" s="510">
        <v>1</v>
      </c>
      <c r="I157" s="510"/>
      <c r="J157" s="511">
        <v>0.34</v>
      </c>
      <c r="K157" s="511"/>
      <c r="L157" s="367">
        <f>TRUNC(TRUNC(H157,8)*J157,2)</f>
        <v>0.34</v>
      </c>
    </row>
    <row r="158" spans="1:12" ht="15" customHeight="1" x14ac:dyDescent="0.25">
      <c r="A158" s="182"/>
      <c r="B158" s="183"/>
      <c r="C158" s="183"/>
      <c r="D158" s="183"/>
      <c r="E158" s="183"/>
      <c r="F158" s="183"/>
      <c r="G158" s="183"/>
      <c r="H158" s="477" t="s">
        <v>1915</v>
      </c>
      <c r="I158" s="477"/>
      <c r="J158" s="477"/>
      <c r="K158" s="477"/>
      <c r="L158" s="368">
        <f>SUM(L157:L157)</f>
        <v>0.34</v>
      </c>
    </row>
    <row r="159" spans="1:12" ht="15" customHeight="1" x14ac:dyDescent="0.25">
      <c r="A159" s="182"/>
      <c r="B159" s="183"/>
      <c r="C159" s="183"/>
      <c r="D159" s="183"/>
      <c r="E159" s="183"/>
      <c r="F159" s="183"/>
      <c r="G159" s="183"/>
      <c r="H159" s="482" t="s">
        <v>1834</v>
      </c>
      <c r="I159" s="482"/>
      <c r="J159" s="482"/>
      <c r="K159" s="482"/>
      <c r="L159" s="369">
        <f>ROUND(SUM(L152,L155,L158),2)</f>
        <v>30.78</v>
      </c>
    </row>
    <row r="160" spans="1:12" ht="9.9499999999999993" customHeight="1" x14ac:dyDescent="0.25">
      <c r="A160" s="182"/>
      <c r="B160" s="183"/>
      <c r="C160" s="183"/>
      <c r="D160" s="183"/>
      <c r="E160" s="183"/>
      <c r="F160" s="183"/>
      <c r="G160" s="183"/>
      <c r="H160" s="485"/>
      <c r="I160" s="485"/>
      <c r="J160" s="485"/>
      <c r="K160" s="485"/>
      <c r="L160" s="512"/>
    </row>
    <row r="161" spans="1:12" ht="20.100000000000001" customHeight="1" x14ac:dyDescent="0.25">
      <c r="A161" s="486" t="s">
        <v>2415</v>
      </c>
      <c r="B161" s="487"/>
      <c r="C161" s="487"/>
      <c r="D161" s="487"/>
      <c r="E161" s="487"/>
      <c r="F161" s="487"/>
      <c r="G161" s="487"/>
      <c r="H161" s="487"/>
      <c r="I161" s="487"/>
      <c r="J161" s="487"/>
      <c r="K161" s="487"/>
      <c r="L161" s="513"/>
    </row>
    <row r="162" spans="1:12" ht="15" customHeight="1" x14ac:dyDescent="0.25">
      <c r="A162" s="474" t="s">
        <v>1932</v>
      </c>
      <c r="B162" s="475"/>
      <c r="C162" s="475"/>
      <c r="D162" s="476" t="s">
        <v>42</v>
      </c>
      <c r="E162" s="476"/>
      <c r="F162" s="476"/>
      <c r="G162" s="230" t="s">
        <v>44</v>
      </c>
      <c r="H162" s="476" t="s">
        <v>1813</v>
      </c>
      <c r="I162" s="476"/>
      <c r="J162" s="476" t="s">
        <v>1814</v>
      </c>
      <c r="K162" s="476"/>
      <c r="L162" s="366" t="s">
        <v>1802</v>
      </c>
    </row>
    <row r="163" spans="1:12" ht="21" customHeight="1" x14ac:dyDescent="0.25">
      <c r="A163" s="181" t="s">
        <v>2336</v>
      </c>
      <c r="B163" s="509" t="s">
        <v>2337</v>
      </c>
      <c r="C163" s="509"/>
      <c r="D163" s="481" t="s">
        <v>82</v>
      </c>
      <c r="E163" s="481"/>
      <c r="F163" s="481"/>
      <c r="G163" s="231" t="s">
        <v>1024</v>
      </c>
      <c r="H163" s="510">
        <v>1</v>
      </c>
      <c r="I163" s="510"/>
      <c r="J163" s="511">
        <v>7.63</v>
      </c>
      <c r="K163" s="511"/>
      <c r="L163" s="367">
        <f t="shared" ref="L163:L168" si="6">TRUNC(TRUNC(H163,8)*J163,2)</f>
        <v>7.63</v>
      </c>
    </row>
    <row r="164" spans="1:12" ht="21" customHeight="1" x14ac:dyDescent="0.25">
      <c r="A164" s="181" t="s">
        <v>2338</v>
      </c>
      <c r="B164" s="509" t="s">
        <v>2339</v>
      </c>
      <c r="C164" s="509"/>
      <c r="D164" s="481" t="s">
        <v>82</v>
      </c>
      <c r="E164" s="481"/>
      <c r="F164" s="481"/>
      <c r="G164" s="231" t="s">
        <v>1024</v>
      </c>
      <c r="H164" s="510">
        <v>1</v>
      </c>
      <c r="I164" s="510"/>
      <c r="J164" s="511">
        <v>1.28</v>
      </c>
      <c r="K164" s="511"/>
      <c r="L164" s="367">
        <f t="shared" si="6"/>
        <v>1.28</v>
      </c>
    </row>
    <row r="165" spans="1:12" ht="21" customHeight="1" x14ac:dyDescent="0.25">
      <c r="A165" s="181" t="s">
        <v>2340</v>
      </c>
      <c r="B165" s="509" t="s">
        <v>2341</v>
      </c>
      <c r="C165" s="509"/>
      <c r="D165" s="481" t="s">
        <v>82</v>
      </c>
      <c r="E165" s="481"/>
      <c r="F165" s="481"/>
      <c r="G165" s="231" t="s">
        <v>1024</v>
      </c>
      <c r="H165" s="510">
        <v>1</v>
      </c>
      <c r="I165" s="510"/>
      <c r="J165" s="511">
        <v>1.62</v>
      </c>
      <c r="K165" s="511"/>
      <c r="L165" s="367">
        <f t="shared" si="6"/>
        <v>1.62</v>
      </c>
    </row>
    <row r="166" spans="1:12" ht="21" customHeight="1" x14ac:dyDescent="0.25">
      <c r="A166" s="181" t="s">
        <v>2342</v>
      </c>
      <c r="B166" s="509" t="s">
        <v>2343</v>
      </c>
      <c r="C166" s="509"/>
      <c r="D166" s="481" t="s">
        <v>82</v>
      </c>
      <c r="E166" s="481"/>
      <c r="F166" s="481"/>
      <c r="G166" s="231" t="s">
        <v>1024</v>
      </c>
      <c r="H166" s="510">
        <v>1</v>
      </c>
      <c r="I166" s="510"/>
      <c r="J166" s="511">
        <v>0.68</v>
      </c>
      <c r="K166" s="511"/>
      <c r="L166" s="367">
        <f t="shared" si="6"/>
        <v>0.68</v>
      </c>
    </row>
    <row r="167" spans="1:12" ht="21" customHeight="1" x14ac:dyDescent="0.25">
      <c r="A167" s="181" t="s">
        <v>2344</v>
      </c>
      <c r="B167" s="509" t="s">
        <v>2345</v>
      </c>
      <c r="C167" s="509"/>
      <c r="D167" s="481" t="s">
        <v>82</v>
      </c>
      <c r="E167" s="481"/>
      <c r="F167" s="481"/>
      <c r="G167" s="231" t="s">
        <v>1024</v>
      </c>
      <c r="H167" s="510">
        <v>1</v>
      </c>
      <c r="I167" s="510"/>
      <c r="J167" s="511">
        <v>0.11</v>
      </c>
      <c r="K167" s="511"/>
      <c r="L167" s="367">
        <f t="shared" si="6"/>
        <v>0.11</v>
      </c>
    </row>
    <row r="168" spans="1:12" ht="21" customHeight="1" x14ac:dyDescent="0.25">
      <c r="A168" s="181" t="s">
        <v>2346</v>
      </c>
      <c r="B168" s="509" t="s">
        <v>2347</v>
      </c>
      <c r="C168" s="509"/>
      <c r="D168" s="481" t="s">
        <v>82</v>
      </c>
      <c r="E168" s="481"/>
      <c r="F168" s="481"/>
      <c r="G168" s="231" t="s">
        <v>1024</v>
      </c>
      <c r="H168" s="510">
        <v>1</v>
      </c>
      <c r="I168" s="510"/>
      <c r="J168" s="511">
        <v>0.66</v>
      </c>
      <c r="K168" s="511"/>
      <c r="L168" s="367">
        <f t="shared" si="6"/>
        <v>0.66</v>
      </c>
    </row>
    <row r="169" spans="1:12" ht="15" customHeight="1" x14ac:dyDescent="0.25">
      <c r="A169" s="182"/>
      <c r="B169" s="183"/>
      <c r="C169" s="183"/>
      <c r="D169" s="183"/>
      <c r="E169" s="183"/>
      <c r="F169" s="183"/>
      <c r="G169" s="183"/>
      <c r="H169" s="477" t="s">
        <v>1938</v>
      </c>
      <c r="I169" s="477"/>
      <c r="J169" s="477"/>
      <c r="K169" s="477"/>
      <c r="L169" s="368">
        <f>SUM(L163:L168)</f>
        <v>11.98</v>
      </c>
    </row>
    <row r="170" spans="1:12" ht="15" customHeight="1" x14ac:dyDescent="0.25">
      <c r="A170" s="474" t="s">
        <v>1827</v>
      </c>
      <c r="B170" s="475"/>
      <c r="C170" s="475"/>
      <c r="D170" s="476" t="s">
        <v>42</v>
      </c>
      <c r="E170" s="476"/>
      <c r="F170" s="476"/>
      <c r="G170" s="230" t="s">
        <v>44</v>
      </c>
      <c r="H170" s="476" t="s">
        <v>1813</v>
      </c>
      <c r="I170" s="476"/>
      <c r="J170" s="476" t="s">
        <v>1814</v>
      </c>
      <c r="K170" s="476"/>
      <c r="L170" s="366" t="s">
        <v>1802</v>
      </c>
    </row>
    <row r="171" spans="1:12" ht="15" customHeight="1" x14ac:dyDescent="0.25">
      <c r="A171" s="181" t="s">
        <v>2416</v>
      </c>
      <c r="B171" s="509" t="s">
        <v>2417</v>
      </c>
      <c r="C171" s="509"/>
      <c r="D171" s="481" t="s">
        <v>82</v>
      </c>
      <c r="E171" s="481"/>
      <c r="F171" s="481"/>
      <c r="G171" s="231" t="s">
        <v>1024</v>
      </c>
      <c r="H171" s="510">
        <v>1</v>
      </c>
      <c r="I171" s="510"/>
      <c r="J171" s="511">
        <v>23.81</v>
      </c>
      <c r="K171" s="511"/>
      <c r="L171" s="367">
        <f>TRUNC(TRUNC(H171,8)*J171,2)</f>
        <v>23.81</v>
      </c>
    </row>
    <row r="172" spans="1:12" ht="15" customHeight="1" x14ac:dyDescent="0.25">
      <c r="A172" s="182"/>
      <c r="B172" s="183"/>
      <c r="C172" s="183"/>
      <c r="D172" s="183"/>
      <c r="E172" s="183"/>
      <c r="F172" s="183"/>
      <c r="G172" s="183"/>
      <c r="H172" s="477" t="s">
        <v>1832</v>
      </c>
      <c r="I172" s="477"/>
      <c r="J172" s="477"/>
      <c r="K172" s="477"/>
      <c r="L172" s="368">
        <f>SUM(L171:L171)</f>
        <v>23.81</v>
      </c>
    </row>
    <row r="173" spans="1:12" ht="15" customHeight="1" x14ac:dyDescent="0.25">
      <c r="A173" s="474" t="s">
        <v>1912</v>
      </c>
      <c r="B173" s="475"/>
      <c r="C173" s="475"/>
      <c r="D173" s="476" t="s">
        <v>42</v>
      </c>
      <c r="E173" s="476"/>
      <c r="F173" s="476"/>
      <c r="G173" s="230" t="s">
        <v>44</v>
      </c>
      <c r="H173" s="476" t="s">
        <v>1813</v>
      </c>
      <c r="I173" s="476"/>
      <c r="J173" s="476" t="s">
        <v>1814</v>
      </c>
      <c r="K173" s="476"/>
      <c r="L173" s="366" t="s">
        <v>1802</v>
      </c>
    </row>
    <row r="174" spans="1:12" ht="21" customHeight="1" x14ac:dyDescent="0.25">
      <c r="A174" s="181" t="s">
        <v>2418</v>
      </c>
      <c r="B174" s="509" t="s">
        <v>2419</v>
      </c>
      <c r="C174" s="509"/>
      <c r="D174" s="481" t="s">
        <v>82</v>
      </c>
      <c r="E174" s="481"/>
      <c r="F174" s="481"/>
      <c r="G174" s="231" t="s">
        <v>1024</v>
      </c>
      <c r="H174" s="510">
        <v>1</v>
      </c>
      <c r="I174" s="510"/>
      <c r="J174" s="511">
        <v>0.35</v>
      </c>
      <c r="K174" s="511"/>
      <c r="L174" s="367">
        <f>TRUNC(TRUNC(H174,8)*J174,2)</f>
        <v>0.35</v>
      </c>
    </row>
    <row r="175" spans="1:12" ht="15" customHeight="1" x14ac:dyDescent="0.25">
      <c r="A175" s="182"/>
      <c r="B175" s="183"/>
      <c r="C175" s="183"/>
      <c r="D175" s="183"/>
      <c r="E175" s="183"/>
      <c r="F175" s="183"/>
      <c r="G175" s="183"/>
      <c r="H175" s="477" t="s">
        <v>1915</v>
      </c>
      <c r="I175" s="477"/>
      <c r="J175" s="477"/>
      <c r="K175" s="477"/>
      <c r="L175" s="368">
        <f>SUM(L174:L174)</f>
        <v>0.35</v>
      </c>
    </row>
    <row r="176" spans="1:12" ht="15" customHeight="1" x14ac:dyDescent="0.25">
      <c r="A176" s="182"/>
      <c r="B176" s="183"/>
      <c r="C176" s="183"/>
      <c r="D176" s="183"/>
      <c r="E176" s="183"/>
      <c r="F176" s="183"/>
      <c r="G176" s="183"/>
      <c r="H176" s="482" t="s">
        <v>1834</v>
      </c>
      <c r="I176" s="482"/>
      <c r="J176" s="482"/>
      <c r="K176" s="482"/>
      <c r="L176" s="369">
        <f>ROUND(SUM(L169,L172,L175),2)</f>
        <v>36.14</v>
      </c>
    </row>
    <row r="177" spans="1:12" ht="9.9499999999999993" customHeight="1" x14ac:dyDescent="0.25">
      <c r="A177" s="182"/>
      <c r="B177" s="183"/>
      <c r="C177" s="183"/>
      <c r="D177" s="183"/>
      <c r="E177" s="183"/>
      <c r="F177" s="183"/>
      <c r="G177" s="183"/>
      <c r="H177" s="485"/>
      <c r="I177" s="485"/>
      <c r="J177" s="485"/>
      <c r="K177" s="485"/>
      <c r="L177" s="512"/>
    </row>
    <row r="178" spans="1:12" ht="20.100000000000001" customHeight="1" x14ac:dyDescent="0.25">
      <c r="A178" s="486" t="s">
        <v>2420</v>
      </c>
      <c r="B178" s="487"/>
      <c r="C178" s="487"/>
      <c r="D178" s="487"/>
      <c r="E178" s="487"/>
      <c r="F178" s="487"/>
      <c r="G178" s="487"/>
      <c r="H178" s="487"/>
      <c r="I178" s="487"/>
      <c r="J178" s="487"/>
      <c r="K178" s="487"/>
      <c r="L178" s="513"/>
    </row>
    <row r="179" spans="1:12" ht="15" customHeight="1" x14ac:dyDescent="0.25">
      <c r="A179" s="474" t="s">
        <v>1932</v>
      </c>
      <c r="B179" s="475"/>
      <c r="C179" s="475"/>
      <c r="D179" s="476" t="s">
        <v>42</v>
      </c>
      <c r="E179" s="476"/>
      <c r="F179" s="476"/>
      <c r="G179" s="230" t="s">
        <v>44</v>
      </c>
      <c r="H179" s="476" t="s">
        <v>1813</v>
      </c>
      <c r="I179" s="476"/>
      <c r="J179" s="476" t="s">
        <v>1814</v>
      </c>
      <c r="K179" s="476"/>
      <c r="L179" s="366" t="s">
        <v>1802</v>
      </c>
    </row>
    <row r="180" spans="1:12" ht="15" customHeight="1" x14ac:dyDescent="0.25">
      <c r="A180" s="181" t="s">
        <v>2421</v>
      </c>
      <c r="B180" s="509" t="s">
        <v>2422</v>
      </c>
      <c r="C180" s="509"/>
      <c r="D180" s="481" t="s">
        <v>341</v>
      </c>
      <c r="E180" s="481"/>
      <c r="F180" s="481"/>
      <c r="G180" s="231" t="s">
        <v>1935</v>
      </c>
      <c r="H180" s="510">
        <v>4</v>
      </c>
      <c r="I180" s="510"/>
      <c r="J180" s="511">
        <v>3.96</v>
      </c>
      <c r="K180" s="511"/>
      <c r="L180" s="367">
        <f>TRUNC(TRUNC(H180,8)*J180,2)</f>
        <v>15.84</v>
      </c>
    </row>
    <row r="181" spans="1:12" ht="15" customHeight="1" x14ac:dyDescent="0.25">
      <c r="A181" s="182"/>
      <c r="B181" s="183"/>
      <c r="C181" s="183"/>
      <c r="D181" s="183"/>
      <c r="E181" s="183"/>
      <c r="F181" s="183"/>
      <c r="G181" s="183"/>
      <c r="H181" s="477" t="s">
        <v>1938</v>
      </c>
      <c r="I181" s="477"/>
      <c r="J181" s="477"/>
      <c r="K181" s="477"/>
      <c r="L181" s="368">
        <f>SUM(L180:L180)</f>
        <v>15.84</v>
      </c>
    </row>
    <row r="182" spans="1:12" ht="15" customHeight="1" x14ac:dyDescent="0.25">
      <c r="A182" s="474" t="s">
        <v>1812</v>
      </c>
      <c r="B182" s="475"/>
      <c r="C182" s="475"/>
      <c r="D182" s="476" t="s">
        <v>42</v>
      </c>
      <c r="E182" s="476"/>
      <c r="F182" s="476"/>
      <c r="G182" s="230" t="s">
        <v>44</v>
      </c>
      <c r="H182" s="476" t="s">
        <v>1813</v>
      </c>
      <c r="I182" s="476"/>
      <c r="J182" s="476" t="s">
        <v>1814</v>
      </c>
      <c r="K182" s="476"/>
      <c r="L182" s="366" t="s">
        <v>1802</v>
      </c>
    </row>
    <row r="183" spans="1:12" ht="21" customHeight="1" x14ac:dyDescent="0.25">
      <c r="A183" s="181" t="s">
        <v>2423</v>
      </c>
      <c r="B183" s="509" t="s">
        <v>2424</v>
      </c>
      <c r="C183" s="509"/>
      <c r="D183" s="481" t="s">
        <v>341</v>
      </c>
      <c r="E183" s="481"/>
      <c r="F183" s="481"/>
      <c r="G183" s="231" t="s">
        <v>89</v>
      </c>
      <c r="H183" s="510">
        <v>1.216</v>
      </c>
      <c r="I183" s="510"/>
      <c r="J183" s="511">
        <v>100</v>
      </c>
      <c r="K183" s="511"/>
      <c r="L183" s="367">
        <f>TRUNC(TRUNC(H183,8)*J183,2)</f>
        <v>121.6</v>
      </c>
    </row>
    <row r="184" spans="1:12" ht="15" customHeight="1" x14ac:dyDescent="0.25">
      <c r="A184" s="181" t="s">
        <v>2425</v>
      </c>
      <c r="B184" s="509" t="s">
        <v>2426</v>
      </c>
      <c r="C184" s="509"/>
      <c r="D184" s="481" t="s">
        <v>341</v>
      </c>
      <c r="E184" s="481"/>
      <c r="F184" s="481"/>
      <c r="G184" s="231" t="s">
        <v>786</v>
      </c>
      <c r="H184" s="510">
        <v>182</v>
      </c>
      <c r="I184" s="510"/>
      <c r="J184" s="511">
        <v>1.4</v>
      </c>
      <c r="K184" s="511"/>
      <c r="L184" s="367">
        <f>TRUNC(TRUNC(H184,8)*J184,2)</f>
        <v>254.8</v>
      </c>
    </row>
    <row r="185" spans="1:12" ht="15" customHeight="1" x14ac:dyDescent="0.25">
      <c r="A185" s="182"/>
      <c r="B185" s="183"/>
      <c r="C185" s="183"/>
      <c r="D185" s="183"/>
      <c r="E185" s="183"/>
      <c r="F185" s="183"/>
      <c r="G185" s="183"/>
      <c r="H185" s="477" t="s">
        <v>1826</v>
      </c>
      <c r="I185" s="477"/>
      <c r="J185" s="477"/>
      <c r="K185" s="477"/>
      <c r="L185" s="368">
        <f>SUM(L183:L184)</f>
        <v>376.4</v>
      </c>
    </row>
    <row r="186" spans="1:12" ht="15" customHeight="1" x14ac:dyDescent="0.25">
      <c r="A186" s="474" t="s">
        <v>1827</v>
      </c>
      <c r="B186" s="475"/>
      <c r="C186" s="475"/>
      <c r="D186" s="476" t="s">
        <v>42</v>
      </c>
      <c r="E186" s="476"/>
      <c r="F186" s="476"/>
      <c r="G186" s="230" t="s">
        <v>44</v>
      </c>
      <c r="H186" s="476" t="s">
        <v>1813</v>
      </c>
      <c r="I186" s="476"/>
      <c r="J186" s="476" t="s">
        <v>1814</v>
      </c>
      <c r="K186" s="476"/>
      <c r="L186" s="366" t="s">
        <v>1802</v>
      </c>
    </row>
    <row r="187" spans="1:12" ht="15" customHeight="1" x14ac:dyDescent="0.25">
      <c r="A187" s="181" t="s">
        <v>2427</v>
      </c>
      <c r="B187" s="509" t="s">
        <v>2428</v>
      </c>
      <c r="C187" s="509"/>
      <c r="D187" s="481" t="s">
        <v>341</v>
      </c>
      <c r="E187" s="481"/>
      <c r="F187" s="481"/>
      <c r="G187" s="231" t="s">
        <v>1935</v>
      </c>
      <c r="H187" s="510">
        <v>4</v>
      </c>
      <c r="I187" s="510"/>
      <c r="J187" s="511">
        <v>15.59</v>
      </c>
      <c r="K187" s="511"/>
      <c r="L187" s="367">
        <f>TRUNC(TRUNC(H187,8)*J187,2)</f>
        <v>62.36</v>
      </c>
    </row>
    <row r="188" spans="1:12" ht="15" customHeight="1" x14ac:dyDescent="0.25">
      <c r="A188" s="182"/>
      <c r="B188" s="183"/>
      <c r="C188" s="183"/>
      <c r="D188" s="183"/>
      <c r="E188" s="183"/>
      <c r="F188" s="183"/>
      <c r="G188" s="183"/>
      <c r="H188" s="477" t="s">
        <v>1832</v>
      </c>
      <c r="I188" s="477"/>
      <c r="J188" s="477"/>
      <c r="K188" s="477"/>
      <c r="L188" s="368">
        <f>SUM(L187:L187)</f>
        <v>62.36</v>
      </c>
    </row>
    <row r="189" spans="1:12" ht="15" customHeight="1" x14ac:dyDescent="0.25">
      <c r="A189" s="182"/>
      <c r="B189" s="183"/>
      <c r="C189" s="183"/>
      <c r="D189" s="183"/>
      <c r="E189" s="183"/>
      <c r="F189" s="183"/>
      <c r="G189" s="183"/>
      <c r="H189" s="482" t="s">
        <v>1834</v>
      </c>
      <c r="I189" s="482"/>
      <c r="J189" s="482"/>
      <c r="K189" s="482"/>
      <c r="L189" s="369">
        <f>ROUND(SUM(L181,L185,L188),2)</f>
        <v>454.6</v>
      </c>
    </row>
    <row r="190" spans="1:12" ht="9.9499999999999993" customHeight="1" x14ac:dyDescent="0.25">
      <c r="A190" s="182"/>
      <c r="B190" s="183"/>
      <c r="C190" s="183"/>
      <c r="D190" s="183"/>
      <c r="E190" s="183"/>
      <c r="F190" s="183"/>
      <c r="G190" s="183"/>
      <c r="H190" s="485"/>
      <c r="I190" s="485"/>
      <c r="J190" s="485"/>
      <c r="K190" s="485"/>
      <c r="L190" s="512"/>
    </row>
    <row r="191" spans="1:12" ht="20.100000000000001" customHeight="1" x14ac:dyDescent="0.25">
      <c r="A191" s="486" t="s">
        <v>2429</v>
      </c>
      <c r="B191" s="487"/>
      <c r="C191" s="487"/>
      <c r="D191" s="487"/>
      <c r="E191" s="487"/>
      <c r="F191" s="487"/>
      <c r="G191" s="487"/>
      <c r="H191" s="487"/>
      <c r="I191" s="487"/>
      <c r="J191" s="487"/>
      <c r="K191" s="487"/>
      <c r="L191" s="513"/>
    </row>
    <row r="192" spans="1:12" ht="15" customHeight="1" x14ac:dyDescent="0.25">
      <c r="A192" s="474" t="s">
        <v>1932</v>
      </c>
      <c r="B192" s="475"/>
      <c r="C192" s="475"/>
      <c r="D192" s="476" t="s">
        <v>42</v>
      </c>
      <c r="E192" s="476"/>
      <c r="F192" s="476"/>
      <c r="G192" s="230" t="s">
        <v>44</v>
      </c>
      <c r="H192" s="476" t="s">
        <v>1813</v>
      </c>
      <c r="I192" s="476"/>
      <c r="J192" s="476" t="s">
        <v>1814</v>
      </c>
      <c r="K192" s="476"/>
      <c r="L192" s="366" t="s">
        <v>1802</v>
      </c>
    </row>
    <row r="193" spans="1:12" ht="15" customHeight="1" x14ac:dyDescent="0.25">
      <c r="A193" s="181" t="s">
        <v>2421</v>
      </c>
      <c r="B193" s="509" t="s">
        <v>2422</v>
      </c>
      <c r="C193" s="509"/>
      <c r="D193" s="481" t="s">
        <v>341</v>
      </c>
      <c r="E193" s="481"/>
      <c r="F193" s="481"/>
      <c r="G193" s="231" t="s">
        <v>1935</v>
      </c>
      <c r="H193" s="510">
        <v>7.0000000000000001E-3</v>
      </c>
      <c r="I193" s="510"/>
      <c r="J193" s="511">
        <v>3.96</v>
      </c>
      <c r="K193" s="511"/>
      <c r="L193" s="367">
        <f>TRUNC(TRUNC(H193,8)*J193,2)</f>
        <v>0.02</v>
      </c>
    </row>
    <row r="194" spans="1:12" ht="15" customHeight="1" x14ac:dyDescent="0.25">
      <c r="A194" s="182"/>
      <c r="B194" s="183"/>
      <c r="C194" s="183"/>
      <c r="D194" s="183"/>
      <c r="E194" s="183"/>
      <c r="F194" s="183"/>
      <c r="G194" s="183"/>
      <c r="H194" s="477" t="s">
        <v>1938</v>
      </c>
      <c r="I194" s="477"/>
      <c r="J194" s="477"/>
      <c r="K194" s="477"/>
      <c r="L194" s="368">
        <f>SUM(L193:L193)</f>
        <v>0.02</v>
      </c>
    </row>
    <row r="195" spans="1:12" ht="15" customHeight="1" x14ac:dyDescent="0.25">
      <c r="A195" s="474" t="s">
        <v>1812</v>
      </c>
      <c r="B195" s="475"/>
      <c r="C195" s="475"/>
      <c r="D195" s="476" t="s">
        <v>42</v>
      </c>
      <c r="E195" s="476"/>
      <c r="F195" s="476"/>
      <c r="G195" s="230" t="s">
        <v>44</v>
      </c>
      <c r="H195" s="476" t="s">
        <v>1813</v>
      </c>
      <c r="I195" s="476"/>
      <c r="J195" s="476" t="s">
        <v>1814</v>
      </c>
      <c r="K195" s="476"/>
      <c r="L195" s="366" t="s">
        <v>1802</v>
      </c>
    </row>
    <row r="196" spans="1:12" ht="21" customHeight="1" x14ac:dyDescent="0.25">
      <c r="A196" s="181" t="s">
        <v>2430</v>
      </c>
      <c r="B196" s="509" t="s">
        <v>2431</v>
      </c>
      <c r="C196" s="509"/>
      <c r="D196" s="481" t="s">
        <v>341</v>
      </c>
      <c r="E196" s="481"/>
      <c r="F196" s="481"/>
      <c r="G196" s="231" t="s">
        <v>786</v>
      </c>
      <c r="H196" s="510">
        <v>0.84</v>
      </c>
      <c r="I196" s="510"/>
      <c r="J196" s="511">
        <v>1.01</v>
      </c>
      <c r="K196" s="511"/>
      <c r="L196" s="367">
        <f>TRUNC(TRUNC(H196,8)*J196,2)</f>
        <v>0.84</v>
      </c>
    </row>
    <row r="197" spans="1:12" ht="15" customHeight="1" x14ac:dyDescent="0.25">
      <c r="A197" s="182"/>
      <c r="B197" s="183"/>
      <c r="C197" s="183"/>
      <c r="D197" s="183"/>
      <c r="E197" s="183"/>
      <c r="F197" s="183"/>
      <c r="G197" s="183"/>
      <c r="H197" s="477" t="s">
        <v>1826</v>
      </c>
      <c r="I197" s="477"/>
      <c r="J197" s="477"/>
      <c r="K197" s="477"/>
      <c r="L197" s="368">
        <f>SUM(L196:L196)</f>
        <v>0.84</v>
      </c>
    </row>
    <row r="198" spans="1:12" ht="15" customHeight="1" x14ac:dyDescent="0.25">
      <c r="A198" s="474" t="s">
        <v>1827</v>
      </c>
      <c r="B198" s="475"/>
      <c r="C198" s="475"/>
      <c r="D198" s="476" t="s">
        <v>42</v>
      </c>
      <c r="E198" s="476"/>
      <c r="F198" s="476"/>
      <c r="G198" s="230" t="s">
        <v>44</v>
      </c>
      <c r="H198" s="476" t="s">
        <v>1813</v>
      </c>
      <c r="I198" s="476"/>
      <c r="J198" s="476" t="s">
        <v>1814</v>
      </c>
      <c r="K198" s="476"/>
      <c r="L198" s="366" t="s">
        <v>1802</v>
      </c>
    </row>
    <row r="199" spans="1:12" ht="15" customHeight="1" x14ac:dyDescent="0.25">
      <c r="A199" s="181" t="s">
        <v>2427</v>
      </c>
      <c r="B199" s="509" t="s">
        <v>2428</v>
      </c>
      <c r="C199" s="509"/>
      <c r="D199" s="481" t="s">
        <v>341</v>
      </c>
      <c r="E199" s="481"/>
      <c r="F199" s="481"/>
      <c r="G199" s="231" t="s">
        <v>1935</v>
      </c>
      <c r="H199" s="510">
        <v>7.0000000000000001E-3</v>
      </c>
      <c r="I199" s="510"/>
      <c r="J199" s="511">
        <v>15.59</v>
      </c>
      <c r="K199" s="511"/>
      <c r="L199" s="367">
        <f>TRUNC(TRUNC(H199,8)*J199,2)</f>
        <v>0.1</v>
      </c>
    </row>
    <row r="200" spans="1:12" ht="15" customHeight="1" x14ac:dyDescent="0.25">
      <c r="A200" s="182"/>
      <c r="B200" s="183"/>
      <c r="C200" s="183"/>
      <c r="D200" s="183"/>
      <c r="E200" s="183"/>
      <c r="F200" s="183"/>
      <c r="G200" s="183"/>
      <c r="H200" s="477" t="s">
        <v>1832</v>
      </c>
      <c r="I200" s="477"/>
      <c r="J200" s="477"/>
      <c r="K200" s="477"/>
      <c r="L200" s="368">
        <f>SUM(L199:L199)</f>
        <v>0.1</v>
      </c>
    </row>
    <row r="201" spans="1:12" ht="15" customHeight="1" x14ac:dyDescent="0.25">
      <c r="A201" s="182"/>
      <c r="B201" s="183"/>
      <c r="C201" s="183"/>
      <c r="D201" s="183"/>
      <c r="E201" s="183"/>
      <c r="F201" s="183"/>
      <c r="G201" s="183"/>
      <c r="H201" s="482" t="s">
        <v>1834</v>
      </c>
      <c r="I201" s="482"/>
      <c r="J201" s="482"/>
      <c r="K201" s="482"/>
      <c r="L201" s="369">
        <f>ROUND(SUM(L194,L197,L200),2)</f>
        <v>0.96</v>
      </c>
    </row>
    <row r="202" spans="1:12" ht="9.9499999999999993" customHeight="1" x14ac:dyDescent="0.25">
      <c r="A202" s="182"/>
      <c r="B202" s="183"/>
      <c r="C202" s="183"/>
      <c r="D202" s="183"/>
      <c r="E202" s="183"/>
      <c r="F202" s="183"/>
      <c r="G202" s="183"/>
      <c r="H202" s="485"/>
      <c r="I202" s="485"/>
      <c r="J202" s="485"/>
      <c r="K202" s="485"/>
      <c r="L202" s="512"/>
    </row>
    <row r="203" spans="1:12" ht="20.100000000000001" customHeight="1" x14ac:dyDescent="0.25">
      <c r="A203" s="486" t="s">
        <v>2432</v>
      </c>
      <c r="B203" s="487"/>
      <c r="C203" s="487"/>
      <c r="D203" s="487"/>
      <c r="E203" s="487"/>
      <c r="F203" s="487"/>
      <c r="G203" s="487"/>
      <c r="H203" s="487"/>
      <c r="I203" s="487"/>
      <c r="J203" s="487"/>
      <c r="K203" s="487"/>
      <c r="L203" s="513"/>
    </row>
    <row r="204" spans="1:12" ht="15" customHeight="1" x14ac:dyDescent="0.25">
      <c r="A204" s="474" t="s">
        <v>1912</v>
      </c>
      <c r="B204" s="475"/>
      <c r="C204" s="475"/>
      <c r="D204" s="476" t="s">
        <v>42</v>
      </c>
      <c r="E204" s="476"/>
      <c r="F204" s="476"/>
      <c r="G204" s="230" t="s">
        <v>44</v>
      </c>
      <c r="H204" s="476" t="s">
        <v>1813</v>
      </c>
      <c r="I204" s="476"/>
      <c r="J204" s="476" t="s">
        <v>1814</v>
      </c>
      <c r="K204" s="476"/>
      <c r="L204" s="366" t="s">
        <v>1802</v>
      </c>
    </row>
    <row r="205" spans="1:12" ht="38.1" customHeight="1" x14ac:dyDescent="0.25">
      <c r="A205" s="181" t="s">
        <v>2433</v>
      </c>
      <c r="B205" s="509" t="s">
        <v>2434</v>
      </c>
      <c r="C205" s="509"/>
      <c r="D205" s="481" t="s">
        <v>82</v>
      </c>
      <c r="E205" s="481"/>
      <c r="F205" s="481"/>
      <c r="G205" s="231" t="s">
        <v>1024</v>
      </c>
      <c r="H205" s="510">
        <v>1</v>
      </c>
      <c r="I205" s="510"/>
      <c r="J205" s="511">
        <v>0.33</v>
      </c>
      <c r="K205" s="511"/>
      <c r="L205" s="367">
        <f>TRUNC(TRUNC(H205,8)*J205,2)</f>
        <v>0.33</v>
      </c>
    </row>
    <row r="206" spans="1:12" ht="38.1" customHeight="1" x14ac:dyDescent="0.25">
      <c r="A206" s="181" t="s">
        <v>2435</v>
      </c>
      <c r="B206" s="509" t="s">
        <v>2436</v>
      </c>
      <c r="C206" s="509"/>
      <c r="D206" s="481" t="s">
        <v>82</v>
      </c>
      <c r="E206" s="481"/>
      <c r="F206" s="481"/>
      <c r="G206" s="231" t="s">
        <v>1024</v>
      </c>
      <c r="H206" s="510">
        <v>1</v>
      </c>
      <c r="I206" s="510"/>
      <c r="J206" s="511">
        <v>7.0000000000000007E-2</v>
      </c>
      <c r="K206" s="511"/>
      <c r="L206" s="367">
        <f>TRUNC(TRUNC(H206,8)*J206,2)</f>
        <v>7.0000000000000007E-2</v>
      </c>
    </row>
    <row r="207" spans="1:12" ht="15" customHeight="1" x14ac:dyDescent="0.25">
      <c r="A207" s="182"/>
      <c r="B207" s="183"/>
      <c r="C207" s="183"/>
      <c r="D207" s="183"/>
      <c r="E207" s="183"/>
      <c r="F207" s="183"/>
      <c r="G207" s="183"/>
      <c r="H207" s="477" t="s">
        <v>1915</v>
      </c>
      <c r="I207" s="477"/>
      <c r="J207" s="477"/>
      <c r="K207" s="477"/>
      <c r="L207" s="368">
        <f>SUM(L205:L206)</f>
        <v>0.4</v>
      </c>
    </row>
    <row r="208" spans="1:12" ht="15" customHeight="1" x14ac:dyDescent="0.25">
      <c r="A208" s="182"/>
      <c r="B208" s="183"/>
      <c r="C208" s="183"/>
      <c r="D208" s="183"/>
      <c r="E208" s="183"/>
      <c r="F208" s="183"/>
      <c r="G208" s="183"/>
      <c r="H208" s="482" t="s">
        <v>1834</v>
      </c>
      <c r="I208" s="482"/>
      <c r="J208" s="482"/>
      <c r="K208" s="482"/>
      <c r="L208" s="369">
        <f>ROUND(SUM(L207),2)</f>
        <v>0.4</v>
      </c>
    </row>
    <row r="209" spans="1:12" ht="9.9499999999999993" customHeight="1" x14ac:dyDescent="0.25">
      <c r="A209" s="182"/>
      <c r="B209" s="183"/>
      <c r="C209" s="183"/>
      <c r="D209" s="183"/>
      <c r="E209" s="183"/>
      <c r="F209" s="183"/>
      <c r="G209" s="183"/>
      <c r="H209" s="485"/>
      <c r="I209" s="485"/>
      <c r="J209" s="485"/>
      <c r="K209" s="485"/>
      <c r="L209" s="512"/>
    </row>
    <row r="210" spans="1:12" ht="20.100000000000001" customHeight="1" x14ac:dyDescent="0.25">
      <c r="A210" s="486" t="s">
        <v>2437</v>
      </c>
      <c r="B210" s="487"/>
      <c r="C210" s="487"/>
      <c r="D210" s="487"/>
      <c r="E210" s="487"/>
      <c r="F210" s="487"/>
      <c r="G210" s="487"/>
      <c r="H210" s="487"/>
      <c r="I210" s="487"/>
      <c r="J210" s="487"/>
      <c r="K210" s="487"/>
      <c r="L210" s="513"/>
    </row>
    <row r="211" spans="1:12" ht="15" customHeight="1" x14ac:dyDescent="0.25">
      <c r="A211" s="474" t="s">
        <v>1912</v>
      </c>
      <c r="B211" s="475"/>
      <c r="C211" s="475"/>
      <c r="D211" s="476" t="s">
        <v>42</v>
      </c>
      <c r="E211" s="476"/>
      <c r="F211" s="476"/>
      <c r="G211" s="230" t="s">
        <v>44</v>
      </c>
      <c r="H211" s="476" t="s">
        <v>1813</v>
      </c>
      <c r="I211" s="476"/>
      <c r="J211" s="476" t="s">
        <v>1814</v>
      </c>
      <c r="K211" s="476"/>
      <c r="L211" s="366" t="s">
        <v>1802</v>
      </c>
    </row>
    <row r="212" spans="1:12" ht="38.1" customHeight="1" x14ac:dyDescent="0.25">
      <c r="A212" s="181" t="s">
        <v>2433</v>
      </c>
      <c r="B212" s="509" t="s">
        <v>2434</v>
      </c>
      <c r="C212" s="509"/>
      <c r="D212" s="481" t="s">
        <v>82</v>
      </c>
      <c r="E212" s="481"/>
      <c r="F212" s="481"/>
      <c r="G212" s="231" t="s">
        <v>1024</v>
      </c>
      <c r="H212" s="510">
        <v>1</v>
      </c>
      <c r="I212" s="510"/>
      <c r="J212" s="511">
        <v>0.33</v>
      </c>
      <c r="K212" s="511"/>
      <c r="L212" s="367">
        <f>TRUNC(TRUNC(H212,8)*J212,2)</f>
        <v>0.33</v>
      </c>
    </row>
    <row r="213" spans="1:12" ht="38.1" customHeight="1" x14ac:dyDescent="0.25">
      <c r="A213" s="181" t="s">
        <v>2435</v>
      </c>
      <c r="B213" s="509" t="s">
        <v>2436</v>
      </c>
      <c r="C213" s="509"/>
      <c r="D213" s="481" t="s">
        <v>82</v>
      </c>
      <c r="E213" s="481"/>
      <c r="F213" s="481"/>
      <c r="G213" s="231" t="s">
        <v>1024</v>
      </c>
      <c r="H213" s="510">
        <v>1</v>
      </c>
      <c r="I213" s="510"/>
      <c r="J213" s="511">
        <v>7.0000000000000007E-2</v>
      </c>
      <c r="K213" s="511"/>
      <c r="L213" s="367">
        <f>TRUNC(TRUNC(H213,8)*J213,2)</f>
        <v>7.0000000000000007E-2</v>
      </c>
    </row>
    <row r="214" spans="1:12" ht="38.1" customHeight="1" x14ac:dyDescent="0.25">
      <c r="A214" s="181" t="s">
        <v>2438</v>
      </c>
      <c r="B214" s="509" t="s">
        <v>2439</v>
      </c>
      <c r="C214" s="509"/>
      <c r="D214" s="481" t="s">
        <v>82</v>
      </c>
      <c r="E214" s="481"/>
      <c r="F214" s="481"/>
      <c r="G214" s="231" t="s">
        <v>1024</v>
      </c>
      <c r="H214" s="510">
        <v>1</v>
      </c>
      <c r="I214" s="510"/>
      <c r="J214" s="511">
        <v>0.36</v>
      </c>
      <c r="K214" s="511"/>
      <c r="L214" s="367">
        <f>TRUNC(TRUNC(H214,8)*J214,2)</f>
        <v>0.36</v>
      </c>
    </row>
    <row r="215" spans="1:12" ht="38.1" customHeight="1" x14ac:dyDescent="0.25">
      <c r="A215" s="181" t="s">
        <v>2440</v>
      </c>
      <c r="B215" s="509" t="s">
        <v>2441</v>
      </c>
      <c r="C215" s="509"/>
      <c r="D215" s="481" t="s">
        <v>82</v>
      </c>
      <c r="E215" s="481"/>
      <c r="F215" s="481"/>
      <c r="G215" s="231" t="s">
        <v>1024</v>
      </c>
      <c r="H215" s="510">
        <v>1</v>
      </c>
      <c r="I215" s="510"/>
      <c r="J215" s="511">
        <v>1.2</v>
      </c>
      <c r="K215" s="511"/>
      <c r="L215" s="367">
        <f>TRUNC(TRUNC(H215,8)*J215,2)</f>
        <v>1.2</v>
      </c>
    </row>
    <row r="216" spans="1:12" ht="15" customHeight="1" x14ac:dyDescent="0.25">
      <c r="A216" s="182"/>
      <c r="B216" s="183"/>
      <c r="C216" s="183"/>
      <c r="D216" s="183"/>
      <c r="E216" s="183"/>
      <c r="F216" s="183"/>
      <c r="G216" s="183"/>
      <c r="H216" s="477" t="s">
        <v>1915</v>
      </c>
      <c r="I216" s="477"/>
      <c r="J216" s="477"/>
      <c r="K216" s="477"/>
      <c r="L216" s="368">
        <f>SUM(L212:L215)</f>
        <v>1.96</v>
      </c>
    </row>
    <row r="217" spans="1:12" ht="15" customHeight="1" x14ac:dyDescent="0.25">
      <c r="A217" s="182"/>
      <c r="B217" s="183"/>
      <c r="C217" s="183"/>
      <c r="D217" s="183"/>
      <c r="E217" s="183"/>
      <c r="F217" s="183"/>
      <c r="G217" s="183"/>
      <c r="H217" s="482" t="s">
        <v>1834</v>
      </c>
      <c r="I217" s="482"/>
      <c r="J217" s="482"/>
      <c r="K217" s="482"/>
      <c r="L217" s="369">
        <f>ROUND(SUM(L216),2)</f>
        <v>1.96</v>
      </c>
    </row>
    <row r="218" spans="1:12" ht="9.9499999999999993" customHeight="1" x14ac:dyDescent="0.25">
      <c r="A218" s="182"/>
      <c r="B218" s="183"/>
      <c r="C218" s="183"/>
      <c r="D218" s="183"/>
      <c r="E218" s="183"/>
      <c r="F218" s="183"/>
      <c r="G218" s="183"/>
      <c r="H218" s="485"/>
      <c r="I218" s="485"/>
      <c r="J218" s="485"/>
      <c r="K218" s="485"/>
      <c r="L218" s="512"/>
    </row>
    <row r="219" spans="1:12" ht="20.100000000000001" customHeight="1" x14ac:dyDescent="0.25">
      <c r="A219" s="486" t="s">
        <v>2442</v>
      </c>
      <c r="B219" s="487"/>
      <c r="C219" s="487"/>
      <c r="D219" s="487"/>
      <c r="E219" s="487"/>
      <c r="F219" s="487"/>
      <c r="G219" s="487"/>
      <c r="H219" s="487"/>
      <c r="I219" s="487"/>
      <c r="J219" s="487"/>
      <c r="K219" s="487"/>
      <c r="L219" s="513"/>
    </row>
    <row r="220" spans="1:12" ht="15" customHeight="1" x14ac:dyDescent="0.25">
      <c r="A220" s="474" t="s">
        <v>2443</v>
      </c>
      <c r="B220" s="475"/>
      <c r="C220" s="475"/>
      <c r="D220" s="476" t="s">
        <v>42</v>
      </c>
      <c r="E220" s="476"/>
      <c r="F220" s="476"/>
      <c r="G220" s="230" t="s">
        <v>44</v>
      </c>
      <c r="H220" s="476" t="s">
        <v>1813</v>
      </c>
      <c r="I220" s="476"/>
      <c r="J220" s="476" t="s">
        <v>1814</v>
      </c>
      <c r="K220" s="476"/>
      <c r="L220" s="366" t="s">
        <v>1802</v>
      </c>
    </row>
    <row r="221" spans="1:12" ht="29.1" customHeight="1" x14ac:dyDescent="0.25">
      <c r="A221" s="181" t="s">
        <v>2444</v>
      </c>
      <c r="B221" s="509" t="s">
        <v>2445</v>
      </c>
      <c r="C221" s="509"/>
      <c r="D221" s="481" t="s">
        <v>82</v>
      </c>
      <c r="E221" s="481"/>
      <c r="F221" s="481"/>
      <c r="G221" s="231" t="s">
        <v>226</v>
      </c>
      <c r="H221" s="510">
        <v>6.3999999999999997E-5</v>
      </c>
      <c r="I221" s="510"/>
      <c r="J221" s="511">
        <v>5175</v>
      </c>
      <c r="K221" s="511"/>
      <c r="L221" s="367">
        <f>TRUNC(TRUNC(H221,8)*J221,2)</f>
        <v>0.33</v>
      </c>
    </row>
    <row r="222" spans="1:12" ht="15" customHeight="1" x14ac:dyDescent="0.25">
      <c r="A222" s="182"/>
      <c r="B222" s="183"/>
      <c r="C222" s="183"/>
      <c r="D222" s="183"/>
      <c r="E222" s="183"/>
      <c r="F222" s="183"/>
      <c r="G222" s="183"/>
      <c r="H222" s="477" t="s">
        <v>2446</v>
      </c>
      <c r="I222" s="477"/>
      <c r="J222" s="477"/>
      <c r="K222" s="477"/>
      <c r="L222" s="368">
        <f>SUM(L221:L221)</f>
        <v>0.33</v>
      </c>
    </row>
    <row r="223" spans="1:12" ht="15" customHeight="1" x14ac:dyDescent="0.25">
      <c r="A223" s="182"/>
      <c r="B223" s="183"/>
      <c r="C223" s="183"/>
      <c r="D223" s="183"/>
      <c r="E223" s="183"/>
      <c r="F223" s="183"/>
      <c r="G223" s="183"/>
      <c r="H223" s="482" t="s">
        <v>1834</v>
      </c>
      <c r="I223" s="482"/>
      <c r="J223" s="482"/>
      <c r="K223" s="482"/>
      <c r="L223" s="369">
        <f>ROUND(SUM(L222),2)</f>
        <v>0.33</v>
      </c>
    </row>
    <row r="224" spans="1:12" ht="9.9499999999999993" customHeight="1" x14ac:dyDescent="0.25">
      <c r="A224" s="182"/>
      <c r="B224" s="183"/>
      <c r="C224" s="183"/>
      <c r="D224" s="183"/>
      <c r="E224" s="183"/>
      <c r="F224" s="183"/>
      <c r="G224" s="183"/>
      <c r="H224" s="485"/>
      <c r="I224" s="485"/>
      <c r="J224" s="485"/>
      <c r="K224" s="485"/>
      <c r="L224" s="512"/>
    </row>
    <row r="225" spans="1:12" ht="20.100000000000001" customHeight="1" x14ac:dyDescent="0.25">
      <c r="A225" s="486" t="s">
        <v>2447</v>
      </c>
      <c r="B225" s="487"/>
      <c r="C225" s="487"/>
      <c r="D225" s="487"/>
      <c r="E225" s="487"/>
      <c r="F225" s="487"/>
      <c r="G225" s="487"/>
      <c r="H225" s="487"/>
      <c r="I225" s="487"/>
      <c r="J225" s="487"/>
      <c r="K225" s="487"/>
      <c r="L225" s="513"/>
    </row>
    <row r="226" spans="1:12" ht="15" customHeight="1" x14ac:dyDescent="0.25">
      <c r="A226" s="474" t="s">
        <v>2443</v>
      </c>
      <c r="B226" s="475"/>
      <c r="C226" s="475"/>
      <c r="D226" s="476" t="s">
        <v>42</v>
      </c>
      <c r="E226" s="476"/>
      <c r="F226" s="476"/>
      <c r="G226" s="230" t="s">
        <v>44</v>
      </c>
      <c r="H226" s="476" t="s">
        <v>1813</v>
      </c>
      <c r="I226" s="476"/>
      <c r="J226" s="476" t="s">
        <v>1814</v>
      </c>
      <c r="K226" s="476"/>
      <c r="L226" s="366" t="s">
        <v>1802</v>
      </c>
    </row>
    <row r="227" spans="1:12" ht="29.1" customHeight="1" x14ac:dyDescent="0.25">
      <c r="A227" s="181" t="s">
        <v>2444</v>
      </c>
      <c r="B227" s="509" t="s">
        <v>2445</v>
      </c>
      <c r="C227" s="509"/>
      <c r="D227" s="481" t="s">
        <v>82</v>
      </c>
      <c r="E227" s="481"/>
      <c r="F227" s="481"/>
      <c r="G227" s="231" t="s">
        <v>226</v>
      </c>
      <c r="H227" s="510">
        <v>1.4800000000000001E-5</v>
      </c>
      <c r="I227" s="510"/>
      <c r="J227" s="511">
        <v>5175</v>
      </c>
      <c r="K227" s="511"/>
      <c r="L227" s="367">
        <f>TRUNC(TRUNC(H227,8)*J227,2)</f>
        <v>7.0000000000000007E-2</v>
      </c>
    </row>
    <row r="228" spans="1:12" ht="15" customHeight="1" x14ac:dyDescent="0.25">
      <c r="A228" s="182"/>
      <c r="B228" s="183"/>
      <c r="C228" s="183"/>
      <c r="D228" s="183"/>
      <c r="E228" s="183"/>
      <c r="F228" s="183"/>
      <c r="G228" s="183"/>
      <c r="H228" s="477" t="s">
        <v>2446</v>
      </c>
      <c r="I228" s="477"/>
      <c r="J228" s="477"/>
      <c r="K228" s="477"/>
      <c r="L228" s="368">
        <f>SUM(L227:L227)</f>
        <v>7.0000000000000007E-2</v>
      </c>
    </row>
    <row r="229" spans="1:12" ht="15" customHeight="1" x14ac:dyDescent="0.25">
      <c r="A229" s="182"/>
      <c r="B229" s="183"/>
      <c r="C229" s="183"/>
      <c r="D229" s="183"/>
      <c r="E229" s="183"/>
      <c r="F229" s="183"/>
      <c r="G229" s="183"/>
      <c r="H229" s="482" t="s">
        <v>1834</v>
      </c>
      <c r="I229" s="482"/>
      <c r="J229" s="482"/>
      <c r="K229" s="482"/>
      <c r="L229" s="369">
        <f>ROUND(SUM(L228),2)</f>
        <v>7.0000000000000007E-2</v>
      </c>
    </row>
    <row r="230" spans="1:12" ht="9.9499999999999993" customHeight="1" x14ac:dyDescent="0.25">
      <c r="A230" s="182"/>
      <c r="B230" s="183"/>
      <c r="C230" s="183"/>
      <c r="D230" s="183"/>
      <c r="E230" s="183"/>
      <c r="F230" s="183"/>
      <c r="G230" s="183"/>
      <c r="H230" s="485"/>
      <c r="I230" s="485"/>
      <c r="J230" s="485"/>
      <c r="K230" s="485"/>
      <c r="L230" s="512"/>
    </row>
    <row r="231" spans="1:12" ht="20.100000000000001" customHeight="1" x14ac:dyDescent="0.25">
      <c r="A231" s="486" t="s">
        <v>2448</v>
      </c>
      <c r="B231" s="487"/>
      <c r="C231" s="487"/>
      <c r="D231" s="487"/>
      <c r="E231" s="487"/>
      <c r="F231" s="487"/>
      <c r="G231" s="487"/>
      <c r="H231" s="487"/>
      <c r="I231" s="487"/>
      <c r="J231" s="487"/>
      <c r="K231" s="487"/>
      <c r="L231" s="513"/>
    </row>
    <row r="232" spans="1:12" ht="15" customHeight="1" x14ac:dyDescent="0.25">
      <c r="A232" s="474" t="s">
        <v>2443</v>
      </c>
      <c r="B232" s="475"/>
      <c r="C232" s="475"/>
      <c r="D232" s="476" t="s">
        <v>42</v>
      </c>
      <c r="E232" s="476"/>
      <c r="F232" s="476"/>
      <c r="G232" s="230" t="s">
        <v>44</v>
      </c>
      <c r="H232" s="476" t="s">
        <v>1813</v>
      </c>
      <c r="I232" s="476"/>
      <c r="J232" s="476" t="s">
        <v>1814</v>
      </c>
      <c r="K232" s="476"/>
      <c r="L232" s="366" t="s">
        <v>1802</v>
      </c>
    </row>
    <row r="233" spans="1:12" ht="29.1" customHeight="1" x14ac:dyDescent="0.25">
      <c r="A233" s="181" t="s">
        <v>2444</v>
      </c>
      <c r="B233" s="509" t="s">
        <v>2445</v>
      </c>
      <c r="C233" s="509"/>
      <c r="D233" s="481" t="s">
        <v>82</v>
      </c>
      <c r="E233" s="481"/>
      <c r="F233" s="481"/>
      <c r="G233" s="231" t="s">
        <v>226</v>
      </c>
      <c r="H233" s="510">
        <v>6.9999999999999994E-5</v>
      </c>
      <c r="I233" s="510"/>
      <c r="J233" s="511">
        <v>5175</v>
      </c>
      <c r="K233" s="511"/>
      <c r="L233" s="367">
        <f>TRUNC(TRUNC(H233,8)*J233,2)</f>
        <v>0.36</v>
      </c>
    </row>
    <row r="234" spans="1:12" ht="15" customHeight="1" x14ac:dyDescent="0.25">
      <c r="A234" s="182"/>
      <c r="B234" s="183"/>
      <c r="C234" s="183"/>
      <c r="D234" s="183"/>
      <c r="E234" s="183"/>
      <c r="F234" s="183"/>
      <c r="G234" s="183"/>
      <c r="H234" s="477" t="s">
        <v>2446</v>
      </c>
      <c r="I234" s="477"/>
      <c r="J234" s="477"/>
      <c r="K234" s="477"/>
      <c r="L234" s="368">
        <f>SUM(L233:L233)</f>
        <v>0.36</v>
      </c>
    </row>
    <row r="235" spans="1:12" ht="15" customHeight="1" x14ac:dyDescent="0.25">
      <c r="A235" s="182"/>
      <c r="B235" s="183"/>
      <c r="C235" s="183"/>
      <c r="D235" s="183"/>
      <c r="E235" s="183"/>
      <c r="F235" s="183"/>
      <c r="G235" s="183"/>
      <c r="H235" s="482" t="s">
        <v>1834</v>
      </c>
      <c r="I235" s="482"/>
      <c r="J235" s="482"/>
      <c r="K235" s="482"/>
      <c r="L235" s="369">
        <f>ROUND(SUM(L234),2)</f>
        <v>0.36</v>
      </c>
    </row>
    <row r="236" spans="1:12" ht="9.9499999999999993" customHeight="1" x14ac:dyDescent="0.25">
      <c r="A236" s="182"/>
      <c r="B236" s="183"/>
      <c r="C236" s="183"/>
      <c r="D236" s="183"/>
      <c r="E236" s="183"/>
      <c r="F236" s="183"/>
      <c r="G236" s="183"/>
      <c r="H236" s="485"/>
      <c r="I236" s="485"/>
      <c r="J236" s="485"/>
      <c r="K236" s="485"/>
      <c r="L236" s="512"/>
    </row>
    <row r="237" spans="1:12" ht="20.100000000000001" customHeight="1" x14ac:dyDescent="0.25">
      <c r="A237" s="486" t="s">
        <v>2449</v>
      </c>
      <c r="B237" s="487"/>
      <c r="C237" s="487"/>
      <c r="D237" s="487"/>
      <c r="E237" s="487"/>
      <c r="F237" s="487"/>
      <c r="G237" s="487"/>
      <c r="H237" s="487"/>
      <c r="I237" s="487"/>
      <c r="J237" s="487"/>
      <c r="K237" s="487"/>
      <c r="L237" s="513"/>
    </row>
    <row r="238" spans="1:12" ht="15" customHeight="1" x14ac:dyDescent="0.25">
      <c r="A238" s="474" t="s">
        <v>2450</v>
      </c>
      <c r="B238" s="475"/>
      <c r="C238" s="475"/>
      <c r="D238" s="476" t="s">
        <v>42</v>
      </c>
      <c r="E238" s="476"/>
      <c r="F238" s="476"/>
      <c r="G238" s="230" t="s">
        <v>44</v>
      </c>
      <c r="H238" s="476" t="s">
        <v>1813</v>
      </c>
      <c r="I238" s="476"/>
      <c r="J238" s="476" t="s">
        <v>1814</v>
      </c>
      <c r="K238" s="476"/>
      <c r="L238" s="366" t="s">
        <v>1802</v>
      </c>
    </row>
    <row r="239" spans="1:12" ht="21" customHeight="1" x14ac:dyDescent="0.25">
      <c r="A239" s="181" t="s">
        <v>2451</v>
      </c>
      <c r="B239" s="509" t="s">
        <v>2452</v>
      </c>
      <c r="C239" s="509"/>
      <c r="D239" s="481" t="s">
        <v>82</v>
      </c>
      <c r="E239" s="481"/>
      <c r="F239" s="481"/>
      <c r="G239" s="231" t="s">
        <v>2453</v>
      </c>
      <c r="H239" s="510">
        <v>1.25</v>
      </c>
      <c r="I239" s="510"/>
      <c r="J239" s="511">
        <v>0.96</v>
      </c>
      <c r="K239" s="511"/>
      <c r="L239" s="367">
        <f>TRUNC(TRUNC(H239,8)*J239,2)</f>
        <v>1.2</v>
      </c>
    </row>
    <row r="240" spans="1:12" ht="15" customHeight="1" x14ac:dyDescent="0.25">
      <c r="A240" s="182"/>
      <c r="B240" s="183"/>
      <c r="C240" s="183"/>
      <c r="D240" s="183"/>
      <c r="E240" s="183"/>
      <c r="F240" s="183"/>
      <c r="G240" s="183"/>
      <c r="H240" s="477" t="s">
        <v>2454</v>
      </c>
      <c r="I240" s="477"/>
      <c r="J240" s="477"/>
      <c r="K240" s="477"/>
      <c r="L240" s="368">
        <f>SUM(L239:L239)</f>
        <v>1.2</v>
      </c>
    </row>
    <row r="241" spans="1:12" ht="15" customHeight="1" x14ac:dyDescent="0.25">
      <c r="A241" s="182"/>
      <c r="B241" s="183"/>
      <c r="C241" s="183"/>
      <c r="D241" s="183"/>
      <c r="E241" s="183"/>
      <c r="F241" s="183"/>
      <c r="G241" s="183"/>
      <c r="H241" s="482" t="s">
        <v>1834</v>
      </c>
      <c r="I241" s="482"/>
      <c r="J241" s="482"/>
      <c r="K241" s="482"/>
      <c r="L241" s="369">
        <f>ROUND(SUM(L240),2)</f>
        <v>1.2</v>
      </c>
    </row>
    <row r="242" spans="1:12" ht="9.9499999999999993" customHeight="1" x14ac:dyDescent="0.25">
      <c r="A242" s="182"/>
      <c r="B242" s="183"/>
      <c r="C242" s="183"/>
      <c r="D242" s="183"/>
      <c r="E242" s="183"/>
      <c r="F242" s="183"/>
      <c r="G242" s="183"/>
      <c r="H242" s="485"/>
      <c r="I242" s="485"/>
      <c r="J242" s="485"/>
      <c r="K242" s="485"/>
      <c r="L242" s="512"/>
    </row>
    <row r="243" spans="1:12" ht="20.100000000000001" customHeight="1" x14ac:dyDescent="0.25">
      <c r="A243" s="486" t="s">
        <v>2455</v>
      </c>
      <c r="B243" s="487"/>
      <c r="C243" s="487"/>
      <c r="D243" s="487"/>
      <c r="E243" s="487"/>
      <c r="F243" s="487"/>
      <c r="G243" s="487"/>
      <c r="H243" s="487"/>
      <c r="I243" s="487"/>
      <c r="J243" s="487"/>
      <c r="K243" s="487"/>
      <c r="L243" s="513"/>
    </row>
    <row r="244" spans="1:12" ht="15" customHeight="1" x14ac:dyDescent="0.25">
      <c r="A244" s="474" t="s">
        <v>1812</v>
      </c>
      <c r="B244" s="475"/>
      <c r="C244" s="475"/>
      <c r="D244" s="476" t="s">
        <v>42</v>
      </c>
      <c r="E244" s="476"/>
      <c r="F244" s="476"/>
      <c r="G244" s="230" t="s">
        <v>44</v>
      </c>
      <c r="H244" s="476" t="s">
        <v>1813</v>
      </c>
      <c r="I244" s="476"/>
      <c r="J244" s="476" t="s">
        <v>1814</v>
      </c>
      <c r="K244" s="476"/>
      <c r="L244" s="366" t="s">
        <v>1802</v>
      </c>
    </row>
    <row r="245" spans="1:12" ht="29.1" customHeight="1" x14ac:dyDescent="0.25">
      <c r="A245" s="181" t="s">
        <v>2456</v>
      </c>
      <c r="B245" s="509" t="s">
        <v>2457</v>
      </c>
      <c r="C245" s="509"/>
      <c r="D245" s="481" t="s">
        <v>1927</v>
      </c>
      <c r="E245" s="481"/>
      <c r="F245" s="481"/>
      <c r="G245" s="231" t="s">
        <v>579</v>
      </c>
      <c r="H245" s="514">
        <v>11.995200000000001</v>
      </c>
      <c r="I245" s="514"/>
      <c r="J245" s="511">
        <v>0.3</v>
      </c>
      <c r="K245" s="511"/>
      <c r="L245" s="367">
        <f>TRUNC(TRUNC(H245,5)*J245,2)</f>
        <v>3.59</v>
      </c>
    </row>
    <row r="246" spans="1:12" ht="15" customHeight="1" x14ac:dyDescent="0.25">
      <c r="A246" s="181" t="s">
        <v>2458</v>
      </c>
      <c r="B246" s="509" t="s">
        <v>2459</v>
      </c>
      <c r="C246" s="509"/>
      <c r="D246" s="481" t="s">
        <v>1927</v>
      </c>
      <c r="E246" s="481"/>
      <c r="F246" s="481"/>
      <c r="G246" s="231" t="s">
        <v>72</v>
      </c>
      <c r="H246" s="514">
        <v>11.549200000000001</v>
      </c>
      <c r="I246" s="514"/>
      <c r="J246" s="511">
        <v>11.99</v>
      </c>
      <c r="K246" s="511"/>
      <c r="L246" s="367">
        <f>TRUNC(TRUNC(H246,5)*J246,2)</f>
        <v>138.47</v>
      </c>
    </row>
    <row r="247" spans="1:12" ht="21" customHeight="1" x14ac:dyDescent="0.25">
      <c r="A247" s="181" t="s">
        <v>2460</v>
      </c>
      <c r="B247" s="509" t="s">
        <v>2461</v>
      </c>
      <c r="C247" s="509"/>
      <c r="D247" s="481" t="s">
        <v>1927</v>
      </c>
      <c r="E247" s="481"/>
      <c r="F247" s="481"/>
      <c r="G247" s="231" t="s">
        <v>72</v>
      </c>
      <c r="H247" s="514">
        <v>1.4873000000000001</v>
      </c>
      <c r="I247" s="514"/>
      <c r="J247" s="511">
        <v>7.29</v>
      </c>
      <c r="K247" s="511"/>
      <c r="L247" s="367">
        <f>TRUNC(TRUNC(H247,5)*J247,2)</f>
        <v>10.84</v>
      </c>
    </row>
    <row r="248" spans="1:12" ht="15" customHeight="1" x14ac:dyDescent="0.25">
      <c r="A248" s="181" t="s">
        <v>2462</v>
      </c>
      <c r="B248" s="509" t="s">
        <v>2463</v>
      </c>
      <c r="C248" s="509"/>
      <c r="D248" s="481" t="s">
        <v>1927</v>
      </c>
      <c r="E248" s="481"/>
      <c r="F248" s="481"/>
      <c r="G248" s="231" t="s">
        <v>72</v>
      </c>
      <c r="H248" s="514">
        <v>6.3708</v>
      </c>
      <c r="I248" s="514"/>
      <c r="J248" s="511">
        <v>21.44</v>
      </c>
      <c r="K248" s="511"/>
      <c r="L248" s="367">
        <f>TRUNC(TRUNC(H248,5)*J248,2)</f>
        <v>136.58000000000001</v>
      </c>
    </row>
    <row r="249" spans="1:12" ht="15" customHeight="1" x14ac:dyDescent="0.25">
      <c r="A249" s="181" t="s">
        <v>2464</v>
      </c>
      <c r="B249" s="509" t="s">
        <v>2465</v>
      </c>
      <c r="C249" s="509"/>
      <c r="D249" s="481" t="s">
        <v>1927</v>
      </c>
      <c r="E249" s="481"/>
      <c r="F249" s="481"/>
      <c r="G249" s="231" t="s">
        <v>72</v>
      </c>
      <c r="H249" s="514">
        <v>2.3591000000000002</v>
      </c>
      <c r="I249" s="514"/>
      <c r="J249" s="511">
        <v>69.44</v>
      </c>
      <c r="K249" s="511"/>
      <c r="L249" s="367">
        <f>TRUNC(TRUNC(H249,5)*J249,2)</f>
        <v>163.81</v>
      </c>
    </row>
    <row r="250" spans="1:12" ht="15" customHeight="1" x14ac:dyDescent="0.25">
      <c r="A250" s="182"/>
      <c r="B250" s="183"/>
      <c r="C250" s="183"/>
      <c r="D250" s="183"/>
      <c r="E250" s="183"/>
      <c r="F250" s="183"/>
      <c r="G250" s="183"/>
      <c r="H250" s="477" t="s">
        <v>1826</v>
      </c>
      <c r="I250" s="477"/>
      <c r="J250" s="477"/>
      <c r="K250" s="477"/>
      <c r="L250" s="368">
        <f>SUM(L245:L249)</f>
        <v>453.29</v>
      </c>
    </row>
    <row r="251" spans="1:12" ht="15" customHeight="1" x14ac:dyDescent="0.25">
      <c r="A251" s="474" t="s">
        <v>1827</v>
      </c>
      <c r="B251" s="475"/>
      <c r="C251" s="475"/>
      <c r="D251" s="476" t="s">
        <v>42</v>
      </c>
      <c r="E251" s="476"/>
      <c r="F251" s="476"/>
      <c r="G251" s="230" t="s">
        <v>44</v>
      </c>
      <c r="H251" s="476" t="s">
        <v>1813</v>
      </c>
      <c r="I251" s="476"/>
      <c r="J251" s="476" t="s">
        <v>1814</v>
      </c>
      <c r="K251" s="476"/>
      <c r="L251" s="366" t="s">
        <v>1802</v>
      </c>
    </row>
    <row r="252" spans="1:12" ht="15" customHeight="1" x14ac:dyDescent="0.25">
      <c r="A252" s="181" t="s">
        <v>2466</v>
      </c>
      <c r="B252" s="509" t="s">
        <v>2467</v>
      </c>
      <c r="C252" s="509"/>
      <c r="D252" s="481" t="s">
        <v>1927</v>
      </c>
      <c r="E252" s="481"/>
      <c r="F252" s="481"/>
      <c r="G252" s="231" t="s">
        <v>1935</v>
      </c>
      <c r="H252" s="514">
        <v>1</v>
      </c>
      <c r="I252" s="514"/>
      <c r="J252" s="511">
        <v>33.49</v>
      </c>
      <c r="K252" s="511"/>
      <c r="L252" s="367">
        <f>TRUNC(TRUNC(H252,5)*J252,2)</f>
        <v>33.49</v>
      </c>
    </row>
    <row r="253" spans="1:12" ht="15" customHeight="1" x14ac:dyDescent="0.25">
      <c r="A253" s="181" t="s">
        <v>2468</v>
      </c>
      <c r="B253" s="509" t="s">
        <v>2469</v>
      </c>
      <c r="C253" s="509"/>
      <c r="D253" s="481" t="s">
        <v>1927</v>
      </c>
      <c r="E253" s="481"/>
      <c r="F253" s="481"/>
      <c r="G253" s="231" t="s">
        <v>1935</v>
      </c>
      <c r="H253" s="514">
        <v>1</v>
      </c>
      <c r="I253" s="514"/>
      <c r="J253" s="511">
        <v>36.31</v>
      </c>
      <c r="K253" s="511"/>
      <c r="L253" s="367">
        <f>TRUNC(TRUNC(H253,5)*J253,2)</f>
        <v>36.31</v>
      </c>
    </row>
    <row r="254" spans="1:12" ht="15" customHeight="1" x14ac:dyDescent="0.25">
      <c r="A254" s="182"/>
      <c r="B254" s="183"/>
      <c r="C254" s="183"/>
      <c r="D254" s="183"/>
      <c r="E254" s="183"/>
      <c r="F254" s="183"/>
      <c r="G254" s="183"/>
      <c r="H254" s="477" t="s">
        <v>1832</v>
      </c>
      <c r="I254" s="477"/>
      <c r="J254" s="477"/>
      <c r="K254" s="477"/>
      <c r="L254" s="368">
        <f>SUM(L252:L253)</f>
        <v>69.800000000000011</v>
      </c>
    </row>
    <row r="255" spans="1:12" ht="15" customHeight="1" x14ac:dyDescent="0.25">
      <c r="A255" s="182"/>
      <c r="B255" s="183"/>
      <c r="C255" s="183"/>
      <c r="D255" s="183"/>
      <c r="E255" s="183"/>
      <c r="F255" s="183"/>
      <c r="G255" s="183"/>
      <c r="H255" s="482" t="s">
        <v>1834</v>
      </c>
      <c r="I255" s="482"/>
      <c r="J255" s="482"/>
      <c r="K255" s="482"/>
      <c r="L255" s="369">
        <f>ROUND(SUM(L250,L254),2)</f>
        <v>523.09</v>
      </c>
    </row>
    <row r="256" spans="1:12" ht="9.9499999999999993" customHeight="1" x14ac:dyDescent="0.25">
      <c r="A256" s="182"/>
      <c r="B256" s="183"/>
      <c r="C256" s="183"/>
      <c r="D256" s="183"/>
      <c r="E256" s="183"/>
      <c r="F256" s="183"/>
      <c r="G256" s="183"/>
      <c r="H256" s="485"/>
      <c r="I256" s="485"/>
      <c r="J256" s="485"/>
      <c r="K256" s="485"/>
      <c r="L256" s="512"/>
    </row>
    <row r="257" spans="1:12" ht="20.100000000000001" customHeight="1" x14ac:dyDescent="0.25">
      <c r="A257" s="486" t="s">
        <v>2470</v>
      </c>
      <c r="B257" s="487"/>
      <c r="C257" s="487"/>
      <c r="D257" s="487"/>
      <c r="E257" s="487"/>
      <c r="F257" s="487"/>
      <c r="G257" s="487"/>
      <c r="H257" s="487"/>
      <c r="I257" s="487"/>
      <c r="J257" s="487"/>
      <c r="K257" s="487"/>
      <c r="L257" s="513"/>
    </row>
    <row r="258" spans="1:12" ht="15" customHeight="1" x14ac:dyDescent="0.25">
      <c r="A258" s="474" t="s">
        <v>1812</v>
      </c>
      <c r="B258" s="475"/>
      <c r="C258" s="475"/>
      <c r="D258" s="476" t="s">
        <v>42</v>
      </c>
      <c r="E258" s="476"/>
      <c r="F258" s="476"/>
      <c r="G258" s="230" t="s">
        <v>44</v>
      </c>
      <c r="H258" s="476" t="s">
        <v>1813</v>
      </c>
      <c r="I258" s="476"/>
      <c r="J258" s="476" t="s">
        <v>1814</v>
      </c>
      <c r="K258" s="476"/>
      <c r="L258" s="366" t="s">
        <v>1802</v>
      </c>
    </row>
    <row r="259" spans="1:12" ht="38.1" customHeight="1" x14ac:dyDescent="0.25">
      <c r="A259" s="181" t="s">
        <v>2471</v>
      </c>
      <c r="B259" s="509" t="s">
        <v>2472</v>
      </c>
      <c r="C259" s="509"/>
      <c r="D259" s="481" t="s">
        <v>82</v>
      </c>
      <c r="E259" s="481"/>
      <c r="F259" s="481"/>
      <c r="G259" s="231" t="s">
        <v>188</v>
      </c>
      <c r="H259" s="510">
        <v>1.2434000000000001</v>
      </c>
      <c r="I259" s="510"/>
      <c r="J259" s="511">
        <v>20.100000000000001</v>
      </c>
      <c r="K259" s="511"/>
      <c r="L259" s="367">
        <f>TRUNC(TRUNC(H259,8)*J259,2)</f>
        <v>24.99</v>
      </c>
    </row>
    <row r="260" spans="1:12" ht="21" customHeight="1" x14ac:dyDescent="0.25">
      <c r="A260" s="181" t="s">
        <v>2473</v>
      </c>
      <c r="B260" s="509" t="s">
        <v>2474</v>
      </c>
      <c r="C260" s="509"/>
      <c r="D260" s="481" t="s">
        <v>82</v>
      </c>
      <c r="E260" s="481"/>
      <c r="F260" s="481"/>
      <c r="G260" s="231" t="s">
        <v>226</v>
      </c>
      <c r="H260" s="510">
        <v>9.4000000000000004E-3</v>
      </c>
      <c r="I260" s="510"/>
      <c r="J260" s="511">
        <v>5.6</v>
      </c>
      <c r="K260" s="511"/>
      <c r="L260" s="367">
        <f>TRUNC(TRUNC(H260,8)*J260,2)</f>
        <v>0.05</v>
      </c>
    </row>
    <row r="261" spans="1:12" ht="15" customHeight="1" x14ac:dyDescent="0.25">
      <c r="A261" s="182"/>
      <c r="B261" s="183"/>
      <c r="C261" s="183"/>
      <c r="D261" s="183"/>
      <c r="E261" s="183"/>
      <c r="F261" s="183"/>
      <c r="G261" s="183"/>
      <c r="H261" s="477" t="s">
        <v>1826</v>
      </c>
      <c r="I261" s="477"/>
      <c r="J261" s="477"/>
      <c r="K261" s="477"/>
      <c r="L261" s="368">
        <f>SUM(L259:L260)</f>
        <v>25.04</v>
      </c>
    </row>
    <row r="262" spans="1:12" ht="15" customHeight="1" x14ac:dyDescent="0.25">
      <c r="A262" s="474" t="s">
        <v>2190</v>
      </c>
      <c r="B262" s="475"/>
      <c r="C262" s="475"/>
      <c r="D262" s="476" t="s">
        <v>42</v>
      </c>
      <c r="E262" s="476"/>
      <c r="F262" s="476"/>
      <c r="G262" s="230" t="s">
        <v>44</v>
      </c>
      <c r="H262" s="476" t="s">
        <v>1813</v>
      </c>
      <c r="I262" s="476"/>
      <c r="J262" s="476" t="s">
        <v>1814</v>
      </c>
      <c r="K262" s="476"/>
      <c r="L262" s="366" t="s">
        <v>1802</v>
      </c>
    </row>
    <row r="263" spans="1:12" ht="21" customHeight="1" x14ac:dyDescent="0.25">
      <c r="A263" s="181" t="s">
        <v>2191</v>
      </c>
      <c r="B263" s="509" t="s">
        <v>2192</v>
      </c>
      <c r="C263" s="509"/>
      <c r="D263" s="481" t="s">
        <v>82</v>
      </c>
      <c r="E263" s="481"/>
      <c r="F263" s="481"/>
      <c r="G263" s="231" t="s">
        <v>1024</v>
      </c>
      <c r="H263" s="510">
        <v>0.114</v>
      </c>
      <c r="I263" s="510"/>
      <c r="J263" s="511">
        <v>31.67</v>
      </c>
      <c r="K263" s="511"/>
      <c r="L263" s="367">
        <f>TRUNC(TRUNC(H263,8)*J263,2)</f>
        <v>3.61</v>
      </c>
    </row>
    <row r="264" spans="1:12" ht="15" customHeight="1" x14ac:dyDescent="0.25">
      <c r="A264" s="181" t="s">
        <v>2193</v>
      </c>
      <c r="B264" s="509" t="s">
        <v>2194</v>
      </c>
      <c r="C264" s="509"/>
      <c r="D264" s="481" t="s">
        <v>82</v>
      </c>
      <c r="E264" s="481"/>
      <c r="F264" s="481"/>
      <c r="G264" s="231" t="s">
        <v>1024</v>
      </c>
      <c r="H264" s="510">
        <v>0.114</v>
      </c>
      <c r="I264" s="510"/>
      <c r="J264" s="511">
        <v>44.2</v>
      </c>
      <c r="K264" s="511"/>
      <c r="L264" s="367">
        <f>TRUNC(TRUNC(H264,8)*J264,2)</f>
        <v>5.03</v>
      </c>
    </row>
    <row r="265" spans="1:12" ht="18" customHeight="1" x14ac:dyDescent="0.25">
      <c r="A265" s="182"/>
      <c r="B265" s="183"/>
      <c r="C265" s="183"/>
      <c r="D265" s="183"/>
      <c r="E265" s="183"/>
      <c r="F265" s="183"/>
      <c r="G265" s="183"/>
      <c r="H265" s="477" t="s">
        <v>2195</v>
      </c>
      <c r="I265" s="477"/>
      <c r="J265" s="477"/>
      <c r="K265" s="477"/>
      <c r="L265" s="368">
        <f>SUM(L263:L264)</f>
        <v>8.64</v>
      </c>
    </row>
    <row r="266" spans="1:12" ht="15" customHeight="1" x14ac:dyDescent="0.25">
      <c r="A266" s="182"/>
      <c r="B266" s="183"/>
      <c r="C266" s="183"/>
      <c r="D266" s="183"/>
      <c r="E266" s="183"/>
      <c r="F266" s="183"/>
      <c r="G266" s="183"/>
      <c r="H266" s="482" t="s">
        <v>1834</v>
      </c>
      <c r="I266" s="482"/>
      <c r="J266" s="482"/>
      <c r="K266" s="482"/>
      <c r="L266" s="369">
        <f>ROUND(SUM(L261,L265),2)</f>
        <v>33.68</v>
      </c>
    </row>
    <row r="267" spans="1:12" ht="9.9499999999999993" customHeight="1" x14ac:dyDescent="0.25">
      <c r="A267" s="182"/>
      <c r="B267" s="183"/>
      <c r="C267" s="183"/>
      <c r="D267" s="183"/>
      <c r="E267" s="183"/>
      <c r="F267" s="183"/>
      <c r="G267" s="183"/>
      <c r="H267" s="485"/>
      <c r="I267" s="485"/>
      <c r="J267" s="485"/>
      <c r="K267" s="485"/>
      <c r="L267" s="512"/>
    </row>
    <row r="268" spans="1:12" ht="20.100000000000001" customHeight="1" x14ac:dyDescent="0.25">
      <c r="A268" s="486" t="s">
        <v>2475</v>
      </c>
      <c r="B268" s="487"/>
      <c r="C268" s="487"/>
      <c r="D268" s="487"/>
      <c r="E268" s="487"/>
      <c r="F268" s="487"/>
      <c r="G268" s="487"/>
      <c r="H268" s="487"/>
      <c r="I268" s="487"/>
      <c r="J268" s="487"/>
      <c r="K268" s="487"/>
      <c r="L268" s="513"/>
    </row>
    <row r="269" spans="1:12" ht="15" customHeight="1" x14ac:dyDescent="0.25">
      <c r="A269" s="474" t="s">
        <v>2190</v>
      </c>
      <c r="B269" s="475"/>
      <c r="C269" s="475"/>
      <c r="D269" s="476" t="s">
        <v>42</v>
      </c>
      <c r="E269" s="476"/>
      <c r="F269" s="476"/>
      <c r="G269" s="230" t="s">
        <v>44</v>
      </c>
      <c r="H269" s="476" t="s">
        <v>1813</v>
      </c>
      <c r="I269" s="476"/>
      <c r="J269" s="476" t="s">
        <v>1814</v>
      </c>
      <c r="K269" s="476"/>
      <c r="L269" s="366" t="s">
        <v>1802</v>
      </c>
    </row>
    <row r="270" spans="1:12" ht="21" customHeight="1" x14ac:dyDescent="0.25">
      <c r="A270" s="181" t="s">
        <v>2476</v>
      </c>
      <c r="B270" s="509" t="s">
        <v>2477</v>
      </c>
      <c r="C270" s="509"/>
      <c r="D270" s="481" t="s">
        <v>82</v>
      </c>
      <c r="E270" s="481"/>
      <c r="F270" s="481"/>
      <c r="G270" s="231" t="s">
        <v>1024</v>
      </c>
      <c r="H270" s="510">
        <v>1</v>
      </c>
      <c r="I270" s="510"/>
      <c r="J270" s="511">
        <v>37.1</v>
      </c>
      <c r="K270" s="511"/>
      <c r="L270" s="367">
        <f>TRUNC(TRUNC(H270,8)*J270,2)</f>
        <v>37.1</v>
      </c>
    </row>
    <row r="271" spans="1:12" ht="18" customHeight="1" x14ac:dyDescent="0.25">
      <c r="A271" s="182"/>
      <c r="B271" s="183"/>
      <c r="C271" s="183"/>
      <c r="D271" s="183"/>
      <c r="E271" s="183"/>
      <c r="F271" s="183"/>
      <c r="G271" s="183"/>
      <c r="H271" s="477" t="s">
        <v>2195</v>
      </c>
      <c r="I271" s="477"/>
      <c r="J271" s="477"/>
      <c r="K271" s="477"/>
      <c r="L271" s="368">
        <f>SUM(L270:L270)</f>
        <v>37.1</v>
      </c>
    </row>
    <row r="272" spans="1:12" ht="15" customHeight="1" x14ac:dyDescent="0.25">
      <c r="A272" s="474" t="s">
        <v>1912</v>
      </c>
      <c r="B272" s="475"/>
      <c r="C272" s="475"/>
      <c r="D272" s="476" t="s">
        <v>42</v>
      </c>
      <c r="E272" s="476"/>
      <c r="F272" s="476"/>
      <c r="G272" s="230" t="s">
        <v>44</v>
      </c>
      <c r="H272" s="476" t="s">
        <v>1813</v>
      </c>
      <c r="I272" s="476"/>
      <c r="J272" s="476" t="s">
        <v>1814</v>
      </c>
      <c r="K272" s="476"/>
      <c r="L272" s="366" t="s">
        <v>1802</v>
      </c>
    </row>
    <row r="273" spans="1:12" ht="45.95" customHeight="1" x14ac:dyDescent="0.25">
      <c r="A273" s="181" t="s">
        <v>2478</v>
      </c>
      <c r="B273" s="509" t="s">
        <v>2479</v>
      </c>
      <c r="C273" s="509"/>
      <c r="D273" s="481" t="s">
        <v>82</v>
      </c>
      <c r="E273" s="481"/>
      <c r="F273" s="481"/>
      <c r="G273" s="231" t="s">
        <v>1024</v>
      </c>
      <c r="H273" s="510">
        <v>1</v>
      </c>
      <c r="I273" s="510"/>
      <c r="J273" s="511">
        <v>30.32</v>
      </c>
      <c r="K273" s="511"/>
      <c r="L273" s="367">
        <f>TRUNC(TRUNC(H273,8)*J273,2)</f>
        <v>30.32</v>
      </c>
    </row>
    <row r="274" spans="1:12" ht="45.95" customHeight="1" x14ac:dyDescent="0.25">
      <c r="A274" s="181" t="s">
        <v>2480</v>
      </c>
      <c r="B274" s="509" t="s">
        <v>2481</v>
      </c>
      <c r="C274" s="509"/>
      <c r="D274" s="481" t="s">
        <v>82</v>
      </c>
      <c r="E274" s="481"/>
      <c r="F274" s="481"/>
      <c r="G274" s="231" t="s">
        <v>1024</v>
      </c>
      <c r="H274" s="510">
        <v>1</v>
      </c>
      <c r="I274" s="510"/>
      <c r="J274" s="511">
        <v>4.71</v>
      </c>
      <c r="K274" s="511"/>
      <c r="L274" s="367">
        <f>TRUNC(TRUNC(H274,8)*J274,2)</f>
        <v>4.71</v>
      </c>
    </row>
    <row r="275" spans="1:12" ht="45.95" customHeight="1" x14ac:dyDescent="0.25">
      <c r="A275" s="181" t="s">
        <v>2482</v>
      </c>
      <c r="B275" s="509" t="s">
        <v>2483</v>
      </c>
      <c r="C275" s="509"/>
      <c r="D275" s="481" t="s">
        <v>82</v>
      </c>
      <c r="E275" s="481"/>
      <c r="F275" s="481"/>
      <c r="G275" s="231" t="s">
        <v>1024</v>
      </c>
      <c r="H275" s="510">
        <v>1</v>
      </c>
      <c r="I275" s="510"/>
      <c r="J275" s="511">
        <v>11.68</v>
      </c>
      <c r="K275" s="511"/>
      <c r="L275" s="367">
        <f>TRUNC(TRUNC(H275,8)*J275,2)</f>
        <v>11.68</v>
      </c>
    </row>
    <row r="276" spans="1:12" ht="15" customHeight="1" x14ac:dyDescent="0.25">
      <c r="A276" s="182"/>
      <c r="B276" s="183"/>
      <c r="C276" s="183"/>
      <c r="D276" s="183"/>
      <c r="E276" s="183"/>
      <c r="F276" s="183"/>
      <c r="G276" s="183"/>
      <c r="H276" s="477" t="s">
        <v>1915</v>
      </c>
      <c r="I276" s="477"/>
      <c r="J276" s="477"/>
      <c r="K276" s="477"/>
      <c r="L276" s="368">
        <f>SUM(L273:L275)</f>
        <v>46.71</v>
      </c>
    </row>
    <row r="277" spans="1:12" ht="15" customHeight="1" x14ac:dyDescent="0.25">
      <c r="A277" s="182"/>
      <c r="B277" s="183"/>
      <c r="C277" s="183"/>
      <c r="D277" s="183"/>
      <c r="E277" s="183"/>
      <c r="F277" s="183"/>
      <c r="G277" s="183"/>
      <c r="H277" s="482" t="s">
        <v>1834</v>
      </c>
      <c r="I277" s="482"/>
      <c r="J277" s="482"/>
      <c r="K277" s="482"/>
      <c r="L277" s="369">
        <f>ROUND(SUM(L271,L276),2)</f>
        <v>83.81</v>
      </c>
    </row>
    <row r="278" spans="1:12" ht="9.9499999999999993" customHeight="1" x14ac:dyDescent="0.25">
      <c r="A278" s="182"/>
      <c r="B278" s="183"/>
      <c r="C278" s="183"/>
      <c r="D278" s="183"/>
      <c r="E278" s="183"/>
      <c r="F278" s="183"/>
      <c r="G278" s="183"/>
      <c r="H278" s="485"/>
      <c r="I278" s="485"/>
      <c r="J278" s="485"/>
      <c r="K278" s="485"/>
      <c r="L278" s="512"/>
    </row>
    <row r="279" spans="1:12" ht="20.100000000000001" customHeight="1" x14ac:dyDescent="0.25">
      <c r="A279" s="486" t="s">
        <v>2484</v>
      </c>
      <c r="B279" s="487"/>
      <c r="C279" s="487"/>
      <c r="D279" s="487"/>
      <c r="E279" s="487"/>
      <c r="F279" s="487"/>
      <c r="G279" s="487"/>
      <c r="H279" s="487"/>
      <c r="I279" s="487"/>
      <c r="J279" s="487"/>
      <c r="K279" s="487"/>
      <c r="L279" s="513"/>
    </row>
    <row r="280" spans="1:12" ht="15" customHeight="1" x14ac:dyDescent="0.25">
      <c r="A280" s="474" t="s">
        <v>2190</v>
      </c>
      <c r="B280" s="475"/>
      <c r="C280" s="475"/>
      <c r="D280" s="476" t="s">
        <v>42</v>
      </c>
      <c r="E280" s="476"/>
      <c r="F280" s="476"/>
      <c r="G280" s="230" t="s">
        <v>44</v>
      </c>
      <c r="H280" s="476" t="s">
        <v>1813</v>
      </c>
      <c r="I280" s="476"/>
      <c r="J280" s="476" t="s">
        <v>1814</v>
      </c>
      <c r="K280" s="476"/>
      <c r="L280" s="366" t="s">
        <v>1802</v>
      </c>
    </row>
    <row r="281" spans="1:12" ht="21" customHeight="1" x14ac:dyDescent="0.25">
      <c r="A281" s="181" t="s">
        <v>2476</v>
      </c>
      <c r="B281" s="509" t="s">
        <v>2477</v>
      </c>
      <c r="C281" s="509"/>
      <c r="D281" s="481" t="s">
        <v>82</v>
      </c>
      <c r="E281" s="481"/>
      <c r="F281" s="481"/>
      <c r="G281" s="231" t="s">
        <v>1024</v>
      </c>
      <c r="H281" s="510">
        <v>1</v>
      </c>
      <c r="I281" s="510"/>
      <c r="J281" s="511">
        <v>37.1</v>
      </c>
      <c r="K281" s="511"/>
      <c r="L281" s="367">
        <f>TRUNC(TRUNC(H281,8)*J281,2)</f>
        <v>37.1</v>
      </c>
    </row>
    <row r="282" spans="1:12" ht="18" customHeight="1" x14ac:dyDescent="0.25">
      <c r="A282" s="182"/>
      <c r="B282" s="183"/>
      <c r="C282" s="183"/>
      <c r="D282" s="183"/>
      <c r="E282" s="183"/>
      <c r="F282" s="183"/>
      <c r="G282" s="183"/>
      <c r="H282" s="477" t="s">
        <v>2195</v>
      </c>
      <c r="I282" s="477"/>
      <c r="J282" s="477"/>
      <c r="K282" s="477"/>
      <c r="L282" s="368">
        <f>SUM(L281:L281)</f>
        <v>37.1</v>
      </c>
    </row>
    <row r="283" spans="1:12" ht="15" customHeight="1" x14ac:dyDescent="0.25">
      <c r="A283" s="474" t="s">
        <v>1912</v>
      </c>
      <c r="B283" s="475"/>
      <c r="C283" s="475"/>
      <c r="D283" s="476" t="s">
        <v>42</v>
      </c>
      <c r="E283" s="476"/>
      <c r="F283" s="476"/>
      <c r="G283" s="230" t="s">
        <v>44</v>
      </c>
      <c r="H283" s="476" t="s">
        <v>1813</v>
      </c>
      <c r="I283" s="476"/>
      <c r="J283" s="476" t="s">
        <v>1814</v>
      </c>
      <c r="K283" s="476"/>
      <c r="L283" s="366" t="s">
        <v>1802</v>
      </c>
    </row>
    <row r="284" spans="1:12" ht="45.95" customHeight="1" x14ac:dyDescent="0.25">
      <c r="A284" s="181" t="s">
        <v>2478</v>
      </c>
      <c r="B284" s="509" t="s">
        <v>2479</v>
      </c>
      <c r="C284" s="509"/>
      <c r="D284" s="481" t="s">
        <v>82</v>
      </c>
      <c r="E284" s="481"/>
      <c r="F284" s="481"/>
      <c r="G284" s="231" t="s">
        <v>1024</v>
      </c>
      <c r="H284" s="510">
        <v>1</v>
      </c>
      <c r="I284" s="510"/>
      <c r="J284" s="511">
        <v>30.32</v>
      </c>
      <c r="K284" s="511"/>
      <c r="L284" s="367">
        <f>TRUNC(TRUNC(H284,8)*J284,2)</f>
        <v>30.32</v>
      </c>
    </row>
    <row r="285" spans="1:12" ht="45.95" customHeight="1" x14ac:dyDescent="0.25">
      <c r="A285" s="181" t="s">
        <v>2480</v>
      </c>
      <c r="B285" s="509" t="s">
        <v>2481</v>
      </c>
      <c r="C285" s="509"/>
      <c r="D285" s="481" t="s">
        <v>82</v>
      </c>
      <c r="E285" s="481"/>
      <c r="F285" s="481"/>
      <c r="G285" s="231" t="s">
        <v>1024</v>
      </c>
      <c r="H285" s="510">
        <v>1</v>
      </c>
      <c r="I285" s="510"/>
      <c r="J285" s="511">
        <v>4.71</v>
      </c>
      <c r="K285" s="511"/>
      <c r="L285" s="367">
        <f>TRUNC(TRUNC(H285,8)*J285,2)</f>
        <v>4.71</v>
      </c>
    </row>
    <row r="286" spans="1:12" ht="45.95" customHeight="1" x14ac:dyDescent="0.25">
      <c r="A286" s="181" t="s">
        <v>2482</v>
      </c>
      <c r="B286" s="509" t="s">
        <v>2483</v>
      </c>
      <c r="C286" s="509"/>
      <c r="D286" s="481" t="s">
        <v>82</v>
      </c>
      <c r="E286" s="481"/>
      <c r="F286" s="481"/>
      <c r="G286" s="231" t="s">
        <v>1024</v>
      </c>
      <c r="H286" s="510">
        <v>1</v>
      </c>
      <c r="I286" s="510"/>
      <c r="J286" s="511">
        <v>11.68</v>
      </c>
      <c r="K286" s="511"/>
      <c r="L286" s="367">
        <f>TRUNC(TRUNC(H286,8)*J286,2)</f>
        <v>11.68</v>
      </c>
    </row>
    <row r="287" spans="1:12" ht="45.95" customHeight="1" x14ac:dyDescent="0.25">
      <c r="A287" s="181" t="s">
        <v>2485</v>
      </c>
      <c r="B287" s="509" t="s">
        <v>2486</v>
      </c>
      <c r="C287" s="509"/>
      <c r="D287" s="481" t="s">
        <v>82</v>
      </c>
      <c r="E287" s="481"/>
      <c r="F287" s="481"/>
      <c r="G287" s="231" t="s">
        <v>1024</v>
      </c>
      <c r="H287" s="510">
        <v>1</v>
      </c>
      <c r="I287" s="510"/>
      <c r="J287" s="511">
        <v>54.66</v>
      </c>
      <c r="K287" s="511"/>
      <c r="L287" s="367">
        <f>TRUNC(TRUNC(H287,8)*J287,2)</f>
        <v>54.66</v>
      </c>
    </row>
    <row r="288" spans="1:12" ht="45.95" customHeight="1" x14ac:dyDescent="0.25">
      <c r="A288" s="181" t="s">
        <v>2487</v>
      </c>
      <c r="B288" s="509" t="s">
        <v>2488</v>
      </c>
      <c r="C288" s="509"/>
      <c r="D288" s="481" t="s">
        <v>82</v>
      </c>
      <c r="E288" s="481"/>
      <c r="F288" s="481"/>
      <c r="G288" s="231" t="s">
        <v>1024</v>
      </c>
      <c r="H288" s="510">
        <v>1</v>
      </c>
      <c r="I288" s="510"/>
      <c r="J288" s="511">
        <v>163.29</v>
      </c>
      <c r="K288" s="511"/>
      <c r="L288" s="367">
        <f>TRUNC(TRUNC(H288,8)*J288,2)</f>
        <v>163.29</v>
      </c>
    </row>
    <row r="289" spans="1:12" ht="15" customHeight="1" x14ac:dyDescent="0.25">
      <c r="A289" s="182"/>
      <c r="B289" s="183"/>
      <c r="C289" s="183"/>
      <c r="D289" s="183"/>
      <c r="E289" s="183"/>
      <c r="F289" s="183"/>
      <c r="G289" s="183"/>
      <c r="H289" s="477" t="s">
        <v>1915</v>
      </c>
      <c r="I289" s="477"/>
      <c r="J289" s="477"/>
      <c r="K289" s="477"/>
      <c r="L289" s="368">
        <f>SUM(L284:L288)</f>
        <v>264.65999999999997</v>
      </c>
    </row>
    <row r="290" spans="1:12" ht="15" customHeight="1" x14ac:dyDescent="0.25">
      <c r="A290" s="182"/>
      <c r="B290" s="183"/>
      <c r="C290" s="183"/>
      <c r="D290" s="183"/>
      <c r="E290" s="183"/>
      <c r="F290" s="183"/>
      <c r="G290" s="183"/>
      <c r="H290" s="482" t="s">
        <v>1834</v>
      </c>
      <c r="I290" s="482"/>
      <c r="J290" s="482"/>
      <c r="K290" s="482"/>
      <c r="L290" s="369">
        <f>ROUND(SUM(L282,L289),2)</f>
        <v>301.76</v>
      </c>
    </row>
    <row r="291" spans="1:12" ht="9.9499999999999993" customHeight="1" x14ac:dyDescent="0.25">
      <c r="A291" s="182"/>
      <c r="B291" s="183"/>
      <c r="C291" s="183"/>
      <c r="D291" s="183"/>
      <c r="E291" s="183"/>
      <c r="F291" s="183"/>
      <c r="G291" s="183"/>
      <c r="H291" s="485"/>
      <c r="I291" s="485"/>
      <c r="J291" s="485"/>
      <c r="K291" s="485"/>
      <c r="L291" s="512"/>
    </row>
    <row r="292" spans="1:12" ht="20.100000000000001" customHeight="1" x14ac:dyDescent="0.25">
      <c r="A292" s="486" t="s">
        <v>2489</v>
      </c>
      <c r="B292" s="487"/>
      <c r="C292" s="487"/>
      <c r="D292" s="487"/>
      <c r="E292" s="487"/>
      <c r="F292" s="487"/>
      <c r="G292" s="487"/>
      <c r="H292" s="487"/>
      <c r="I292" s="487"/>
      <c r="J292" s="487"/>
      <c r="K292" s="487"/>
      <c r="L292" s="513"/>
    </row>
    <row r="293" spans="1:12" ht="15" customHeight="1" x14ac:dyDescent="0.25">
      <c r="A293" s="474" t="s">
        <v>2443</v>
      </c>
      <c r="B293" s="475"/>
      <c r="C293" s="475"/>
      <c r="D293" s="476" t="s">
        <v>42</v>
      </c>
      <c r="E293" s="476"/>
      <c r="F293" s="476"/>
      <c r="G293" s="230" t="s">
        <v>44</v>
      </c>
      <c r="H293" s="476" t="s">
        <v>1813</v>
      </c>
      <c r="I293" s="476"/>
      <c r="J293" s="476" t="s">
        <v>1814</v>
      </c>
      <c r="K293" s="476"/>
      <c r="L293" s="366" t="s">
        <v>1802</v>
      </c>
    </row>
    <row r="294" spans="1:12" ht="21" customHeight="1" x14ac:dyDescent="0.25">
      <c r="A294" s="181" t="s">
        <v>2490</v>
      </c>
      <c r="B294" s="509" t="s">
        <v>2491</v>
      </c>
      <c r="C294" s="509"/>
      <c r="D294" s="481" t="s">
        <v>82</v>
      </c>
      <c r="E294" s="481"/>
      <c r="F294" s="481"/>
      <c r="G294" s="231" t="s">
        <v>226</v>
      </c>
      <c r="H294" s="510">
        <v>6.0300000000000002E-5</v>
      </c>
      <c r="I294" s="510"/>
      <c r="J294" s="511">
        <v>80209.759999999995</v>
      </c>
      <c r="K294" s="511"/>
      <c r="L294" s="367">
        <f>TRUNC(TRUNC(H294,8)*J294,2)</f>
        <v>4.83</v>
      </c>
    </row>
    <row r="295" spans="1:12" ht="38.1" customHeight="1" x14ac:dyDescent="0.25">
      <c r="A295" s="181" t="s">
        <v>2492</v>
      </c>
      <c r="B295" s="509" t="s">
        <v>2493</v>
      </c>
      <c r="C295" s="509"/>
      <c r="D295" s="481" t="s">
        <v>82</v>
      </c>
      <c r="E295" s="481"/>
      <c r="F295" s="481"/>
      <c r="G295" s="231" t="s">
        <v>226</v>
      </c>
      <c r="H295" s="510">
        <v>3.4199999999999998E-5</v>
      </c>
      <c r="I295" s="510"/>
      <c r="J295" s="511">
        <v>745573.13</v>
      </c>
      <c r="K295" s="511"/>
      <c r="L295" s="367">
        <f>TRUNC(TRUNC(H295,8)*J295,2)</f>
        <v>25.49</v>
      </c>
    </row>
    <row r="296" spans="1:12" ht="15" customHeight="1" x14ac:dyDescent="0.25">
      <c r="A296" s="182"/>
      <c r="B296" s="183"/>
      <c r="C296" s="183"/>
      <c r="D296" s="183"/>
      <c r="E296" s="183"/>
      <c r="F296" s="183"/>
      <c r="G296" s="183"/>
      <c r="H296" s="477" t="s">
        <v>2446</v>
      </c>
      <c r="I296" s="477"/>
      <c r="J296" s="477"/>
      <c r="K296" s="477"/>
      <c r="L296" s="368">
        <f>SUM(L294:L295)</f>
        <v>30.32</v>
      </c>
    </row>
    <row r="297" spans="1:12" ht="15" customHeight="1" x14ac:dyDescent="0.25">
      <c r="A297" s="182"/>
      <c r="B297" s="183"/>
      <c r="C297" s="183"/>
      <c r="D297" s="183"/>
      <c r="E297" s="183"/>
      <c r="F297" s="183"/>
      <c r="G297" s="183"/>
      <c r="H297" s="482" t="s">
        <v>1834</v>
      </c>
      <c r="I297" s="482"/>
      <c r="J297" s="482"/>
      <c r="K297" s="482"/>
      <c r="L297" s="369">
        <f>ROUND(SUM(L296),2)</f>
        <v>30.32</v>
      </c>
    </row>
    <row r="298" spans="1:12" ht="9.9499999999999993" customHeight="1" x14ac:dyDescent="0.25">
      <c r="A298" s="182"/>
      <c r="B298" s="183"/>
      <c r="C298" s="183"/>
      <c r="D298" s="183"/>
      <c r="E298" s="183"/>
      <c r="F298" s="183"/>
      <c r="G298" s="183"/>
      <c r="H298" s="485"/>
      <c r="I298" s="485"/>
      <c r="J298" s="485"/>
      <c r="K298" s="485"/>
      <c r="L298" s="512"/>
    </row>
    <row r="299" spans="1:12" ht="20.100000000000001" customHeight="1" x14ac:dyDescent="0.25">
      <c r="A299" s="486" t="s">
        <v>2494</v>
      </c>
      <c r="B299" s="487"/>
      <c r="C299" s="487"/>
      <c r="D299" s="487"/>
      <c r="E299" s="487"/>
      <c r="F299" s="487"/>
      <c r="G299" s="487"/>
      <c r="H299" s="487"/>
      <c r="I299" s="487"/>
      <c r="J299" s="487"/>
      <c r="K299" s="487"/>
      <c r="L299" s="513"/>
    </row>
    <row r="300" spans="1:12" ht="15" customHeight="1" x14ac:dyDescent="0.25">
      <c r="A300" s="474" t="s">
        <v>2443</v>
      </c>
      <c r="B300" s="475"/>
      <c r="C300" s="475"/>
      <c r="D300" s="476" t="s">
        <v>42</v>
      </c>
      <c r="E300" s="476"/>
      <c r="F300" s="476"/>
      <c r="G300" s="230" t="s">
        <v>44</v>
      </c>
      <c r="H300" s="476" t="s">
        <v>1813</v>
      </c>
      <c r="I300" s="476"/>
      <c r="J300" s="476" t="s">
        <v>1814</v>
      </c>
      <c r="K300" s="476"/>
      <c r="L300" s="366" t="s">
        <v>1802</v>
      </c>
    </row>
    <row r="301" spans="1:12" ht="21" customHeight="1" x14ac:dyDescent="0.25">
      <c r="A301" s="181" t="s">
        <v>2490</v>
      </c>
      <c r="B301" s="509" t="s">
        <v>2491</v>
      </c>
      <c r="C301" s="509"/>
      <c r="D301" s="481" t="s">
        <v>82</v>
      </c>
      <c r="E301" s="481"/>
      <c r="F301" s="481"/>
      <c r="G301" s="231" t="s">
        <v>226</v>
      </c>
      <c r="H301" s="510">
        <v>5.9000000000000003E-6</v>
      </c>
      <c r="I301" s="510"/>
      <c r="J301" s="511">
        <v>80209.759999999995</v>
      </c>
      <c r="K301" s="511"/>
      <c r="L301" s="367">
        <f>TRUNC(TRUNC(H301,8)*J301,2)</f>
        <v>0.47</v>
      </c>
    </row>
    <row r="302" spans="1:12" ht="38.1" customHeight="1" x14ac:dyDescent="0.25">
      <c r="A302" s="181" t="s">
        <v>2492</v>
      </c>
      <c r="B302" s="509" t="s">
        <v>2493</v>
      </c>
      <c r="C302" s="509"/>
      <c r="D302" s="481" t="s">
        <v>82</v>
      </c>
      <c r="E302" s="481"/>
      <c r="F302" s="481"/>
      <c r="G302" s="231" t="s">
        <v>226</v>
      </c>
      <c r="H302" s="510">
        <v>5.6999999999999996E-6</v>
      </c>
      <c r="I302" s="510"/>
      <c r="J302" s="511">
        <v>745573.13</v>
      </c>
      <c r="K302" s="511"/>
      <c r="L302" s="367">
        <f>TRUNC(TRUNC(H302,8)*J302,2)</f>
        <v>4.24</v>
      </c>
    </row>
    <row r="303" spans="1:12" ht="15" customHeight="1" x14ac:dyDescent="0.25">
      <c r="A303" s="182"/>
      <c r="B303" s="183"/>
      <c r="C303" s="183"/>
      <c r="D303" s="183"/>
      <c r="E303" s="183"/>
      <c r="F303" s="183"/>
      <c r="G303" s="183"/>
      <c r="H303" s="477" t="s">
        <v>2446</v>
      </c>
      <c r="I303" s="477"/>
      <c r="J303" s="477"/>
      <c r="K303" s="477"/>
      <c r="L303" s="368">
        <f>SUM(L301:L302)</f>
        <v>4.71</v>
      </c>
    </row>
    <row r="304" spans="1:12" ht="15" customHeight="1" x14ac:dyDescent="0.25">
      <c r="A304" s="182"/>
      <c r="B304" s="183"/>
      <c r="C304" s="183"/>
      <c r="D304" s="183"/>
      <c r="E304" s="183"/>
      <c r="F304" s="183"/>
      <c r="G304" s="183"/>
      <c r="H304" s="482" t="s">
        <v>1834</v>
      </c>
      <c r="I304" s="482"/>
      <c r="J304" s="482"/>
      <c r="K304" s="482"/>
      <c r="L304" s="369">
        <f>ROUND(SUM(L303),2)</f>
        <v>4.71</v>
      </c>
    </row>
    <row r="305" spans="1:12" ht="9.9499999999999993" customHeight="1" x14ac:dyDescent="0.25">
      <c r="A305" s="182"/>
      <c r="B305" s="183"/>
      <c r="C305" s="183"/>
      <c r="D305" s="183"/>
      <c r="E305" s="183"/>
      <c r="F305" s="183"/>
      <c r="G305" s="183"/>
      <c r="H305" s="485"/>
      <c r="I305" s="485"/>
      <c r="J305" s="485"/>
      <c r="K305" s="485"/>
      <c r="L305" s="512"/>
    </row>
    <row r="306" spans="1:12" ht="20.100000000000001" customHeight="1" x14ac:dyDescent="0.25">
      <c r="A306" s="486" t="s">
        <v>2495</v>
      </c>
      <c r="B306" s="487"/>
      <c r="C306" s="487"/>
      <c r="D306" s="487"/>
      <c r="E306" s="487"/>
      <c r="F306" s="487"/>
      <c r="G306" s="487"/>
      <c r="H306" s="487"/>
      <c r="I306" s="487"/>
      <c r="J306" s="487"/>
      <c r="K306" s="487"/>
      <c r="L306" s="513"/>
    </row>
    <row r="307" spans="1:12" ht="15" customHeight="1" x14ac:dyDescent="0.25">
      <c r="A307" s="474" t="s">
        <v>2443</v>
      </c>
      <c r="B307" s="475"/>
      <c r="C307" s="475"/>
      <c r="D307" s="476" t="s">
        <v>42</v>
      </c>
      <c r="E307" s="476"/>
      <c r="F307" s="476"/>
      <c r="G307" s="230" t="s">
        <v>44</v>
      </c>
      <c r="H307" s="476" t="s">
        <v>1813</v>
      </c>
      <c r="I307" s="476"/>
      <c r="J307" s="476" t="s">
        <v>1814</v>
      </c>
      <c r="K307" s="476"/>
      <c r="L307" s="366" t="s">
        <v>1802</v>
      </c>
    </row>
    <row r="308" spans="1:12" ht="21" customHeight="1" x14ac:dyDescent="0.25">
      <c r="A308" s="181" t="s">
        <v>2490</v>
      </c>
      <c r="B308" s="509" t="s">
        <v>2491</v>
      </c>
      <c r="C308" s="509"/>
      <c r="D308" s="481" t="s">
        <v>82</v>
      </c>
      <c r="E308" s="481"/>
      <c r="F308" s="481"/>
      <c r="G308" s="231" t="s">
        <v>226</v>
      </c>
      <c r="H308" s="510">
        <v>1.4600000000000001E-5</v>
      </c>
      <c r="I308" s="510"/>
      <c r="J308" s="511">
        <v>80209.759999999995</v>
      </c>
      <c r="K308" s="511"/>
      <c r="L308" s="367">
        <f>TRUNC(TRUNC(H308,8)*J308,2)</f>
        <v>1.17</v>
      </c>
    </row>
    <row r="309" spans="1:12" ht="38.1" customHeight="1" x14ac:dyDescent="0.25">
      <c r="A309" s="181" t="s">
        <v>2492</v>
      </c>
      <c r="B309" s="509" t="s">
        <v>2493</v>
      </c>
      <c r="C309" s="509"/>
      <c r="D309" s="481" t="s">
        <v>82</v>
      </c>
      <c r="E309" s="481"/>
      <c r="F309" s="481"/>
      <c r="G309" s="231" t="s">
        <v>226</v>
      </c>
      <c r="H309" s="510">
        <v>1.4100000000000001E-5</v>
      </c>
      <c r="I309" s="510"/>
      <c r="J309" s="511">
        <v>745573.13</v>
      </c>
      <c r="K309" s="511"/>
      <c r="L309" s="367">
        <f>TRUNC(TRUNC(H309,8)*J309,2)</f>
        <v>10.51</v>
      </c>
    </row>
    <row r="310" spans="1:12" ht="15" customHeight="1" x14ac:dyDescent="0.25">
      <c r="A310" s="182"/>
      <c r="B310" s="183"/>
      <c r="C310" s="183"/>
      <c r="D310" s="183"/>
      <c r="E310" s="183"/>
      <c r="F310" s="183"/>
      <c r="G310" s="183"/>
      <c r="H310" s="477" t="s">
        <v>2446</v>
      </c>
      <c r="I310" s="477"/>
      <c r="J310" s="477"/>
      <c r="K310" s="477"/>
      <c r="L310" s="368">
        <f>SUM(L308:L309)</f>
        <v>11.68</v>
      </c>
    </row>
    <row r="311" spans="1:12" ht="15" customHeight="1" x14ac:dyDescent="0.25">
      <c r="A311" s="182"/>
      <c r="B311" s="183"/>
      <c r="C311" s="183"/>
      <c r="D311" s="183"/>
      <c r="E311" s="183"/>
      <c r="F311" s="183"/>
      <c r="G311" s="183"/>
      <c r="H311" s="482" t="s">
        <v>1834</v>
      </c>
      <c r="I311" s="482"/>
      <c r="J311" s="482"/>
      <c r="K311" s="482"/>
      <c r="L311" s="369">
        <f>ROUND(SUM(L310),2)</f>
        <v>11.68</v>
      </c>
    </row>
    <row r="312" spans="1:12" ht="9.9499999999999993" customHeight="1" x14ac:dyDescent="0.25">
      <c r="A312" s="182"/>
      <c r="B312" s="183"/>
      <c r="C312" s="183"/>
      <c r="D312" s="183"/>
      <c r="E312" s="183"/>
      <c r="F312" s="183"/>
      <c r="G312" s="183"/>
      <c r="H312" s="485"/>
      <c r="I312" s="485"/>
      <c r="J312" s="485"/>
      <c r="K312" s="485"/>
      <c r="L312" s="512"/>
    </row>
    <row r="313" spans="1:12" ht="20.100000000000001" customHeight="1" x14ac:dyDescent="0.25">
      <c r="A313" s="486" t="s">
        <v>2496</v>
      </c>
      <c r="B313" s="487"/>
      <c r="C313" s="487"/>
      <c r="D313" s="487"/>
      <c r="E313" s="487"/>
      <c r="F313" s="487"/>
      <c r="G313" s="487"/>
      <c r="H313" s="487"/>
      <c r="I313" s="487"/>
      <c r="J313" s="487"/>
      <c r="K313" s="487"/>
      <c r="L313" s="513"/>
    </row>
    <row r="314" spans="1:12" ht="15" customHeight="1" x14ac:dyDescent="0.25">
      <c r="A314" s="474" t="s">
        <v>2443</v>
      </c>
      <c r="B314" s="475"/>
      <c r="C314" s="475"/>
      <c r="D314" s="476" t="s">
        <v>42</v>
      </c>
      <c r="E314" s="476"/>
      <c r="F314" s="476"/>
      <c r="G314" s="230" t="s">
        <v>44</v>
      </c>
      <c r="H314" s="476" t="s">
        <v>1813</v>
      </c>
      <c r="I314" s="476"/>
      <c r="J314" s="476" t="s">
        <v>1814</v>
      </c>
      <c r="K314" s="476"/>
      <c r="L314" s="366" t="s">
        <v>1802</v>
      </c>
    </row>
    <row r="315" spans="1:12" ht="21" customHeight="1" x14ac:dyDescent="0.25">
      <c r="A315" s="181" t="s">
        <v>2490</v>
      </c>
      <c r="B315" s="509" t="s">
        <v>2491</v>
      </c>
      <c r="C315" s="509"/>
      <c r="D315" s="481" t="s">
        <v>82</v>
      </c>
      <c r="E315" s="481"/>
      <c r="F315" s="481"/>
      <c r="G315" s="231" t="s">
        <v>226</v>
      </c>
      <c r="H315" s="510">
        <v>8.4900000000000004E-5</v>
      </c>
      <c r="I315" s="510"/>
      <c r="J315" s="511">
        <v>80209.759999999995</v>
      </c>
      <c r="K315" s="511"/>
      <c r="L315" s="367">
        <f>TRUNC(TRUNC(H315,8)*J315,2)</f>
        <v>6.8</v>
      </c>
    </row>
    <row r="316" spans="1:12" ht="38.1" customHeight="1" x14ac:dyDescent="0.25">
      <c r="A316" s="181" t="s">
        <v>2492</v>
      </c>
      <c r="B316" s="509" t="s">
        <v>2493</v>
      </c>
      <c r="C316" s="509"/>
      <c r="D316" s="481" t="s">
        <v>82</v>
      </c>
      <c r="E316" s="481"/>
      <c r="F316" s="481"/>
      <c r="G316" s="231" t="s">
        <v>226</v>
      </c>
      <c r="H316" s="510">
        <v>6.4200000000000002E-5</v>
      </c>
      <c r="I316" s="510"/>
      <c r="J316" s="511">
        <v>745573.13</v>
      </c>
      <c r="K316" s="511"/>
      <c r="L316" s="367">
        <f>TRUNC(TRUNC(H316,8)*J316,2)</f>
        <v>47.86</v>
      </c>
    </row>
    <row r="317" spans="1:12" ht="15" customHeight="1" x14ac:dyDescent="0.25">
      <c r="A317" s="182"/>
      <c r="B317" s="183"/>
      <c r="C317" s="183"/>
      <c r="D317" s="183"/>
      <c r="E317" s="183"/>
      <c r="F317" s="183"/>
      <c r="G317" s="183"/>
      <c r="H317" s="477" t="s">
        <v>2446</v>
      </c>
      <c r="I317" s="477"/>
      <c r="J317" s="477"/>
      <c r="K317" s="477"/>
      <c r="L317" s="368">
        <f>SUM(L315:L316)</f>
        <v>54.66</v>
      </c>
    </row>
    <row r="318" spans="1:12" ht="15" customHeight="1" x14ac:dyDescent="0.25">
      <c r="A318" s="182"/>
      <c r="B318" s="183"/>
      <c r="C318" s="183"/>
      <c r="D318" s="183"/>
      <c r="E318" s="183"/>
      <c r="F318" s="183"/>
      <c r="G318" s="183"/>
      <c r="H318" s="482" t="s">
        <v>1834</v>
      </c>
      <c r="I318" s="482"/>
      <c r="J318" s="482"/>
      <c r="K318" s="482"/>
      <c r="L318" s="369">
        <f>ROUND(SUM(L317),2)</f>
        <v>54.66</v>
      </c>
    </row>
    <row r="319" spans="1:12" ht="9.9499999999999993" customHeight="1" x14ac:dyDescent="0.25">
      <c r="A319" s="182"/>
      <c r="B319" s="183"/>
      <c r="C319" s="183"/>
      <c r="D319" s="183"/>
      <c r="E319" s="183"/>
      <c r="F319" s="183"/>
      <c r="G319" s="183"/>
      <c r="H319" s="485"/>
      <c r="I319" s="485"/>
      <c r="J319" s="485"/>
      <c r="K319" s="485"/>
      <c r="L319" s="512"/>
    </row>
    <row r="320" spans="1:12" ht="20.100000000000001" customHeight="1" x14ac:dyDescent="0.25">
      <c r="A320" s="486" t="s">
        <v>2497</v>
      </c>
      <c r="B320" s="487"/>
      <c r="C320" s="487"/>
      <c r="D320" s="487"/>
      <c r="E320" s="487"/>
      <c r="F320" s="487"/>
      <c r="G320" s="487"/>
      <c r="H320" s="487"/>
      <c r="I320" s="487"/>
      <c r="J320" s="487"/>
      <c r="K320" s="487"/>
      <c r="L320" s="513"/>
    </row>
    <row r="321" spans="1:12" ht="15" customHeight="1" x14ac:dyDescent="0.25">
      <c r="A321" s="474" t="s">
        <v>1812</v>
      </c>
      <c r="B321" s="475"/>
      <c r="C321" s="475"/>
      <c r="D321" s="476" t="s">
        <v>42</v>
      </c>
      <c r="E321" s="476"/>
      <c r="F321" s="476"/>
      <c r="G321" s="230" t="s">
        <v>44</v>
      </c>
      <c r="H321" s="476" t="s">
        <v>1813</v>
      </c>
      <c r="I321" s="476"/>
      <c r="J321" s="476" t="s">
        <v>1814</v>
      </c>
      <c r="K321" s="476"/>
      <c r="L321" s="366" t="s">
        <v>1802</v>
      </c>
    </row>
    <row r="322" spans="1:12" ht="21" customHeight="1" x14ac:dyDescent="0.25">
      <c r="A322" s="181" t="s">
        <v>2498</v>
      </c>
      <c r="B322" s="509" t="s">
        <v>2499</v>
      </c>
      <c r="C322" s="509"/>
      <c r="D322" s="481" t="s">
        <v>82</v>
      </c>
      <c r="E322" s="481"/>
      <c r="F322" s="481"/>
      <c r="G322" s="231" t="s">
        <v>1006</v>
      </c>
      <c r="H322" s="510">
        <v>23.7</v>
      </c>
      <c r="I322" s="510"/>
      <c r="J322" s="511">
        <v>6.89</v>
      </c>
      <c r="K322" s="511"/>
      <c r="L322" s="367">
        <f>TRUNC(TRUNC(H322,8)*J322,2)</f>
        <v>163.29</v>
      </c>
    </row>
    <row r="323" spans="1:12" ht="15" customHeight="1" x14ac:dyDescent="0.25">
      <c r="A323" s="182"/>
      <c r="B323" s="183"/>
      <c r="C323" s="183"/>
      <c r="D323" s="183"/>
      <c r="E323" s="183"/>
      <c r="F323" s="183"/>
      <c r="G323" s="183"/>
      <c r="H323" s="477" t="s">
        <v>1826</v>
      </c>
      <c r="I323" s="477"/>
      <c r="J323" s="477"/>
      <c r="K323" s="477"/>
      <c r="L323" s="368">
        <f>SUM(L322:L322)</f>
        <v>163.29</v>
      </c>
    </row>
    <row r="324" spans="1:12" ht="15" customHeight="1" x14ac:dyDescent="0.25">
      <c r="A324" s="182"/>
      <c r="B324" s="183"/>
      <c r="C324" s="183"/>
      <c r="D324" s="183"/>
      <c r="E324" s="183"/>
      <c r="F324" s="183"/>
      <c r="G324" s="183"/>
      <c r="H324" s="482" t="s">
        <v>1834</v>
      </c>
      <c r="I324" s="482"/>
      <c r="J324" s="482"/>
      <c r="K324" s="482"/>
      <c r="L324" s="369">
        <f>ROUND(SUM(L323),2)</f>
        <v>163.29</v>
      </c>
    </row>
    <row r="325" spans="1:12" ht="9.9499999999999993" customHeight="1" x14ac:dyDescent="0.25">
      <c r="A325" s="182"/>
      <c r="B325" s="183"/>
      <c r="C325" s="183"/>
      <c r="D325" s="183"/>
      <c r="E325" s="183"/>
      <c r="F325" s="183"/>
      <c r="G325" s="183"/>
      <c r="H325" s="485"/>
      <c r="I325" s="485"/>
      <c r="J325" s="485"/>
      <c r="K325" s="485"/>
      <c r="L325" s="512"/>
    </row>
    <row r="326" spans="1:12" ht="20.100000000000001" customHeight="1" x14ac:dyDescent="0.25">
      <c r="A326" s="486" t="s">
        <v>2500</v>
      </c>
      <c r="B326" s="487"/>
      <c r="C326" s="487"/>
      <c r="D326" s="487"/>
      <c r="E326" s="487"/>
      <c r="F326" s="487"/>
      <c r="G326" s="487"/>
      <c r="H326" s="487"/>
      <c r="I326" s="487"/>
      <c r="J326" s="487"/>
      <c r="K326" s="487"/>
      <c r="L326" s="513"/>
    </row>
    <row r="327" spans="1:12" ht="15" customHeight="1" x14ac:dyDescent="0.25">
      <c r="A327" s="474" t="s">
        <v>1932</v>
      </c>
      <c r="B327" s="475"/>
      <c r="C327" s="475"/>
      <c r="D327" s="476" t="s">
        <v>42</v>
      </c>
      <c r="E327" s="476"/>
      <c r="F327" s="476"/>
      <c r="G327" s="230" t="s">
        <v>44</v>
      </c>
      <c r="H327" s="476" t="s">
        <v>1813</v>
      </c>
      <c r="I327" s="476"/>
      <c r="J327" s="476" t="s">
        <v>1814</v>
      </c>
      <c r="K327" s="476"/>
      <c r="L327" s="366" t="s">
        <v>1802</v>
      </c>
    </row>
    <row r="328" spans="1:12" ht="21" customHeight="1" x14ac:dyDescent="0.25">
      <c r="A328" s="181" t="s">
        <v>2336</v>
      </c>
      <c r="B328" s="509" t="s">
        <v>2337</v>
      </c>
      <c r="C328" s="509"/>
      <c r="D328" s="481" t="s">
        <v>82</v>
      </c>
      <c r="E328" s="481"/>
      <c r="F328" s="481"/>
      <c r="G328" s="231" t="s">
        <v>1024</v>
      </c>
      <c r="H328" s="510">
        <v>1</v>
      </c>
      <c r="I328" s="510"/>
      <c r="J328" s="511">
        <v>7.63</v>
      </c>
      <c r="K328" s="511"/>
      <c r="L328" s="367">
        <f t="shared" ref="L328:L333" si="7">TRUNC(TRUNC(H328,8)*J328,2)</f>
        <v>7.63</v>
      </c>
    </row>
    <row r="329" spans="1:12" ht="21" customHeight="1" x14ac:dyDescent="0.25">
      <c r="A329" s="181" t="s">
        <v>2353</v>
      </c>
      <c r="B329" s="509" t="s">
        <v>2354</v>
      </c>
      <c r="C329" s="509"/>
      <c r="D329" s="481" t="s">
        <v>82</v>
      </c>
      <c r="E329" s="481"/>
      <c r="F329" s="481"/>
      <c r="G329" s="231" t="s">
        <v>1024</v>
      </c>
      <c r="H329" s="510">
        <v>1</v>
      </c>
      <c r="I329" s="510"/>
      <c r="J329" s="511">
        <v>1.26</v>
      </c>
      <c r="K329" s="511"/>
      <c r="L329" s="367">
        <f t="shared" si="7"/>
        <v>1.26</v>
      </c>
    </row>
    <row r="330" spans="1:12" ht="21" customHeight="1" x14ac:dyDescent="0.25">
      <c r="A330" s="181" t="s">
        <v>2340</v>
      </c>
      <c r="B330" s="509" t="s">
        <v>2341</v>
      </c>
      <c r="C330" s="509"/>
      <c r="D330" s="481" t="s">
        <v>82</v>
      </c>
      <c r="E330" s="481"/>
      <c r="F330" s="481"/>
      <c r="G330" s="231" t="s">
        <v>1024</v>
      </c>
      <c r="H330" s="510">
        <v>1</v>
      </c>
      <c r="I330" s="510"/>
      <c r="J330" s="511">
        <v>1.62</v>
      </c>
      <c r="K330" s="511"/>
      <c r="L330" s="367">
        <f t="shared" si="7"/>
        <v>1.62</v>
      </c>
    </row>
    <row r="331" spans="1:12" ht="29.1" customHeight="1" x14ac:dyDescent="0.25">
      <c r="A331" s="181" t="s">
        <v>2355</v>
      </c>
      <c r="B331" s="509" t="s">
        <v>2356</v>
      </c>
      <c r="C331" s="509"/>
      <c r="D331" s="481" t="s">
        <v>82</v>
      </c>
      <c r="E331" s="481"/>
      <c r="F331" s="481"/>
      <c r="G331" s="231" t="s">
        <v>1024</v>
      </c>
      <c r="H331" s="510">
        <v>1</v>
      </c>
      <c r="I331" s="510"/>
      <c r="J331" s="511">
        <v>0.28000000000000003</v>
      </c>
      <c r="K331" s="511"/>
      <c r="L331" s="367">
        <f t="shared" si="7"/>
        <v>0.28000000000000003</v>
      </c>
    </row>
    <row r="332" spans="1:12" ht="21" customHeight="1" x14ac:dyDescent="0.25">
      <c r="A332" s="181" t="s">
        <v>2344</v>
      </c>
      <c r="B332" s="509" t="s">
        <v>2345</v>
      </c>
      <c r="C332" s="509"/>
      <c r="D332" s="481" t="s">
        <v>82</v>
      </c>
      <c r="E332" s="481"/>
      <c r="F332" s="481"/>
      <c r="G332" s="231" t="s">
        <v>1024</v>
      </c>
      <c r="H332" s="510">
        <v>1</v>
      </c>
      <c r="I332" s="510"/>
      <c r="J332" s="511">
        <v>0.11</v>
      </c>
      <c r="K332" s="511"/>
      <c r="L332" s="367">
        <f t="shared" si="7"/>
        <v>0.11</v>
      </c>
    </row>
    <row r="333" spans="1:12" ht="21" customHeight="1" x14ac:dyDescent="0.25">
      <c r="A333" s="181" t="s">
        <v>2346</v>
      </c>
      <c r="B333" s="509" t="s">
        <v>2347</v>
      </c>
      <c r="C333" s="509"/>
      <c r="D333" s="481" t="s">
        <v>82</v>
      </c>
      <c r="E333" s="481"/>
      <c r="F333" s="481"/>
      <c r="G333" s="231" t="s">
        <v>1024</v>
      </c>
      <c r="H333" s="510">
        <v>1</v>
      </c>
      <c r="I333" s="510"/>
      <c r="J333" s="511">
        <v>0.66</v>
      </c>
      <c r="K333" s="511"/>
      <c r="L333" s="367">
        <f t="shared" si="7"/>
        <v>0.66</v>
      </c>
    </row>
    <row r="334" spans="1:12" ht="15" customHeight="1" x14ac:dyDescent="0.25">
      <c r="A334" s="182"/>
      <c r="B334" s="183"/>
      <c r="C334" s="183"/>
      <c r="D334" s="183"/>
      <c r="E334" s="183"/>
      <c r="F334" s="183"/>
      <c r="G334" s="183"/>
      <c r="H334" s="477" t="s">
        <v>1938</v>
      </c>
      <c r="I334" s="477"/>
      <c r="J334" s="477"/>
      <c r="K334" s="477"/>
      <c r="L334" s="368">
        <f>SUM(L328:L333)</f>
        <v>11.56</v>
      </c>
    </row>
    <row r="335" spans="1:12" ht="15" customHeight="1" x14ac:dyDescent="0.25">
      <c r="A335" s="474" t="s">
        <v>1827</v>
      </c>
      <c r="B335" s="475"/>
      <c r="C335" s="475"/>
      <c r="D335" s="476" t="s">
        <v>42</v>
      </c>
      <c r="E335" s="476"/>
      <c r="F335" s="476"/>
      <c r="G335" s="230" t="s">
        <v>44</v>
      </c>
      <c r="H335" s="476" t="s">
        <v>1813</v>
      </c>
      <c r="I335" s="476"/>
      <c r="J335" s="476" t="s">
        <v>1814</v>
      </c>
      <c r="K335" s="476"/>
      <c r="L335" s="366" t="s">
        <v>1802</v>
      </c>
    </row>
    <row r="336" spans="1:12" ht="15" customHeight="1" x14ac:dyDescent="0.25">
      <c r="A336" s="181" t="s">
        <v>2501</v>
      </c>
      <c r="B336" s="509" t="s">
        <v>2502</v>
      </c>
      <c r="C336" s="509"/>
      <c r="D336" s="481" t="s">
        <v>82</v>
      </c>
      <c r="E336" s="481"/>
      <c r="F336" s="481"/>
      <c r="G336" s="231" t="s">
        <v>1024</v>
      </c>
      <c r="H336" s="510">
        <v>1</v>
      </c>
      <c r="I336" s="510"/>
      <c r="J336" s="511">
        <v>26.02</v>
      </c>
      <c r="K336" s="511"/>
      <c r="L336" s="367">
        <f>TRUNC(TRUNC(H336,8)*J336,2)</f>
        <v>26.02</v>
      </c>
    </row>
    <row r="337" spans="1:12" ht="15" customHeight="1" x14ac:dyDescent="0.25">
      <c r="A337" s="182"/>
      <c r="B337" s="183"/>
      <c r="C337" s="183"/>
      <c r="D337" s="183"/>
      <c r="E337" s="183"/>
      <c r="F337" s="183"/>
      <c r="G337" s="183"/>
      <c r="H337" s="477" t="s">
        <v>1832</v>
      </c>
      <c r="I337" s="477"/>
      <c r="J337" s="477"/>
      <c r="K337" s="477"/>
      <c r="L337" s="368">
        <f>SUM(L336:L336)</f>
        <v>26.02</v>
      </c>
    </row>
    <row r="338" spans="1:12" ht="15" customHeight="1" x14ac:dyDescent="0.25">
      <c r="A338" s="474" t="s">
        <v>1912</v>
      </c>
      <c r="B338" s="475"/>
      <c r="C338" s="475"/>
      <c r="D338" s="476" t="s">
        <v>42</v>
      </c>
      <c r="E338" s="476"/>
      <c r="F338" s="476"/>
      <c r="G338" s="230" t="s">
        <v>44</v>
      </c>
      <c r="H338" s="476" t="s">
        <v>1813</v>
      </c>
      <c r="I338" s="476"/>
      <c r="J338" s="476" t="s">
        <v>1814</v>
      </c>
      <c r="K338" s="476"/>
      <c r="L338" s="366" t="s">
        <v>1802</v>
      </c>
    </row>
    <row r="339" spans="1:12" ht="21" customHeight="1" x14ac:dyDescent="0.25">
      <c r="A339" s="181" t="s">
        <v>2503</v>
      </c>
      <c r="B339" s="509" t="s">
        <v>2504</v>
      </c>
      <c r="C339" s="509"/>
      <c r="D339" s="481" t="s">
        <v>82</v>
      </c>
      <c r="E339" s="481"/>
      <c r="F339" s="481"/>
      <c r="G339" s="231" t="s">
        <v>1024</v>
      </c>
      <c r="H339" s="510">
        <v>1</v>
      </c>
      <c r="I339" s="510"/>
      <c r="J339" s="511">
        <v>0.3</v>
      </c>
      <c r="K339" s="511"/>
      <c r="L339" s="367">
        <f>TRUNC(TRUNC(H339,8)*J339,2)</f>
        <v>0.3</v>
      </c>
    </row>
    <row r="340" spans="1:12" ht="15" customHeight="1" x14ac:dyDescent="0.25">
      <c r="A340" s="182"/>
      <c r="B340" s="183"/>
      <c r="C340" s="183"/>
      <c r="D340" s="183"/>
      <c r="E340" s="183"/>
      <c r="F340" s="183"/>
      <c r="G340" s="183"/>
      <c r="H340" s="477" t="s">
        <v>1915</v>
      </c>
      <c r="I340" s="477"/>
      <c r="J340" s="477"/>
      <c r="K340" s="477"/>
      <c r="L340" s="368">
        <f>SUM(L339:L339)</f>
        <v>0.3</v>
      </c>
    </row>
    <row r="341" spans="1:12" ht="15" customHeight="1" x14ac:dyDescent="0.25">
      <c r="A341" s="182"/>
      <c r="B341" s="183"/>
      <c r="C341" s="183"/>
      <c r="D341" s="183"/>
      <c r="E341" s="183"/>
      <c r="F341" s="183"/>
      <c r="G341" s="183"/>
      <c r="H341" s="482" t="s">
        <v>1834</v>
      </c>
      <c r="I341" s="482"/>
      <c r="J341" s="482"/>
      <c r="K341" s="482"/>
      <c r="L341" s="369">
        <f>ROUND(SUM(L334,L337,L340),2)</f>
        <v>37.880000000000003</v>
      </c>
    </row>
    <row r="342" spans="1:12" ht="9.9499999999999993" customHeight="1" x14ac:dyDescent="0.25">
      <c r="A342" s="182"/>
      <c r="B342" s="183"/>
      <c r="C342" s="183"/>
      <c r="D342" s="183"/>
      <c r="E342" s="183"/>
      <c r="F342" s="183"/>
      <c r="G342" s="183"/>
      <c r="H342" s="485"/>
      <c r="I342" s="485"/>
      <c r="J342" s="485"/>
      <c r="K342" s="485"/>
      <c r="L342" s="512"/>
    </row>
    <row r="343" spans="1:12" ht="20.100000000000001" customHeight="1" x14ac:dyDescent="0.25">
      <c r="A343" s="486" t="s">
        <v>2505</v>
      </c>
      <c r="B343" s="487"/>
      <c r="C343" s="487"/>
      <c r="D343" s="487"/>
      <c r="E343" s="487"/>
      <c r="F343" s="487"/>
      <c r="G343" s="487"/>
      <c r="H343" s="487"/>
      <c r="I343" s="487"/>
      <c r="J343" s="487"/>
      <c r="K343" s="487"/>
      <c r="L343" s="513"/>
    </row>
    <row r="344" spans="1:12" ht="15" customHeight="1" x14ac:dyDescent="0.25">
      <c r="A344" s="474" t="s">
        <v>2190</v>
      </c>
      <c r="B344" s="475"/>
      <c r="C344" s="475"/>
      <c r="D344" s="476" t="s">
        <v>42</v>
      </c>
      <c r="E344" s="476"/>
      <c r="F344" s="476"/>
      <c r="G344" s="230" t="s">
        <v>44</v>
      </c>
      <c r="H344" s="476" t="s">
        <v>1813</v>
      </c>
      <c r="I344" s="476"/>
      <c r="J344" s="476" t="s">
        <v>1814</v>
      </c>
      <c r="K344" s="476"/>
      <c r="L344" s="366" t="s">
        <v>1802</v>
      </c>
    </row>
    <row r="345" spans="1:12" ht="21" customHeight="1" x14ac:dyDescent="0.25">
      <c r="A345" s="181" t="s">
        <v>2506</v>
      </c>
      <c r="B345" s="509" t="s">
        <v>2507</v>
      </c>
      <c r="C345" s="509"/>
      <c r="D345" s="481" t="s">
        <v>82</v>
      </c>
      <c r="E345" s="481"/>
      <c r="F345" s="481"/>
      <c r="G345" s="231" t="s">
        <v>1024</v>
      </c>
      <c r="H345" s="510">
        <v>1</v>
      </c>
      <c r="I345" s="510"/>
      <c r="J345" s="511">
        <v>43.86</v>
      </c>
      <c r="K345" s="511"/>
      <c r="L345" s="367">
        <f>TRUNC(TRUNC(H345,8)*J345,2)</f>
        <v>43.86</v>
      </c>
    </row>
    <row r="346" spans="1:12" ht="18" customHeight="1" x14ac:dyDescent="0.25">
      <c r="A346" s="182"/>
      <c r="B346" s="183"/>
      <c r="C346" s="183"/>
      <c r="D346" s="183"/>
      <c r="E346" s="183"/>
      <c r="F346" s="183"/>
      <c r="G346" s="183"/>
      <c r="H346" s="477" t="s">
        <v>2195</v>
      </c>
      <c r="I346" s="477"/>
      <c r="J346" s="477"/>
      <c r="K346" s="477"/>
      <c r="L346" s="368">
        <f>SUM(L345:L345)</f>
        <v>43.86</v>
      </c>
    </row>
    <row r="347" spans="1:12" ht="15" customHeight="1" x14ac:dyDescent="0.25">
      <c r="A347" s="474" t="s">
        <v>1912</v>
      </c>
      <c r="B347" s="475"/>
      <c r="C347" s="475"/>
      <c r="D347" s="476" t="s">
        <v>42</v>
      </c>
      <c r="E347" s="476"/>
      <c r="F347" s="476"/>
      <c r="G347" s="230" t="s">
        <v>44</v>
      </c>
      <c r="H347" s="476" t="s">
        <v>1813</v>
      </c>
      <c r="I347" s="476"/>
      <c r="J347" s="476" t="s">
        <v>1814</v>
      </c>
      <c r="K347" s="476"/>
      <c r="L347" s="366" t="s">
        <v>1802</v>
      </c>
    </row>
    <row r="348" spans="1:12" ht="29.1" customHeight="1" x14ac:dyDescent="0.25">
      <c r="A348" s="181" t="s">
        <v>2508</v>
      </c>
      <c r="B348" s="509" t="s">
        <v>2509</v>
      </c>
      <c r="C348" s="509"/>
      <c r="D348" s="481" t="s">
        <v>82</v>
      </c>
      <c r="E348" s="481"/>
      <c r="F348" s="481"/>
      <c r="G348" s="231" t="s">
        <v>1024</v>
      </c>
      <c r="H348" s="510">
        <v>1</v>
      </c>
      <c r="I348" s="510"/>
      <c r="J348" s="511">
        <v>0.68</v>
      </c>
      <c r="K348" s="511"/>
      <c r="L348" s="367">
        <f>TRUNC(TRUNC(H348,8)*J348,2)</f>
        <v>0.68</v>
      </c>
    </row>
    <row r="349" spans="1:12" ht="29.1" customHeight="1" x14ac:dyDescent="0.25">
      <c r="A349" s="181" t="s">
        <v>2510</v>
      </c>
      <c r="B349" s="509" t="s">
        <v>2511</v>
      </c>
      <c r="C349" s="509"/>
      <c r="D349" s="481" t="s">
        <v>82</v>
      </c>
      <c r="E349" s="481"/>
      <c r="F349" s="481"/>
      <c r="G349" s="231" t="s">
        <v>1024</v>
      </c>
      <c r="H349" s="510">
        <v>1</v>
      </c>
      <c r="I349" s="510"/>
      <c r="J349" s="511">
        <v>0.18</v>
      </c>
      <c r="K349" s="511"/>
      <c r="L349" s="367">
        <f>TRUNC(TRUNC(H349,8)*J349,2)</f>
        <v>0.18</v>
      </c>
    </row>
    <row r="350" spans="1:12" ht="29.1" customHeight="1" x14ac:dyDescent="0.25">
      <c r="A350" s="181" t="s">
        <v>2512</v>
      </c>
      <c r="B350" s="509" t="s">
        <v>2513</v>
      </c>
      <c r="C350" s="509"/>
      <c r="D350" s="481" t="s">
        <v>82</v>
      </c>
      <c r="E350" s="481"/>
      <c r="F350" s="481"/>
      <c r="G350" s="231" t="s">
        <v>1024</v>
      </c>
      <c r="H350" s="510">
        <v>1</v>
      </c>
      <c r="I350" s="510"/>
      <c r="J350" s="511">
        <v>0.86</v>
      </c>
      <c r="K350" s="511"/>
      <c r="L350" s="367">
        <f>TRUNC(TRUNC(H350,8)*J350,2)</f>
        <v>0.86</v>
      </c>
    </row>
    <row r="351" spans="1:12" ht="29.1" customHeight="1" x14ac:dyDescent="0.25">
      <c r="A351" s="181" t="s">
        <v>2514</v>
      </c>
      <c r="B351" s="509" t="s">
        <v>2515</v>
      </c>
      <c r="C351" s="509"/>
      <c r="D351" s="481" t="s">
        <v>82</v>
      </c>
      <c r="E351" s="481"/>
      <c r="F351" s="481"/>
      <c r="G351" s="231" t="s">
        <v>1024</v>
      </c>
      <c r="H351" s="510">
        <v>1</v>
      </c>
      <c r="I351" s="510"/>
      <c r="J351" s="511">
        <v>6.77</v>
      </c>
      <c r="K351" s="511"/>
      <c r="L351" s="367">
        <f>TRUNC(TRUNC(H351,8)*J351,2)</f>
        <v>6.77</v>
      </c>
    </row>
    <row r="352" spans="1:12" ht="15" customHeight="1" x14ac:dyDescent="0.25">
      <c r="A352" s="182"/>
      <c r="B352" s="183"/>
      <c r="C352" s="183"/>
      <c r="D352" s="183"/>
      <c r="E352" s="183"/>
      <c r="F352" s="183"/>
      <c r="G352" s="183"/>
      <c r="H352" s="477" t="s">
        <v>1915</v>
      </c>
      <c r="I352" s="477"/>
      <c r="J352" s="477"/>
      <c r="K352" s="477"/>
      <c r="L352" s="368">
        <f>SUM(L348:L351)</f>
        <v>8.49</v>
      </c>
    </row>
    <row r="353" spans="1:12" ht="15" customHeight="1" x14ac:dyDescent="0.25">
      <c r="A353" s="182"/>
      <c r="B353" s="183"/>
      <c r="C353" s="183"/>
      <c r="D353" s="183"/>
      <c r="E353" s="183"/>
      <c r="F353" s="183"/>
      <c r="G353" s="183"/>
      <c r="H353" s="482" t="s">
        <v>1834</v>
      </c>
      <c r="I353" s="482"/>
      <c r="J353" s="482"/>
      <c r="K353" s="482"/>
      <c r="L353" s="369">
        <f>ROUND(SUM(L346,L352),2)</f>
        <v>52.35</v>
      </c>
    </row>
    <row r="354" spans="1:12" ht="9.9499999999999993" customHeight="1" x14ac:dyDescent="0.25">
      <c r="A354" s="182"/>
      <c r="B354" s="183"/>
      <c r="C354" s="183"/>
      <c r="D354" s="183"/>
      <c r="E354" s="183"/>
      <c r="F354" s="183"/>
      <c r="G354" s="183"/>
      <c r="H354" s="485"/>
      <c r="I354" s="485"/>
      <c r="J354" s="485"/>
      <c r="K354" s="485"/>
      <c r="L354" s="512"/>
    </row>
    <row r="355" spans="1:12" ht="20.100000000000001" customHeight="1" x14ac:dyDescent="0.25">
      <c r="A355" s="486" t="s">
        <v>2516</v>
      </c>
      <c r="B355" s="487"/>
      <c r="C355" s="487"/>
      <c r="D355" s="487"/>
      <c r="E355" s="487"/>
      <c r="F355" s="487"/>
      <c r="G355" s="487"/>
      <c r="H355" s="487"/>
      <c r="I355" s="487"/>
      <c r="J355" s="487"/>
      <c r="K355" s="487"/>
      <c r="L355" s="513"/>
    </row>
    <row r="356" spans="1:12" ht="15" customHeight="1" x14ac:dyDescent="0.25">
      <c r="A356" s="474" t="s">
        <v>2443</v>
      </c>
      <c r="B356" s="475"/>
      <c r="C356" s="475"/>
      <c r="D356" s="476" t="s">
        <v>42</v>
      </c>
      <c r="E356" s="476"/>
      <c r="F356" s="476"/>
      <c r="G356" s="230" t="s">
        <v>44</v>
      </c>
      <c r="H356" s="476" t="s">
        <v>1813</v>
      </c>
      <c r="I356" s="476"/>
      <c r="J356" s="476" t="s">
        <v>1814</v>
      </c>
      <c r="K356" s="476"/>
      <c r="L356" s="366" t="s">
        <v>1802</v>
      </c>
    </row>
    <row r="357" spans="1:12" ht="21" customHeight="1" x14ac:dyDescent="0.25">
      <c r="A357" s="181" t="s">
        <v>2517</v>
      </c>
      <c r="B357" s="509" t="s">
        <v>2518</v>
      </c>
      <c r="C357" s="509"/>
      <c r="D357" s="481" t="s">
        <v>82</v>
      </c>
      <c r="E357" s="481"/>
      <c r="F357" s="481"/>
      <c r="G357" s="231" t="s">
        <v>226</v>
      </c>
      <c r="H357" s="510">
        <v>5.3300000000000001E-5</v>
      </c>
      <c r="I357" s="510"/>
      <c r="J357" s="511">
        <v>12936.52</v>
      </c>
      <c r="K357" s="511"/>
      <c r="L357" s="367">
        <f>TRUNC(TRUNC(H357,8)*J357,2)</f>
        <v>0.68</v>
      </c>
    </row>
    <row r="358" spans="1:12" ht="15" customHeight="1" x14ac:dyDescent="0.25">
      <c r="A358" s="182"/>
      <c r="B358" s="183"/>
      <c r="C358" s="183"/>
      <c r="D358" s="183"/>
      <c r="E358" s="183"/>
      <c r="F358" s="183"/>
      <c r="G358" s="183"/>
      <c r="H358" s="477" t="s">
        <v>2446</v>
      </c>
      <c r="I358" s="477"/>
      <c r="J358" s="477"/>
      <c r="K358" s="477"/>
      <c r="L358" s="368">
        <f>SUM(L357:L357)</f>
        <v>0.68</v>
      </c>
    </row>
    <row r="359" spans="1:12" ht="15" customHeight="1" x14ac:dyDescent="0.25">
      <c r="A359" s="182"/>
      <c r="B359" s="183"/>
      <c r="C359" s="183"/>
      <c r="D359" s="183"/>
      <c r="E359" s="183"/>
      <c r="F359" s="183"/>
      <c r="G359" s="183"/>
      <c r="H359" s="482" t="s">
        <v>1834</v>
      </c>
      <c r="I359" s="482"/>
      <c r="J359" s="482"/>
      <c r="K359" s="482"/>
      <c r="L359" s="369">
        <f>ROUND(SUM(L358),2)</f>
        <v>0.68</v>
      </c>
    </row>
    <row r="360" spans="1:12" ht="9.9499999999999993" customHeight="1" x14ac:dyDescent="0.25">
      <c r="A360" s="182"/>
      <c r="B360" s="183"/>
      <c r="C360" s="183"/>
      <c r="D360" s="183"/>
      <c r="E360" s="183"/>
      <c r="F360" s="183"/>
      <c r="G360" s="183"/>
      <c r="H360" s="485"/>
      <c r="I360" s="485"/>
      <c r="J360" s="485"/>
      <c r="K360" s="485"/>
      <c r="L360" s="512"/>
    </row>
    <row r="361" spans="1:12" ht="20.100000000000001" customHeight="1" x14ac:dyDescent="0.25">
      <c r="A361" s="486" t="s">
        <v>2519</v>
      </c>
      <c r="B361" s="487"/>
      <c r="C361" s="487"/>
      <c r="D361" s="487"/>
      <c r="E361" s="487"/>
      <c r="F361" s="487"/>
      <c r="G361" s="487"/>
      <c r="H361" s="487"/>
      <c r="I361" s="487"/>
      <c r="J361" s="487"/>
      <c r="K361" s="487"/>
      <c r="L361" s="513"/>
    </row>
    <row r="362" spans="1:12" ht="15" customHeight="1" x14ac:dyDescent="0.25">
      <c r="A362" s="474" t="s">
        <v>2443</v>
      </c>
      <c r="B362" s="475"/>
      <c r="C362" s="475"/>
      <c r="D362" s="476" t="s">
        <v>42</v>
      </c>
      <c r="E362" s="476"/>
      <c r="F362" s="476"/>
      <c r="G362" s="230" t="s">
        <v>44</v>
      </c>
      <c r="H362" s="476" t="s">
        <v>1813</v>
      </c>
      <c r="I362" s="476"/>
      <c r="J362" s="476" t="s">
        <v>1814</v>
      </c>
      <c r="K362" s="476"/>
      <c r="L362" s="366" t="s">
        <v>1802</v>
      </c>
    </row>
    <row r="363" spans="1:12" ht="21" customHeight="1" x14ac:dyDescent="0.25">
      <c r="A363" s="181" t="s">
        <v>2517</v>
      </c>
      <c r="B363" s="509" t="s">
        <v>2518</v>
      </c>
      <c r="C363" s="509"/>
      <c r="D363" s="481" t="s">
        <v>82</v>
      </c>
      <c r="E363" s="481"/>
      <c r="F363" s="481"/>
      <c r="G363" s="231" t="s">
        <v>226</v>
      </c>
      <c r="H363" s="510">
        <v>1.43E-5</v>
      </c>
      <c r="I363" s="510"/>
      <c r="J363" s="511">
        <v>12936.52</v>
      </c>
      <c r="K363" s="511"/>
      <c r="L363" s="367">
        <f>TRUNC(TRUNC(H363,8)*J363,2)</f>
        <v>0.18</v>
      </c>
    </row>
    <row r="364" spans="1:12" ht="15" customHeight="1" x14ac:dyDescent="0.25">
      <c r="A364" s="182"/>
      <c r="B364" s="183"/>
      <c r="C364" s="183"/>
      <c r="D364" s="183"/>
      <c r="E364" s="183"/>
      <c r="F364" s="183"/>
      <c r="G364" s="183"/>
      <c r="H364" s="477" t="s">
        <v>2446</v>
      </c>
      <c r="I364" s="477"/>
      <c r="J364" s="477"/>
      <c r="K364" s="477"/>
      <c r="L364" s="368">
        <f>SUM(L363:L363)</f>
        <v>0.18</v>
      </c>
    </row>
    <row r="365" spans="1:12" ht="15" customHeight="1" x14ac:dyDescent="0.25">
      <c r="A365" s="182"/>
      <c r="B365" s="183"/>
      <c r="C365" s="183"/>
      <c r="D365" s="183"/>
      <c r="E365" s="183"/>
      <c r="F365" s="183"/>
      <c r="G365" s="183"/>
      <c r="H365" s="482" t="s">
        <v>1834</v>
      </c>
      <c r="I365" s="482"/>
      <c r="J365" s="482"/>
      <c r="K365" s="482"/>
      <c r="L365" s="369">
        <f>ROUND(SUM(L364),2)</f>
        <v>0.18</v>
      </c>
    </row>
    <row r="366" spans="1:12" ht="9.9499999999999993" customHeight="1" x14ac:dyDescent="0.25">
      <c r="A366" s="182"/>
      <c r="B366" s="183"/>
      <c r="C366" s="183"/>
      <c r="D366" s="183"/>
      <c r="E366" s="183"/>
      <c r="F366" s="183"/>
      <c r="G366" s="183"/>
      <c r="H366" s="485"/>
      <c r="I366" s="485"/>
      <c r="J366" s="485"/>
      <c r="K366" s="485"/>
      <c r="L366" s="512"/>
    </row>
    <row r="367" spans="1:12" ht="20.100000000000001" customHeight="1" x14ac:dyDescent="0.25">
      <c r="A367" s="486" t="s">
        <v>2520</v>
      </c>
      <c r="B367" s="487"/>
      <c r="C367" s="487"/>
      <c r="D367" s="487"/>
      <c r="E367" s="487"/>
      <c r="F367" s="487"/>
      <c r="G367" s="487"/>
      <c r="H367" s="487"/>
      <c r="I367" s="487"/>
      <c r="J367" s="487"/>
      <c r="K367" s="487"/>
      <c r="L367" s="513"/>
    </row>
    <row r="368" spans="1:12" ht="15" customHeight="1" x14ac:dyDescent="0.25">
      <c r="A368" s="474" t="s">
        <v>2443</v>
      </c>
      <c r="B368" s="475"/>
      <c r="C368" s="475"/>
      <c r="D368" s="476" t="s">
        <v>42</v>
      </c>
      <c r="E368" s="476"/>
      <c r="F368" s="476"/>
      <c r="G368" s="230" t="s">
        <v>44</v>
      </c>
      <c r="H368" s="476" t="s">
        <v>1813</v>
      </c>
      <c r="I368" s="476"/>
      <c r="J368" s="476" t="s">
        <v>1814</v>
      </c>
      <c r="K368" s="476"/>
      <c r="L368" s="366" t="s">
        <v>1802</v>
      </c>
    </row>
    <row r="369" spans="1:12" ht="21" customHeight="1" x14ac:dyDescent="0.25">
      <c r="A369" s="181" t="s">
        <v>2517</v>
      </c>
      <c r="B369" s="509" t="s">
        <v>2518</v>
      </c>
      <c r="C369" s="509"/>
      <c r="D369" s="481" t="s">
        <v>82</v>
      </c>
      <c r="E369" s="481"/>
      <c r="F369" s="481"/>
      <c r="G369" s="231" t="s">
        <v>226</v>
      </c>
      <c r="H369" s="510">
        <v>6.6699999999999995E-5</v>
      </c>
      <c r="I369" s="510"/>
      <c r="J369" s="511">
        <v>12936.52</v>
      </c>
      <c r="K369" s="511"/>
      <c r="L369" s="367">
        <f>TRUNC(TRUNC(H369,8)*J369,2)</f>
        <v>0.86</v>
      </c>
    </row>
    <row r="370" spans="1:12" ht="15" customHeight="1" x14ac:dyDescent="0.25">
      <c r="A370" s="182"/>
      <c r="B370" s="183"/>
      <c r="C370" s="183"/>
      <c r="D370" s="183"/>
      <c r="E370" s="183"/>
      <c r="F370" s="183"/>
      <c r="G370" s="183"/>
      <c r="H370" s="477" t="s">
        <v>2446</v>
      </c>
      <c r="I370" s="477"/>
      <c r="J370" s="477"/>
      <c r="K370" s="477"/>
      <c r="L370" s="368">
        <f>SUM(L369:L369)</f>
        <v>0.86</v>
      </c>
    </row>
    <row r="371" spans="1:12" ht="15" customHeight="1" x14ac:dyDescent="0.25">
      <c r="A371" s="182"/>
      <c r="B371" s="183"/>
      <c r="C371" s="183"/>
      <c r="D371" s="183"/>
      <c r="E371" s="183"/>
      <c r="F371" s="183"/>
      <c r="G371" s="183"/>
      <c r="H371" s="482" t="s">
        <v>1834</v>
      </c>
      <c r="I371" s="482"/>
      <c r="J371" s="482"/>
      <c r="K371" s="482"/>
      <c r="L371" s="369">
        <f>ROUND(SUM(L370),2)</f>
        <v>0.86</v>
      </c>
    </row>
    <row r="372" spans="1:12" ht="9.9499999999999993" customHeight="1" x14ac:dyDescent="0.25">
      <c r="A372" s="182"/>
      <c r="B372" s="183"/>
      <c r="C372" s="183"/>
      <c r="D372" s="183"/>
      <c r="E372" s="183"/>
      <c r="F372" s="183"/>
      <c r="G372" s="183"/>
      <c r="H372" s="485"/>
      <c r="I372" s="485"/>
      <c r="J372" s="485"/>
      <c r="K372" s="485"/>
      <c r="L372" s="512"/>
    </row>
    <row r="373" spans="1:12" ht="20.100000000000001" customHeight="1" x14ac:dyDescent="0.25">
      <c r="A373" s="486" t="s">
        <v>2521</v>
      </c>
      <c r="B373" s="487"/>
      <c r="C373" s="487"/>
      <c r="D373" s="487"/>
      <c r="E373" s="487"/>
      <c r="F373" s="487"/>
      <c r="G373" s="487"/>
      <c r="H373" s="487"/>
      <c r="I373" s="487"/>
      <c r="J373" s="487"/>
      <c r="K373" s="487"/>
      <c r="L373" s="513"/>
    </row>
    <row r="374" spans="1:12" ht="15" customHeight="1" x14ac:dyDescent="0.25">
      <c r="A374" s="474" t="s">
        <v>1812</v>
      </c>
      <c r="B374" s="475"/>
      <c r="C374" s="475"/>
      <c r="D374" s="476" t="s">
        <v>42</v>
      </c>
      <c r="E374" s="476"/>
      <c r="F374" s="476"/>
      <c r="G374" s="230" t="s">
        <v>44</v>
      </c>
      <c r="H374" s="476" t="s">
        <v>1813</v>
      </c>
      <c r="I374" s="476"/>
      <c r="J374" s="476" t="s">
        <v>1814</v>
      </c>
      <c r="K374" s="476"/>
      <c r="L374" s="366" t="s">
        <v>1802</v>
      </c>
    </row>
    <row r="375" spans="1:12" ht="15" customHeight="1" x14ac:dyDescent="0.25">
      <c r="A375" s="181" t="s">
        <v>2522</v>
      </c>
      <c r="B375" s="509" t="s">
        <v>2523</v>
      </c>
      <c r="C375" s="509"/>
      <c r="D375" s="481" t="s">
        <v>82</v>
      </c>
      <c r="E375" s="481"/>
      <c r="F375" s="481"/>
      <c r="G375" s="231" t="s">
        <v>1006</v>
      </c>
      <c r="H375" s="510">
        <v>1.03</v>
      </c>
      <c r="I375" s="510"/>
      <c r="J375" s="511">
        <v>6.58</v>
      </c>
      <c r="K375" s="511"/>
      <c r="L375" s="367">
        <f>TRUNC(TRUNC(H375,8)*J375,2)</f>
        <v>6.77</v>
      </c>
    </row>
    <row r="376" spans="1:12" ht="15" customHeight="1" x14ac:dyDescent="0.25">
      <c r="A376" s="182"/>
      <c r="B376" s="183"/>
      <c r="C376" s="183"/>
      <c r="D376" s="183"/>
      <c r="E376" s="183"/>
      <c r="F376" s="183"/>
      <c r="G376" s="183"/>
      <c r="H376" s="477" t="s">
        <v>1826</v>
      </c>
      <c r="I376" s="477"/>
      <c r="J376" s="477"/>
      <c r="K376" s="477"/>
      <c r="L376" s="368">
        <f>SUM(L375:L375)</f>
        <v>6.77</v>
      </c>
    </row>
    <row r="377" spans="1:12" ht="15" customHeight="1" x14ac:dyDescent="0.25">
      <c r="A377" s="182"/>
      <c r="B377" s="183"/>
      <c r="C377" s="183"/>
      <c r="D377" s="183"/>
      <c r="E377" s="183"/>
      <c r="F377" s="183"/>
      <c r="G377" s="183"/>
      <c r="H377" s="482" t="s">
        <v>1834</v>
      </c>
      <c r="I377" s="482"/>
      <c r="J377" s="482"/>
      <c r="K377" s="482"/>
      <c r="L377" s="369">
        <f>ROUND(SUM(L376),2)</f>
        <v>6.77</v>
      </c>
    </row>
    <row r="378" spans="1:12" ht="9.9499999999999993" customHeight="1" x14ac:dyDescent="0.25">
      <c r="A378" s="182"/>
      <c r="B378" s="183"/>
      <c r="C378" s="183"/>
      <c r="D378" s="183"/>
      <c r="E378" s="183"/>
      <c r="F378" s="183"/>
      <c r="G378" s="183"/>
      <c r="H378" s="485"/>
      <c r="I378" s="485"/>
      <c r="J378" s="485"/>
      <c r="K378" s="485"/>
      <c r="L378" s="512"/>
    </row>
    <row r="379" spans="1:12" ht="20.100000000000001" customHeight="1" x14ac:dyDescent="0.25">
      <c r="A379" s="486" t="s">
        <v>2524</v>
      </c>
      <c r="B379" s="487"/>
      <c r="C379" s="487"/>
      <c r="D379" s="487"/>
      <c r="E379" s="487"/>
      <c r="F379" s="487"/>
      <c r="G379" s="487"/>
      <c r="H379" s="487"/>
      <c r="I379" s="487"/>
      <c r="J379" s="487"/>
      <c r="K379" s="487"/>
      <c r="L379" s="513"/>
    </row>
    <row r="380" spans="1:12" ht="15" customHeight="1" x14ac:dyDescent="0.25">
      <c r="A380" s="474" t="s">
        <v>1912</v>
      </c>
      <c r="B380" s="475"/>
      <c r="C380" s="475"/>
      <c r="D380" s="476" t="s">
        <v>42</v>
      </c>
      <c r="E380" s="476"/>
      <c r="F380" s="476"/>
      <c r="G380" s="230" t="s">
        <v>44</v>
      </c>
      <c r="H380" s="476" t="s">
        <v>1813</v>
      </c>
      <c r="I380" s="476"/>
      <c r="J380" s="476" t="s">
        <v>1814</v>
      </c>
      <c r="K380" s="476"/>
      <c r="L380" s="366" t="s">
        <v>1802</v>
      </c>
    </row>
    <row r="381" spans="1:12" ht="29.1" customHeight="1" x14ac:dyDescent="0.25">
      <c r="A381" s="181" t="s">
        <v>2525</v>
      </c>
      <c r="B381" s="509" t="s">
        <v>2526</v>
      </c>
      <c r="C381" s="509"/>
      <c r="D381" s="481" t="s">
        <v>82</v>
      </c>
      <c r="E381" s="481"/>
      <c r="F381" s="481"/>
      <c r="G381" s="231" t="s">
        <v>1024</v>
      </c>
      <c r="H381" s="510">
        <v>1</v>
      </c>
      <c r="I381" s="510"/>
      <c r="J381" s="511">
        <v>7.02</v>
      </c>
      <c r="K381" s="511"/>
      <c r="L381" s="367">
        <f>TRUNC(TRUNC(H381,8)*J381,2)</f>
        <v>7.02</v>
      </c>
    </row>
    <row r="382" spans="1:12" ht="29.1" customHeight="1" x14ac:dyDescent="0.25">
      <c r="A382" s="181" t="s">
        <v>2527</v>
      </c>
      <c r="B382" s="509" t="s">
        <v>2528</v>
      </c>
      <c r="C382" s="509"/>
      <c r="D382" s="481" t="s">
        <v>82</v>
      </c>
      <c r="E382" s="481"/>
      <c r="F382" s="481"/>
      <c r="G382" s="231" t="s">
        <v>1024</v>
      </c>
      <c r="H382" s="510">
        <v>1</v>
      </c>
      <c r="I382" s="510"/>
      <c r="J382" s="511">
        <v>1.88</v>
      </c>
      <c r="K382" s="511"/>
      <c r="L382" s="367">
        <f>TRUNC(TRUNC(H382,8)*J382,2)</f>
        <v>1.88</v>
      </c>
    </row>
    <row r="383" spans="1:12" ht="15" customHeight="1" x14ac:dyDescent="0.25">
      <c r="A383" s="182"/>
      <c r="B383" s="183"/>
      <c r="C383" s="183"/>
      <c r="D383" s="183"/>
      <c r="E383" s="183"/>
      <c r="F383" s="183"/>
      <c r="G383" s="183"/>
      <c r="H383" s="477" t="s">
        <v>1915</v>
      </c>
      <c r="I383" s="477"/>
      <c r="J383" s="477"/>
      <c r="K383" s="477"/>
      <c r="L383" s="368">
        <f>SUM(L381:L382)</f>
        <v>8.8999999999999986</v>
      </c>
    </row>
    <row r="384" spans="1:12" ht="15" customHeight="1" x14ac:dyDescent="0.25">
      <c r="A384" s="182"/>
      <c r="B384" s="183"/>
      <c r="C384" s="183"/>
      <c r="D384" s="183"/>
      <c r="E384" s="183"/>
      <c r="F384" s="183"/>
      <c r="G384" s="183"/>
      <c r="H384" s="482" t="s">
        <v>1834</v>
      </c>
      <c r="I384" s="482"/>
      <c r="J384" s="482"/>
      <c r="K384" s="482"/>
      <c r="L384" s="369">
        <f>ROUND(SUM(L383),2)</f>
        <v>8.9</v>
      </c>
    </row>
    <row r="385" spans="1:12" ht="9.9499999999999993" customHeight="1" x14ac:dyDescent="0.25">
      <c r="A385" s="182"/>
      <c r="B385" s="183"/>
      <c r="C385" s="183"/>
      <c r="D385" s="183"/>
      <c r="E385" s="183"/>
      <c r="F385" s="183"/>
      <c r="G385" s="183"/>
      <c r="H385" s="485"/>
      <c r="I385" s="485"/>
      <c r="J385" s="485"/>
      <c r="K385" s="485"/>
      <c r="L385" s="512"/>
    </row>
    <row r="386" spans="1:12" ht="20.100000000000001" customHeight="1" x14ac:dyDescent="0.25">
      <c r="A386" s="486" t="s">
        <v>2529</v>
      </c>
      <c r="B386" s="487"/>
      <c r="C386" s="487"/>
      <c r="D386" s="487"/>
      <c r="E386" s="487"/>
      <c r="F386" s="487"/>
      <c r="G386" s="487"/>
      <c r="H386" s="487"/>
      <c r="I386" s="487"/>
      <c r="J386" s="487"/>
      <c r="K386" s="487"/>
      <c r="L386" s="513"/>
    </row>
    <row r="387" spans="1:12" ht="15" customHeight="1" x14ac:dyDescent="0.25">
      <c r="A387" s="474" t="s">
        <v>1912</v>
      </c>
      <c r="B387" s="475"/>
      <c r="C387" s="475"/>
      <c r="D387" s="476" t="s">
        <v>42</v>
      </c>
      <c r="E387" s="476"/>
      <c r="F387" s="476"/>
      <c r="G387" s="230" t="s">
        <v>44</v>
      </c>
      <c r="H387" s="476" t="s">
        <v>1813</v>
      </c>
      <c r="I387" s="476"/>
      <c r="J387" s="476" t="s">
        <v>1814</v>
      </c>
      <c r="K387" s="476"/>
      <c r="L387" s="366" t="s">
        <v>1802</v>
      </c>
    </row>
    <row r="388" spans="1:12" ht="29.1" customHeight="1" x14ac:dyDescent="0.25">
      <c r="A388" s="181" t="s">
        <v>2525</v>
      </c>
      <c r="B388" s="509" t="s">
        <v>2526</v>
      </c>
      <c r="C388" s="509"/>
      <c r="D388" s="481" t="s">
        <v>82</v>
      </c>
      <c r="E388" s="481"/>
      <c r="F388" s="481"/>
      <c r="G388" s="231" t="s">
        <v>1024</v>
      </c>
      <c r="H388" s="510">
        <v>1</v>
      </c>
      <c r="I388" s="510"/>
      <c r="J388" s="511">
        <v>7.02</v>
      </c>
      <c r="K388" s="511"/>
      <c r="L388" s="367">
        <f>TRUNC(TRUNC(H388,8)*J388,2)</f>
        <v>7.02</v>
      </c>
    </row>
    <row r="389" spans="1:12" ht="29.1" customHeight="1" x14ac:dyDescent="0.25">
      <c r="A389" s="181" t="s">
        <v>2527</v>
      </c>
      <c r="B389" s="509" t="s">
        <v>2528</v>
      </c>
      <c r="C389" s="509"/>
      <c r="D389" s="481" t="s">
        <v>82</v>
      </c>
      <c r="E389" s="481"/>
      <c r="F389" s="481"/>
      <c r="G389" s="231" t="s">
        <v>1024</v>
      </c>
      <c r="H389" s="510">
        <v>1</v>
      </c>
      <c r="I389" s="510"/>
      <c r="J389" s="511">
        <v>1.88</v>
      </c>
      <c r="K389" s="511"/>
      <c r="L389" s="367">
        <f>TRUNC(TRUNC(H389,8)*J389,2)</f>
        <v>1.88</v>
      </c>
    </row>
    <row r="390" spans="1:12" ht="29.1" customHeight="1" x14ac:dyDescent="0.25">
      <c r="A390" s="181" t="s">
        <v>2530</v>
      </c>
      <c r="B390" s="509" t="s">
        <v>2531</v>
      </c>
      <c r="C390" s="509"/>
      <c r="D390" s="481" t="s">
        <v>82</v>
      </c>
      <c r="E390" s="481"/>
      <c r="F390" s="481"/>
      <c r="G390" s="231" t="s">
        <v>1024</v>
      </c>
      <c r="H390" s="510">
        <v>1</v>
      </c>
      <c r="I390" s="510"/>
      <c r="J390" s="511">
        <v>8.7899999999999991</v>
      </c>
      <c r="K390" s="511"/>
      <c r="L390" s="367">
        <f>TRUNC(TRUNC(H390,8)*J390,2)</f>
        <v>8.7899999999999991</v>
      </c>
    </row>
    <row r="391" spans="1:12" ht="29.1" customHeight="1" x14ac:dyDescent="0.25">
      <c r="A391" s="181" t="s">
        <v>2532</v>
      </c>
      <c r="B391" s="509" t="s">
        <v>2533</v>
      </c>
      <c r="C391" s="509"/>
      <c r="D391" s="481" t="s">
        <v>82</v>
      </c>
      <c r="E391" s="481"/>
      <c r="F391" s="481"/>
      <c r="G391" s="231" t="s">
        <v>1024</v>
      </c>
      <c r="H391" s="510">
        <v>1</v>
      </c>
      <c r="I391" s="510"/>
      <c r="J391" s="511">
        <v>17.22</v>
      </c>
      <c r="K391" s="511"/>
      <c r="L391" s="367">
        <f>TRUNC(TRUNC(H391,8)*J391,2)</f>
        <v>17.22</v>
      </c>
    </row>
    <row r="392" spans="1:12" ht="15" customHeight="1" x14ac:dyDescent="0.25">
      <c r="A392" s="182"/>
      <c r="B392" s="183"/>
      <c r="C392" s="183"/>
      <c r="D392" s="183"/>
      <c r="E392" s="183"/>
      <c r="F392" s="183"/>
      <c r="G392" s="183"/>
      <c r="H392" s="477" t="s">
        <v>1915</v>
      </c>
      <c r="I392" s="477"/>
      <c r="J392" s="477"/>
      <c r="K392" s="477"/>
      <c r="L392" s="368">
        <f>SUM(L388:L391)</f>
        <v>34.909999999999997</v>
      </c>
    </row>
    <row r="393" spans="1:12" ht="15" customHeight="1" x14ac:dyDescent="0.25">
      <c r="A393" s="182"/>
      <c r="B393" s="183"/>
      <c r="C393" s="183"/>
      <c r="D393" s="183"/>
      <c r="E393" s="183"/>
      <c r="F393" s="183"/>
      <c r="G393" s="183"/>
      <c r="H393" s="482" t="s">
        <v>1834</v>
      </c>
      <c r="I393" s="482"/>
      <c r="J393" s="482"/>
      <c r="K393" s="482"/>
      <c r="L393" s="369">
        <f>ROUND(SUM(L392),2)</f>
        <v>34.909999999999997</v>
      </c>
    </row>
    <row r="394" spans="1:12" ht="9.9499999999999993" customHeight="1" x14ac:dyDescent="0.25">
      <c r="A394" s="182"/>
      <c r="B394" s="183"/>
      <c r="C394" s="183"/>
      <c r="D394" s="183"/>
      <c r="E394" s="183"/>
      <c r="F394" s="183"/>
      <c r="G394" s="183"/>
      <c r="H394" s="485"/>
      <c r="I394" s="485"/>
      <c r="J394" s="485"/>
      <c r="K394" s="485"/>
      <c r="L394" s="512"/>
    </row>
    <row r="395" spans="1:12" ht="20.100000000000001" customHeight="1" x14ac:dyDescent="0.25">
      <c r="A395" s="486" t="s">
        <v>2534</v>
      </c>
      <c r="B395" s="487"/>
      <c r="C395" s="487"/>
      <c r="D395" s="487"/>
      <c r="E395" s="487"/>
      <c r="F395" s="487"/>
      <c r="G395" s="487"/>
      <c r="H395" s="487"/>
      <c r="I395" s="487"/>
      <c r="J395" s="487"/>
      <c r="K395" s="487"/>
      <c r="L395" s="513"/>
    </row>
    <row r="396" spans="1:12" ht="15" customHeight="1" x14ac:dyDescent="0.25">
      <c r="A396" s="474" t="s">
        <v>2443</v>
      </c>
      <c r="B396" s="475"/>
      <c r="C396" s="475"/>
      <c r="D396" s="476" t="s">
        <v>42</v>
      </c>
      <c r="E396" s="476"/>
      <c r="F396" s="476"/>
      <c r="G396" s="230" t="s">
        <v>44</v>
      </c>
      <c r="H396" s="476" t="s">
        <v>1813</v>
      </c>
      <c r="I396" s="476"/>
      <c r="J396" s="476" t="s">
        <v>1814</v>
      </c>
      <c r="K396" s="476"/>
      <c r="L396" s="366" t="s">
        <v>1802</v>
      </c>
    </row>
    <row r="397" spans="1:12" ht="29.1" customHeight="1" x14ac:dyDescent="0.25">
      <c r="A397" s="181" t="s">
        <v>2535</v>
      </c>
      <c r="B397" s="509" t="s">
        <v>2536</v>
      </c>
      <c r="C397" s="509"/>
      <c r="D397" s="481" t="s">
        <v>82</v>
      </c>
      <c r="E397" s="481"/>
      <c r="F397" s="481"/>
      <c r="G397" s="231" t="s">
        <v>226</v>
      </c>
      <c r="H397" s="510">
        <v>5.3300000000000001E-5</v>
      </c>
      <c r="I397" s="510"/>
      <c r="J397" s="511">
        <v>131850</v>
      </c>
      <c r="K397" s="511"/>
      <c r="L397" s="367">
        <f>TRUNC(TRUNC(H397,8)*J397,2)</f>
        <v>7.02</v>
      </c>
    </row>
    <row r="398" spans="1:12" ht="15" customHeight="1" x14ac:dyDescent="0.25">
      <c r="A398" s="182"/>
      <c r="B398" s="183"/>
      <c r="C398" s="183"/>
      <c r="D398" s="183"/>
      <c r="E398" s="183"/>
      <c r="F398" s="183"/>
      <c r="G398" s="183"/>
      <c r="H398" s="477" t="s">
        <v>2446</v>
      </c>
      <c r="I398" s="477"/>
      <c r="J398" s="477"/>
      <c r="K398" s="477"/>
      <c r="L398" s="368">
        <f>SUM(L397:L397)</f>
        <v>7.02</v>
      </c>
    </row>
    <row r="399" spans="1:12" ht="15" customHeight="1" x14ac:dyDescent="0.25">
      <c r="A399" s="182"/>
      <c r="B399" s="183"/>
      <c r="C399" s="183"/>
      <c r="D399" s="183"/>
      <c r="E399" s="183"/>
      <c r="F399" s="183"/>
      <c r="G399" s="183"/>
      <c r="H399" s="482" t="s">
        <v>1834</v>
      </c>
      <c r="I399" s="482"/>
      <c r="J399" s="482"/>
      <c r="K399" s="482"/>
      <c r="L399" s="369">
        <f>ROUND(SUM(L398),2)</f>
        <v>7.02</v>
      </c>
    </row>
    <row r="400" spans="1:12" ht="9.9499999999999993" customHeight="1" x14ac:dyDescent="0.25">
      <c r="A400" s="182"/>
      <c r="B400" s="183"/>
      <c r="C400" s="183"/>
      <c r="D400" s="183"/>
      <c r="E400" s="183"/>
      <c r="F400" s="183"/>
      <c r="G400" s="183"/>
      <c r="H400" s="485"/>
      <c r="I400" s="485"/>
      <c r="J400" s="485"/>
      <c r="K400" s="485"/>
      <c r="L400" s="512"/>
    </row>
    <row r="401" spans="1:12" ht="20.100000000000001" customHeight="1" x14ac:dyDescent="0.25">
      <c r="A401" s="486" t="s">
        <v>2537</v>
      </c>
      <c r="B401" s="487"/>
      <c r="C401" s="487"/>
      <c r="D401" s="487"/>
      <c r="E401" s="487"/>
      <c r="F401" s="487"/>
      <c r="G401" s="487"/>
      <c r="H401" s="487"/>
      <c r="I401" s="487"/>
      <c r="J401" s="487"/>
      <c r="K401" s="487"/>
      <c r="L401" s="513"/>
    </row>
    <row r="402" spans="1:12" ht="15" customHeight="1" x14ac:dyDescent="0.25">
      <c r="A402" s="474" t="s">
        <v>2443</v>
      </c>
      <c r="B402" s="475"/>
      <c r="C402" s="475"/>
      <c r="D402" s="476" t="s">
        <v>42</v>
      </c>
      <c r="E402" s="476"/>
      <c r="F402" s="476"/>
      <c r="G402" s="230" t="s">
        <v>44</v>
      </c>
      <c r="H402" s="476" t="s">
        <v>1813</v>
      </c>
      <c r="I402" s="476"/>
      <c r="J402" s="476" t="s">
        <v>1814</v>
      </c>
      <c r="K402" s="476"/>
      <c r="L402" s="366" t="s">
        <v>1802</v>
      </c>
    </row>
    <row r="403" spans="1:12" ht="29.1" customHeight="1" x14ac:dyDescent="0.25">
      <c r="A403" s="181" t="s">
        <v>2535</v>
      </c>
      <c r="B403" s="509" t="s">
        <v>2536</v>
      </c>
      <c r="C403" s="509"/>
      <c r="D403" s="481" t="s">
        <v>82</v>
      </c>
      <c r="E403" s="481"/>
      <c r="F403" s="481"/>
      <c r="G403" s="231" t="s">
        <v>226</v>
      </c>
      <c r="H403" s="510">
        <v>1.43E-5</v>
      </c>
      <c r="I403" s="510"/>
      <c r="J403" s="511">
        <v>131850</v>
      </c>
      <c r="K403" s="511"/>
      <c r="L403" s="367">
        <f>TRUNC(TRUNC(H403,8)*J403,2)</f>
        <v>1.88</v>
      </c>
    </row>
    <row r="404" spans="1:12" ht="15" customHeight="1" x14ac:dyDescent="0.25">
      <c r="A404" s="182"/>
      <c r="B404" s="183"/>
      <c r="C404" s="183"/>
      <c r="D404" s="183"/>
      <c r="E404" s="183"/>
      <c r="F404" s="183"/>
      <c r="G404" s="183"/>
      <c r="H404" s="477" t="s">
        <v>2446</v>
      </c>
      <c r="I404" s="477"/>
      <c r="J404" s="477"/>
      <c r="K404" s="477"/>
      <c r="L404" s="368">
        <f>SUM(L403:L403)</f>
        <v>1.88</v>
      </c>
    </row>
    <row r="405" spans="1:12" ht="15" customHeight="1" x14ac:dyDescent="0.25">
      <c r="A405" s="182"/>
      <c r="B405" s="183"/>
      <c r="C405" s="183"/>
      <c r="D405" s="183"/>
      <c r="E405" s="183"/>
      <c r="F405" s="183"/>
      <c r="G405" s="183"/>
      <c r="H405" s="482" t="s">
        <v>1834</v>
      </c>
      <c r="I405" s="482"/>
      <c r="J405" s="482"/>
      <c r="K405" s="482"/>
      <c r="L405" s="369">
        <f>ROUND(SUM(L404),2)</f>
        <v>1.88</v>
      </c>
    </row>
    <row r="406" spans="1:12" ht="9.9499999999999993" customHeight="1" x14ac:dyDescent="0.25">
      <c r="A406" s="182"/>
      <c r="B406" s="183"/>
      <c r="C406" s="183"/>
      <c r="D406" s="183"/>
      <c r="E406" s="183"/>
      <c r="F406" s="183"/>
      <c r="G406" s="183"/>
      <c r="H406" s="485"/>
      <c r="I406" s="485"/>
      <c r="J406" s="485"/>
      <c r="K406" s="485"/>
      <c r="L406" s="512"/>
    </row>
    <row r="407" spans="1:12" ht="20.100000000000001" customHeight="1" x14ac:dyDescent="0.25">
      <c r="A407" s="486" t="s">
        <v>2538</v>
      </c>
      <c r="B407" s="487"/>
      <c r="C407" s="487"/>
      <c r="D407" s="487"/>
      <c r="E407" s="487"/>
      <c r="F407" s="487"/>
      <c r="G407" s="487"/>
      <c r="H407" s="487"/>
      <c r="I407" s="487"/>
      <c r="J407" s="487"/>
      <c r="K407" s="487"/>
      <c r="L407" s="513"/>
    </row>
    <row r="408" spans="1:12" ht="15" customHeight="1" x14ac:dyDescent="0.25">
      <c r="A408" s="474" t="s">
        <v>2443</v>
      </c>
      <c r="B408" s="475"/>
      <c r="C408" s="475"/>
      <c r="D408" s="476" t="s">
        <v>42</v>
      </c>
      <c r="E408" s="476"/>
      <c r="F408" s="476"/>
      <c r="G408" s="230" t="s">
        <v>44</v>
      </c>
      <c r="H408" s="476" t="s">
        <v>1813</v>
      </c>
      <c r="I408" s="476"/>
      <c r="J408" s="476" t="s">
        <v>1814</v>
      </c>
      <c r="K408" s="476"/>
      <c r="L408" s="366" t="s">
        <v>1802</v>
      </c>
    </row>
    <row r="409" spans="1:12" ht="29.1" customHeight="1" x14ac:dyDescent="0.25">
      <c r="A409" s="181" t="s">
        <v>2535</v>
      </c>
      <c r="B409" s="509" t="s">
        <v>2536</v>
      </c>
      <c r="C409" s="509"/>
      <c r="D409" s="481" t="s">
        <v>82</v>
      </c>
      <c r="E409" s="481"/>
      <c r="F409" s="481"/>
      <c r="G409" s="231" t="s">
        <v>226</v>
      </c>
      <c r="H409" s="510">
        <v>6.6699999999999995E-5</v>
      </c>
      <c r="I409" s="510"/>
      <c r="J409" s="511">
        <v>131850</v>
      </c>
      <c r="K409" s="511"/>
      <c r="L409" s="367">
        <f>TRUNC(TRUNC(H409,8)*J409,2)</f>
        <v>8.7899999999999991</v>
      </c>
    </row>
    <row r="410" spans="1:12" ht="15" customHeight="1" x14ac:dyDescent="0.25">
      <c r="A410" s="182"/>
      <c r="B410" s="183"/>
      <c r="C410" s="183"/>
      <c r="D410" s="183"/>
      <c r="E410" s="183"/>
      <c r="F410" s="183"/>
      <c r="G410" s="183"/>
      <c r="H410" s="477" t="s">
        <v>2446</v>
      </c>
      <c r="I410" s="477"/>
      <c r="J410" s="477"/>
      <c r="K410" s="477"/>
      <c r="L410" s="368">
        <f>SUM(L409:L409)</f>
        <v>8.7899999999999991</v>
      </c>
    </row>
    <row r="411" spans="1:12" ht="15" customHeight="1" x14ac:dyDescent="0.25">
      <c r="A411" s="182"/>
      <c r="B411" s="183"/>
      <c r="C411" s="183"/>
      <c r="D411" s="183"/>
      <c r="E411" s="183"/>
      <c r="F411" s="183"/>
      <c r="G411" s="183"/>
      <c r="H411" s="482" t="s">
        <v>1834</v>
      </c>
      <c r="I411" s="482"/>
      <c r="J411" s="482"/>
      <c r="K411" s="482"/>
      <c r="L411" s="369">
        <f>ROUND(SUM(L410),2)</f>
        <v>8.7899999999999991</v>
      </c>
    </row>
    <row r="412" spans="1:12" ht="9.9499999999999993" customHeight="1" x14ac:dyDescent="0.25">
      <c r="A412" s="182"/>
      <c r="B412" s="183"/>
      <c r="C412" s="183"/>
      <c r="D412" s="183"/>
      <c r="E412" s="183"/>
      <c r="F412" s="183"/>
      <c r="G412" s="183"/>
      <c r="H412" s="485"/>
      <c r="I412" s="485"/>
      <c r="J412" s="485"/>
      <c r="K412" s="485"/>
      <c r="L412" s="512"/>
    </row>
    <row r="413" spans="1:12" ht="20.100000000000001" customHeight="1" x14ac:dyDescent="0.25">
      <c r="A413" s="486" t="s">
        <v>2539</v>
      </c>
      <c r="B413" s="487"/>
      <c r="C413" s="487"/>
      <c r="D413" s="487"/>
      <c r="E413" s="487"/>
      <c r="F413" s="487"/>
      <c r="G413" s="487"/>
      <c r="H413" s="487"/>
      <c r="I413" s="487"/>
      <c r="J413" s="487"/>
      <c r="K413" s="487"/>
      <c r="L413" s="513"/>
    </row>
    <row r="414" spans="1:12" ht="15" customHeight="1" x14ac:dyDescent="0.25">
      <c r="A414" s="474" t="s">
        <v>1812</v>
      </c>
      <c r="B414" s="475"/>
      <c r="C414" s="475"/>
      <c r="D414" s="476" t="s">
        <v>42</v>
      </c>
      <c r="E414" s="476"/>
      <c r="F414" s="476"/>
      <c r="G414" s="230" t="s">
        <v>44</v>
      </c>
      <c r="H414" s="476" t="s">
        <v>1813</v>
      </c>
      <c r="I414" s="476"/>
      <c r="J414" s="476" t="s">
        <v>1814</v>
      </c>
      <c r="K414" s="476"/>
      <c r="L414" s="366" t="s">
        <v>1802</v>
      </c>
    </row>
    <row r="415" spans="1:12" ht="21" customHeight="1" x14ac:dyDescent="0.25">
      <c r="A415" s="181" t="s">
        <v>2498</v>
      </c>
      <c r="B415" s="509" t="s">
        <v>2499</v>
      </c>
      <c r="C415" s="509"/>
      <c r="D415" s="481" t="s">
        <v>82</v>
      </c>
      <c r="E415" s="481"/>
      <c r="F415" s="481"/>
      <c r="G415" s="231" t="s">
        <v>1006</v>
      </c>
      <c r="H415" s="510">
        <v>2.5</v>
      </c>
      <c r="I415" s="510"/>
      <c r="J415" s="511">
        <v>6.89</v>
      </c>
      <c r="K415" s="511"/>
      <c r="L415" s="367">
        <f>TRUNC(TRUNC(H415,8)*J415,2)</f>
        <v>17.22</v>
      </c>
    </row>
    <row r="416" spans="1:12" ht="15" customHeight="1" x14ac:dyDescent="0.25">
      <c r="A416" s="182"/>
      <c r="B416" s="183"/>
      <c r="C416" s="183"/>
      <c r="D416" s="183"/>
      <c r="E416" s="183"/>
      <c r="F416" s="183"/>
      <c r="G416" s="183"/>
      <c r="H416" s="477" t="s">
        <v>1826</v>
      </c>
      <c r="I416" s="477"/>
      <c r="J416" s="477"/>
      <c r="K416" s="477"/>
      <c r="L416" s="368">
        <f>SUM(L415:L415)</f>
        <v>17.22</v>
      </c>
    </row>
    <row r="417" spans="1:12" ht="15" customHeight="1" x14ac:dyDescent="0.25">
      <c r="A417" s="182"/>
      <c r="B417" s="183"/>
      <c r="C417" s="183"/>
      <c r="D417" s="183"/>
      <c r="E417" s="183"/>
      <c r="F417" s="183"/>
      <c r="G417" s="183"/>
      <c r="H417" s="482" t="s">
        <v>1834</v>
      </c>
      <c r="I417" s="482"/>
      <c r="J417" s="482"/>
      <c r="K417" s="482"/>
      <c r="L417" s="369">
        <f>ROUND(SUM(L416),2)</f>
        <v>17.22</v>
      </c>
    </row>
    <row r="418" spans="1:12" ht="9.9499999999999993" customHeight="1" x14ac:dyDescent="0.25">
      <c r="A418" s="182"/>
      <c r="B418" s="183"/>
      <c r="C418" s="183"/>
      <c r="D418" s="183"/>
      <c r="E418" s="183"/>
      <c r="F418" s="183"/>
      <c r="G418" s="183"/>
      <c r="H418" s="485"/>
      <c r="I418" s="485"/>
      <c r="J418" s="485"/>
      <c r="K418" s="485"/>
      <c r="L418" s="512"/>
    </row>
    <row r="419" spans="1:12" ht="20.100000000000001" customHeight="1" x14ac:dyDescent="0.25">
      <c r="A419" s="486" t="s">
        <v>2540</v>
      </c>
      <c r="B419" s="487"/>
      <c r="C419" s="487"/>
      <c r="D419" s="487"/>
      <c r="E419" s="487"/>
      <c r="F419" s="487"/>
      <c r="G419" s="487"/>
      <c r="H419" s="487"/>
      <c r="I419" s="487"/>
      <c r="J419" s="487"/>
      <c r="K419" s="487"/>
      <c r="L419" s="513"/>
    </row>
    <row r="420" spans="1:12" ht="15" customHeight="1" x14ac:dyDescent="0.25">
      <c r="A420" s="474" t="s">
        <v>2021</v>
      </c>
      <c r="B420" s="475"/>
      <c r="C420" s="475"/>
      <c r="D420" s="476" t="s">
        <v>42</v>
      </c>
      <c r="E420" s="476"/>
      <c r="F420" s="476"/>
      <c r="G420" s="230" t="s">
        <v>44</v>
      </c>
      <c r="H420" s="476" t="s">
        <v>1813</v>
      </c>
      <c r="I420" s="476"/>
      <c r="J420" s="476" t="s">
        <v>1814</v>
      </c>
      <c r="K420" s="476"/>
      <c r="L420" s="366" t="s">
        <v>1802</v>
      </c>
    </row>
    <row r="421" spans="1:12" ht="29.1" customHeight="1" x14ac:dyDescent="0.25">
      <c r="A421" s="181" t="s">
        <v>2541</v>
      </c>
      <c r="B421" s="509" t="s">
        <v>2542</v>
      </c>
      <c r="C421" s="509"/>
      <c r="D421" s="481" t="s">
        <v>82</v>
      </c>
      <c r="E421" s="481"/>
      <c r="F421" s="481"/>
      <c r="G421" s="231" t="s">
        <v>2024</v>
      </c>
      <c r="H421" s="510">
        <v>0.13100000000000001</v>
      </c>
      <c r="I421" s="510"/>
      <c r="J421" s="511">
        <v>0.59</v>
      </c>
      <c r="K421" s="511"/>
      <c r="L421" s="367">
        <f>TRUNC(TRUNC(H421,8)*J421,2)</f>
        <v>7.0000000000000007E-2</v>
      </c>
    </row>
    <row r="422" spans="1:12" ht="29.1" customHeight="1" x14ac:dyDescent="0.25">
      <c r="A422" s="181" t="s">
        <v>2543</v>
      </c>
      <c r="B422" s="509" t="s">
        <v>2544</v>
      </c>
      <c r="C422" s="509"/>
      <c r="D422" s="481" t="s">
        <v>82</v>
      </c>
      <c r="E422" s="481"/>
      <c r="F422" s="481"/>
      <c r="G422" s="231" t="s">
        <v>2027</v>
      </c>
      <c r="H422" s="510">
        <v>0.12</v>
      </c>
      <c r="I422" s="510"/>
      <c r="J422" s="511">
        <v>1.45</v>
      </c>
      <c r="K422" s="511"/>
      <c r="L422" s="367">
        <f>TRUNC(TRUNC(H422,8)*J422,2)</f>
        <v>0.17</v>
      </c>
    </row>
    <row r="423" spans="1:12" ht="18" customHeight="1" x14ac:dyDescent="0.25">
      <c r="A423" s="182"/>
      <c r="B423" s="183"/>
      <c r="C423" s="183"/>
      <c r="D423" s="183"/>
      <c r="E423" s="183"/>
      <c r="F423" s="183"/>
      <c r="G423" s="183"/>
      <c r="H423" s="477" t="s">
        <v>2028</v>
      </c>
      <c r="I423" s="477"/>
      <c r="J423" s="477"/>
      <c r="K423" s="477"/>
      <c r="L423" s="368">
        <f>SUM(L421:L422)</f>
        <v>0.24000000000000002</v>
      </c>
    </row>
    <row r="424" spans="1:12" ht="15" customHeight="1" x14ac:dyDescent="0.25">
      <c r="A424" s="474" t="s">
        <v>1812</v>
      </c>
      <c r="B424" s="475"/>
      <c r="C424" s="475"/>
      <c r="D424" s="476" t="s">
        <v>42</v>
      </c>
      <c r="E424" s="476"/>
      <c r="F424" s="476"/>
      <c r="G424" s="230" t="s">
        <v>44</v>
      </c>
      <c r="H424" s="476" t="s">
        <v>1813</v>
      </c>
      <c r="I424" s="476"/>
      <c r="J424" s="476" t="s">
        <v>1814</v>
      </c>
      <c r="K424" s="476"/>
      <c r="L424" s="366" t="s">
        <v>1802</v>
      </c>
    </row>
    <row r="425" spans="1:12" ht="38.1" customHeight="1" x14ac:dyDescent="0.25">
      <c r="A425" s="181" t="s">
        <v>2545</v>
      </c>
      <c r="B425" s="509" t="s">
        <v>2546</v>
      </c>
      <c r="C425" s="509"/>
      <c r="D425" s="481" t="s">
        <v>82</v>
      </c>
      <c r="E425" s="481"/>
      <c r="F425" s="481"/>
      <c r="G425" s="231" t="s">
        <v>85</v>
      </c>
      <c r="H425" s="510">
        <v>1.103</v>
      </c>
      <c r="I425" s="510"/>
      <c r="J425" s="511">
        <v>654.4</v>
      </c>
      <c r="K425" s="511"/>
      <c r="L425" s="367">
        <f>TRUNC(TRUNC(H425,8)*J425,2)</f>
        <v>721.8</v>
      </c>
    </row>
    <row r="426" spans="1:12" ht="15" customHeight="1" x14ac:dyDescent="0.25">
      <c r="A426" s="182"/>
      <c r="B426" s="183"/>
      <c r="C426" s="183"/>
      <c r="D426" s="183"/>
      <c r="E426" s="183"/>
      <c r="F426" s="183"/>
      <c r="G426" s="183"/>
      <c r="H426" s="477" t="s">
        <v>1826</v>
      </c>
      <c r="I426" s="477"/>
      <c r="J426" s="477"/>
      <c r="K426" s="477"/>
      <c r="L426" s="368">
        <f>SUM(L425:L425)</f>
        <v>721.8</v>
      </c>
    </row>
    <row r="427" spans="1:12" ht="15" customHeight="1" x14ac:dyDescent="0.25">
      <c r="A427" s="474" t="s">
        <v>2190</v>
      </c>
      <c r="B427" s="475"/>
      <c r="C427" s="475"/>
      <c r="D427" s="476" t="s">
        <v>42</v>
      </c>
      <c r="E427" s="476"/>
      <c r="F427" s="476"/>
      <c r="G427" s="230" t="s">
        <v>44</v>
      </c>
      <c r="H427" s="476" t="s">
        <v>1813</v>
      </c>
      <c r="I427" s="476"/>
      <c r="J427" s="476" t="s">
        <v>1814</v>
      </c>
      <c r="K427" s="476"/>
      <c r="L427" s="366" t="s">
        <v>1802</v>
      </c>
    </row>
    <row r="428" spans="1:12" ht="21" customHeight="1" x14ac:dyDescent="0.25">
      <c r="A428" s="181" t="s">
        <v>2547</v>
      </c>
      <c r="B428" s="509" t="s">
        <v>2548</v>
      </c>
      <c r="C428" s="509"/>
      <c r="D428" s="481" t="s">
        <v>82</v>
      </c>
      <c r="E428" s="481"/>
      <c r="F428" s="481"/>
      <c r="G428" s="231" t="s">
        <v>1024</v>
      </c>
      <c r="H428" s="510">
        <v>0.125</v>
      </c>
      <c r="I428" s="510"/>
      <c r="J428" s="511">
        <v>37.880000000000003</v>
      </c>
      <c r="K428" s="511"/>
      <c r="L428" s="367">
        <f>TRUNC(TRUNC(H428,8)*J428,2)</f>
        <v>4.7300000000000004</v>
      </c>
    </row>
    <row r="429" spans="1:12" ht="15" customHeight="1" x14ac:dyDescent="0.25">
      <c r="A429" s="181" t="s">
        <v>2549</v>
      </c>
      <c r="B429" s="509" t="s">
        <v>2550</v>
      </c>
      <c r="C429" s="509"/>
      <c r="D429" s="481" t="s">
        <v>82</v>
      </c>
      <c r="E429" s="481"/>
      <c r="F429" s="481"/>
      <c r="G429" s="231" t="s">
        <v>1024</v>
      </c>
      <c r="H429" s="510">
        <v>0.753</v>
      </c>
      <c r="I429" s="510"/>
      <c r="J429" s="511">
        <v>36.29</v>
      </c>
      <c r="K429" s="511"/>
      <c r="L429" s="367">
        <f>TRUNC(TRUNC(H429,8)*J429,2)</f>
        <v>27.32</v>
      </c>
    </row>
    <row r="430" spans="1:12" ht="15" customHeight="1" x14ac:dyDescent="0.25">
      <c r="A430" s="181" t="s">
        <v>2375</v>
      </c>
      <c r="B430" s="509" t="s">
        <v>2376</v>
      </c>
      <c r="C430" s="509"/>
      <c r="D430" s="481" t="s">
        <v>82</v>
      </c>
      <c r="E430" s="481"/>
      <c r="F430" s="481"/>
      <c r="G430" s="231" t="s">
        <v>1024</v>
      </c>
      <c r="H430" s="510">
        <v>0.82599999999999996</v>
      </c>
      <c r="I430" s="510"/>
      <c r="J430" s="511">
        <v>28.97</v>
      </c>
      <c r="K430" s="511"/>
      <c r="L430" s="367">
        <f>TRUNC(TRUNC(H430,8)*J430,2)</f>
        <v>23.92</v>
      </c>
    </row>
    <row r="431" spans="1:12" ht="18" customHeight="1" x14ac:dyDescent="0.25">
      <c r="A431" s="182"/>
      <c r="B431" s="183"/>
      <c r="C431" s="183"/>
      <c r="D431" s="183"/>
      <c r="E431" s="183"/>
      <c r="F431" s="183"/>
      <c r="G431" s="183"/>
      <c r="H431" s="477" t="s">
        <v>2195</v>
      </c>
      <c r="I431" s="477"/>
      <c r="J431" s="477"/>
      <c r="K431" s="477"/>
      <c r="L431" s="368">
        <f>SUM(L428:L430)</f>
        <v>55.97</v>
      </c>
    </row>
    <row r="432" spans="1:12" ht="15" customHeight="1" x14ac:dyDescent="0.25">
      <c r="A432" s="182"/>
      <c r="B432" s="183"/>
      <c r="C432" s="183"/>
      <c r="D432" s="183"/>
      <c r="E432" s="183"/>
      <c r="F432" s="183"/>
      <c r="G432" s="183"/>
      <c r="H432" s="482" t="s">
        <v>1834</v>
      </c>
      <c r="I432" s="482"/>
      <c r="J432" s="482"/>
      <c r="K432" s="482"/>
      <c r="L432" s="369">
        <f>ROUND(SUM(L423,L426,L431),2)</f>
        <v>778.01</v>
      </c>
    </row>
    <row r="433" spans="1:12" ht="9.9499999999999993" customHeight="1" x14ac:dyDescent="0.25">
      <c r="A433" s="182"/>
      <c r="B433" s="183"/>
      <c r="C433" s="183"/>
      <c r="D433" s="183"/>
      <c r="E433" s="183"/>
      <c r="F433" s="183"/>
      <c r="G433" s="183"/>
      <c r="H433" s="485"/>
      <c r="I433" s="485"/>
      <c r="J433" s="485"/>
      <c r="K433" s="485"/>
      <c r="L433" s="512"/>
    </row>
    <row r="434" spans="1:12" ht="20.100000000000001" customHeight="1" x14ac:dyDescent="0.25">
      <c r="A434" s="486" t="s">
        <v>2551</v>
      </c>
      <c r="B434" s="487"/>
      <c r="C434" s="487"/>
      <c r="D434" s="487"/>
      <c r="E434" s="487"/>
      <c r="F434" s="487"/>
      <c r="G434" s="487"/>
      <c r="H434" s="487"/>
      <c r="I434" s="487"/>
      <c r="J434" s="487"/>
      <c r="K434" s="487"/>
      <c r="L434" s="513"/>
    </row>
    <row r="435" spans="1:12" ht="15" customHeight="1" x14ac:dyDescent="0.25">
      <c r="A435" s="474" t="s">
        <v>2021</v>
      </c>
      <c r="B435" s="475"/>
      <c r="C435" s="475"/>
      <c r="D435" s="476" t="s">
        <v>42</v>
      </c>
      <c r="E435" s="476"/>
      <c r="F435" s="476"/>
      <c r="G435" s="230" t="s">
        <v>44</v>
      </c>
      <c r="H435" s="476" t="s">
        <v>1813</v>
      </c>
      <c r="I435" s="476"/>
      <c r="J435" s="476" t="s">
        <v>1814</v>
      </c>
      <c r="K435" s="476"/>
      <c r="L435" s="366" t="s">
        <v>1802</v>
      </c>
    </row>
    <row r="436" spans="1:12" ht="38.1" customHeight="1" x14ac:dyDescent="0.25">
      <c r="A436" s="181" t="s">
        <v>2552</v>
      </c>
      <c r="B436" s="509" t="s">
        <v>2553</v>
      </c>
      <c r="C436" s="509"/>
      <c r="D436" s="481" t="s">
        <v>82</v>
      </c>
      <c r="E436" s="481"/>
      <c r="F436" s="481"/>
      <c r="G436" s="231" t="s">
        <v>2024</v>
      </c>
      <c r="H436" s="510">
        <v>0.71030000000000004</v>
      </c>
      <c r="I436" s="510"/>
      <c r="J436" s="511">
        <v>0.4</v>
      </c>
      <c r="K436" s="511"/>
      <c r="L436" s="367">
        <f>TRUNC(TRUNC(H436,8)*J436,2)</f>
        <v>0.28000000000000003</v>
      </c>
    </row>
    <row r="437" spans="1:12" ht="38.1" customHeight="1" x14ac:dyDescent="0.25">
      <c r="A437" s="181" t="s">
        <v>2554</v>
      </c>
      <c r="B437" s="509" t="s">
        <v>2555</v>
      </c>
      <c r="C437" s="509"/>
      <c r="D437" s="481" t="s">
        <v>82</v>
      </c>
      <c r="E437" s="481"/>
      <c r="F437" s="481"/>
      <c r="G437" s="231" t="s">
        <v>2027</v>
      </c>
      <c r="H437" s="510">
        <v>0.75339999999999996</v>
      </c>
      <c r="I437" s="510"/>
      <c r="J437" s="511">
        <v>1.96</v>
      </c>
      <c r="K437" s="511"/>
      <c r="L437" s="367">
        <f>TRUNC(TRUNC(H437,8)*J437,2)</f>
        <v>1.47</v>
      </c>
    </row>
    <row r="438" spans="1:12" ht="18" customHeight="1" x14ac:dyDescent="0.25">
      <c r="A438" s="182"/>
      <c r="B438" s="183"/>
      <c r="C438" s="183"/>
      <c r="D438" s="183"/>
      <c r="E438" s="183"/>
      <c r="F438" s="183"/>
      <c r="G438" s="183"/>
      <c r="H438" s="477" t="s">
        <v>2028</v>
      </c>
      <c r="I438" s="477"/>
      <c r="J438" s="477"/>
      <c r="K438" s="477"/>
      <c r="L438" s="368">
        <f>SUM(L436:L437)</f>
        <v>1.75</v>
      </c>
    </row>
    <row r="439" spans="1:12" ht="15" customHeight="1" x14ac:dyDescent="0.25">
      <c r="A439" s="474" t="s">
        <v>1812</v>
      </c>
      <c r="B439" s="475"/>
      <c r="C439" s="475"/>
      <c r="D439" s="476" t="s">
        <v>42</v>
      </c>
      <c r="E439" s="476"/>
      <c r="F439" s="476"/>
      <c r="G439" s="230" t="s">
        <v>44</v>
      </c>
      <c r="H439" s="476" t="s">
        <v>1813</v>
      </c>
      <c r="I439" s="476"/>
      <c r="J439" s="476" t="s">
        <v>1814</v>
      </c>
      <c r="K439" s="476"/>
      <c r="L439" s="366" t="s">
        <v>1802</v>
      </c>
    </row>
    <row r="440" spans="1:12" ht="21" customHeight="1" x14ac:dyDescent="0.25">
      <c r="A440" s="181" t="s">
        <v>2220</v>
      </c>
      <c r="B440" s="509" t="s">
        <v>2221</v>
      </c>
      <c r="C440" s="509"/>
      <c r="D440" s="481" t="s">
        <v>82</v>
      </c>
      <c r="E440" s="481"/>
      <c r="F440" s="481"/>
      <c r="G440" s="231" t="s">
        <v>85</v>
      </c>
      <c r="H440" s="510">
        <v>0.72289999999999999</v>
      </c>
      <c r="I440" s="510"/>
      <c r="J440" s="511">
        <v>90</v>
      </c>
      <c r="K440" s="511"/>
      <c r="L440" s="367">
        <f>TRUNC(TRUNC(H440,8)*J440,2)</f>
        <v>65.06</v>
      </c>
    </row>
    <row r="441" spans="1:12" ht="15" customHeight="1" x14ac:dyDescent="0.25">
      <c r="A441" s="181" t="s">
        <v>2373</v>
      </c>
      <c r="B441" s="509" t="s">
        <v>2374</v>
      </c>
      <c r="C441" s="509"/>
      <c r="D441" s="481" t="s">
        <v>82</v>
      </c>
      <c r="E441" s="481"/>
      <c r="F441" s="481"/>
      <c r="G441" s="231" t="s">
        <v>1817</v>
      </c>
      <c r="H441" s="510">
        <v>362.65789999999998</v>
      </c>
      <c r="I441" s="510"/>
      <c r="J441" s="511">
        <v>0.7</v>
      </c>
      <c r="K441" s="511"/>
      <c r="L441" s="367">
        <f>TRUNC(TRUNC(H441,8)*J441,2)</f>
        <v>253.86</v>
      </c>
    </row>
    <row r="442" spans="1:12" ht="21" customHeight="1" x14ac:dyDescent="0.25">
      <c r="A442" s="181" t="s">
        <v>2556</v>
      </c>
      <c r="B442" s="509" t="s">
        <v>2557</v>
      </c>
      <c r="C442" s="509"/>
      <c r="D442" s="481" t="s">
        <v>82</v>
      </c>
      <c r="E442" s="481"/>
      <c r="F442" s="481"/>
      <c r="G442" s="231" t="s">
        <v>85</v>
      </c>
      <c r="H442" s="510">
        <v>0.59340000000000004</v>
      </c>
      <c r="I442" s="510"/>
      <c r="J442" s="511">
        <v>151.19999999999999</v>
      </c>
      <c r="K442" s="511"/>
      <c r="L442" s="367">
        <f>TRUNC(TRUNC(H442,8)*J442,2)</f>
        <v>89.72</v>
      </c>
    </row>
    <row r="443" spans="1:12" ht="15" customHeight="1" x14ac:dyDescent="0.25">
      <c r="A443" s="182"/>
      <c r="B443" s="183"/>
      <c r="C443" s="183"/>
      <c r="D443" s="183"/>
      <c r="E443" s="183"/>
      <c r="F443" s="183"/>
      <c r="G443" s="183"/>
      <c r="H443" s="477" t="s">
        <v>1826</v>
      </c>
      <c r="I443" s="477"/>
      <c r="J443" s="477"/>
      <c r="K443" s="477"/>
      <c r="L443" s="368">
        <f>SUM(L440:L442)</f>
        <v>408.64</v>
      </c>
    </row>
    <row r="444" spans="1:12" ht="15" customHeight="1" x14ac:dyDescent="0.25">
      <c r="A444" s="474" t="s">
        <v>2190</v>
      </c>
      <c r="B444" s="475"/>
      <c r="C444" s="475"/>
      <c r="D444" s="476" t="s">
        <v>42</v>
      </c>
      <c r="E444" s="476"/>
      <c r="F444" s="476"/>
      <c r="G444" s="230" t="s">
        <v>44</v>
      </c>
      <c r="H444" s="476" t="s">
        <v>1813</v>
      </c>
      <c r="I444" s="476"/>
      <c r="J444" s="476" t="s">
        <v>1814</v>
      </c>
      <c r="K444" s="476"/>
      <c r="L444" s="366" t="s">
        <v>1802</v>
      </c>
    </row>
    <row r="445" spans="1:12" ht="21" customHeight="1" x14ac:dyDescent="0.25">
      <c r="A445" s="181" t="s">
        <v>2558</v>
      </c>
      <c r="B445" s="509" t="s">
        <v>2559</v>
      </c>
      <c r="C445" s="509"/>
      <c r="D445" s="481" t="s">
        <v>82</v>
      </c>
      <c r="E445" s="481"/>
      <c r="F445" s="481"/>
      <c r="G445" s="231" t="s">
        <v>1024</v>
      </c>
      <c r="H445" s="510">
        <v>1.4637</v>
      </c>
      <c r="I445" s="510"/>
      <c r="J445" s="511">
        <v>35.46</v>
      </c>
      <c r="K445" s="511"/>
      <c r="L445" s="367">
        <f>TRUNC(TRUNC(H445,8)*J445,2)</f>
        <v>51.9</v>
      </c>
    </row>
    <row r="446" spans="1:12" ht="15" customHeight="1" x14ac:dyDescent="0.25">
      <c r="A446" s="181" t="s">
        <v>2375</v>
      </c>
      <c r="B446" s="509" t="s">
        <v>2376</v>
      </c>
      <c r="C446" s="509"/>
      <c r="D446" s="481" t="s">
        <v>82</v>
      </c>
      <c r="E446" s="481"/>
      <c r="F446" s="481"/>
      <c r="G446" s="231" t="s">
        <v>1024</v>
      </c>
      <c r="H446" s="510">
        <v>2.3117000000000001</v>
      </c>
      <c r="I446" s="510"/>
      <c r="J446" s="511">
        <v>28.97</v>
      </c>
      <c r="K446" s="511"/>
      <c r="L446" s="367">
        <f>TRUNC(TRUNC(H446,8)*J446,2)</f>
        <v>66.959999999999994</v>
      </c>
    </row>
    <row r="447" spans="1:12" ht="18" customHeight="1" x14ac:dyDescent="0.25">
      <c r="A447" s="182"/>
      <c r="B447" s="183"/>
      <c r="C447" s="183"/>
      <c r="D447" s="183"/>
      <c r="E447" s="183"/>
      <c r="F447" s="183"/>
      <c r="G447" s="183"/>
      <c r="H447" s="477" t="s">
        <v>2195</v>
      </c>
      <c r="I447" s="477"/>
      <c r="J447" s="477"/>
      <c r="K447" s="477"/>
      <c r="L447" s="368">
        <f>SUM(L445:L446)</f>
        <v>118.85999999999999</v>
      </c>
    </row>
    <row r="448" spans="1:12" ht="15" customHeight="1" x14ac:dyDescent="0.25">
      <c r="A448" s="182"/>
      <c r="B448" s="183"/>
      <c r="C448" s="183"/>
      <c r="D448" s="183"/>
      <c r="E448" s="183"/>
      <c r="F448" s="183"/>
      <c r="G448" s="183"/>
      <c r="H448" s="482" t="s">
        <v>1834</v>
      </c>
      <c r="I448" s="482"/>
      <c r="J448" s="482"/>
      <c r="K448" s="482"/>
      <c r="L448" s="369">
        <f>ROUND(SUM(L438,L443,L447),2)</f>
        <v>529.25</v>
      </c>
    </row>
    <row r="449" spans="1:12" ht="9.9499999999999993" customHeight="1" x14ac:dyDescent="0.25">
      <c r="A449" s="182"/>
      <c r="B449" s="183"/>
      <c r="C449" s="183"/>
      <c r="D449" s="183"/>
      <c r="E449" s="183"/>
      <c r="F449" s="183"/>
      <c r="G449" s="183"/>
      <c r="H449" s="485"/>
      <c r="I449" s="485"/>
      <c r="J449" s="485"/>
      <c r="K449" s="485"/>
      <c r="L449" s="512"/>
    </row>
    <row r="450" spans="1:12" ht="20.100000000000001" customHeight="1" x14ac:dyDescent="0.25">
      <c r="A450" s="486" t="s">
        <v>2560</v>
      </c>
      <c r="B450" s="487"/>
      <c r="C450" s="487"/>
      <c r="D450" s="487"/>
      <c r="E450" s="487"/>
      <c r="F450" s="487"/>
      <c r="G450" s="487"/>
      <c r="H450" s="487"/>
      <c r="I450" s="487"/>
      <c r="J450" s="487"/>
      <c r="K450" s="487"/>
      <c r="L450" s="513"/>
    </row>
    <row r="451" spans="1:12" ht="15" customHeight="1" x14ac:dyDescent="0.25">
      <c r="A451" s="474" t="s">
        <v>1812</v>
      </c>
      <c r="B451" s="475"/>
      <c r="C451" s="475"/>
      <c r="D451" s="476" t="s">
        <v>42</v>
      </c>
      <c r="E451" s="476"/>
      <c r="F451" s="476"/>
      <c r="G451" s="230" t="s">
        <v>44</v>
      </c>
      <c r="H451" s="476" t="s">
        <v>1813</v>
      </c>
      <c r="I451" s="476"/>
      <c r="J451" s="476" t="s">
        <v>1814</v>
      </c>
      <c r="K451" s="476"/>
      <c r="L451" s="366" t="s">
        <v>1802</v>
      </c>
    </row>
    <row r="452" spans="1:12" ht="21" customHeight="1" x14ac:dyDescent="0.25">
      <c r="A452" s="181" t="s">
        <v>2561</v>
      </c>
      <c r="B452" s="509" t="s">
        <v>2562</v>
      </c>
      <c r="C452" s="509"/>
      <c r="D452" s="481" t="s">
        <v>82</v>
      </c>
      <c r="E452" s="481"/>
      <c r="F452" s="481"/>
      <c r="G452" s="231" t="s">
        <v>226</v>
      </c>
      <c r="H452" s="510">
        <v>1</v>
      </c>
      <c r="I452" s="510"/>
      <c r="J452" s="511">
        <v>9.94</v>
      </c>
      <c r="K452" s="511"/>
      <c r="L452" s="367">
        <f>TRUNC(TRUNC(H452,8)*J452,2)</f>
        <v>9.94</v>
      </c>
    </row>
    <row r="453" spans="1:12" ht="15" customHeight="1" x14ac:dyDescent="0.25">
      <c r="A453" s="182"/>
      <c r="B453" s="183"/>
      <c r="C453" s="183"/>
      <c r="D453" s="183"/>
      <c r="E453" s="183"/>
      <c r="F453" s="183"/>
      <c r="G453" s="183"/>
      <c r="H453" s="477" t="s">
        <v>1826</v>
      </c>
      <c r="I453" s="477"/>
      <c r="J453" s="477"/>
      <c r="K453" s="477"/>
      <c r="L453" s="368">
        <f>SUM(L452:L452)</f>
        <v>9.94</v>
      </c>
    </row>
    <row r="454" spans="1:12" ht="15" customHeight="1" x14ac:dyDescent="0.25">
      <c r="A454" s="474" t="s">
        <v>2190</v>
      </c>
      <c r="B454" s="475"/>
      <c r="C454" s="475"/>
      <c r="D454" s="476" t="s">
        <v>42</v>
      </c>
      <c r="E454" s="476"/>
      <c r="F454" s="476"/>
      <c r="G454" s="230" t="s">
        <v>44</v>
      </c>
      <c r="H454" s="476" t="s">
        <v>1813</v>
      </c>
      <c r="I454" s="476"/>
      <c r="J454" s="476" t="s">
        <v>1814</v>
      </c>
      <c r="K454" s="476"/>
      <c r="L454" s="366" t="s">
        <v>1802</v>
      </c>
    </row>
    <row r="455" spans="1:12" ht="21" customHeight="1" x14ac:dyDescent="0.25">
      <c r="A455" s="181" t="s">
        <v>2191</v>
      </c>
      <c r="B455" s="509" t="s">
        <v>2192</v>
      </c>
      <c r="C455" s="509"/>
      <c r="D455" s="481" t="s">
        <v>82</v>
      </c>
      <c r="E455" s="481"/>
      <c r="F455" s="481"/>
      <c r="G455" s="231" t="s">
        <v>1024</v>
      </c>
      <c r="H455" s="510">
        <v>0.18629999999999999</v>
      </c>
      <c r="I455" s="510"/>
      <c r="J455" s="511">
        <v>31.67</v>
      </c>
      <c r="K455" s="511"/>
      <c r="L455" s="367">
        <f>TRUNC(TRUNC(H455,8)*J455,2)</f>
        <v>5.9</v>
      </c>
    </row>
    <row r="456" spans="1:12" ht="15" customHeight="1" x14ac:dyDescent="0.25">
      <c r="A456" s="181" t="s">
        <v>2193</v>
      </c>
      <c r="B456" s="509" t="s">
        <v>2194</v>
      </c>
      <c r="C456" s="509"/>
      <c r="D456" s="481" t="s">
        <v>82</v>
      </c>
      <c r="E456" s="481"/>
      <c r="F456" s="481"/>
      <c r="G456" s="231" t="s">
        <v>1024</v>
      </c>
      <c r="H456" s="510">
        <v>0.18629999999999999</v>
      </c>
      <c r="I456" s="510"/>
      <c r="J456" s="511">
        <v>44.2</v>
      </c>
      <c r="K456" s="511"/>
      <c r="L456" s="367">
        <f>TRUNC(TRUNC(H456,8)*J456,2)</f>
        <v>8.23</v>
      </c>
    </row>
    <row r="457" spans="1:12" ht="18" customHeight="1" x14ac:dyDescent="0.25">
      <c r="A457" s="182"/>
      <c r="B457" s="183"/>
      <c r="C457" s="183"/>
      <c r="D457" s="183"/>
      <c r="E457" s="183"/>
      <c r="F457" s="183"/>
      <c r="G457" s="183"/>
      <c r="H457" s="477" t="s">
        <v>2195</v>
      </c>
      <c r="I457" s="477"/>
      <c r="J457" s="477"/>
      <c r="K457" s="477"/>
      <c r="L457" s="368">
        <f>SUM(L455:L456)</f>
        <v>14.13</v>
      </c>
    </row>
    <row r="458" spans="1:12" ht="15" customHeight="1" x14ac:dyDescent="0.25">
      <c r="A458" s="182"/>
      <c r="B458" s="183"/>
      <c r="C458" s="183"/>
      <c r="D458" s="183"/>
      <c r="E458" s="183"/>
      <c r="F458" s="183"/>
      <c r="G458" s="183"/>
      <c r="H458" s="482" t="s">
        <v>1834</v>
      </c>
      <c r="I458" s="482"/>
      <c r="J458" s="482"/>
      <c r="K458" s="482"/>
      <c r="L458" s="369">
        <f>ROUND(SUM(L453,L457),2)</f>
        <v>24.07</v>
      </c>
    </row>
    <row r="459" spans="1:12" ht="9.9499999999999993" customHeight="1" x14ac:dyDescent="0.25">
      <c r="A459" s="182"/>
      <c r="B459" s="183"/>
      <c r="C459" s="183"/>
      <c r="D459" s="183"/>
      <c r="E459" s="183"/>
      <c r="F459" s="183"/>
      <c r="G459" s="183"/>
      <c r="H459" s="485"/>
      <c r="I459" s="485"/>
      <c r="J459" s="485"/>
      <c r="K459" s="485"/>
      <c r="L459" s="512"/>
    </row>
    <row r="460" spans="1:12" ht="20.100000000000001" customHeight="1" x14ac:dyDescent="0.25">
      <c r="A460" s="486" t="s">
        <v>2563</v>
      </c>
      <c r="B460" s="487"/>
      <c r="C460" s="487"/>
      <c r="D460" s="487"/>
      <c r="E460" s="487"/>
      <c r="F460" s="487"/>
      <c r="G460" s="487"/>
      <c r="H460" s="487"/>
      <c r="I460" s="487"/>
      <c r="J460" s="487"/>
      <c r="K460" s="487"/>
      <c r="L460" s="513"/>
    </row>
    <row r="461" spans="1:12" ht="15" customHeight="1" x14ac:dyDescent="0.25">
      <c r="A461" s="474" t="s">
        <v>1812</v>
      </c>
      <c r="B461" s="475"/>
      <c r="C461" s="475"/>
      <c r="D461" s="476" t="s">
        <v>42</v>
      </c>
      <c r="E461" s="476"/>
      <c r="F461" s="476"/>
      <c r="G461" s="230" t="s">
        <v>44</v>
      </c>
      <c r="H461" s="476" t="s">
        <v>1813</v>
      </c>
      <c r="I461" s="476"/>
      <c r="J461" s="476" t="s">
        <v>1814</v>
      </c>
      <c r="K461" s="476"/>
      <c r="L461" s="366" t="s">
        <v>1802</v>
      </c>
    </row>
    <row r="462" spans="1:12" ht="15" customHeight="1" x14ac:dyDescent="0.25">
      <c r="A462" s="181" t="s">
        <v>2564</v>
      </c>
      <c r="B462" s="509" t="s">
        <v>2565</v>
      </c>
      <c r="C462" s="509"/>
      <c r="D462" s="481" t="s">
        <v>82</v>
      </c>
      <c r="E462" s="481"/>
      <c r="F462" s="481"/>
      <c r="G462" s="231" t="s">
        <v>188</v>
      </c>
      <c r="H462" s="510">
        <v>1.05</v>
      </c>
      <c r="I462" s="510"/>
      <c r="J462" s="511">
        <v>68.5</v>
      </c>
      <c r="K462" s="511"/>
      <c r="L462" s="367">
        <f>TRUNC(TRUNC(H462,8)*J462,2)</f>
        <v>71.92</v>
      </c>
    </row>
    <row r="463" spans="1:12" ht="15" customHeight="1" x14ac:dyDescent="0.25">
      <c r="A463" s="182"/>
      <c r="B463" s="183"/>
      <c r="C463" s="183"/>
      <c r="D463" s="183"/>
      <c r="E463" s="183"/>
      <c r="F463" s="183"/>
      <c r="G463" s="183"/>
      <c r="H463" s="477" t="s">
        <v>1826</v>
      </c>
      <c r="I463" s="477"/>
      <c r="J463" s="477"/>
      <c r="K463" s="477"/>
      <c r="L463" s="368">
        <f>SUM(L462:L462)</f>
        <v>71.92</v>
      </c>
    </row>
    <row r="464" spans="1:12" ht="15" customHeight="1" x14ac:dyDescent="0.25">
      <c r="A464" s="474" t="s">
        <v>2190</v>
      </c>
      <c r="B464" s="475"/>
      <c r="C464" s="475"/>
      <c r="D464" s="476" t="s">
        <v>42</v>
      </c>
      <c r="E464" s="476"/>
      <c r="F464" s="476"/>
      <c r="G464" s="230" t="s">
        <v>44</v>
      </c>
      <c r="H464" s="476" t="s">
        <v>1813</v>
      </c>
      <c r="I464" s="476"/>
      <c r="J464" s="476" t="s">
        <v>1814</v>
      </c>
      <c r="K464" s="476"/>
      <c r="L464" s="366" t="s">
        <v>1802</v>
      </c>
    </row>
    <row r="465" spans="1:12" ht="21" customHeight="1" x14ac:dyDescent="0.25">
      <c r="A465" s="181" t="s">
        <v>2191</v>
      </c>
      <c r="B465" s="509" t="s">
        <v>2192</v>
      </c>
      <c r="C465" s="509"/>
      <c r="D465" s="481" t="s">
        <v>82</v>
      </c>
      <c r="E465" s="481"/>
      <c r="F465" s="481"/>
      <c r="G465" s="231" t="s">
        <v>1024</v>
      </c>
      <c r="H465" s="510">
        <v>3.3099999999999997E-2</v>
      </c>
      <c r="I465" s="510"/>
      <c r="J465" s="511">
        <v>31.67</v>
      </c>
      <c r="K465" s="511"/>
      <c r="L465" s="367">
        <f>TRUNC(TRUNC(H465,8)*J465,2)</f>
        <v>1.04</v>
      </c>
    </row>
    <row r="466" spans="1:12" ht="15" customHeight="1" x14ac:dyDescent="0.25">
      <c r="A466" s="181" t="s">
        <v>2193</v>
      </c>
      <c r="B466" s="509" t="s">
        <v>2194</v>
      </c>
      <c r="C466" s="509"/>
      <c r="D466" s="481" t="s">
        <v>82</v>
      </c>
      <c r="E466" s="481"/>
      <c r="F466" s="481"/>
      <c r="G466" s="231" t="s">
        <v>1024</v>
      </c>
      <c r="H466" s="510">
        <v>3.3099999999999997E-2</v>
      </c>
      <c r="I466" s="510"/>
      <c r="J466" s="511">
        <v>44.2</v>
      </c>
      <c r="K466" s="511"/>
      <c r="L466" s="367">
        <f>TRUNC(TRUNC(H466,8)*J466,2)</f>
        <v>1.46</v>
      </c>
    </row>
    <row r="467" spans="1:12" ht="18" customHeight="1" x14ac:dyDescent="0.25">
      <c r="A467" s="182"/>
      <c r="B467" s="183"/>
      <c r="C467" s="183"/>
      <c r="D467" s="183"/>
      <c r="E467" s="183"/>
      <c r="F467" s="183"/>
      <c r="G467" s="183"/>
      <c r="H467" s="477" t="s">
        <v>2195</v>
      </c>
      <c r="I467" s="477"/>
      <c r="J467" s="477"/>
      <c r="K467" s="477"/>
      <c r="L467" s="368">
        <f>SUM(L465:L466)</f>
        <v>2.5</v>
      </c>
    </row>
    <row r="468" spans="1:12" ht="15" customHeight="1" x14ac:dyDescent="0.25">
      <c r="A468" s="182"/>
      <c r="B468" s="183"/>
      <c r="C468" s="183"/>
      <c r="D468" s="183"/>
      <c r="E468" s="183"/>
      <c r="F468" s="183"/>
      <c r="G468" s="183"/>
      <c r="H468" s="482" t="s">
        <v>1834</v>
      </c>
      <c r="I468" s="482"/>
      <c r="J468" s="482"/>
      <c r="K468" s="482"/>
      <c r="L468" s="369">
        <f>ROUND(SUM(L463,L467),2)</f>
        <v>74.42</v>
      </c>
    </row>
    <row r="469" spans="1:12" ht="9.9499999999999993" customHeight="1" x14ac:dyDescent="0.25">
      <c r="A469" s="182"/>
      <c r="B469" s="183"/>
      <c r="C469" s="183"/>
      <c r="D469" s="183"/>
      <c r="E469" s="183"/>
      <c r="F469" s="183"/>
      <c r="G469" s="183"/>
      <c r="H469" s="485"/>
      <c r="I469" s="485"/>
      <c r="J469" s="485"/>
      <c r="K469" s="485"/>
      <c r="L469" s="512"/>
    </row>
    <row r="470" spans="1:12" ht="20.100000000000001" customHeight="1" x14ac:dyDescent="0.25">
      <c r="A470" s="486" t="s">
        <v>2566</v>
      </c>
      <c r="B470" s="487"/>
      <c r="C470" s="487"/>
      <c r="D470" s="487"/>
      <c r="E470" s="487"/>
      <c r="F470" s="487"/>
      <c r="G470" s="487"/>
      <c r="H470" s="487"/>
      <c r="I470" s="487"/>
      <c r="J470" s="487"/>
      <c r="K470" s="487"/>
      <c r="L470" s="513"/>
    </row>
    <row r="471" spans="1:12" ht="15" customHeight="1" x14ac:dyDescent="0.25">
      <c r="A471" s="474" t="s">
        <v>1812</v>
      </c>
      <c r="B471" s="475"/>
      <c r="C471" s="475"/>
      <c r="D471" s="476" t="s">
        <v>42</v>
      </c>
      <c r="E471" s="476"/>
      <c r="F471" s="476"/>
      <c r="G471" s="230" t="s">
        <v>44</v>
      </c>
      <c r="H471" s="476" t="s">
        <v>1813</v>
      </c>
      <c r="I471" s="476"/>
      <c r="J471" s="476" t="s">
        <v>1814</v>
      </c>
      <c r="K471" s="476"/>
      <c r="L471" s="366" t="s">
        <v>1802</v>
      </c>
    </row>
    <row r="472" spans="1:12" ht="15" customHeight="1" x14ac:dyDescent="0.25">
      <c r="A472" s="181" t="s">
        <v>2567</v>
      </c>
      <c r="B472" s="509" t="s">
        <v>2568</v>
      </c>
      <c r="C472" s="509"/>
      <c r="D472" s="481" t="s">
        <v>82</v>
      </c>
      <c r="E472" s="481"/>
      <c r="F472" s="481"/>
      <c r="G472" s="231" t="s">
        <v>1817</v>
      </c>
      <c r="H472" s="510">
        <v>1.1100000000000001</v>
      </c>
      <c r="I472" s="510"/>
      <c r="J472" s="511">
        <v>8.89</v>
      </c>
      <c r="K472" s="511"/>
      <c r="L472" s="367">
        <f>TRUNC(TRUNC(H472,8)*J472,2)</f>
        <v>9.86</v>
      </c>
    </row>
    <row r="473" spans="1:12" ht="15" customHeight="1" x14ac:dyDescent="0.25">
      <c r="A473" s="182"/>
      <c r="B473" s="183"/>
      <c r="C473" s="183"/>
      <c r="D473" s="183"/>
      <c r="E473" s="183"/>
      <c r="F473" s="183"/>
      <c r="G473" s="183"/>
      <c r="H473" s="477" t="s">
        <v>1826</v>
      </c>
      <c r="I473" s="477"/>
      <c r="J473" s="477"/>
      <c r="K473" s="477"/>
      <c r="L473" s="368">
        <f>SUM(L472:L472)</f>
        <v>9.86</v>
      </c>
    </row>
    <row r="474" spans="1:12" ht="15" customHeight="1" x14ac:dyDescent="0.25">
      <c r="A474" s="474" t="s">
        <v>2190</v>
      </c>
      <c r="B474" s="475"/>
      <c r="C474" s="475"/>
      <c r="D474" s="476" t="s">
        <v>42</v>
      </c>
      <c r="E474" s="476"/>
      <c r="F474" s="476"/>
      <c r="G474" s="230" t="s">
        <v>44</v>
      </c>
      <c r="H474" s="476" t="s">
        <v>1813</v>
      </c>
      <c r="I474" s="476"/>
      <c r="J474" s="476" t="s">
        <v>1814</v>
      </c>
      <c r="K474" s="476"/>
      <c r="L474" s="366" t="s">
        <v>1802</v>
      </c>
    </row>
    <row r="475" spans="1:12" ht="21" customHeight="1" x14ac:dyDescent="0.25">
      <c r="A475" s="181" t="s">
        <v>2387</v>
      </c>
      <c r="B475" s="509" t="s">
        <v>2388</v>
      </c>
      <c r="C475" s="509"/>
      <c r="D475" s="481" t="s">
        <v>82</v>
      </c>
      <c r="E475" s="481"/>
      <c r="F475" s="481"/>
      <c r="G475" s="231" t="s">
        <v>1024</v>
      </c>
      <c r="H475" s="510">
        <v>1.4E-3</v>
      </c>
      <c r="I475" s="510"/>
      <c r="J475" s="511">
        <v>31.13</v>
      </c>
      <c r="K475" s="511"/>
      <c r="L475" s="367">
        <f>TRUNC(TRUNC(H475,8)*J475,2)</f>
        <v>0.04</v>
      </c>
    </row>
    <row r="476" spans="1:12" ht="15" customHeight="1" x14ac:dyDescent="0.25">
      <c r="A476" s="181" t="s">
        <v>2389</v>
      </c>
      <c r="B476" s="509" t="s">
        <v>2390</v>
      </c>
      <c r="C476" s="509"/>
      <c r="D476" s="481" t="s">
        <v>82</v>
      </c>
      <c r="E476" s="481"/>
      <c r="F476" s="481"/>
      <c r="G476" s="231" t="s">
        <v>1024</v>
      </c>
      <c r="H476" s="510">
        <v>8.8000000000000005E-3</v>
      </c>
      <c r="I476" s="510"/>
      <c r="J476" s="511">
        <v>36.06</v>
      </c>
      <c r="K476" s="511"/>
      <c r="L476" s="367">
        <f>TRUNC(TRUNC(H476,8)*J476,2)</f>
        <v>0.31</v>
      </c>
    </row>
    <row r="477" spans="1:12" ht="18" customHeight="1" x14ac:dyDescent="0.25">
      <c r="A477" s="182"/>
      <c r="B477" s="183"/>
      <c r="C477" s="183"/>
      <c r="D477" s="183"/>
      <c r="E477" s="183"/>
      <c r="F477" s="183"/>
      <c r="G477" s="183"/>
      <c r="H477" s="477" t="s">
        <v>2195</v>
      </c>
      <c r="I477" s="477"/>
      <c r="J477" s="477"/>
      <c r="K477" s="477"/>
      <c r="L477" s="368">
        <f>SUM(L475:L476)</f>
        <v>0.35</v>
      </c>
    </row>
    <row r="478" spans="1:12" ht="15" customHeight="1" x14ac:dyDescent="0.25">
      <c r="A478" s="182"/>
      <c r="B478" s="183"/>
      <c r="C478" s="183"/>
      <c r="D478" s="183"/>
      <c r="E478" s="183"/>
      <c r="F478" s="183"/>
      <c r="G478" s="183"/>
      <c r="H478" s="482" t="s">
        <v>1834</v>
      </c>
      <c r="I478" s="482"/>
      <c r="J478" s="482"/>
      <c r="K478" s="482"/>
      <c r="L478" s="369">
        <f>ROUND(SUM(L473,L477),2)</f>
        <v>10.210000000000001</v>
      </c>
    </row>
    <row r="479" spans="1:12" ht="9.9499999999999993" customHeight="1" x14ac:dyDescent="0.25">
      <c r="A479" s="182"/>
      <c r="B479" s="183"/>
      <c r="C479" s="183"/>
      <c r="D479" s="183"/>
      <c r="E479" s="183"/>
      <c r="F479" s="183"/>
      <c r="G479" s="183"/>
      <c r="H479" s="485"/>
      <c r="I479" s="485"/>
      <c r="J479" s="485"/>
      <c r="K479" s="485"/>
      <c r="L479" s="512"/>
    </row>
    <row r="480" spans="1:12" ht="20.100000000000001" customHeight="1" x14ac:dyDescent="0.25">
      <c r="A480" s="486" t="s">
        <v>2569</v>
      </c>
      <c r="B480" s="487"/>
      <c r="C480" s="487"/>
      <c r="D480" s="487"/>
      <c r="E480" s="487"/>
      <c r="F480" s="487"/>
      <c r="G480" s="487"/>
      <c r="H480" s="487"/>
      <c r="I480" s="487"/>
      <c r="J480" s="487"/>
      <c r="K480" s="487"/>
      <c r="L480" s="513"/>
    </row>
    <row r="481" spans="1:12" ht="15" customHeight="1" x14ac:dyDescent="0.25">
      <c r="A481" s="474" t="s">
        <v>1812</v>
      </c>
      <c r="B481" s="475"/>
      <c r="C481" s="475"/>
      <c r="D481" s="476" t="s">
        <v>42</v>
      </c>
      <c r="E481" s="476"/>
      <c r="F481" s="476"/>
      <c r="G481" s="230" t="s">
        <v>44</v>
      </c>
      <c r="H481" s="476" t="s">
        <v>1813</v>
      </c>
      <c r="I481" s="476"/>
      <c r="J481" s="476" t="s">
        <v>1814</v>
      </c>
      <c r="K481" s="476"/>
      <c r="L481" s="366" t="s">
        <v>1802</v>
      </c>
    </row>
    <row r="482" spans="1:12" ht="15" customHeight="1" x14ac:dyDescent="0.25">
      <c r="A482" s="181" t="s">
        <v>2570</v>
      </c>
      <c r="B482" s="509" t="s">
        <v>2571</v>
      </c>
      <c r="C482" s="509"/>
      <c r="D482" s="481" t="s">
        <v>82</v>
      </c>
      <c r="E482" s="481"/>
      <c r="F482" s="481"/>
      <c r="G482" s="231" t="s">
        <v>1817</v>
      </c>
      <c r="H482" s="510">
        <v>1.1100000000000001</v>
      </c>
      <c r="I482" s="510"/>
      <c r="J482" s="511">
        <v>7.7</v>
      </c>
      <c r="K482" s="511"/>
      <c r="L482" s="367">
        <f>TRUNC(TRUNC(H482,8)*J482,2)</f>
        <v>8.5399999999999991</v>
      </c>
    </row>
    <row r="483" spans="1:12" ht="15" customHeight="1" x14ac:dyDescent="0.25">
      <c r="A483" s="182"/>
      <c r="B483" s="183"/>
      <c r="C483" s="183"/>
      <c r="D483" s="183"/>
      <c r="E483" s="183"/>
      <c r="F483" s="183"/>
      <c r="G483" s="183"/>
      <c r="H483" s="477" t="s">
        <v>1826</v>
      </c>
      <c r="I483" s="477"/>
      <c r="J483" s="477"/>
      <c r="K483" s="477"/>
      <c r="L483" s="368">
        <f>SUM(L482:L482)</f>
        <v>8.5399999999999991</v>
      </c>
    </row>
    <row r="484" spans="1:12" ht="15" customHeight="1" x14ac:dyDescent="0.25">
      <c r="A484" s="474" t="s">
        <v>2190</v>
      </c>
      <c r="B484" s="475"/>
      <c r="C484" s="475"/>
      <c r="D484" s="476" t="s">
        <v>42</v>
      </c>
      <c r="E484" s="476"/>
      <c r="F484" s="476"/>
      <c r="G484" s="230" t="s">
        <v>44</v>
      </c>
      <c r="H484" s="476" t="s">
        <v>1813</v>
      </c>
      <c r="I484" s="476"/>
      <c r="J484" s="476" t="s">
        <v>1814</v>
      </c>
      <c r="K484" s="476"/>
      <c r="L484" s="366" t="s">
        <v>1802</v>
      </c>
    </row>
    <row r="485" spans="1:12" ht="21" customHeight="1" x14ac:dyDescent="0.25">
      <c r="A485" s="181" t="s">
        <v>2387</v>
      </c>
      <c r="B485" s="509" t="s">
        <v>2388</v>
      </c>
      <c r="C485" s="509"/>
      <c r="D485" s="481" t="s">
        <v>82</v>
      </c>
      <c r="E485" s="481"/>
      <c r="F485" s="481"/>
      <c r="G485" s="231" t="s">
        <v>1024</v>
      </c>
      <c r="H485" s="510">
        <v>8.0000000000000004E-4</v>
      </c>
      <c r="I485" s="510"/>
      <c r="J485" s="511">
        <v>31.13</v>
      </c>
      <c r="K485" s="511"/>
      <c r="L485" s="367">
        <f>TRUNC(TRUNC(H485,8)*J485,2)</f>
        <v>0.02</v>
      </c>
    </row>
    <row r="486" spans="1:12" ht="15" customHeight="1" x14ac:dyDescent="0.25">
      <c r="A486" s="181" t="s">
        <v>2389</v>
      </c>
      <c r="B486" s="509" t="s">
        <v>2390</v>
      </c>
      <c r="C486" s="509"/>
      <c r="D486" s="481" t="s">
        <v>82</v>
      </c>
      <c r="E486" s="481"/>
      <c r="F486" s="481"/>
      <c r="G486" s="231" t="s">
        <v>1024</v>
      </c>
      <c r="H486" s="510">
        <v>4.7999999999999996E-3</v>
      </c>
      <c r="I486" s="510"/>
      <c r="J486" s="511">
        <v>36.06</v>
      </c>
      <c r="K486" s="511"/>
      <c r="L486" s="367">
        <f>TRUNC(TRUNC(H486,8)*J486,2)</f>
        <v>0.17</v>
      </c>
    </row>
    <row r="487" spans="1:12" ht="18" customHeight="1" x14ac:dyDescent="0.25">
      <c r="A487" s="182"/>
      <c r="B487" s="183"/>
      <c r="C487" s="183"/>
      <c r="D487" s="183"/>
      <c r="E487" s="183"/>
      <c r="F487" s="183"/>
      <c r="G487" s="183"/>
      <c r="H487" s="477" t="s">
        <v>2195</v>
      </c>
      <c r="I487" s="477"/>
      <c r="J487" s="477"/>
      <c r="K487" s="477"/>
      <c r="L487" s="368">
        <f>SUM(L485:L486)</f>
        <v>0.19</v>
      </c>
    </row>
    <row r="488" spans="1:12" ht="15" customHeight="1" x14ac:dyDescent="0.25">
      <c r="A488" s="182"/>
      <c r="B488" s="183"/>
      <c r="C488" s="183"/>
      <c r="D488" s="183"/>
      <c r="E488" s="183"/>
      <c r="F488" s="183"/>
      <c r="G488" s="183"/>
      <c r="H488" s="482" t="s">
        <v>1834</v>
      </c>
      <c r="I488" s="482"/>
      <c r="J488" s="482"/>
      <c r="K488" s="482"/>
      <c r="L488" s="369">
        <f>ROUND(SUM(L483,L487),2)</f>
        <v>8.73</v>
      </c>
    </row>
    <row r="489" spans="1:12" ht="9.9499999999999993" customHeight="1" x14ac:dyDescent="0.25">
      <c r="A489" s="182"/>
      <c r="B489" s="183"/>
      <c r="C489" s="183"/>
      <c r="D489" s="183"/>
      <c r="E489" s="183"/>
      <c r="F489" s="183"/>
      <c r="G489" s="183"/>
      <c r="H489" s="485"/>
      <c r="I489" s="485"/>
      <c r="J489" s="485"/>
      <c r="K489" s="485"/>
      <c r="L489" s="512"/>
    </row>
    <row r="490" spans="1:12" ht="20.100000000000001" customHeight="1" x14ac:dyDescent="0.25">
      <c r="A490" s="486" t="s">
        <v>2572</v>
      </c>
      <c r="B490" s="487"/>
      <c r="C490" s="487"/>
      <c r="D490" s="487"/>
      <c r="E490" s="487"/>
      <c r="F490" s="487"/>
      <c r="G490" s="487"/>
      <c r="H490" s="487"/>
      <c r="I490" s="487"/>
      <c r="J490" s="487"/>
      <c r="K490" s="487"/>
      <c r="L490" s="513"/>
    </row>
    <row r="491" spans="1:12" ht="15" customHeight="1" x14ac:dyDescent="0.25">
      <c r="A491" s="474" t="s">
        <v>1812</v>
      </c>
      <c r="B491" s="475"/>
      <c r="C491" s="475"/>
      <c r="D491" s="476" t="s">
        <v>42</v>
      </c>
      <c r="E491" s="476"/>
      <c r="F491" s="476"/>
      <c r="G491" s="230" t="s">
        <v>44</v>
      </c>
      <c r="H491" s="476" t="s">
        <v>1813</v>
      </c>
      <c r="I491" s="476"/>
      <c r="J491" s="476" t="s">
        <v>1814</v>
      </c>
      <c r="K491" s="476"/>
      <c r="L491" s="366" t="s">
        <v>1802</v>
      </c>
    </row>
    <row r="492" spans="1:12" ht="21" customHeight="1" x14ac:dyDescent="0.25">
      <c r="A492" s="181" t="s">
        <v>2573</v>
      </c>
      <c r="B492" s="509" t="s">
        <v>2574</v>
      </c>
      <c r="C492" s="509"/>
      <c r="D492" s="481" t="s">
        <v>82</v>
      </c>
      <c r="E492" s="481"/>
      <c r="F492" s="481"/>
      <c r="G492" s="231" t="s">
        <v>1817</v>
      </c>
      <c r="H492" s="510">
        <v>1.07</v>
      </c>
      <c r="I492" s="510"/>
      <c r="J492" s="511">
        <v>8.41</v>
      </c>
      <c r="K492" s="511"/>
      <c r="L492" s="367">
        <f>TRUNC(TRUNC(H492,8)*J492,2)</f>
        <v>8.99</v>
      </c>
    </row>
    <row r="493" spans="1:12" ht="15" customHeight="1" x14ac:dyDescent="0.25">
      <c r="A493" s="182"/>
      <c r="B493" s="183"/>
      <c r="C493" s="183"/>
      <c r="D493" s="183"/>
      <c r="E493" s="183"/>
      <c r="F493" s="183"/>
      <c r="G493" s="183"/>
      <c r="H493" s="477" t="s">
        <v>1826</v>
      </c>
      <c r="I493" s="477"/>
      <c r="J493" s="477"/>
      <c r="K493" s="477"/>
      <c r="L493" s="368">
        <f>SUM(L492:L492)</f>
        <v>8.99</v>
      </c>
    </row>
    <row r="494" spans="1:12" ht="15" customHeight="1" x14ac:dyDescent="0.25">
      <c r="A494" s="474" t="s">
        <v>2190</v>
      </c>
      <c r="B494" s="475"/>
      <c r="C494" s="475"/>
      <c r="D494" s="476" t="s">
        <v>42</v>
      </c>
      <c r="E494" s="476"/>
      <c r="F494" s="476"/>
      <c r="G494" s="230" t="s">
        <v>44</v>
      </c>
      <c r="H494" s="476" t="s">
        <v>1813</v>
      </c>
      <c r="I494" s="476"/>
      <c r="J494" s="476" t="s">
        <v>1814</v>
      </c>
      <c r="K494" s="476"/>
      <c r="L494" s="366" t="s">
        <v>1802</v>
      </c>
    </row>
    <row r="495" spans="1:12" ht="21" customHeight="1" x14ac:dyDescent="0.25">
      <c r="A495" s="181" t="s">
        <v>2387</v>
      </c>
      <c r="B495" s="509" t="s">
        <v>2388</v>
      </c>
      <c r="C495" s="509"/>
      <c r="D495" s="481" t="s">
        <v>82</v>
      </c>
      <c r="E495" s="481"/>
      <c r="F495" s="481"/>
      <c r="G495" s="231" t="s">
        <v>1024</v>
      </c>
      <c r="H495" s="510">
        <v>9.4999999999999998E-3</v>
      </c>
      <c r="I495" s="510"/>
      <c r="J495" s="511">
        <v>31.13</v>
      </c>
      <c r="K495" s="511"/>
      <c r="L495" s="367">
        <f>TRUNC(TRUNC(H495,8)*J495,2)</f>
        <v>0.28999999999999998</v>
      </c>
    </row>
    <row r="496" spans="1:12" ht="15" customHeight="1" x14ac:dyDescent="0.25">
      <c r="A496" s="181" t="s">
        <v>2389</v>
      </c>
      <c r="B496" s="509" t="s">
        <v>2390</v>
      </c>
      <c r="C496" s="509"/>
      <c r="D496" s="481" t="s">
        <v>82</v>
      </c>
      <c r="E496" s="481"/>
      <c r="F496" s="481"/>
      <c r="G496" s="231" t="s">
        <v>1024</v>
      </c>
      <c r="H496" s="510">
        <v>5.8099999999999999E-2</v>
      </c>
      <c r="I496" s="510"/>
      <c r="J496" s="511">
        <v>36.06</v>
      </c>
      <c r="K496" s="511"/>
      <c r="L496" s="367">
        <f>TRUNC(TRUNC(H496,8)*J496,2)</f>
        <v>2.09</v>
      </c>
    </row>
    <row r="497" spans="1:12" ht="18" customHeight="1" x14ac:dyDescent="0.25">
      <c r="A497" s="182"/>
      <c r="B497" s="183"/>
      <c r="C497" s="183"/>
      <c r="D497" s="183"/>
      <c r="E497" s="183"/>
      <c r="F497" s="183"/>
      <c r="G497" s="183"/>
      <c r="H497" s="477" t="s">
        <v>2195</v>
      </c>
      <c r="I497" s="477"/>
      <c r="J497" s="477"/>
      <c r="K497" s="477"/>
      <c r="L497" s="368">
        <f>SUM(L495:L496)</f>
        <v>2.38</v>
      </c>
    </row>
    <row r="498" spans="1:12" ht="15" customHeight="1" x14ac:dyDescent="0.25">
      <c r="A498" s="182"/>
      <c r="B498" s="183"/>
      <c r="C498" s="183"/>
      <c r="D498" s="183"/>
      <c r="E498" s="183"/>
      <c r="F498" s="183"/>
      <c r="G498" s="183"/>
      <c r="H498" s="482" t="s">
        <v>1834</v>
      </c>
      <c r="I498" s="482"/>
      <c r="J498" s="482"/>
      <c r="K498" s="482"/>
      <c r="L498" s="369">
        <f>ROUND(SUM(L493,L497),2)</f>
        <v>11.37</v>
      </c>
    </row>
    <row r="499" spans="1:12" ht="9.9499999999999993" customHeight="1" x14ac:dyDescent="0.25">
      <c r="A499" s="182"/>
      <c r="B499" s="183"/>
      <c r="C499" s="183"/>
      <c r="D499" s="183"/>
      <c r="E499" s="183"/>
      <c r="F499" s="183"/>
      <c r="G499" s="183"/>
      <c r="H499" s="485"/>
      <c r="I499" s="485"/>
      <c r="J499" s="485"/>
      <c r="K499" s="485"/>
      <c r="L499" s="512"/>
    </row>
    <row r="500" spans="1:12" ht="20.100000000000001" customHeight="1" x14ac:dyDescent="0.25">
      <c r="A500" s="486" t="s">
        <v>2575</v>
      </c>
      <c r="B500" s="487"/>
      <c r="C500" s="487"/>
      <c r="D500" s="487"/>
      <c r="E500" s="487"/>
      <c r="F500" s="487"/>
      <c r="G500" s="487"/>
      <c r="H500" s="487"/>
      <c r="I500" s="487"/>
      <c r="J500" s="487"/>
      <c r="K500" s="487"/>
      <c r="L500" s="513"/>
    </row>
    <row r="501" spans="1:12" ht="15" customHeight="1" x14ac:dyDescent="0.25">
      <c r="A501" s="474" t="s">
        <v>1827</v>
      </c>
      <c r="B501" s="475"/>
      <c r="C501" s="475"/>
      <c r="D501" s="476" t="s">
        <v>42</v>
      </c>
      <c r="E501" s="476"/>
      <c r="F501" s="476"/>
      <c r="G501" s="230" t="s">
        <v>44</v>
      </c>
      <c r="H501" s="476" t="s">
        <v>1813</v>
      </c>
      <c r="I501" s="476"/>
      <c r="J501" s="476" t="s">
        <v>1814</v>
      </c>
      <c r="K501" s="476"/>
      <c r="L501" s="366" t="s">
        <v>1802</v>
      </c>
    </row>
    <row r="502" spans="1:12" ht="15" customHeight="1" x14ac:dyDescent="0.25">
      <c r="A502" s="181" t="s">
        <v>2348</v>
      </c>
      <c r="B502" s="509" t="s">
        <v>2349</v>
      </c>
      <c r="C502" s="509"/>
      <c r="D502" s="481" t="s">
        <v>82</v>
      </c>
      <c r="E502" s="481"/>
      <c r="F502" s="481"/>
      <c r="G502" s="231" t="s">
        <v>1024</v>
      </c>
      <c r="H502" s="510">
        <v>1.154E-2</v>
      </c>
      <c r="I502" s="510"/>
      <c r="J502" s="511">
        <v>18.940000000000001</v>
      </c>
      <c r="K502" s="511"/>
      <c r="L502" s="367">
        <f>TRUNC(TRUNC(H502,8)*J502,2)</f>
        <v>0.21</v>
      </c>
    </row>
    <row r="503" spans="1:12" ht="15" customHeight="1" x14ac:dyDescent="0.25">
      <c r="A503" s="182"/>
      <c r="B503" s="183"/>
      <c r="C503" s="183"/>
      <c r="D503" s="183"/>
      <c r="E503" s="183"/>
      <c r="F503" s="183"/>
      <c r="G503" s="183"/>
      <c r="H503" s="477" t="s">
        <v>1832</v>
      </c>
      <c r="I503" s="477"/>
      <c r="J503" s="477"/>
      <c r="K503" s="477"/>
      <c r="L503" s="368">
        <f>SUM(L502:L502)</f>
        <v>0.21</v>
      </c>
    </row>
    <row r="504" spans="1:12" ht="15" customHeight="1" x14ac:dyDescent="0.25">
      <c r="A504" s="182"/>
      <c r="B504" s="183"/>
      <c r="C504" s="183"/>
      <c r="D504" s="183"/>
      <c r="E504" s="183"/>
      <c r="F504" s="183"/>
      <c r="G504" s="183"/>
      <c r="H504" s="482" t="s">
        <v>1834</v>
      </c>
      <c r="I504" s="482"/>
      <c r="J504" s="482"/>
      <c r="K504" s="482"/>
      <c r="L504" s="369">
        <f>ROUND(SUM(L503),2)</f>
        <v>0.21</v>
      </c>
    </row>
    <row r="505" spans="1:12" ht="9.9499999999999993" customHeight="1" x14ac:dyDescent="0.25">
      <c r="A505" s="182"/>
      <c r="B505" s="183"/>
      <c r="C505" s="183"/>
      <c r="D505" s="183"/>
      <c r="E505" s="183"/>
      <c r="F505" s="183"/>
      <c r="G505" s="183"/>
      <c r="H505" s="485"/>
      <c r="I505" s="485"/>
      <c r="J505" s="485"/>
      <c r="K505" s="485"/>
      <c r="L505" s="512"/>
    </row>
    <row r="506" spans="1:12" ht="20.100000000000001" customHeight="1" x14ac:dyDescent="0.25">
      <c r="A506" s="486" t="s">
        <v>2576</v>
      </c>
      <c r="B506" s="487"/>
      <c r="C506" s="487"/>
      <c r="D506" s="487"/>
      <c r="E506" s="487"/>
      <c r="F506" s="487"/>
      <c r="G506" s="487"/>
      <c r="H506" s="487"/>
      <c r="I506" s="487"/>
      <c r="J506" s="487"/>
      <c r="K506" s="487"/>
      <c r="L506" s="513"/>
    </row>
    <row r="507" spans="1:12" ht="15" customHeight="1" x14ac:dyDescent="0.25">
      <c r="A507" s="474" t="s">
        <v>1827</v>
      </c>
      <c r="B507" s="475"/>
      <c r="C507" s="475"/>
      <c r="D507" s="476" t="s">
        <v>42</v>
      </c>
      <c r="E507" s="476"/>
      <c r="F507" s="476"/>
      <c r="G507" s="230" t="s">
        <v>44</v>
      </c>
      <c r="H507" s="476" t="s">
        <v>1813</v>
      </c>
      <c r="I507" s="476"/>
      <c r="J507" s="476" t="s">
        <v>1814</v>
      </c>
      <c r="K507" s="476"/>
      <c r="L507" s="366" t="s">
        <v>1802</v>
      </c>
    </row>
    <row r="508" spans="1:12" ht="15" customHeight="1" x14ac:dyDescent="0.25">
      <c r="A508" s="181" t="s">
        <v>2357</v>
      </c>
      <c r="B508" s="509" t="s">
        <v>2358</v>
      </c>
      <c r="C508" s="509"/>
      <c r="D508" s="481" t="s">
        <v>82</v>
      </c>
      <c r="E508" s="481"/>
      <c r="F508" s="481"/>
      <c r="G508" s="231" t="s">
        <v>1024</v>
      </c>
      <c r="H508" s="510">
        <v>1.4760000000000001E-2</v>
      </c>
      <c r="I508" s="510"/>
      <c r="J508" s="511">
        <v>18.940000000000001</v>
      </c>
      <c r="K508" s="511"/>
      <c r="L508" s="367">
        <f>TRUNC(TRUNC(H508,8)*J508,2)</f>
        <v>0.27</v>
      </c>
    </row>
    <row r="509" spans="1:12" ht="15" customHeight="1" x14ac:dyDescent="0.25">
      <c r="A509" s="182"/>
      <c r="B509" s="183"/>
      <c r="C509" s="183"/>
      <c r="D509" s="183"/>
      <c r="E509" s="183"/>
      <c r="F509" s="183"/>
      <c r="G509" s="183"/>
      <c r="H509" s="477" t="s">
        <v>1832</v>
      </c>
      <c r="I509" s="477"/>
      <c r="J509" s="477"/>
      <c r="K509" s="477"/>
      <c r="L509" s="368">
        <f>SUM(L508:L508)</f>
        <v>0.27</v>
      </c>
    </row>
    <row r="510" spans="1:12" ht="15" customHeight="1" x14ac:dyDescent="0.25">
      <c r="A510" s="182"/>
      <c r="B510" s="183"/>
      <c r="C510" s="183"/>
      <c r="D510" s="183"/>
      <c r="E510" s="183"/>
      <c r="F510" s="183"/>
      <c r="G510" s="183"/>
      <c r="H510" s="482" t="s">
        <v>1834</v>
      </c>
      <c r="I510" s="482"/>
      <c r="J510" s="482"/>
      <c r="K510" s="482"/>
      <c r="L510" s="369">
        <f>ROUND(SUM(L509),2)</f>
        <v>0.27</v>
      </c>
    </row>
    <row r="511" spans="1:12" ht="9.9499999999999993" customHeight="1" x14ac:dyDescent="0.25">
      <c r="A511" s="182"/>
      <c r="B511" s="183"/>
      <c r="C511" s="183"/>
      <c r="D511" s="183"/>
      <c r="E511" s="183"/>
      <c r="F511" s="183"/>
      <c r="G511" s="183"/>
      <c r="H511" s="485"/>
      <c r="I511" s="485"/>
      <c r="J511" s="485"/>
      <c r="K511" s="485"/>
      <c r="L511" s="512"/>
    </row>
    <row r="512" spans="1:12" ht="20.100000000000001" customHeight="1" x14ac:dyDescent="0.25">
      <c r="A512" s="486" t="s">
        <v>2577</v>
      </c>
      <c r="B512" s="487"/>
      <c r="C512" s="487"/>
      <c r="D512" s="487"/>
      <c r="E512" s="487"/>
      <c r="F512" s="487"/>
      <c r="G512" s="487"/>
      <c r="H512" s="487"/>
      <c r="I512" s="487"/>
      <c r="J512" s="487"/>
      <c r="K512" s="487"/>
      <c r="L512" s="513"/>
    </row>
    <row r="513" spans="1:12" ht="15" customHeight="1" x14ac:dyDescent="0.25">
      <c r="A513" s="474" t="s">
        <v>1827</v>
      </c>
      <c r="B513" s="475"/>
      <c r="C513" s="475"/>
      <c r="D513" s="476" t="s">
        <v>42</v>
      </c>
      <c r="E513" s="476"/>
      <c r="F513" s="476"/>
      <c r="G513" s="230" t="s">
        <v>44</v>
      </c>
      <c r="H513" s="476" t="s">
        <v>1813</v>
      </c>
      <c r="I513" s="476"/>
      <c r="J513" s="476" t="s">
        <v>1814</v>
      </c>
      <c r="K513" s="476"/>
      <c r="L513" s="366" t="s">
        <v>1802</v>
      </c>
    </row>
    <row r="514" spans="1:12" ht="15" customHeight="1" x14ac:dyDescent="0.25">
      <c r="A514" s="181" t="s">
        <v>2366</v>
      </c>
      <c r="B514" s="509" t="s">
        <v>2367</v>
      </c>
      <c r="C514" s="509"/>
      <c r="D514" s="481" t="s">
        <v>82</v>
      </c>
      <c r="E514" s="481"/>
      <c r="F514" s="481"/>
      <c r="G514" s="231" t="s">
        <v>1024</v>
      </c>
      <c r="H514" s="510">
        <v>1.154E-2</v>
      </c>
      <c r="I514" s="510"/>
      <c r="J514" s="511">
        <v>17.18</v>
      </c>
      <c r="K514" s="511"/>
      <c r="L514" s="367">
        <f>TRUNC(TRUNC(H514,8)*J514,2)</f>
        <v>0.19</v>
      </c>
    </row>
    <row r="515" spans="1:12" ht="15" customHeight="1" x14ac:dyDescent="0.25">
      <c r="A515" s="182"/>
      <c r="B515" s="183"/>
      <c r="C515" s="183"/>
      <c r="D515" s="183"/>
      <c r="E515" s="183"/>
      <c r="F515" s="183"/>
      <c r="G515" s="183"/>
      <c r="H515" s="477" t="s">
        <v>1832</v>
      </c>
      <c r="I515" s="477"/>
      <c r="J515" s="477"/>
      <c r="K515" s="477"/>
      <c r="L515" s="368">
        <f>SUM(L514:L514)</f>
        <v>0.19</v>
      </c>
    </row>
    <row r="516" spans="1:12" ht="15" customHeight="1" x14ac:dyDescent="0.25">
      <c r="A516" s="182"/>
      <c r="B516" s="183"/>
      <c r="C516" s="183"/>
      <c r="D516" s="183"/>
      <c r="E516" s="183"/>
      <c r="F516" s="183"/>
      <c r="G516" s="183"/>
      <c r="H516" s="482" t="s">
        <v>1834</v>
      </c>
      <c r="I516" s="482"/>
      <c r="J516" s="482"/>
      <c r="K516" s="482"/>
      <c r="L516" s="369">
        <f>ROUND(SUM(L515),2)</f>
        <v>0.19</v>
      </c>
    </row>
    <row r="517" spans="1:12" ht="9.9499999999999993" customHeight="1" x14ac:dyDescent="0.25">
      <c r="A517" s="182"/>
      <c r="B517" s="183"/>
      <c r="C517" s="183"/>
      <c r="D517" s="183"/>
      <c r="E517" s="183"/>
      <c r="F517" s="183"/>
      <c r="G517" s="183"/>
      <c r="H517" s="485"/>
      <c r="I517" s="485"/>
      <c r="J517" s="485"/>
      <c r="K517" s="485"/>
      <c r="L517" s="512"/>
    </row>
    <row r="518" spans="1:12" ht="20.100000000000001" customHeight="1" x14ac:dyDescent="0.25">
      <c r="A518" s="486" t="s">
        <v>2578</v>
      </c>
      <c r="B518" s="487"/>
      <c r="C518" s="487"/>
      <c r="D518" s="487"/>
      <c r="E518" s="487"/>
      <c r="F518" s="487"/>
      <c r="G518" s="487"/>
      <c r="H518" s="487"/>
      <c r="I518" s="487"/>
      <c r="J518" s="487"/>
      <c r="K518" s="487"/>
      <c r="L518" s="513"/>
    </row>
    <row r="519" spans="1:12" ht="15" customHeight="1" x14ac:dyDescent="0.25">
      <c r="A519" s="474" t="s">
        <v>1827</v>
      </c>
      <c r="B519" s="475"/>
      <c r="C519" s="475"/>
      <c r="D519" s="476" t="s">
        <v>42</v>
      </c>
      <c r="E519" s="476"/>
      <c r="F519" s="476"/>
      <c r="G519" s="230" t="s">
        <v>44</v>
      </c>
      <c r="H519" s="476" t="s">
        <v>1813</v>
      </c>
      <c r="I519" s="476"/>
      <c r="J519" s="476" t="s">
        <v>1814</v>
      </c>
      <c r="K519" s="476"/>
      <c r="L519" s="366" t="s">
        <v>1802</v>
      </c>
    </row>
    <row r="520" spans="1:12" ht="15" customHeight="1" x14ac:dyDescent="0.25">
      <c r="A520" s="181" t="s">
        <v>2378</v>
      </c>
      <c r="B520" s="509" t="s">
        <v>2379</v>
      </c>
      <c r="C520" s="509"/>
      <c r="D520" s="481" t="s">
        <v>82</v>
      </c>
      <c r="E520" s="481"/>
      <c r="F520" s="481"/>
      <c r="G520" s="231" t="s">
        <v>1024</v>
      </c>
      <c r="H520" s="510">
        <v>1.154E-2</v>
      </c>
      <c r="I520" s="510"/>
      <c r="J520" s="511">
        <v>23.81</v>
      </c>
      <c r="K520" s="511"/>
      <c r="L520" s="367">
        <f>TRUNC(TRUNC(H520,8)*J520,2)</f>
        <v>0.27</v>
      </c>
    </row>
    <row r="521" spans="1:12" ht="15" customHeight="1" x14ac:dyDescent="0.25">
      <c r="A521" s="182"/>
      <c r="B521" s="183"/>
      <c r="C521" s="183"/>
      <c r="D521" s="183"/>
      <c r="E521" s="183"/>
      <c r="F521" s="183"/>
      <c r="G521" s="183"/>
      <c r="H521" s="477" t="s">
        <v>1832</v>
      </c>
      <c r="I521" s="477"/>
      <c r="J521" s="477"/>
      <c r="K521" s="477"/>
      <c r="L521" s="368">
        <f>SUM(L520:L520)</f>
        <v>0.27</v>
      </c>
    </row>
    <row r="522" spans="1:12" ht="15" customHeight="1" x14ac:dyDescent="0.25">
      <c r="A522" s="182"/>
      <c r="B522" s="183"/>
      <c r="C522" s="183"/>
      <c r="D522" s="183"/>
      <c r="E522" s="183"/>
      <c r="F522" s="183"/>
      <c r="G522" s="183"/>
      <c r="H522" s="482" t="s">
        <v>1834</v>
      </c>
      <c r="I522" s="482"/>
      <c r="J522" s="482"/>
      <c r="K522" s="482"/>
      <c r="L522" s="369">
        <f>ROUND(SUM(L521),2)</f>
        <v>0.27</v>
      </c>
    </row>
    <row r="523" spans="1:12" ht="9.9499999999999993" customHeight="1" x14ac:dyDescent="0.25">
      <c r="A523" s="182"/>
      <c r="B523" s="183"/>
      <c r="C523" s="183"/>
      <c r="D523" s="183"/>
      <c r="E523" s="183"/>
      <c r="F523" s="183"/>
      <c r="G523" s="183"/>
      <c r="H523" s="485"/>
      <c r="I523" s="485"/>
      <c r="J523" s="485"/>
      <c r="K523" s="485"/>
      <c r="L523" s="512"/>
    </row>
    <row r="524" spans="1:12" ht="20.100000000000001" customHeight="1" x14ac:dyDescent="0.25">
      <c r="A524" s="486" t="s">
        <v>2579</v>
      </c>
      <c r="B524" s="487"/>
      <c r="C524" s="487"/>
      <c r="D524" s="487"/>
      <c r="E524" s="487"/>
      <c r="F524" s="487"/>
      <c r="G524" s="487"/>
      <c r="H524" s="487"/>
      <c r="I524" s="487"/>
      <c r="J524" s="487"/>
      <c r="K524" s="487"/>
      <c r="L524" s="513"/>
    </row>
    <row r="525" spans="1:12" ht="15" customHeight="1" x14ac:dyDescent="0.25">
      <c r="A525" s="474" t="s">
        <v>1827</v>
      </c>
      <c r="B525" s="475"/>
      <c r="C525" s="475"/>
      <c r="D525" s="476" t="s">
        <v>42</v>
      </c>
      <c r="E525" s="476"/>
      <c r="F525" s="476"/>
      <c r="G525" s="230" t="s">
        <v>44</v>
      </c>
      <c r="H525" s="476" t="s">
        <v>1813</v>
      </c>
      <c r="I525" s="476"/>
      <c r="J525" s="476" t="s">
        <v>1814</v>
      </c>
      <c r="K525" s="476"/>
      <c r="L525" s="366" t="s">
        <v>1802</v>
      </c>
    </row>
    <row r="526" spans="1:12" ht="15" customHeight="1" x14ac:dyDescent="0.25">
      <c r="A526" s="181" t="s">
        <v>2210</v>
      </c>
      <c r="B526" s="509" t="s">
        <v>2211</v>
      </c>
      <c r="C526" s="509"/>
      <c r="D526" s="481" t="s">
        <v>82</v>
      </c>
      <c r="E526" s="481"/>
      <c r="F526" s="481"/>
      <c r="G526" s="231" t="s">
        <v>1024</v>
      </c>
      <c r="H526" s="510">
        <v>3.7319999999999999E-2</v>
      </c>
      <c r="I526" s="510"/>
      <c r="J526" s="511">
        <v>18.940000000000001</v>
      </c>
      <c r="K526" s="511"/>
      <c r="L526" s="367">
        <f>TRUNC(TRUNC(H526,8)*J526,2)</f>
        <v>0.7</v>
      </c>
    </row>
    <row r="527" spans="1:12" ht="15" customHeight="1" x14ac:dyDescent="0.25">
      <c r="A527" s="182"/>
      <c r="B527" s="183"/>
      <c r="C527" s="183"/>
      <c r="D527" s="183"/>
      <c r="E527" s="183"/>
      <c r="F527" s="183"/>
      <c r="G527" s="183"/>
      <c r="H527" s="477" t="s">
        <v>1832</v>
      </c>
      <c r="I527" s="477"/>
      <c r="J527" s="477"/>
      <c r="K527" s="477"/>
      <c r="L527" s="368">
        <f>SUM(L526:L526)</f>
        <v>0.7</v>
      </c>
    </row>
    <row r="528" spans="1:12" ht="15" customHeight="1" x14ac:dyDescent="0.25">
      <c r="A528" s="182"/>
      <c r="B528" s="183"/>
      <c r="C528" s="183"/>
      <c r="D528" s="183"/>
      <c r="E528" s="183"/>
      <c r="F528" s="183"/>
      <c r="G528" s="183"/>
      <c r="H528" s="482" t="s">
        <v>1834</v>
      </c>
      <c r="I528" s="482"/>
      <c r="J528" s="482"/>
      <c r="K528" s="482"/>
      <c r="L528" s="369">
        <f>ROUND(SUM(L527),2)</f>
        <v>0.7</v>
      </c>
    </row>
    <row r="529" spans="1:12" ht="9.9499999999999993" customHeight="1" x14ac:dyDescent="0.25">
      <c r="A529" s="182"/>
      <c r="B529" s="183"/>
      <c r="C529" s="183"/>
      <c r="D529" s="183"/>
      <c r="E529" s="183"/>
      <c r="F529" s="183"/>
      <c r="G529" s="183"/>
      <c r="H529" s="485"/>
      <c r="I529" s="485"/>
      <c r="J529" s="485"/>
      <c r="K529" s="485"/>
      <c r="L529" s="512"/>
    </row>
    <row r="530" spans="1:12" ht="20.100000000000001" customHeight="1" x14ac:dyDescent="0.25">
      <c r="A530" s="486" t="s">
        <v>2580</v>
      </c>
      <c r="B530" s="487"/>
      <c r="C530" s="487"/>
      <c r="D530" s="487"/>
      <c r="E530" s="487"/>
      <c r="F530" s="487"/>
      <c r="G530" s="487"/>
      <c r="H530" s="487"/>
      <c r="I530" s="487"/>
      <c r="J530" s="487"/>
      <c r="K530" s="487"/>
      <c r="L530" s="513"/>
    </row>
    <row r="531" spans="1:12" ht="15" customHeight="1" x14ac:dyDescent="0.25">
      <c r="A531" s="474" t="s">
        <v>1827</v>
      </c>
      <c r="B531" s="475"/>
      <c r="C531" s="475"/>
      <c r="D531" s="476" t="s">
        <v>42</v>
      </c>
      <c r="E531" s="476"/>
      <c r="F531" s="476"/>
      <c r="G531" s="230" t="s">
        <v>44</v>
      </c>
      <c r="H531" s="476" t="s">
        <v>1813</v>
      </c>
      <c r="I531" s="476"/>
      <c r="J531" s="476" t="s">
        <v>1814</v>
      </c>
      <c r="K531" s="476"/>
      <c r="L531" s="366" t="s">
        <v>1802</v>
      </c>
    </row>
    <row r="532" spans="1:12" ht="21" customHeight="1" x14ac:dyDescent="0.25">
      <c r="A532" s="181" t="s">
        <v>2411</v>
      </c>
      <c r="B532" s="509" t="s">
        <v>2412</v>
      </c>
      <c r="C532" s="509"/>
      <c r="D532" s="481" t="s">
        <v>82</v>
      </c>
      <c r="E532" s="481"/>
      <c r="F532" s="481"/>
      <c r="G532" s="231" t="s">
        <v>1024</v>
      </c>
      <c r="H532" s="510">
        <v>1.7979999999999999E-2</v>
      </c>
      <c r="I532" s="510"/>
      <c r="J532" s="511">
        <v>18.940000000000001</v>
      </c>
      <c r="K532" s="511"/>
      <c r="L532" s="367">
        <f>TRUNC(TRUNC(H532,8)*J532,2)</f>
        <v>0.34</v>
      </c>
    </row>
    <row r="533" spans="1:12" ht="15" customHeight="1" x14ac:dyDescent="0.25">
      <c r="A533" s="182"/>
      <c r="B533" s="183"/>
      <c r="C533" s="183"/>
      <c r="D533" s="183"/>
      <c r="E533" s="183"/>
      <c r="F533" s="183"/>
      <c r="G533" s="183"/>
      <c r="H533" s="477" t="s">
        <v>1832</v>
      </c>
      <c r="I533" s="477"/>
      <c r="J533" s="477"/>
      <c r="K533" s="477"/>
      <c r="L533" s="368">
        <f>SUM(L532:L532)</f>
        <v>0.34</v>
      </c>
    </row>
    <row r="534" spans="1:12" ht="15" customHeight="1" x14ac:dyDescent="0.25">
      <c r="A534" s="182"/>
      <c r="B534" s="183"/>
      <c r="C534" s="183"/>
      <c r="D534" s="183"/>
      <c r="E534" s="183"/>
      <c r="F534" s="183"/>
      <c r="G534" s="183"/>
      <c r="H534" s="482" t="s">
        <v>1834</v>
      </c>
      <c r="I534" s="482"/>
      <c r="J534" s="482"/>
      <c r="K534" s="482"/>
      <c r="L534" s="369">
        <f>ROUND(SUM(L533),2)</f>
        <v>0.34</v>
      </c>
    </row>
    <row r="535" spans="1:12" ht="9.9499999999999993" customHeight="1" x14ac:dyDescent="0.25">
      <c r="A535" s="182"/>
      <c r="B535" s="183"/>
      <c r="C535" s="183"/>
      <c r="D535" s="183"/>
      <c r="E535" s="183"/>
      <c r="F535" s="183"/>
      <c r="G535" s="183"/>
      <c r="H535" s="485"/>
      <c r="I535" s="485"/>
      <c r="J535" s="485"/>
      <c r="K535" s="485"/>
      <c r="L535" s="512"/>
    </row>
    <row r="536" spans="1:12" ht="20.100000000000001" customHeight="1" x14ac:dyDescent="0.25">
      <c r="A536" s="486" t="s">
        <v>2581</v>
      </c>
      <c r="B536" s="487"/>
      <c r="C536" s="487"/>
      <c r="D536" s="487"/>
      <c r="E536" s="487"/>
      <c r="F536" s="487"/>
      <c r="G536" s="487"/>
      <c r="H536" s="487"/>
      <c r="I536" s="487"/>
      <c r="J536" s="487"/>
      <c r="K536" s="487"/>
      <c r="L536" s="513"/>
    </row>
    <row r="537" spans="1:12" ht="15" customHeight="1" x14ac:dyDescent="0.25">
      <c r="A537" s="474" t="s">
        <v>1827</v>
      </c>
      <c r="B537" s="475"/>
      <c r="C537" s="475"/>
      <c r="D537" s="476" t="s">
        <v>42</v>
      </c>
      <c r="E537" s="476"/>
      <c r="F537" s="476"/>
      <c r="G537" s="230" t="s">
        <v>44</v>
      </c>
      <c r="H537" s="476" t="s">
        <v>1813</v>
      </c>
      <c r="I537" s="476"/>
      <c r="J537" s="476" t="s">
        <v>1814</v>
      </c>
      <c r="K537" s="476"/>
      <c r="L537" s="366" t="s">
        <v>1802</v>
      </c>
    </row>
    <row r="538" spans="1:12" ht="15" customHeight="1" x14ac:dyDescent="0.25">
      <c r="A538" s="181" t="s">
        <v>2416</v>
      </c>
      <c r="B538" s="509" t="s">
        <v>2417</v>
      </c>
      <c r="C538" s="509"/>
      <c r="D538" s="481" t="s">
        <v>82</v>
      </c>
      <c r="E538" s="481"/>
      <c r="F538" s="481"/>
      <c r="G538" s="231" t="s">
        <v>1024</v>
      </c>
      <c r="H538" s="510">
        <v>1.4760000000000001E-2</v>
      </c>
      <c r="I538" s="510"/>
      <c r="J538" s="511">
        <v>23.81</v>
      </c>
      <c r="K538" s="511"/>
      <c r="L538" s="367">
        <f>TRUNC(TRUNC(H538,8)*J538,2)</f>
        <v>0.35</v>
      </c>
    </row>
    <row r="539" spans="1:12" ht="15" customHeight="1" x14ac:dyDescent="0.25">
      <c r="A539" s="182"/>
      <c r="B539" s="183"/>
      <c r="C539" s="183"/>
      <c r="D539" s="183"/>
      <c r="E539" s="183"/>
      <c r="F539" s="183"/>
      <c r="G539" s="183"/>
      <c r="H539" s="477" t="s">
        <v>1832</v>
      </c>
      <c r="I539" s="477"/>
      <c r="J539" s="477"/>
      <c r="K539" s="477"/>
      <c r="L539" s="368">
        <f>SUM(L538:L538)</f>
        <v>0.35</v>
      </c>
    </row>
    <row r="540" spans="1:12" ht="15" customHeight="1" x14ac:dyDescent="0.25">
      <c r="A540" s="182"/>
      <c r="B540" s="183"/>
      <c r="C540" s="183"/>
      <c r="D540" s="183"/>
      <c r="E540" s="183"/>
      <c r="F540" s="183"/>
      <c r="G540" s="183"/>
      <c r="H540" s="482" t="s">
        <v>1834</v>
      </c>
      <c r="I540" s="482"/>
      <c r="J540" s="482"/>
      <c r="K540" s="482"/>
      <c r="L540" s="369">
        <f>ROUND(SUM(L539),2)</f>
        <v>0.35</v>
      </c>
    </row>
    <row r="541" spans="1:12" ht="9.9499999999999993" customHeight="1" x14ac:dyDescent="0.25">
      <c r="A541" s="182"/>
      <c r="B541" s="183"/>
      <c r="C541" s="183"/>
      <c r="D541" s="183"/>
      <c r="E541" s="183"/>
      <c r="F541" s="183"/>
      <c r="G541" s="183"/>
      <c r="H541" s="485"/>
      <c r="I541" s="485"/>
      <c r="J541" s="485"/>
      <c r="K541" s="485"/>
      <c r="L541" s="512"/>
    </row>
    <row r="542" spans="1:12" ht="20.100000000000001" customHeight="1" x14ac:dyDescent="0.25">
      <c r="A542" s="486" t="s">
        <v>2582</v>
      </c>
      <c r="B542" s="487"/>
      <c r="C542" s="487"/>
      <c r="D542" s="487"/>
      <c r="E542" s="487"/>
      <c r="F542" s="487"/>
      <c r="G542" s="487"/>
      <c r="H542" s="487"/>
      <c r="I542" s="487"/>
      <c r="J542" s="487"/>
      <c r="K542" s="487"/>
      <c r="L542" s="513"/>
    </row>
    <row r="543" spans="1:12" ht="15" customHeight="1" x14ac:dyDescent="0.25">
      <c r="A543" s="474" t="s">
        <v>1827</v>
      </c>
      <c r="B543" s="475"/>
      <c r="C543" s="475"/>
      <c r="D543" s="476" t="s">
        <v>42</v>
      </c>
      <c r="E543" s="476"/>
      <c r="F543" s="476"/>
      <c r="G543" s="230" t="s">
        <v>44</v>
      </c>
      <c r="H543" s="476" t="s">
        <v>1813</v>
      </c>
      <c r="I543" s="476"/>
      <c r="J543" s="476" t="s">
        <v>1814</v>
      </c>
      <c r="K543" s="476"/>
      <c r="L543" s="366" t="s">
        <v>1802</v>
      </c>
    </row>
    <row r="544" spans="1:12" ht="15" customHeight="1" x14ac:dyDescent="0.25">
      <c r="A544" s="181" t="s">
        <v>2501</v>
      </c>
      <c r="B544" s="509" t="s">
        <v>2502</v>
      </c>
      <c r="C544" s="509"/>
      <c r="D544" s="481" t="s">
        <v>82</v>
      </c>
      <c r="E544" s="481"/>
      <c r="F544" s="481"/>
      <c r="G544" s="231" t="s">
        <v>1024</v>
      </c>
      <c r="H544" s="510">
        <v>1.154E-2</v>
      </c>
      <c r="I544" s="510"/>
      <c r="J544" s="511">
        <v>26.02</v>
      </c>
      <c r="K544" s="511"/>
      <c r="L544" s="367">
        <f>TRUNC(TRUNC(H544,8)*J544,2)</f>
        <v>0.3</v>
      </c>
    </row>
    <row r="545" spans="1:12" ht="15" customHeight="1" x14ac:dyDescent="0.25">
      <c r="A545" s="182"/>
      <c r="B545" s="183"/>
      <c r="C545" s="183"/>
      <c r="D545" s="183"/>
      <c r="E545" s="183"/>
      <c r="F545" s="183"/>
      <c r="G545" s="183"/>
      <c r="H545" s="477" t="s">
        <v>1832</v>
      </c>
      <c r="I545" s="477"/>
      <c r="J545" s="477"/>
      <c r="K545" s="477"/>
      <c r="L545" s="368">
        <f>SUM(L544:L544)</f>
        <v>0.3</v>
      </c>
    </row>
    <row r="546" spans="1:12" ht="15" customHeight="1" x14ac:dyDescent="0.25">
      <c r="A546" s="182"/>
      <c r="B546" s="183"/>
      <c r="C546" s="183"/>
      <c r="D546" s="183"/>
      <c r="E546" s="183"/>
      <c r="F546" s="183"/>
      <c r="G546" s="183"/>
      <c r="H546" s="482" t="s">
        <v>1834</v>
      </c>
      <c r="I546" s="482"/>
      <c r="J546" s="482"/>
      <c r="K546" s="482"/>
      <c r="L546" s="369">
        <f>ROUND(SUM(L545),2)</f>
        <v>0.3</v>
      </c>
    </row>
    <row r="547" spans="1:12" ht="9.9499999999999993" customHeight="1" x14ac:dyDescent="0.25">
      <c r="A547" s="182"/>
      <c r="B547" s="183"/>
      <c r="C547" s="183"/>
      <c r="D547" s="183"/>
      <c r="E547" s="183"/>
      <c r="F547" s="183"/>
      <c r="G547" s="183"/>
      <c r="H547" s="485"/>
      <c r="I547" s="485"/>
      <c r="J547" s="485"/>
      <c r="K547" s="485"/>
      <c r="L547" s="512"/>
    </row>
    <row r="548" spans="1:12" ht="20.100000000000001" customHeight="1" x14ac:dyDescent="0.25">
      <c r="A548" s="486" t="s">
        <v>2583</v>
      </c>
      <c r="B548" s="487"/>
      <c r="C548" s="487"/>
      <c r="D548" s="487"/>
      <c r="E548" s="487"/>
      <c r="F548" s="487"/>
      <c r="G548" s="487"/>
      <c r="H548" s="487"/>
      <c r="I548" s="487"/>
      <c r="J548" s="487"/>
      <c r="K548" s="487"/>
      <c r="L548" s="513"/>
    </row>
    <row r="549" spans="1:12" ht="15" customHeight="1" x14ac:dyDescent="0.25">
      <c r="A549" s="474" t="s">
        <v>1827</v>
      </c>
      <c r="B549" s="475"/>
      <c r="C549" s="475"/>
      <c r="D549" s="476" t="s">
        <v>42</v>
      </c>
      <c r="E549" s="476"/>
      <c r="F549" s="476"/>
      <c r="G549" s="230" t="s">
        <v>44</v>
      </c>
      <c r="H549" s="476" t="s">
        <v>1813</v>
      </c>
      <c r="I549" s="476"/>
      <c r="J549" s="476" t="s">
        <v>1814</v>
      </c>
      <c r="K549" s="476"/>
      <c r="L549" s="366" t="s">
        <v>1802</v>
      </c>
    </row>
    <row r="550" spans="1:12" ht="15" customHeight="1" x14ac:dyDescent="0.25">
      <c r="A550" s="181" t="s">
        <v>2584</v>
      </c>
      <c r="B550" s="509" t="s">
        <v>2585</v>
      </c>
      <c r="C550" s="509"/>
      <c r="D550" s="481" t="s">
        <v>82</v>
      </c>
      <c r="E550" s="481"/>
      <c r="F550" s="481"/>
      <c r="G550" s="231" t="s">
        <v>1024</v>
      </c>
      <c r="H550" s="510">
        <v>3.7319999999999999E-2</v>
      </c>
      <c r="I550" s="510"/>
      <c r="J550" s="511">
        <v>31.02</v>
      </c>
      <c r="K550" s="511"/>
      <c r="L550" s="367">
        <f>TRUNC(TRUNC(H550,8)*J550,2)</f>
        <v>1.1499999999999999</v>
      </c>
    </row>
    <row r="551" spans="1:12" ht="15" customHeight="1" x14ac:dyDescent="0.25">
      <c r="A551" s="182"/>
      <c r="B551" s="183"/>
      <c r="C551" s="183"/>
      <c r="D551" s="183"/>
      <c r="E551" s="183"/>
      <c r="F551" s="183"/>
      <c r="G551" s="183"/>
      <c r="H551" s="477" t="s">
        <v>1832</v>
      </c>
      <c r="I551" s="477"/>
      <c r="J551" s="477"/>
      <c r="K551" s="477"/>
      <c r="L551" s="368">
        <f>SUM(L550:L550)</f>
        <v>1.1499999999999999</v>
      </c>
    </row>
    <row r="552" spans="1:12" ht="15" customHeight="1" x14ac:dyDescent="0.25">
      <c r="A552" s="182"/>
      <c r="B552" s="183"/>
      <c r="C552" s="183"/>
      <c r="D552" s="183"/>
      <c r="E552" s="183"/>
      <c r="F552" s="183"/>
      <c r="G552" s="183"/>
      <c r="H552" s="482" t="s">
        <v>1834</v>
      </c>
      <c r="I552" s="482"/>
      <c r="J552" s="482"/>
      <c r="K552" s="482"/>
      <c r="L552" s="369">
        <f>ROUND(SUM(L551),2)</f>
        <v>1.1499999999999999</v>
      </c>
    </row>
    <row r="553" spans="1:12" ht="9.9499999999999993" customHeight="1" x14ac:dyDescent="0.25">
      <c r="A553" s="182"/>
      <c r="B553" s="183"/>
      <c r="C553" s="183"/>
      <c r="D553" s="183"/>
      <c r="E553" s="183"/>
      <c r="F553" s="183"/>
      <c r="G553" s="183"/>
      <c r="H553" s="485"/>
      <c r="I553" s="485"/>
      <c r="J553" s="485"/>
      <c r="K553" s="485"/>
      <c r="L553" s="512"/>
    </row>
    <row r="554" spans="1:12" ht="20.100000000000001" customHeight="1" x14ac:dyDescent="0.25">
      <c r="A554" s="486" t="s">
        <v>2586</v>
      </c>
      <c r="B554" s="487"/>
      <c r="C554" s="487"/>
      <c r="D554" s="487"/>
      <c r="E554" s="487"/>
      <c r="F554" s="487"/>
      <c r="G554" s="487"/>
      <c r="H554" s="487"/>
      <c r="I554" s="487"/>
      <c r="J554" s="487"/>
      <c r="K554" s="487"/>
      <c r="L554" s="513"/>
    </row>
    <row r="555" spans="1:12" ht="15" customHeight="1" x14ac:dyDescent="0.25">
      <c r="A555" s="474" t="s">
        <v>1827</v>
      </c>
      <c r="B555" s="475"/>
      <c r="C555" s="475"/>
      <c r="D555" s="476" t="s">
        <v>42</v>
      </c>
      <c r="E555" s="476"/>
      <c r="F555" s="476"/>
      <c r="G555" s="230" t="s">
        <v>44</v>
      </c>
      <c r="H555" s="476" t="s">
        <v>1813</v>
      </c>
      <c r="I555" s="476"/>
      <c r="J555" s="476" t="s">
        <v>1814</v>
      </c>
      <c r="K555" s="476"/>
      <c r="L555" s="366" t="s">
        <v>1802</v>
      </c>
    </row>
    <row r="556" spans="1:12" ht="15" customHeight="1" x14ac:dyDescent="0.25">
      <c r="A556" s="181" t="s">
        <v>2587</v>
      </c>
      <c r="B556" s="509" t="s">
        <v>2588</v>
      </c>
      <c r="C556" s="509"/>
      <c r="D556" s="481" t="s">
        <v>82</v>
      </c>
      <c r="E556" s="481"/>
      <c r="F556" s="481"/>
      <c r="G556" s="231" t="s">
        <v>1024</v>
      </c>
      <c r="H556" s="510">
        <v>1.7979999999999999E-2</v>
      </c>
      <c r="I556" s="510"/>
      <c r="J556" s="511">
        <v>21.39</v>
      </c>
      <c r="K556" s="511"/>
      <c r="L556" s="367">
        <f>TRUNC(TRUNC(H556,8)*J556,2)</f>
        <v>0.38</v>
      </c>
    </row>
    <row r="557" spans="1:12" ht="15" customHeight="1" x14ac:dyDescent="0.25">
      <c r="A557" s="182"/>
      <c r="B557" s="183"/>
      <c r="C557" s="183"/>
      <c r="D557" s="183"/>
      <c r="E557" s="183"/>
      <c r="F557" s="183"/>
      <c r="G557" s="183"/>
      <c r="H557" s="477" t="s">
        <v>1832</v>
      </c>
      <c r="I557" s="477"/>
      <c r="J557" s="477"/>
      <c r="K557" s="477"/>
      <c r="L557" s="368">
        <f>SUM(L556:L556)</f>
        <v>0.38</v>
      </c>
    </row>
    <row r="558" spans="1:12" ht="15" customHeight="1" x14ac:dyDescent="0.25">
      <c r="A558" s="182"/>
      <c r="B558" s="183"/>
      <c r="C558" s="183"/>
      <c r="D558" s="183"/>
      <c r="E558" s="183"/>
      <c r="F558" s="183"/>
      <c r="G558" s="183"/>
      <c r="H558" s="482" t="s">
        <v>1834</v>
      </c>
      <c r="I558" s="482"/>
      <c r="J558" s="482"/>
      <c r="K558" s="482"/>
      <c r="L558" s="369">
        <f>ROUND(SUM(L557),2)</f>
        <v>0.38</v>
      </c>
    </row>
    <row r="559" spans="1:12" ht="9.9499999999999993" customHeight="1" x14ac:dyDescent="0.25">
      <c r="A559" s="182"/>
      <c r="B559" s="183"/>
      <c r="C559" s="183"/>
      <c r="D559" s="183"/>
      <c r="E559" s="183"/>
      <c r="F559" s="183"/>
      <c r="G559" s="183"/>
      <c r="H559" s="485"/>
      <c r="I559" s="485"/>
      <c r="J559" s="485"/>
      <c r="K559" s="485"/>
      <c r="L559" s="512"/>
    </row>
    <row r="560" spans="1:12" ht="20.100000000000001" customHeight="1" x14ac:dyDescent="0.25">
      <c r="A560" s="486" t="s">
        <v>2589</v>
      </c>
      <c r="B560" s="487"/>
      <c r="C560" s="487"/>
      <c r="D560" s="487"/>
      <c r="E560" s="487"/>
      <c r="F560" s="487"/>
      <c r="G560" s="487"/>
      <c r="H560" s="487"/>
      <c r="I560" s="487"/>
      <c r="J560" s="487"/>
      <c r="K560" s="487"/>
      <c r="L560" s="513"/>
    </row>
    <row r="561" spans="1:12" ht="15" customHeight="1" x14ac:dyDescent="0.25">
      <c r="A561" s="474" t="s">
        <v>1827</v>
      </c>
      <c r="B561" s="475"/>
      <c r="C561" s="475"/>
      <c r="D561" s="476" t="s">
        <v>42</v>
      </c>
      <c r="E561" s="476"/>
      <c r="F561" s="476"/>
      <c r="G561" s="230" t="s">
        <v>44</v>
      </c>
      <c r="H561" s="476" t="s">
        <v>1813</v>
      </c>
      <c r="I561" s="476"/>
      <c r="J561" s="476" t="s">
        <v>1814</v>
      </c>
      <c r="K561" s="476"/>
      <c r="L561" s="366" t="s">
        <v>1802</v>
      </c>
    </row>
    <row r="562" spans="1:12" ht="15" customHeight="1" x14ac:dyDescent="0.25">
      <c r="A562" s="181" t="s">
        <v>2590</v>
      </c>
      <c r="B562" s="509" t="s">
        <v>2591</v>
      </c>
      <c r="C562" s="509"/>
      <c r="D562" s="481" t="s">
        <v>82</v>
      </c>
      <c r="E562" s="481"/>
      <c r="F562" s="481"/>
      <c r="G562" s="231" t="s">
        <v>1024</v>
      </c>
      <c r="H562" s="510">
        <v>5.0899999999999999E-3</v>
      </c>
      <c r="I562" s="510"/>
      <c r="J562" s="511">
        <v>18.88</v>
      </c>
      <c r="K562" s="511"/>
      <c r="L562" s="367">
        <f>TRUNC(TRUNC(H562,8)*J562,2)</f>
        <v>0.09</v>
      </c>
    </row>
    <row r="563" spans="1:12" ht="15" customHeight="1" x14ac:dyDescent="0.25">
      <c r="A563" s="182"/>
      <c r="B563" s="183"/>
      <c r="C563" s="183"/>
      <c r="D563" s="183"/>
      <c r="E563" s="183"/>
      <c r="F563" s="183"/>
      <c r="G563" s="183"/>
      <c r="H563" s="477" t="s">
        <v>1832</v>
      </c>
      <c r="I563" s="477"/>
      <c r="J563" s="477"/>
      <c r="K563" s="477"/>
      <c r="L563" s="368">
        <f>SUM(L562:L562)</f>
        <v>0.09</v>
      </c>
    </row>
    <row r="564" spans="1:12" ht="15" customHeight="1" x14ac:dyDescent="0.25">
      <c r="A564" s="182"/>
      <c r="B564" s="183"/>
      <c r="C564" s="183"/>
      <c r="D564" s="183"/>
      <c r="E564" s="183"/>
      <c r="F564" s="183"/>
      <c r="G564" s="183"/>
      <c r="H564" s="482" t="s">
        <v>1834</v>
      </c>
      <c r="I564" s="482"/>
      <c r="J564" s="482"/>
      <c r="K564" s="482"/>
      <c r="L564" s="369">
        <f>ROUND(SUM(L563),2)</f>
        <v>0.09</v>
      </c>
    </row>
    <row r="565" spans="1:12" ht="9.9499999999999993" customHeight="1" x14ac:dyDescent="0.25">
      <c r="A565" s="182"/>
      <c r="B565" s="183"/>
      <c r="C565" s="183"/>
      <c r="D565" s="183"/>
      <c r="E565" s="183"/>
      <c r="F565" s="183"/>
      <c r="G565" s="183"/>
      <c r="H565" s="485"/>
      <c r="I565" s="485"/>
      <c r="J565" s="485"/>
      <c r="K565" s="485"/>
      <c r="L565" s="512"/>
    </row>
    <row r="566" spans="1:12" ht="20.100000000000001" customHeight="1" x14ac:dyDescent="0.25">
      <c r="A566" s="486" t="s">
        <v>2592</v>
      </c>
      <c r="B566" s="487"/>
      <c r="C566" s="487"/>
      <c r="D566" s="487"/>
      <c r="E566" s="487"/>
      <c r="F566" s="487"/>
      <c r="G566" s="487"/>
      <c r="H566" s="487"/>
      <c r="I566" s="487"/>
      <c r="J566" s="487"/>
      <c r="K566" s="487"/>
      <c r="L566" s="513"/>
    </row>
    <row r="567" spans="1:12" ht="15" customHeight="1" x14ac:dyDescent="0.25">
      <c r="A567" s="474" t="s">
        <v>1827</v>
      </c>
      <c r="B567" s="475"/>
      <c r="C567" s="475"/>
      <c r="D567" s="476" t="s">
        <v>42</v>
      </c>
      <c r="E567" s="476"/>
      <c r="F567" s="476"/>
      <c r="G567" s="230" t="s">
        <v>44</v>
      </c>
      <c r="H567" s="476" t="s">
        <v>1813</v>
      </c>
      <c r="I567" s="476"/>
      <c r="J567" s="476" t="s">
        <v>1814</v>
      </c>
      <c r="K567" s="476"/>
      <c r="L567" s="366" t="s">
        <v>1802</v>
      </c>
    </row>
    <row r="568" spans="1:12" ht="15" customHeight="1" x14ac:dyDescent="0.25">
      <c r="A568" s="181" t="s">
        <v>2593</v>
      </c>
      <c r="B568" s="509" t="s">
        <v>2594</v>
      </c>
      <c r="C568" s="509"/>
      <c r="D568" s="481" t="s">
        <v>82</v>
      </c>
      <c r="E568" s="481"/>
      <c r="F568" s="481"/>
      <c r="G568" s="231" t="s">
        <v>1024</v>
      </c>
      <c r="H568" s="510">
        <v>1.4760000000000001E-2</v>
      </c>
      <c r="I568" s="510"/>
      <c r="J568" s="511">
        <v>23.99</v>
      </c>
      <c r="K568" s="511"/>
      <c r="L568" s="367">
        <f>TRUNC(TRUNC(H568,8)*J568,2)</f>
        <v>0.35</v>
      </c>
    </row>
    <row r="569" spans="1:12" ht="15" customHeight="1" x14ac:dyDescent="0.25">
      <c r="A569" s="182"/>
      <c r="B569" s="183"/>
      <c r="C569" s="183"/>
      <c r="D569" s="183"/>
      <c r="E569" s="183"/>
      <c r="F569" s="183"/>
      <c r="G569" s="183"/>
      <c r="H569" s="477" t="s">
        <v>1832</v>
      </c>
      <c r="I569" s="477"/>
      <c r="J569" s="477"/>
      <c r="K569" s="477"/>
      <c r="L569" s="368">
        <f>SUM(L568:L568)</f>
        <v>0.35</v>
      </c>
    </row>
    <row r="570" spans="1:12" ht="15" customHeight="1" x14ac:dyDescent="0.25">
      <c r="A570" s="182"/>
      <c r="B570" s="183"/>
      <c r="C570" s="183"/>
      <c r="D570" s="183"/>
      <c r="E570" s="183"/>
      <c r="F570" s="183"/>
      <c r="G570" s="183"/>
      <c r="H570" s="482" t="s">
        <v>1834</v>
      </c>
      <c r="I570" s="482"/>
      <c r="J570" s="482"/>
      <c r="K570" s="482"/>
      <c r="L570" s="369">
        <f>ROUND(SUM(L569),2)</f>
        <v>0.35</v>
      </c>
    </row>
    <row r="571" spans="1:12" ht="9.9499999999999993" customHeight="1" x14ac:dyDescent="0.25">
      <c r="A571" s="182"/>
      <c r="B571" s="183"/>
      <c r="C571" s="183"/>
      <c r="D571" s="183"/>
      <c r="E571" s="183"/>
      <c r="F571" s="183"/>
      <c r="G571" s="183"/>
      <c r="H571" s="485"/>
      <c r="I571" s="485"/>
      <c r="J571" s="485"/>
      <c r="K571" s="485"/>
      <c r="L571" s="512"/>
    </row>
    <row r="572" spans="1:12" ht="20.100000000000001" customHeight="1" x14ac:dyDescent="0.25">
      <c r="A572" s="486" t="s">
        <v>2595</v>
      </c>
      <c r="B572" s="487"/>
      <c r="C572" s="487"/>
      <c r="D572" s="487"/>
      <c r="E572" s="487"/>
      <c r="F572" s="487"/>
      <c r="G572" s="487"/>
      <c r="H572" s="487"/>
      <c r="I572" s="487"/>
      <c r="J572" s="487"/>
      <c r="K572" s="487"/>
      <c r="L572" s="513"/>
    </row>
    <row r="573" spans="1:12" ht="15" customHeight="1" x14ac:dyDescent="0.25">
      <c r="A573" s="474" t="s">
        <v>1827</v>
      </c>
      <c r="B573" s="475"/>
      <c r="C573" s="475"/>
      <c r="D573" s="476" t="s">
        <v>42</v>
      </c>
      <c r="E573" s="476"/>
      <c r="F573" s="476"/>
      <c r="G573" s="230" t="s">
        <v>44</v>
      </c>
      <c r="H573" s="476" t="s">
        <v>1813</v>
      </c>
      <c r="I573" s="476"/>
      <c r="J573" s="476" t="s">
        <v>1814</v>
      </c>
      <c r="K573" s="476"/>
      <c r="L573" s="366" t="s">
        <v>1802</v>
      </c>
    </row>
    <row r="574" spans="1:12" ht="15" customHeight="1" x14ac:dyDescent="0.25">
      <c r="A574" s="181" t="s">
        <v>2596</v>
      </c>
      <c r="B574" s="509" t="s">
        <v>2597</v>
      </c>
      <c r="C574" s="509"/>
      <c r="D574" s="481" t="s">
        <v>82</v>
      </c>
      <c r="E574" s="481"/>
      <c r="F574" s="481"/>
      <c r="G574" s="231" t="s">
        <v>1024</v>
      </c>
      <c r="H574" s="510">
        <v>2.7650000000000001E-2</v>
      </c>
      <c r="I574" s="510"/>
      <c r="J574" s="511">
        <v>26.39</v>
      </c>
      <c r="K574" s="511"/>
      <c r="L574" s="367">
        <f>TRUNC(TRUNC(H574,8)*J574,2)</f>
        <v>0.72</v>
      </c>
    </row>
    <row r="575" spans="1:12" ht="15" customHeight="1" x14ac:dyDescent="0.25">
      <c r="A575" s="182"/>
      <c r="B575" s="183"/>
      <c r="C575" s="183"/>
      <c r="D575" s="183"/>
      <c r="E575" s="183"/>
      <c r="F575" s="183"/>
      <c r="G575" s="183"/>
      <c r="H575" s="477" t="s">
        <v>1832</v>
      </c>
      <c r="I575" s="477"/>
      <c r="J575" s="477"/>
      <c r="K575" s="477"/>
      <c r="L575" s="368">
        <f>SUM(L574:L574)</f>
        <v>0.72</v>
      </c>
    </row>
    <row r="576" spans="1:12" ht="15" customHeight="1" x14ac:dyDescent="0.25">
      <c r="A576" s="182"/>
      <c r="B576" s="183"/>
      <c r="C576" s="183"/>
      <c r="D576" s="183"/>
      <c r="E576" s="183"/>
      <c r="F576" s="183"/>
      <c r="G576" s="183"/>
      <c r="H576" s="482" t="s">
        <v>1834</v>
      </c>
      <c r="I576" s="482"/>
      <c r="J576" s="482"/>
      <c r="K576" s="482"/>
      <c r="L576" s="369">
        <f>ROUND(SUM(L575),2)</f>
        <v>0.72</v>
      </c>
    </row>
    <row r="577" spans="1:12" ht="9.9499999999999993" customHeight="1" x14ac:dyDescent="0.25">
      <c r="A577" s="182"/>
      <c r="B577" s="183"/>
      <c r="C577" s="183"/>
      <c r="D577" s="183"/>
      <c r="E577" s="183"/>
      <c r="F577" s="183"/>
      <c r="G577" s="183"/>
      <c r="H577" s="485"/>
      <c r="I577" s="485"/>
      <c r="J577" s="485"/>
      <c r="K577" s="485"/>
      <c r="L577" s="512"/>
    </row>
    <row r="578" spans="1:12" ht="20.100000000000001" customHeight="1" x14ac:dyDescent="0.25">
      <c r="A578" s="486" t="s">
        <v>2598</v>
      </c>
      <c r="B578" s="487"/>
      <c r="C578" s="487"/>
      <c r="D578" s="487"/>
      <c r="E578" s="487"/>
      <c r="F578" s="487"/>
      <c r="G578" s="487"/>
      <c r="H578" s="487"/>
      <c r="I578" s="487"/>
      <c r="J578" s="487"/>
      <c r="K578" s="487"/>
      <c r="L578" s="513"/>
    </row>
    <row r="579" spans="1:12" ht="15" customHeight="1" x14ac:dyDescent="0.25">
      <c r="A579" s="474" t="s">
        <v>1827</v>
      </c>
      <c r="B579" s="475"/>
      <c r="C579" s="475"/>
      <c r="D579" s="476" t="s">
        <v>42</v>
      </c>
      <c r="E579" s="476"/>
      <c r="F579" s="476"/>
      <c r="G579" s="230" t="s">
        <v>44</v>
      </c>
      <c r="H579" s="476" t="s">
        <v>1813</v>
      </c>
      <c r="I579" s="476"/>
      <c r="J579" s="476" t="s">
        <v>1814</v>
      </c>
      <c r="K579" s="476"/>
      <c r="L579" s="366" t="s">
        <v>1802</v>
      </c>
    </row>
    <row r="580" spans="1:12" ht="15" customHeight="1" x14ac:dyDescent="0.25">
      <c r="A580" s="181" t="s">
        <v>2599</v>
      </c>
      <c r="B580" s="509" t="s">
        <v>2600</v>
      </c>
      <c r="C580" s="509"/>
      <c r="D580" s="481" t="s">
        <v>82</v>
      </c>
      <c r="E580" s="481"/>
      <c r="F580" s="481"/>
      <c r="G580" s="231" t="s">
        <v>1024</v>
      </c>
      <c r="H580" s="510">
        <v>1.154E-2</v>
      </c>
      <c r="I580" s="510"/>
      <c r="J580" s="511">
        <v>26.91</v>
      </c>
      <c r="K580" s="511"/>
      <c r="L580" s="367">
        <f>TRUNC(TRUNC(H580,8)*J580,2)</f>
        <v>0.31</v>
      </c>
    </row>
    <row r="581" spans="1:12" ht="15" customHeight="1" x14ac:dyDescent="0.25">
      <c r="A581" s="182"/>
      <c r="B581" s="183"/>
      <c r="C581" s="183"/>
      <c r="D581" s="183"/>
      <c r="E581" s="183"/>
      <c r="F581" s="183"/>
      <c r="G581" s="183"/>
      <c r="H581" s="477" t="s">
        <v>1832</v>
      </c>
      <c r="I581" s="477"/>
      <c r="J581" s="477"/>
      <c r="K581" s="477"/>
      <c r="L581" s="368">
        <f>SUM(L580:L580)</f>
        <v>0.31</v>
      </c>
    </row>
    <row r="582" spans="1:12" ht="15" customHeight="1" x14ac:dyDescent="0.25">
      <c r="A582" s="182"/>
      <c r="B582" s="183"/>
      <c r="C582" s="183"/>
      <c r="D582" s="183"/>
      <c r="E582" s="183"/>
      <c r="F582" s="183"/>
      <c r="G582" s="183"/>
      <c r="H582" s="482" t="s">
        <v>1834</v>
      </c>
      <c r="I582" s="482"/>
      <c r="J582" s="482"/>
      <c r="K582" s="482"/>
      <c r="L582" s="369">
        <f>ROUND(SUM(L581),2)</f>
        <v>0.31</v>
      </c>
    </row>
    <row r="583" spans="1:12" ht="9.9499999999999993" customHeight="1" x14ac:dyDescent="0.25">
      <c r="A583" s="182"/>
      <c r="B583" s="183"/>
      <c r="C583" s="183"/>
      <c r="D583" s="183"/>
      <c r="E583" s="183"/>
      <c r="F583" s="183"/>
      <c r="G583" s="183"/>
      <c r="H583" s="485"/>
      <c r="I583" s="485"/>
      <c r="J583" s="485"/>
      <c r="K583" s="485"/>
      <c r="L583" s="512"/>
    </row>
    <row r="584" spans="1:12" ht="20.100000000000001" customHeight="1" x14ac:dyDescent="0.25">
      <c r="A584" s="486" t="s">
        <v>2601</v>
      </c>
      <c r="B584" s="487"/>
      <c r="C584" s="487"/>
      <c r="D584" s="487"/>
      <c r="E584" s="487"/>
      <c r="F584" s="487"/>
      <c r="G584" s="487"/>
      <c r="H584" s="487"/>
      <c r="I584" s="487"/>
      <c r="J584" s="487"/>
      <c r="K584" s="487"/>
      <c r="L584" s="513"/>
    </row>
    <row r="585" spans="1:12" ht="15" customHeight="1" x14ac:dyDescent="0.25">
      <c r="A585" s="474" t="s">
        <v>1827</v>
      </c>
      <c r="B585" s="475"/>
      <c r="C585" s="475"/>
      <c r="D585" s="476" t="s">
        <v>42</v>
      </c>
      <c r="E585" s="476"/>
      <c r="F585" s="476"/>
      <c r="G585" s="230" t="s">
        <v>44</v>
      </c>
      <c r="H585" s="476" t="s">
        <v>1813</v>
      </c>
      <c r="I585" s="476"/>
      <c r="J585" s="476" t="s">
        <v>1814</v>
      </c>
      <c r="K585" s="476"/>
      <c r="L585" s="366" t="s">
        <v>1802</v>
      </c>
    </row>
    <row r="586" spans="1:12" ht="15" customHeight="1" x14ac:dyDescent="0.25">
      <c r="A586" s="181" t="s">
        <v>2602</v>
      </c>
      <c r="B586" s="509" t="s">
        <v>2603</v>
      </c>
      <c r="C586" s="509"/>
      <c r="D586" s="481" t="s">
        <v>82</v>
      </c>
      <c r="E586" s="481"/>
      <c r="F586" s="481"/>
      <c r="G586" s="231" t="s">
        <v>1024</v>
      </c>
      <c r="H586" s="510">
        <v>5.0899999999999999E-3</v>
      </c>
      <c r="I586" s="510"/>
      <c r="J586" s="511">
        <v>26.13</v>
      </c>
      <c r="K586" s="511"/>
      <c r="L586" s="367">
        <f>TRUNC(TRUNC(H586,8)*J586,2)</f>
        <v>0.13</v>
      </c>
    </row>
    <row r="587" spans="1:12" ht="15" customHeight="1" x14ac:dyDescent="0.25">
      <c r="A587" s="182"/>
      <c r="B587" s="183"/>
      <c r="C587" s="183"/>
      <c r="D587" s="183"/>
      <c r="E587" s="183"/>
      <c r="F587" s="183"/>
      <c r="G587" s="183"/>
      <c r="H587" s="477" t="s">
        <v>1832</v>
      </c>
      <c r="I587" s="477"/>
      <c r="J587" s="477"/>
      <c r="K587" s="477"/>
      <c r="L587" s="368">
        <f>SUM(L586:L586)</f>
        <v>0.13</v>
      </c>
    </row>
    <row r="588" spans="1:12" ht="15" customHeight="1" x14ac:dyDescent="0.25">
      <c r="A588" s="182"/>
      <c r="B588" s="183"/>
      <c r="C588" s="183"/>
      <c r="D588" s="183"/>
      <c r="E588" s="183"/>
      <c r="F588" s="183"/>
      <c r="G588" s="183"/>
      <c r="H588" s="482" t="s">
        <v>1834</v>
      </c>
      <c r="I588" s="482"/>
      <c r="J588" s="482"/>
      <c r="K588" s="482"/>
      <c r="L588" s="369">
        <f>ROUND(SUM(L587),2)</f>
        <v>0.13</v>
      </c>
    </row>
    <row r="589" spans="1:12" ht="9.9499999999999993" customHeight="1" x14ac:dyDescent="0.25">
      <c r="A589" s="182"/>
      <c r="B589" s="183"/>
      <c r="C589" s="183"/>
      <c r="D589" s="183"/>
      <c r="E589" s="183"/>
      <c r="F589" s="183"/>
      <c r="G589" s="183"/>
      <c r="H589" s="485"/>
      <c r="I589" s="485"/>
      <c r="J589" s="485"/>
      <c r="K589" s="485"/>
      <c r="L589" s="512"/>
    </row>
    <row r="590" spans="1:12" ht="20.100000000000001" customHeight="1" x14ac:dyDescent="0.25">
      <c r="A590" s="486" t="s">
        <v>2604</v>
      </c>
      <c r="B590" s="487"/>
      <c r="C590" s="487"/>
      <c r="D590" s="487"/>
      <c r="E590" s="487"/>
      <c r="F590" s="487"/>
      <c r="G590" s="487"/>
      <c r="H590" s="487"/>
      <c r="I590" s="487"/>
      <c r="J590" s="487"/>
      <c r="K590" s="487"/>
      <c r="L590" s="513"/>
    </row>
    <row r="591" spans="1:12" ht="15" customHeight="1" x14ac:dyDescent="0.25">
      <c r="A591" s="474" t="s">
        <v>1827</v>
      </c>
      <c r="B591" s="475"/>
      <c r="C591" s="475"/>
      <c r="D591" s="476" t="s">
        <v>42</v>
      </c>
      <c r="E591" s="476"/>
      <c r="F591" s="476"/>
      <c r="G591" s="230" t="s">
        <v>44</v>
      </c>
      <c r="H591" s="476" t="s">
        <v>1813</v>
      </c>
      <c r="I591" s="476"/>
      <c r="J591" s="476" t="s">
        <v>1814</v>
      </c>
      <c r="K591" s="476"/>
      <c r="L591" s="366" t="s">
        <v>1802</v>
      </c>
    </row>
    <row r="592" spans="1:12" ht="21" customHeight="1" x14ac:dyDescent="0.25">
      <c r="A592" s="181" t="s">
        <v>2605</v>
      </c>
      <c r="B592" s="509" t="s">
        <v>2606</v>
      </c>
      <c r="C592" s="509"/>
      <c r="D592" s="481" t="s">
        <v>82</v>
      </c>
      <c r="E592" s="481"/>
      <c r="F592" s="481"/>
      <c r="G592" s="231" t="s">
        <v>1024</v>
      </c>
      <c r="H592" s="510">
        <v>1.6369999999999999E-2</v>
      </c>
      <c r="I592" s="510"/>
      <c r="J592" s="511">
        <v>27.26</v>
      </c>
      <c r="K592" s="511"/>
      <c r="L592" s="367">
        <f>TRUNC(TRUNC(H592,8)*J592,2)</f>
        <v>0.44</v>
      </c>
    </row>
    <row r="593" spans="1:12" ht="15" customHeight="1" x14ac:dyDescent="0.25">
      <c r="A593" s="182"/>
      <c r="B593" s="183"/>
      <c r="C593" s="183"/>
      <c r="D593" s="183"/>
      <c r="E593" s="183"/>
      <c r="F593" s="183"/>
      <c r="G593" s="183"/>
      <c r="H593" s="477" t="s">
        <v>1832</v>
      </c>
      <c r="I593" s="477"/>
      <c r="J593" s="477"/>
      <c r="K593" s="477"/>
      <c r="L593" s="368">
        <f>SUM(L592:L592)</f>
        <v>0.44</v>
      </c>
    </row>
    <row r="594" spans="1:12" ht="15" customHeight="1" x14ac:dyDescent="0.25">
      <c r="A594" s="182"/>
      <c r="B594" s="183"/>
      <c r="C594" s="183"/>
      <c r="D594" s="183"/>
      <c r="E594" s="183"/>
      <c r="F594" s="183"/>
      <c r="G594" s="183"/>
      <c r="H594" s="482" t="s">
        <v>1834</v>
      </c>
      <c r="I594" s="482"/>
      <c r="J594" s="482"/>
      <c r="K594" s="482"/>
      <c r="L594" s="369">
        <f>ROUND(SUM(L593),2)</f>
        <v>0.44</v>
      </c>
    </row>
    <row r="595" spans="1:12" ht="9.9499999999999993" customHeight="1" x14ac:dyDescent="0.25">
      <c r="A595" s="182"/>
      <c r="B595" s="183"/>
      <c r="C595" s="183"/>
      <c r="D595" s="183"/>
      <c r="E595" s="183"/>
      <c r="F595" s="183"/>
      <c r="G595" s="183"/>
      <c r="H595" s="485"/>
      <c r="I595" s="485"/>
      <c r="J595" s="485"/>
      <c r="K595" s="485"/>
      <c r="L595" s="512"/>
    </row>
    <row r="596" spans="1:12" ht="20.100000000000001" customHeight="1" x14ac:dyDescent="0.25">
      <c r="A596" s="486" t="s">
        <v>2607</v>
      </c>
      <c r="B596" s="487"/>
      <c r="C596" s="487"/>
      <c r="D596" s="487"/>
      <c r="E596" s="487"/>
      <c r="F596" s="487"/>
      <c r="G596" s="487"/>
      <c r="H596" s="487"/>
      <c r="I596" s="487"/>
      <c r="J596" s="487"/>
      <c r="K596" s="487"/>
      <c r="L596" s="513"/>
    </row>
    <row r="597" spans="1:12" ht="15" customHeight="1" x14ac:dyDescent="0.25">
      <c r="A597" s="474" t="s">
        <v>1827</v>
      </c>
      <c r="B597" s="475"/>
      <c r="C597" s="475"/>
      <c r="D597" s="476" t="s">
        <v>42</v>
      </c>
      <c r="E597" s="476"/>
      <c r="F597" s="476"/>
      <c r="G597" s="230" t="s">
        <v>44</v>
      </c>
      <c r="H597" s="476" t="s">
        <v>1813</v>
      </c>
      <c r="I597" s="476"/>
      <c r="J597" s="476" t="s">
        <v>1814</v>
      </c>
      <c r="K597" s="476"/>
      <c r="L597" s="366" t="s">
        <v>1802</v>
      </c>
    </row>
    <row r="598" spans="1:12" ht="21" customHeight="1" x14ac:dyDescent="0.25">
      <c r="A598" s="181" t="s">
        <v>2608</v>
      </c>
      <c r="B598" s="509" t="s">
        <v>2609</v>
      </c>
      <c r="C598" s="509"/>
      <c r="D598" s="481" t="s">
        <v>82</v>
      </c>
      <c r="E598" s="481"/>
      <c r="F598" s="481"/>
      <c r="G598" s="231" t="s">
        <v>1024</v>
      </c>
      <c r="H598" s="510">
        <v>8.3099999999999997E-3</v>
      </c>
      <c r="I598" s="510"/>
      <c r="J598" s="511">
        <v>24.42</v>
      </c>
      <c r="K598" s="511"/>
      <c r="L598" s="367">
        <f>TRUNC(TRUNC(H598,8)*J598,2)</f>
        <v>0.2</v>
      </c>
    </row>
    <row r="599" spans="1:12" ht="15" customHeight="1" x14ac:dyDescent="0.25">
      <c r="A599" s="182"/>
      <c r="B599" s="183"/>
      <c r="C599" s="183"/>
      <c r="D599" s="183"/>
      <c r="E599" s="183"/>
      <c r="F599" s="183"/>
      <c r="G599" s="183"/>
      <c r="H599" s="477" t="s">
        <v>1832</v>
      </c>
      <c r="I599" s="477"/>
      <c r="J599" s="477"/>
      <c r="K599" s="477"/>
      <c r="L599" s="368">
        <f>SUM(L598:L598)</f>
        <v>0.2</v>
      </c>
    </row>
    <row r="600" spans="1:12" ht="15" customHeight="1" x14ac:dyDescent="0.25">
      <c r="A600" s="182"/>
      <c r="B600" s="183"/>
      <c r="C600" s="183"/>
      <c r="D600" s="183"/>
      <c r="E600" s="183"/>
      <c r="F600" s="183"/>
      <c r="G600" s="183"/>
      <c r="H600" s="482" t="s">
        <v>1834</v>
      </c>
      <c r="I600" s="482"/>
      <c r="J600" s="482"/>
      <c r="K600" s="482"/>
      <c r="L600" s="369">
        <f>ROUND(SUM(L599),2)</f>
        <v>0.2</v>
      </c>
    </row>
    <row r="601" spans="1:12" ht="9.9499999999999993" customHeight="1" x14ac:dyDescent="0.25">
      <c r="A601" s="182"/>
      <c r="B601" s="183"/>
      <c r="C601" s="183"/>
      <c r="D601" s="183"/>
      <c r="E601" s="183"/>
      <c r="F601" s="183"/>
      <c r="G601" s="183"/>
      <c r="H601" s="485"/>
      <c r="I601" s="485"/>
      <c r="J601" s="485"/>
      <c r="K601" s="485"/>
      <c r="L601" s="512"/>
    </row>
    <row r="602" spans="1:12" ht="20.100000000000001" customHeight="1" x14ac:dyDescent="0.25">
      <c r="A602" s="486" t="s">
        <v>2610</v>
      </c>
      <c r="B602" s="487"/>
      <c r="C602" s="487"/>
      <c r="D602" s="487"/>
      <c r="E602" s="487"/>
      <c r="F602" s="487"/>
      <c r="G602" s="487"/>
      <c r="H602" s="487"/>
      <c r="I602" s="487"/>
      <c r="J602" s="487"/>
      <c r="K602" s="487"/>
      <c r="L602" s="513"/>
    </row>
    <row r="603" spans="1:12" ht="15" customHeight="1" x14ac:dyDescent="0.25">
      <c r="A603" s="474" t="s">
        <v>1827</v>
      </c>
      <c r="B603" s="475"/>
      <c r="C603" s="475"/>
      <c r="D603" s="476" t="s">
        <v>42</v>
      </c>
      <c r="E603" s="476"/>
      <c r="F603" s="476"/>
      <c r="G603" s="230" t="s">
        <v>44</v>
      </c>
      <c r="H603" s="476" t="s">
        <v>1813</v>
      </c>
      <c r="I603" s="476"/>
      <c r="J603" s="476" t="s">
        <v>1814</v>
      </c>
      <c r="K603" s="476"/>
      <c r="L603" s="366" t="s">
        <v>1802</v>
      </c>
    </row>
    <row r="604" spans="1:12" ht="15" customHeight="1" x14ac:dyDescent="0.25">
      <c r="A604" s="181" t="s">
        <v>2611</v>
      </c>
      <c r="B604" s="509" t="s">
        <v>2612</v>
      </c>
      <c r="C604" s="509"/>
      <c r="D604" s="481" t="s">
        <v>82</v>
      </c>
      <c r="E604" s="481"/>
      <c r="F604" s="481"/>
      <c r="G604" s="231" t="s">
        <v>1024</v>
      </c>
      <c r="H604" s="510">
        <v>1.154E-2</v>
      </c>
      <c r="I604" s="510"/>
      <c r="J604" s="511">
        <v>31.32</v>
      </c>
      <c r="K604" s="511"/>
      <c r="L604" s="367">
        <f>TRUNC(TRUNC(H604,8)*J604,2)</f>
        <v>0.36</v>
      </c>
    </row>
    <row r="605" spans="1:12" ht="15" customHeight="1" x14ac:dyDescent="0.25">
      <c r="A605" s="182"/>
      <c r="B605" s="183"/>
      <c r="C605" s="183"/>
      <c r="D605" s="183"/>
      <c r="E605" s="183"/>
      <c r="F605" s="183"/>
      <c r="G605" s="183"/>
      <c r="H605" s="477" t="s">
        <v>1832</v>
      </c>
      <c r="I605" s="477"/>
      <c r="J605" s="477"/>
      <c r="K605" s="477"/>
      <c r="L605" s="368">
        <f>SUM(L604:L604)</f>
        <v>0.36</v>
      </c>
    </row>
    <row r="606" spans="1:12" ht="15" customHeight="1" x14ac:dyDescent="0.25">
      <c r="A606" s="182"/>
      <c r="B606" s="183"/>
      <c r="C606" s="183"/>
      <c r="D606" s="183"/>
      <c r="E606" s="183"/>
      <c r="F606" s="183"/>
      <c r="G606" s="183"/>
      <c r="H606" s="482" t="s">
        <v>1834</v>
      </c>
      <c r="I606" s="482"/>
      <c r="J606" s="482"/>
      <c r="K606" s="482"/>
      <c r="L606" s="369">
        <f>ROUND(SUM(L605),2)</f>
        <v>0.36</v>
      </c>
    </row>
    <row r="607" spans="1:12" ht="9.9499999999999993" customHeight="1" x14ac:dyDescent="0.25">
      <c r="A607" s="182"/>
      <c r="B607" s="183"/>
      <c r="C607" s="183"/>
      <c r="D607" s="183"/>
      <c r="E607" s="183"/>
      <c r="F607" s="183"/>
      <c r="G607" s="183"/>
      <c r="H607" s="485"/>
      <c r="I607" s="485"/>
      <c r="J607" s="485"/>
      <c r="K607" s="485"/>
      <c r="L607" s="512"/>
    </row>
    <row r="608" spans="1:12" ht="20.100000000000001" customHeight="1" x14ac:dyDescent="0.25">
      <c r="A608" s="486" t="s">
        <v>2613</v>
      </c>
      <c r="B608" s="487"/>
      <c r="C608" s="487"/>
      <c r="D608" s="487"/>
      <c r="E608" s="487"/>
      <c r="F608" s="487"/>
      <c r="G608" s="487"/>
      <c r="H608" s="487"/>
      <c r="I608" s="487"/>
      <c r="J608" s="487"/>
      <c r="K608" s="487"/>
      <c r="L608" s="513"/>
    </row>
    <row r="609" spans="1:12" ht="15" customHeight="1" x14ac:dyDescent="0.25">
      <c r="A609" s="474" t="s">
        <v>1827</v>
      </c>
      <c r="B609" s="475"/>
      <c r="C609" s="475"/>
      <c r="D609" s="476" t="s">
        <v>42</v>
      </c>
      <c r="E609" s="476"/>
      <c r="F609" s="476"/>
      <c r="G609" s="230" t="s">
        <v>44</v>
      </c>
      <c r="H609" s="476" t="s">
        <v>1813</v>
      </c>
      <c r="I609" s="476"/>
      <c r="J609" s="476" t="s">
        <v>1814</v>
      </c>
      <c r="K609" s="476"/>
      <c r="L609" s="366" t="s">
        <v>1802</v>
      </c>
    </row>
    <row r="610" spans="1:12" ht="15" customHeight="1" x14ac:dyDescent="0.25">
      <c r="A610" s="181" t="s">
        <v>2614</v>
      </c>
      <c r="B610" s="509" t="s">
        <v>2615</v>
      </c>
      <c r="C610" s="509"/>
      <c r="D610" s="481" t="s">
        <v>82</v>
      </c>
      <c r="E610" s="481"/>
      <c r="F610" s="481"/>
      <c r="G610" s="231" t="s">
        <v>1024</v>
      </c>
      <c r="H610" s="510">
        <v>1.6369999999999999E-2</v>
      </c>
      <c r="I610" s="510"/>
      <c r="J610" s="511">
        <v>41.8</v>
      </c>
      <c r="K610" s="511"/>
      <c r="L610" s="367">
        <f>TRUNC(TRUNC(H610,8)*J610,2)</f>
        <v>0.68</v>
      </c>
    </row>
    <row r="611" spans="1:12" ht="15" customHeight="1" x14ac:dyDescent="0.25">
      <c r="A611" s="182"/>
      <c r="B611" s="183"/>
      <c r="C611" s="183"/>
      <c r="D611" s="183"/>
      <c r="E611" s="183"/>
      <c r="F611" s="183"/>
      <c r="G611" s="183"/>
      <c r="H611" s="477" t="s">
        <v>1832</v>
      </c>
      <c r="I611" s="477"/>
      <c r="J611" s="477"/>
      <c r="K611" s="477"/>
      <c r="L611" s="368">
        <f>SUM(L610:L610)</f>
        <v>0.68</v>
      </c>
    </row>
    <row r="612" spans="1:12" ht="15" customHeight="1" x14ac:dyDescent="0.25">
      <c r="A612" s="182"/>
      <c r="B612" s="183"/>
      <c r="C612" s="183"/>
      <c r="D612" s="183"/>
      <c r="E612" s="183"/>
      <c r="F612" s="183"/>
      <c r="G612" s="183"/>
      <c r="H612" s="482" t="s">
        <v>1834</v>
      </c>
      <c r="I612" s="482"/>
      <c r="J612" s="482"/>
      <c r="K612" s="482"/>
      <c r="L612" s="369">
        <f>ROUND(SUM(L611),2)</f>
        <v>0.68</v>
      </c>
    </row>
    <row r="613" spans="1:12" ht="9.9499999999999993" customHeight="1" x14ac:dyDescent="0.25">
      <c r="A613" s="182"/>
      <c r="B613" s="183"/>
      <c r="C613" s="183"/>
      <c r="D613" s="183"/>
      <c r="E613" s="183"/>
      <c r="F613" s="183"/>
      <c r="G613" s="183"/>
      <c r="H613" s="485"/>
      <c r="I613" s="485"/>
      <c r="J613" s="485"/>
      <c r="K613" s="485"/>
      <c r="L613" s="512"/>
    </row>
    <row r="614" spans="1:12" ht="20.100000000000001" customHeight="1" x14ac:dyDescent="0.25">
      <c r="A614" s="486" t="s">
        <v>2616</v>
      </c>
      <c r="B614" s="487"/>
      <c r="C614" s="487"/>
      <c r="D614" s="487"/>
      <c r="E614" s="487"/>
      <c r="F614" s="487"/>
      <c r="G614" s="487"/>
      <c r="H614" s="487"/>
      <c r="I614" s="487"/>
      <c r="J614" s="487"/>
      <c r="K614" s="487"/>
      <c r="L614" s="513"/>
    </row>
    <row r="615" spans="1:12" ht="15" customHeight="1" x14ac:dyDescent="0.25">
      <c r="A615" s="474" t="s">
        <v>1827</v>
      </c>
      <c r="B615" s="475"/>
      <c r="C615" s="475"/>
      <c r="D615" s="476" t="s">
        <v>42</v>
      </c>
      <c r="E615" s="476"/>
      <c r="F615" s="476"/>
      <c r="G615" s="230" t="s">
        <v>44</v>
      </c>
      <c r="H615" s="476" t="s">
        <v>1813</v>
      </c>
      <c r="I615" s="476"/>
      <c r="J615" s="476" t="s">
        <v>1814</v>
      </c>
      <c r="K615" s="476"/>
      <c r="L615" s="366" t="s">
        <v>1802</v>
      </c>
    </row>
    <row r="616" spans="1:12" ht="15" customHeight="1" x14ac:dyDescent="0.25">
      <c r="A616" s="181" t="s">
        <v>2617</v>
      </c>
      <c r="B616" s="509" t="s">
        <v>2618</v>
      </c>
      <c r="C616" s="509"/>
      <c r="D616" s="481" t="s">
        <v>82</v>
      </c>
      <c r="E616" s="481"/>
      <c r="F616" s="481"/>
      <c r="G616" s="231" t="s">
        <v>1024</v>
      </c>
      <c r="H616" s="510">
        <v>8.3099999999999997E-3</v>
      </c>
      <c r="I616" s="510"/>
      <c r="J616" s="511">
        <v>21.37</v>
      </c>
      <c r="K616" s="511"/>
      <c r="L616" s="367">
        <f>TRUNC(TRUNC(H616,8)*J616,2)</f>
        <v>0.17</v>
      </c>
    </row>
    <row r="617" spans="1:12" ht="15" customHeight="1" x14ac:dyDescent="0.25">
      <c r="A617" s="182"/>
      <c r="B617" s="183"/>
      <c r="C617" s="183"/>
      <c r="D617" s="183"/>
      <c r="E617" s="183"/>
      <c r="F617" s="183"/>
      <c r="G617" s="183"/>
      <c r="H617" s="477" t="s">
        <v>1832</v>
      </c>
      <c r="I617" s="477"/>
      <c r="J617" s="477"/>
      <c r="K617" s="477"/>
      <c r="L617" s="368">
        <f>SUM(L616:L616)</f>
        <v>0.17</v>
      </c>
    </row>
    <row r="618" spans="1:12" ht="15" customHeight="1" x14ac:dyDescent="0.25">
      <c r="A618" s="182"/>
      <c r="B618" s="183"/>
      <c r="C618" s="183"/>
      <c r="D618" s="183"/>
      <c r="E618" s="183"/>
      <c r="F618" s="183"/>
      <c r="G618" s="183"/>
      <c r="H618" s="482" t="s">
        <v>1834</v>
      </c>
      <c r="I618" s="482"/>
      <c r="J618" s="482"/>
      <c r="K618" s="482"/>
      <c r="L618" s="369">
        <f>ROUND(SUM(L617),2)</f>
        <v>0.17</v>
      </c>
    </row>
    <row r="619" spans="1:12" ht="9.9499999999999993" customHeight="1" x14ac:dyDescent="0.25">
      <c r="A619" s="182"/>
      <c r="B619" s="183"/>
      <c r="C619" s="183"/>
      <c r="D619" s="183"/>
      <c r="E619" s="183"/>
      <c r="F619" s="183"/>
      <c r="G619" s="183"/>
      <c r="H619" s="485"/>
      <c r="I619" s="485"/>
      <c r="J619" s="485"/>
      <c r="K619" s="485"/>
      <c r="L619" s="512"/>
    </row>
    <row r="620" spans="1:12" ht="20.100000000000001" customHeight="1" x14ac:dyDescent="0.25">
      <c r="A620" s="486" t="s">
        <v>2619</v>
      </c>
      <c r="B620" s="487"/>
      <c r="C620" s="487"/>
      <c r="D620" s="487"/>
      <c r="E620" s="487"/>
      <c r="F620" s="487"/>
      <c r="G620" s="487"/>
      <c r="H620" s="487"/>
      <c r="I620" s="487"/>
      <c r="J620" s="487"/>
      <c r="K620" s="487"/>
      <c r="L620" s="513"/>
    </row>
    <row r="621" spans="1:12" ht="15" customHeight="1" x14ac:dyDescent="0.25">
      <c r="A621" s="474" t="s">
        <v>1827</v>
      </c>
      <c r="B621" s="475"/>
      <c r="C621" s="475"/>
      <c r="D621" s="476" t="s">
        <v>42</v>
      </c>
      <c r="E621" s="476"/>
      <c r="F621" s="476"/>
      <c r="G621" s="230" t="s">
        <v>44</v>
      </c>
      <c r="H621" s="476" t="s">
        <v>1813</v>
      </c>
      <c r="I621" s="476"/>
      <c r="J621" s="476" t="s">
        <v>1814</v>
      </c>
      <c r="K621" s="476"/>
      <c r="L621" s="366" t="s">
        <v>1802</v>
      </c>
    </row>
    <row r="622" spans="1:12" ht="21" customHeight="1" x14ac:dyDescent="0.25">
      <c r="A622" s="181" t="s">
        <v>2620</v>
      </c>
      <c r="B622" s="509" t="s">
        <v>2621</v>
      </c>
      <c r="C622" s="509"/>
      <c r="D622" s="481" t="s">
        <v>82</v>
      </c>
      <c r="E622" s="481"/>
      <c r="F622" s="481"/>
      <c r="G622" s="231" t="s">
        <v>1024</v>
      </c>
      <c r="H622" s="510">
        <v>1.154E-2</v>
      </c>
      <c r="I622" s="510"/>
      <c r="J622" s="511">
        <v>32.65</v>
      </c>
      <c r="K622" s="511"/>
      <c r="L622" s="367">
        <f>TRUNC(TRUNC(H622,8)*J622,2)</f>
        <v>0.37</v>
      </c>
    </row>
    <row r="623" spans="1:12" ht="15" customHeight="1" x14ac:dyDescent="0.25">
      <c r="A623" s="182"/>
      <c r="B623" s="183"/>
      <c r="C623" s="183"/>
      <c r="D623" s="183"/>
      <c r="E623" s="183"/>
      <c r="F623" s="183"/>
      <c r="G623" s="183"/>
      <c r="H623" s="477" t="s">
        <v>1832</v>
      </c>
      <c r="I623" s="477"/>
      <c r="J623" s="477"/>
      <c r="K623" s="477"/>
      <c r="L623" s="368">
        <f>SUM(L622:L622)</f>
        <v>0.37</v>
      </c>
    </row>
    <row r="624" spans="1:12" ht="15" customHeight="1" x14ac:dyDescent="0.25">
      <c r="A624" s="182"/>
      <c r="B624" s="183"/>
      <c r="C624" s="183"/>
      <c r="D624" s="183"/>
      <c r="E624" s="183"/>
      <c r="F624" s="183"/>
      <c r="G624" s="183"/>
      <c r="H624" s="482" t="s">
        <v>1834</v>
      </c>
      <c r="I624" s="482"/>
      <c r="J624" s="482"/>
      <c r="K624" s="482"/>
      <c r="L624" s="369">
        <f>ROUND(SUM(L623),2)</f>
        <v>0.37</v>
      </c>
    </row>
    <row r="625" spans="1:12" ht="9.9499999999999993" customHeight="1" x14ac:dyDescent="0.25">
      <c r="A625" s="182"/>
      <c r="B625" s="183"/>
      <c r="C625" s="183"/>
      <c r="D625" s="183"/>
      <c r="E625" s="183"/>
      <c r="F625" s="183"/>
      <c r="G625" s="183"/>
      <c r="H625" s="485"/>
      <c r="I625" s="485"/>
      <c r="J625" s="485"/>
      <c r="K625" s="485"/>
      <c r="L625" s="512"/>
    </row>
    <row r="626" spans="1:12" ht="20.100000000000001" customHeight="1" x14ac:dyDescent="0.25">
      <c r="A626" s="486" t="s">
        <v>2622</v>
      </c>
      <c r="B626" s="487"/>
      <c r="C626" s="487"/>
      <c r="D626" s="487"/>
      <c r="E626" s="487"/>
      <c r="F626" s="487"/>
      <c r="G626" s="487"/>
      <c r="H626" s="487"/>
      <c r="I626" s="487"/>
      <c r="J626" s="487"/>
      <c r="K626" s="487"/>
      <c r="L626" s="513"/>
    </row>
    <row r="627" spans="1:12" ht="15" customHeight="1" x14ac:dyDescent="0.25">
      <c r="A627" s="474" t="s">
        <v>1827</v>
      </c>
      <c r="B627" s="475"/>
      <c r="C627" s="475"/>
      <c r="D627" s="476" t="s">
        <v>42</v>
      </c>
      <c r="E627" s="476"/>
      <c r="F627" s="476"/>
      <c r="G627" s="230" t="s">
        <v>44</v>
      </c>
      <c r="H627" s="476" t="s">
        <v>1813</v>
      </c>
      <c r="I627" s="476"/>
      <c r="J627" s="476" t="s">
        <v>1814</v>
      </c>
      <c r="K627" s="476"/>
      <c r="L627" s="366" t="s">
        <v>1802</v>
      </c>
    </row>
    <row r="628" spans="1:12" ht="15" customHeight="1" x14ac:dyDescent="0.25">
      <c r="A628" s="181" t="s">
        <v>2623</v>
      </c>
      <c r="B628" s="509" t="s">
        <v>2624</v>
      </c>
      <c r="C628" s="509"/>
      <c r="D628" s="481" t="s">
        <v>82</v>
      </c>
      <c r="E628" s="481"/>
      <c r="F628" s="481"/>
      <c r="G628" s="231" t="s">
        <v>1024</v>
      </c>
      <c r="H628" s="510">
        <v>8.3099999999999997E-3</v>
      </c>
      <c r="I628" s="510"/>
      <c r="J628" s="511">
        <v>28.57</v>
      </c>
      <c r="K628" s="511"/>
      <c r="L628" s="367">
        <f>TRUNC(TRUNC(H628,8)*J628,2)</f>
        <v>0.23</v>
      </c>
    </row>
    <row r="629" spans="1:12" ht="15" customHeight="1" x14ac:dyDescent="0.25">
      <c r="A629" s="182"/>
      <c r="B629" s="183"/>
      <c r="C629" s="183"/>
      <c r="D629" s="183"/>
      <c r="E629" s="183"/>
      <c r="F629" s="183"/>
      <c r="G629" s="183"/>
      <c r="H629" s="477" t="s">
        <v>1832</v>
      </c>
      <c r="I629" s="477"/>
      <c r="J629" s="477"/>
      <c r="K629" s="477"/>
      <c r="L629" s="368">
        <f>SUM(L628:L628)</f>
        <v>0.23</v>
      </c>
    </row>
    <row r="630" spans="1:12" ht="15" customHeight="1" x14ac:dyDescent="0.25">
      <c r="A630" s="182"/>
      <c r="B630" s="183"/>
      <c r="C630" s="183"/>
      <c r="D630" s="183"/>
      <c r="E630" s="183"/>
      <c r="F630" s="183"/>
      <c r="G630" s="183"/>
      <c r="H630" s="482" t="s">
        <v>1834</v>
      </c>
      <c r="I630" s="482"/>
      <c r="J630" s="482"/>
      <c r="K630" s="482"/>
      <c r="L630" s="369">
        <f>ROUND(SUM(L629),2)</f>
        <v>0.23</v>
      </c>
    </row>
    <row r="631" spans="1:12" ht="9.9499999999999993" customHeight="1" x14ac:dyDescent="0.25">
      <c r="A631" s="182"/>
      <c r="B631" s="183"/>
      <c r="C631" s="183"/>
      <c r="D631" s="183"/>
      <c r="E631" s="183"/>
      <c r="F631" s="183"/>
      <c r="G631" s="183"/>
      <c r="H631" s="485"/>
      <c r="I631" s="485"/>
      <c r="J631" s="485"/>
      <c r="K631" s="485"/>
      <c r="L631" s="512"/>
    </row>
    <row r="632" spans="1:12" ht="20.100000000000001" customHeight="1" x14ac:dyDescent="0.25">
      <c r="A632" s="486" t="s">
        <v>2625</v>
      </c>
      <c r="B632" s="487"/>
      <c r="C632" s="487"/>
      <c r="D632" s="487"/>
      <c r="E632" s="487"/>
      <c r="F632" s="487"/>
      <c r="G632" s="487"/>
      <c r="H632" s="487"/>
      <c r="I632" s="487"/>
      <c r="J632" s="487"/>
      <c r="K632" s="487"/>
      <c r="L632" s="513"/>
    </row>
    <row r="633" spans="1:12" ht="15" customHeight="1" x14ac:dyDescent="0.25">
      <c r="A633" s="474" t="s">
        <v>1827</v>
      </c>
      <c r="B633" s="475"/>
      <c r="C633" s="475"/>
      <c r="D633" s="476" t="s">
        <v>42</v>
      </c>
      <c r="E633" s="476"/>
      <c r="F633" s="476"/>
      <c r="G633" s="230" t="s">
        <v>44</v>
      </c>
      <c r="H633" s="476" t="s">
        <v>1813</v>
      </c>
      <c r="I633" s="476"/>
      <c r="J633" s="476" t="s">
        <v>1814</v>
      </c>
      <c r="K633" s="476"/>
      <c r="L633" s="366" t="s">
        <v>1802</v>
      </c>
    </row>
    <row r="634" spans="1:12" ht="15" customHeight="1" x14ac:dyDescent="0.25">
      <c r="A634" s="181" t="s">
        <v>2626</v>
      </c>
      <c r="B634" s="509" t="s">
        <v>2627</v>
      </c>
      <c r="C634" s="509"/>
      <c r="D634" s="481" t="s">
        <v>82</v>
      </c>
      <c r="E634" s="481"/>
      <c r="F634" s="481"/>
      <c r="G634" s="231" t="s">
        <v>1024</v>
      </c>
      <c r="H634" s="510">
        <v>2.12E-2</v>
      </c>
      <c r="I634" s="510"/>
      <c r="J634" s="511">
        <v>23.81</v>
      </c>
      <c r="K634" s="511"/>
      <c r="L634" s="367">
        <f>TRUNC(TRUNC(H634,8)*J634,2)</f>
        <v>0.5</v>
      </c>
    </row>
    <row r="635" spans="1:12" ht="15" customHeight="1" x14ac:dyDescent="0.25">
      <c r="A635" s="182"/>
      <c r="B635" s="183"/>
      <c r="C635" s="183"/>
      <c r="D635" s="183"/>
      <c r="E635" s="183"/>
      <c r="F635" s="183"/>
      <c r="G635" s="183"/>
      <c r="H635" s="477" t="s">
        <v>1832</v>
      </c>
      <c r="I635" s="477"/>
      <c r="J635" s="477"/>
      <c r="K635" s="477"/>
      <c r="L635" s="368">
        <f>SUM(L634:L634)</f>
        <v>0.5</v>
      </c>
    </row>
    <row r="636" spans="1:12" ht="15" customHeight="1" x14ac:dyDescent="0.25">
      <c r="A636" s="182"/>
      <c r="B636" s="183"/>
      <c r="C636" s="183"/>
      <c r="D636" s="183"/>
      <c r="E636" s="183"/>
      <c r="F636" s="183"/>
      <c r="G636" s="183"/>
      <c r="H636" s="482" t="s">
        <v>1834</v>
      </c>
      <c r="I636" s="482"/>
      <c r="J636" s="482"/>
      <c r="K636" s="482"/>
      <c r="L636" s="369">
        <f>ROUND(SUM(L635),2)</f>
        <v>0.5</v>
      </c>
    </row>
    <row r="637" spans="1:12" ht="9.9499999999999993" customHeight="1" x14ac:dyDescent="0.25">
      <c r="A637" s="182"/>
      <c r="B637" s="183"/>
      <c r="C637" s="183"/>
      <c r="D637" s="183"/>
      <c r="E637" s="183"/>
      <c r="F637" s="183"/>
      <c r="G637" s="183"/>
      <c r="H637" s="485"/>
      <c r="I637" s="485"/>
      <c r="J637" s="485"/>
      <c r="K637" s="485"/>
      <c r="L637" s="512"/>
    </row>
    <row r="638" spans="1:12" ht="20.100000000000001" customHeight="1" x14ac:dyDescent="0.25">
      <c r="A638" s="486" t="s">
        <v>2628</v>
      </c>
      <c r="B638" s="487"/>
      <c r="C638" s="487"/>
      <c r="D638" s="487"/>
      <c r="E638" s="487"/>
      <c r="F638" s="487"/>
      <c r="G638" s="487"/>
      <c r="H638" s="487"/>
      <c r="I638" s="487"/>
      <c r="J638" s="487"/>
      <c r="K638" s="487"/>
      <c r="L638" s="513"/>
    </row>
    <row r="639" spans="1:12" ht="15" customHeight="1" x14ac:dyDescent="0.25">
      <c r="A639" s="474" t="s">
        <v>1827</v>
      </c>
      <c r="B639" s="475"/>
      <c r="C639" s="475"/>
      <c r="D639" s="476" t="s">
        <v>42</v>
      </c>
      <c r="E639" s="476"/>
      <c r="F639" s="476"/>
      <c r="G639" s="230" t="s">
        <v>44</v>
      </c>
      <c r="H639" s="476" t="s">
        <v>1813</v>
      </c>
      <c r="I639" s="476"/>
      <c r="J639" s="476" t="s">
        <v>1814</v>
      </c>
      <c r="K639" s="476"/>
      <c r="L639" s="366" t="s">
        <v>1802</v>
      </c>
    </row>
    <row r="640" spans="1:12" ht="15" customHeight="1" x14ac:dyDescent="0.25">
      <c r="A640" s="181" t="s">
        <v>2629</v>
      </c>
      <c r="B640" s="509" t="s">
        <v>2630</v>
      </c>
      <c r="C640" s="509"/>
      <c r="D640" s="481" t="s">
        <v>82</v>
      </c>
      <c r="E640" s="481"/>
      <c r="F640" s="481"/>
      <c r="G640" s="231" t="s">
        <v>1024</v>
      </c>
      <c r="H640" s="510">
        <v>1.4760000000000001E-2</v>
      </c>
      <c r="I640" s="510"/>
      <c r="J640" s="511">
        <v>26.02</v>
      </c>
      <c r="K640" s="511"/>
      <c r="L640" s="367">
        <f>TRUNC(TRUNC(H640,8)*J640,2)</f>
        <v>0.38</v>
      </c>
    </row>
    <row r="641" spans="1:12" ht="15" customHeight="1" x14ac:dyDescent="0.25">
      <c r="A641" s="182"/>
      <c r="B641" s="183"/>
      <c r="C641" s="183"/>
      <c r="D641" s="183"/>
      <c r="E641" s="183"/>
      <c r="F641" s="183"/>
      <c r="G641" s="183"/>
      <c r="H641" s="477" t="s">
        <v>1832</v>
      </c>
      <c r="I641" s="477"/>
      <c r="J641" s="477"/>
      <c r="K641" s="477"/>
      <c r="L641" s="368">
        <f>SUM(L640:L640)</f>
        <v>0.38</v>
      </c>
    </row>
    <row r="642" spans="1:12" ht="15" customHeight="1" x14ac:dyDescent="0.25">
      <c r="A642" s="182"/>
      <c r="B642" s="183"/>
      <c r="C642" s="183"/>
      <c r="D642" s="183"/>
      <c r="E642" s="183"/>
      <c r="F642" s="183"/>
      <c r="G642" s="183"/>
      <c r="H642" s="482" t="s">
        <v>1834</v>
      </c>
      <c r="I642" s="482"/>
      <c r="J642" s="482"/>
      <c r="K642" s="482"/>
      <c r="L642" s="369">
        <f>ROUND(SUM(L641),2)</f>
        <v>0.38</v>
      </c>
    </row>
    <row r="643" spans="1:12" ht="9.9499999999999993" customHeight="1" x14ac:dyDescent="0.25">
      <c r="A643" s="182"/>
      <c r="B643" s="183"/>
      <c r="C643" s="183"/>
      <c r="D643" s="183"/>
      <c r="E643" s="183"/>
      <c r="F643" s="183"/>
      <c r="G643" s="183"/>
      <c r="H643" s="485"/>
      <c r="I643" s="485"/>
      <c r="J643" s="485"/>
      <c r="K643" s="485"/>
      <c r="L643" s="512"/>
    </row>
    <row r="644" spans="1:12" ht="20.100000000000001" customHeight="1" x14ac:dyDescent="0.25">
      <c r="A644" s="486" t="s">
        <v>2631</v>
      </c>
      <c r="B644" s="487"/>
      <c r="C644" s="487"/>
      <c r="D644" s="487"/>
      <c r="E644" s="487"/>
      <c r="F644" s="487"/>
      <c r="G644" s="487"/>
      <c r="H644" s="487"/>
      <c r="I644" s="487"/>
      <c r="J644" s="487"/>
      <c r="K644" s="487"/>
      <c r="L644" s="513"/>
    </row>
    <row r="645" spans="1:12" ht="15" customHeight="1" x14ac:dyDescent="0.25">
      <c r="A645" s="474" t="s">
        <v>1827</v>
      </c>
      <c r="B645" s="475"/>
      <c r="C645" s="475"/>
      <c r="D645" s="476" t="s">
        <v>42</v>
      </c>
      <c r="E645" s="476"/>
      <c r="F645" s="476"/>
      <c r="G645" s="230" t="s">
        <v>44</v>
      </c>
      <c r="H645" s="476" t="s">
        <v>1813</v>
      </c>
      <c r="I645" s="476"/>
      <c r="J645" s="476" t="s">
        <v>1814</v>
      </c>
      <c r="K645" s="476"/>
      <c r="L645" s="366" t="s">
        <v>1802</v>
      </c>
    </row>
    <row r="646" spans="1:12" ht="15" customHeight="1" x14ac:dyDescent="0.25">
      <c r="A646" s="181" t="s">
        <v>2632</v>
      </c>
      <c r="B646" s="509" t="s">
        <v>2633</v>
      </c>
      <c r="C646" s="509"/>
      <c r="D646" s="481" t="s">
        <v>82</v>
      </c>
      <c r="E646" s="481"/>
      <c r="F646" s="481"/>
      <c r="G646" s="231" t="s">
        <v>1024</v>
      </c>
      <c r="H646" s="510">
        <v>2.12E-2</v>
      </c>
      <c r="I646" s="510"/>
      <c r="J646" s="511">
        <v>16.690000000000001</v>
      </c>
      <c r="K646" s="511"/>
      <c r="L646" s="367">
        <f>TRUNC(TRUNC(H646,8)*J646,2)</f>
        <v>0.35</v>
      </c>
    </row>
    <row r="647" spans="1:12" ht="15" customHeight="1" x14ac:dyDescent="0.25">
      <c r="A647" s="182"/>
      <c r="B647" s="183"/>
      <c r="C647" s="183"/>
      <c r="D647" s="183"/>
      <c r="E647" s="183"/>
      <c r="F647" s="183"/>
      <c r="G647" s="183"/>
      <c r="H647" s="477" t="s">
        <v>1832</v>
      </c>
      <c r="I647" s="477"/>
      <c r="J647" s="477"/>
      <c r="K647" s="477"/>
      <c r="L647" s="368">
        <f>SUM(L646:L646)</f>
        <v>0.35</v>
      </c>
    </row>
    <row r="648" spans="1:12" ht="15" customHeight="1" x14ac:dyDescent="0.25">
      <c r="A648" s="182"/>
      <c r="B648" s="183"/>
      <c r="C648" s="183"/>
      <c r="D648" s="183"/>
      <c r="E648" s="183"/>
      <c r="F648" s="183"/>
      <c r="G648" s="183"/>
      <c r="H648" s="482" t="s">
        <v>1834</v>
      </c>
      <c r="I648" s="482"/>
      <c r="J648" s="482"/>
      <c r="K648" s="482"/>
      <c r="L648" s="369">
        <f>ROUND(SUM(L647),2)</f>
        <v>0.35</v>
      </c>
    </row>
    <row r="649" spans="1:12" ht="9.9499999999999993" customHeight="1" x14ac:dyDescent="0.25">
      <c r="A649" s="182"/>
      <c r="B649" s="183"/>
      <c r="C649" s="183"/>
      <c r="D649" s="183"/>
      <c r="E649" s="183"/>
      <c r="F649" s="183"/>
      <c r="G649" s="183"/>
      <c r="H649" s="485"/>
      <c r="I649" s="485"/>
      <c r="J649" s="485"/>
      <c r="K649" s="485"/>
      <c r="L649" s="512"/>
    </row>
    <row r="650" spans="1:12" ht="20.100000000000001" customHeight="1" x14ac:dyDescent="0.25">
      <c r="A650" s="486" t="s">
        <v>2634</v>
      </c>
      <c r="B650" s="487"/>
      <c r="C650" s="487"/>
      <c r="D650" s="487"/>
      <c r="E650" s="487"/>
      <c r="F650" s="487"/>
      <c r="G650" s="487"/>
      <c r="H650" s="487"/>
      <c r="I650" s="487"/>
      <c r="J650" s="487"/>
      <c r="K650" s="487"/>
      <c r="L650" s="513"/>
    </row>
    <row r="651" spans="1:12" ht="20.100000000000001" customHeight="1" x14ac:dyDescent="0.25">
      <c r="A651" s="488" t="s">
        <v>1836</v>
      </c>
      <c r="B651" s="489"/>
      <c r="C651" s="489"/>
      <c r="D651" s="489"/>
      <c r="E651" s="489"/>
      <c r="F651" s="489"/>
      <c r="G651" s="233" t="s">
        <v>44</v>
      </c>
      <c r="H651" s="515" t="s">
        <v>1837</v>
      </c>
      <c r="I651" s="515"/>
      <c r="J651" s="515" t="s">
        <v>1838</v>
      </c>
      <c r="K651" s="515"/>
      <c r="L651" s="169" t="s">
        <v>1839</v>
      </c>
    </row>
    <row r="652" spans="1:12" ht="15" customHeight="1" x14ac:dyDescent="0.25">
      <c r="A652" s="170" t="s">
        <v>2635</v>
      </c>
      <c r="B652" s="490" t="s">
        <v>2636</v>
      </c>
      <c r="C652" s="490"/>
      <c r="D652" s="490"/>
      <c r="E652" s="490"/>
      <c r="F652" s="490"/>
      <c r="G652" s="127" t="s">
        <v>1935</v>
      </c>
      <c r="H652" s="516">
        <v>1.154E-2</v>
      </c>
      <c r="I652" s="516"/>
      <c r="J652" s="517">
        <v>25.8611</v>
      </c>
      <c r="K652" s="517"/>
      <c r="L652" s="370">
        <f>ROUND(ROUND(H652,7)*J652,4)</f>
        <v>0.2984</v>
      </c>
    </row>
    <row r="653" spans="1:12" ht="15" customHeight="1" x14ac:dyDescent="0.25">
      <c r="A653" s="184"/>
      <c r="B653" s="141"/>
      <c r="C653" s="141"/>
      <c r="D653" s="141"/>
      <c r="E653" s="141"/>
      <c r="F653" s="141"/>
      <c r="G653" s="141"/>
      <c r="H653" s="491" t="s">
        <v>1844</v>
      </c>
      <c r="I653" s="491"/>
      <c r="J653" s="491"/>
      <c r="K653" s="491"/>
      <c r="L653" s="369">
        <f>SUM(L652:L652)</f>
        <v>0.2984</v>
      </c>
    </row>
    <row r="654" spans="1:12" ht="15" customHeight="1" x14ac:dyDescent="0.25">
      <c r="A654" s="182"/>
      <c r="B654" s="183"/>
      <c r="C654" s="183"/>
      <c r="D654" s="183"/>
      <c r="E654" s="183"/>
      <c r="F654" s="183"/>
      <c r="G654" s="183"/>
      <c r="H654" s="482" t="s">
        <v>1845</v>
      </c>
      <c r="I654" s="482"/>
      <c r="J654" s="482"/>
      <c r="K654" s="482"/>
      <c r="L654" s="371">
        <f>SUM(L653)</f>
        <v>0.2984</v>
      </c>
    </row>
    <row r="655" spans="1:12" ht="15" customHeight="1" x14ac:dyDescent="0.25">
      <c r="A655" s="182"/>
      <c r="B655" s="183"/>
      <c r="C655" s="183"/>
      <c r="D655" s="183"/>
      <c r="E655" s="183"/>
      <c r="F655" s="183"/>
      <c r="G655" s="183"/>
      <c r="H655" s="482" t="s">
        <v>1846</v>
      </c>
      <c r="I655" s="482"/>
      <c r="J655" s="482"/>
      <c r="K655" s="482"/>
      <c r="L655" s="372">
        <v>1</v>
      </c>
    </row>
    <row r="656" spans="1:12" ht="15" customHeight="1" x14ac:dyDescent="0.25">
      <c r="A656" s="182"/>
      <c r="B656" s="183"/>
      <c r="C656" s="183"/>
      <c r="D656" s="183"/>
      <c r="E656" s="183"/>
      <c r="F656" s="183"/>
      <c r="G656" s="183"/>
      <c r="H656" s="482" t="s">
        <v>1847</v>
      </c>
      <c r="I656" s="482"/>
      <c r="J656" s="482"/>
      <c r="K656" s="482"/>
      <c r="L656" s="371">
        <f>ROUND(L654/L655,4)</f>
        <v>0.2984</v>
      </c>
    </row>
    <row r="657" spans="1:12" ht="15" customHeight="1" x14ac:dyDescent="0.25">
      <c r="A657" s="182"/>
      <c r="B657" s="183"/>
      <c r="C657" s="183"/>
      <c r="D657" s="183"/>
      <c r="E657" s="183"/>
      <c r="F657" s="183"/>
      <c r="G657" s="183"/>
      <c r="H657" s="482" t="s">
        <v>1848</v>
      </c>
      <c r="I657" s="482"/>
      <c r="J657" s="482"/>
      <c r="K657" s="482"/>
      <c r="L657" s="371">
        <f>SUM(L656)</f>
        <v>0.2984</v>
      </c>
    </row>
    <row r="658" spans="1:12" ht="15" customHeight="1" x14ac:dyDescent="0.25">
      <c r="A658" s="182"/>
      <c r="B658" s="183"/>
      <c r="C658" s="183"/>
      <c r="D658" s="183"/>
      <c r="E658" s="183"/>
      <c r="F658" s="183"/>
      <c r="G658" s="183"/>
      <c r="H658" s="482" t="s">
        <v>1834</v>
      </c>
      <c r="I658" s="482"/>
      <c r="J658" s="482"/>
      <c r="K658" s="482"/>
      <c r="L658" s="369">
        <f>ROUND(SUM(L657),2)</f>
        <v>0.3</v>
      </c>
    </row>
    <row r="659" spans="1:12" ht="9.9499999999999993" customHeight="1" x14ac:dyDescent="0.25">
      <c r="A659" s="182"/>
      <c r="B659" s="183"/>
      <c r="C659" s="183"/>
      <c r="D659" s="183"/>
      <c r="E659" s="183"/>
      <c r="F659" s="183"/>
      <c r="G659" s="183"/>
      <c r="H659" s="485"/>
      <c r="I659" s="485"/>
      <c r="J659" s="485"/>
      <c r="K659" s="485"/>
      <c r="L659" s="512"/>
    </row>
    <row r="660" spans="1:12" ht="20.100000000000001" customHeight="1" x14ac:dyDescent="0.25">
      <c r="A660" s="486" t="s">
        <v>2637</v>
      </c>
      <c r="B660" s="487"/>
      <c r="C660" s="487"/>
      <c r="D660" s="487"/>
      <c r="E660" s="487"/>
      <c r="F660" s="487"/>
      <c r="G660" s="487"/>
      <c r="H660" s="487"/>
      <c r="I660" s="487"/>
      <c r="J660" s="487"/>
      <c r="K660" s="487"/>
      <c r="L660" s="513"/>
    </row>
    <row r="661" spans="1:12" ht="15" customHeight="1" x14ac:dyDescent="0.25">
      <c r="A661" s="474" t="s">
        <v>1827</v>
      </c>
      <c r="B661" s="475"/>
      <c r="C661" s="475"/>
      <c r="D661" s="476" t="s">
        <v>42</v>
      </c>
      <c r="E661" s="476"/>
      <c r="F661" s="476"/>
      <c r="G661" s="230" t="s">
        <v>44</v>
      </c>
      <c r="H661" s="476" t="s">
        <v>1813</v>
      </c>
      <c r="I661" s="476"/>
      <c r="J661" s="476" t="s">
        <v>1814</v>
      </c>
      <c r="K661" s="476"/>
      <c r="L661" s="366" t="s">
        <v>1802</v>
      </c>
    </row>
    <row r="662" spans="1:12" ht="15" customHeight="1" x14ac:dyDescent="0.25">
      <c r="A662" s="181" t="s">
        <v>2638</v>
      </c>
      <c r="B662" s="509" t="s">
        <v>2639</v>
      </c>
      <c r="C662" s="509"/>
      <c r="D662" s="481" t="s">
        <v>82</v>
      </c>
      <c r="E662" s="481"/>
      <c r="F662" s="481"/>
      <c r="G662" s="231" t="s">
        <v>1024</v>
      </c>
      <c r="H662" s="510">
        <v>1.4760000000000001E-2</v>
      </c>
      <c r="I662" s="510"/>
      <c r="J662" s="511">
        <v>19.77</v>
      </c>
      <c r="K662" s="511"/>
      <c r="L662" s="367">
        <f>TRUNC(TRUNC(H662,8)*J662,2)</f>
        <v>0.28999999999999998</v>
      </c>
    </row>
    <row r="663" spans="1:12" ht="15" customHeight="1" x14ac:dyDescent="0.25">
      <c r="A663" s="182"/>
      <c r="B663" s="183"/>
      <c r="C663" s="183"/>
      <c r="D663" s="183"/>
      <c r="E663" s="183"/>
      <c r="F663" s="183"/>
      <c r="G663" s="183"/>
      <c r="H663" s="477" t="s">
        <v>1832</v>
      </c>
      <c r="I663" s="477"/>
      <c r="J663" s="477"/>
      <c r="K663" s="477"/>
      <c r="L663" s="368">
        <f>SUM(L662:L662)</f>
        <v>0.28999999999999998</v>
      </c>
    </row>
    <row r="664" spans="1:12" ht="15" customHeight="1" x14ac:dyDescent="0.25">
      <c r="A664" s="182"/>
      <c r="B664" s="183"/>
      <c r="C664" s="183"/>
      <c r="D664" s="183"/>
      <c r="E664" s="183"/>
      <c r="F664" s="183"/>
      <c r="G664" s="183"/>
      <c r="H664" s="482" t="s">
        <v>1834</v>
      </c>
      <c r="I664" s="482"/>
      <c r="J664" s="482"/>
      <c r="K664" s="482"/>
      <c r="L664" s="369">
        <f>ROUND(SUM(L663),2)</f>
        <v>0.28999999999999998</v>
      </c>
    </row>
    <row r="665" spans="1:12" ht="9.9499999999999993" customHeight="1" x14ac:dyDescent="0.25">
      <c r="A665" s="182"/>
      <c r="B665" s="183"/>
      <c r="C665" s="183"/>
      <c r="D665" s="183"/>
      <c r="E665" s="183"/>
      <c r="F665" s="183"/>
      <c r="G665" s="183"/>
      <c r="H665" s="485"/>
      <c r="I665" s="485"/>
      <c r="J665" s="485"/>
      <c r="K665" s="485"/>
      <c r="L665" s="512"/>
    </row>
    <row r="666" spans="1:12" ht="20.100000000000001" customHeight="1" x14ac:dyDescent="0.25">
      <c r="A666" s="486" t="s">
        <v>2640</v>
      </c>
      <c r="B666" s="487"/>
      <c r="C666" s="487"/>
      <c r="D666" s="487"/>
      <c r="E666" s="487"/>
      <c r="F666" s="487"/>
      <c r="G666" s="487"/>
      <c r="H666" s="487"/>
      <c r="I666" s="487"/>
      <c r="J666" s="487"/>
      <c r="K666" s="487"/>
      <c r="L666" s="513"/>
    </row>
    <row r="667" spans="1:12" ht="12.95" customHeight="1" x14ac:dyDescent="0.25">
      <c r="A667" s="518" t="s">
        <v>2641</v>
      </c>
      <c r="B667" s="519"/>
      <c r="C667" s="519"/>
      <c r="D667" s="520" t="s">
        <v>2642</v>
      </c>
      <c r="E667" s="520"/>
      <c r="F667" s="515" t="s">
        <v>2643</v>
      </c>
      <c r="G667" s="515"/>
      <c r="H667" s="515" t="s">
        <v>2644</v>
      </c>
      <c r="I667" s="515"/>
      <c r="J667" s="515"/>
      <c r="K667" s="515"/>
      <c r="L667" s="521" t="s">
        <v>1839</v>
      </c>
    </row>
    <row r="668" spans="1:12" ht="12" customHeight="1" x14ac:dyDescent="0.25">
      <c r="A668" s="518"/>
      <c r="B668" s="519"/>
      <c r="C668" s="519"/>
      <c r="D668" s="520"/>
      <c r="E668" s="520"/>
      <c r="F668" s="230" t="s">
        <v>2645</v>
      </c>
      <c r="G668" s="230" t="s">
        <v>2646</v>
      </c>
      <c r="H668" s="476" t="s">
        <v>2645</v>
      </c>
      <c r="I668" s="476"/>
      <c r="J668" s="476" t="s">
        <v>2646</v>
      </c>
      <c r="K668" s="476"/>
      <c r="L668" s="521"/>
    </row>
    <row r="669" spans="1:12" ht="15" customHeight="1" x14ac:dyDescent="0.25">
      <c r="A669" s="170" t="s">
        <v>2647</v>
      </c>
      <c r="B669" s="492" t="s">
        <v>2648</v>
      </c>
      <c r="C669" s="492"/>
      <c r="D669" s="522">
        <v>3</v>
      </c>
      <c r="E669" s="522"/>
      <c r="F669" s="244">
        <v>0.86</v>
      </c>
      <c r="G669" s="244">
        <v>0.14000000000000001</v>
      </c>
      <c r="H669" s="523">
        <v>308.90640000000002</v>
      </c>
      <c r="I669" s="523"/>
      <c r="J669" s="523">
        <v>91.534999999999997</v>
      </c>
      <c r="K669" s="523"/>
      <c r="L669" s="371">
        <f>ROUND(D669*(ROUND(F669*H669,4)+ROUND(G669*J669,4)),4)</f>
        <v>835.42319999999995</v>
      </c>
    </row>
    <row r="670" spans="1:12" ht="15" customHeight="1" x14ac:dyDescent="0.25">
      <c r="A670" s="184"/>
      <c r="B670" s="141"/>
      <c r="C670" s="141"/>
      <c r="D670" s="141"/>
      <c r="E670" s="141"/>
      <c r="F670" s="141"/>
      <c r="G670" s="141"/>
      <c r="H670" s="491" t="s">
        <v>2649</v>
      </c>
      <c r="I670" s="491"/>
      <c r="J670" s="491"/>
      <c r="K670" s="491"/>
      <c r="L670" s="373">
        <f>SUM(L668:L669)</f>
        <v>835.42319999999995</v>
      </c>
    </row>
    <row r="671" spans="1:12" ht="15" customHeight="1" x14ac:dyDescent="0.25">
      <c r="A671" s="182"/>
      <c r="B671" s="183"/>
      <c r="C671" s="183"/>
      <c r="D671" s="183"/>
      <c r="E671" s="183"/>
      <c r="F671" s="183"/>
      <c r="G671" s="183"/>
      <c r="H671" s="482" t="s">
        <v>1845</v>
      </c>
      <c r="I671" s="482"/>
      <c r="J671" s="482"/>
      <c r="K671" s="482"/>
      <c r="L671" s="371">
        <f>SUM(L670)</f>
        <v>835.42319999999995</v>
      </c>
    </row>
    <row r="672" spans="1:12" ht="15" customHeight="1" x14ac:dyDescent="0.25">
      <c r="A672" s="182"/>
      <c r="B672" s="183"/>
      <c r="C672" s="183"/>
      <c r="D672" s="183"/>
      <c r="E672" s="183"/>
      <c r="F672" s="183"/>
      <c r="G672" s="183"/>
      <c r="H672" s="482" t="s">
        <v>1846</v>
      </c>
      <c r="I672" s="482"/>
      <c r="J672" s="482"/>
      <c r="K672" s="482"/>
      <c r="L672" s="372">
        <v>457.16</v>
      </c>
    </row>
    <row r="673" spans="1:12" ht="15" customHeight="1" x14ac:dyDescent="0.25">
      <c r="A673" s="182"/>
      <c r="B673" s="183"/>
      <c r="C673" s="183"/>
      <c r="D673" s="183"/>
      <c r="E673" s="183"/>
      <c r="F673" s="183"/>
      <c r="G673" s="183"/>
      <c r="H673" s="482" t="s">
        <v>1847</v>
      </c>
      <c r="I673" s="482"/>
      <c r="J673" s="482"/>
      <c r="K673" s="482"/>
      <c r="L673" s="371">
        <f>ROUND(L671/L672,4)</f>
        <v>1.8273999999999999</v>
      </c>
    </row>
    <row r="674" spans="1:12" ht="15" customHeight="1" x14ac:dyDescent="0.25">
      <c r="A674" s="182"/>
      <c r="B674" s="183"/>
      <c r="C674" s="183"/>
      <c r="D674" s="183"/>
      <c r="E674" s="183"/>
      <c r="F674" s="183"/>
      <c r="G674" s="183"/>
      <c r="H674" s="482" t="s">
        <v>2650</v>
      </c>
      <c r="I674" s="482"/>
      <c r="J674" s="482"/>
      <c r="K674" s="482"/>
      <c r="L674" s="371">
        <f>ROUND((((D669*J669))/L672)*0.03125,4)</f>
        <v>1.8800000000000001E-2</v>
      </c>
    </row>
    <row r="675" spans="1:12" ht="15" customHeight="1" x14ac:dyDescent="0.25">
      <c r="A675" s="182"/>
      <c r="B675" s="183"/>
      <c r="C675" s="183"/>
      <c r="D675" s="183"/>
      <c r="E675" s="183"/>
      <c r="F675" s="183"/>
      <c r="G675" s="183"/>
      <c r="H675" s="482" t="s">
        <v>1848</v>
      </c>
      <c r="I675" s="482"/>
      <c r="J675" s="482"/>
      <c r="K675" s="482"/>
      <c r="L675" s="371">
        <f>SUM(L673,L674)</f>
        <v>1.8461999999999998</v>
      </c>
    </row>
    <row r="676" spans="1:12" ht="15" customHeight="1" x14ac:dyDescent="0.25">
      <c r="A676" s="182"/>
      <c r="B676" s="183"/>
      <c r="C676" s="183"/>
      <c r="D676" s="183"/>
      <c r="E676" s="183"/>
      <c r="F676" s="183"/>
      <c r="G676" s="183"/>
      <c r="H676" s="482" t="s">
        <v>1834</v>
      </c>
      <c r="I676" s="482"/>
      <c r="J676" s="482"/>
      <c r="K676" s="482"/>
      <c r="L676" s="369">
        <f>ROUND(SUM(L675),2)</f>
        <v>1.85</v>
      </c>
    </row>
    <row r="677" spans="1:12" ht="9.9499999999999993" customHeight="1" x14ac:dyDescent="0.25">
      <c r="A677" s="182"/>
      <c r="B677" s="183"/>
      <c r="C677" s="183"/>
      <c r="D677" s="183"/>
      <c r="E677" s="183"/>
      <c r="F677" s="183"/>
      <c r="G677" s="183"/>
      <c r="H677" s="485"/>
      <c r="I677" s="485"/>
      <c r="J677" s="485"/>
      <c r="K677" s="485"/>
      <c r="L677" s="512"/>
    </row>
    <row r="678" spans="1:12" ht="20.100000000000001" customHeight="1" x14ac:dyDescent="0.25">
      <c r="A678" s="486" t="s">
        <v>2651</v>
      </c>
      <c r="B678" s="487"/>
      <c r="C678" s="487"/>
      <c r="D678" s="487"/>
      <c r="E678" s="487"/>
      <c r="F678" s="487"/>
      <c r="G678" s="487"/>
      <c r="H678" s="487"/>
      <c r="I678" s="487"/>
      <c r="J678" s="487"/>
      <c r="K678" s="487"/>
      <c r="L678" s="513"/>
    </row>
    <row r="679" spans="1:12" ht="12.95" customHeight="1" x14ac:dyDescent="0.25">
      <c r="A679" s="518" t="s">
        <v>2641</v>
      </c>
      <c r="B679" s="519"/>
      <c r="C679" s="519"/>
      <c r="D679" s="520" t="s">
        <v>2642</v>
      </c>
      <c r="E679" s="520"/>
      <c r="F679" s="515" t="s">
        <v>2643</v>
      </c>
      <c r="G679" s="515"/>
      <c r="H679" s="515" t="s">
        <v>2644</v>
      </c>
      <c r="I679" s="515"/>
      <c r="J679" s="515"/>
      <c r="K679" s="515"/>
      <c r="L679" s="521" t="s">
        <v>1839</v>
      </c>
    </row>
    <row r="680" spans="1:12" ht="12" customHeight="1" x14ac:dyDescent="0.25">
      <c r="A680" s="518"/>
      <c r="B680" s="519"/>
      <c r="C680" s="519"/>
      <c r="D680" s="520"/>
      <c r="E680" s="520"/>
      <c r="F680" s="230" t="s">
        <v>2645</v>
      </c>
      <c r="G680" s="230" t="s">
        <v>2646</v>
      </c>
      <c r="H680" s="476" t="s">
        <v>2645</v>
      </c>
      <c r="I680" s="476"/>
      <c r="J680" s="476" t="s">
        <v>2646</v>
      </c>
      <c r="K680" s="476"/>
      <c r="L680" s="521"/>
    </row>
    <row r="681" spans="1:12" ht="15" customHeight="1" x14ac:dyDescent="0.25">
      <c r="A681" s="170" t="s">
        <v>2647</v>
      </c>
      <c r="B681" s="492" t="s">
        <v>2648</v>
      </c>
      <c r="C681" s="492"/>
      <c r="D681" s="522">
        <v>3</v>
      </c>
      <c r="E681" s="522"/>
      <c r="F681" s="244">
        <v>0.92</v>
      </c>
      <c r="G681" s="244">
        <v>0.08</v>
      </c>
      <c r="H681" s="523">
        <v>308.90640000000002</v>
      </c>
      <c r="I681" s="523"/>
      <c r="J681" s="523">
        <v>91.534999999999997</v>
      </c>
      <c r="K681" s="523"/>
      <c r="L681" s="371">
        <f>ROUND(D681*(ROUND(F681*H681,4)+ROUND(G681*J681,4)),4)</f>
        <v>874.55010000000004</v>
      </c>
    </row>
    <row r="682" spans="1:12" ht="15" customHeight="1" x14ac:dyDescent="0.25">
      <c r="A682" s="184"/>
      <c r="B682" s="141"/>
      <c r="C682" s="141"/>
      <c r="D682" s="141"/>
      <c r="E682" s="141"/>
      <c r="F682" s="141"/>
      <c r="G682" s="141"/>
      <c r="H682" s="491" t="s">
        <v>2649</v>
      </c>
      <c r="I682" s="491"/>
      <c r="J682" s="491"/>
      <c r="K682" s="491"/>
      <c r="L682" s="373">
        <f>SUM(L680:L681)</f>
        <v>874.55010000000004</v>
      </c>
    </row>
    <row r="683" spans="1:12" ht="15" customHeight="1" x14ac:dyDescent="0.25">
      <c r="A683" s="182"/>
      <c r="B683" s="183"/>
      <c r="C683" s="183"/>
      <c r="D683" s="183"/>
      <c r="E683" s="183"/>
      <c r="F683" s="183"/>
      <c r="G683" s="183"/>
      <c r="H683" s="482" t="s">
        <v>1845</v>
      </c>
      <c r="I683" s="482"/>
      <c r="J683" s="482"/>
      <c r="K683" s="482"/>
      <c r="L683" s="371">
        <f>SUM(L682)</f>
        <v>874.55010000000004</v>
      </c>
    </row>
    <row r="684" spans="1:12" ht="15" customHeight="1" x14ac:dyDescent="0.25">
      <c r="A684" s="182"/>
      <c r="B684" s="183"/>
      <c r="C684" s="183"/>
      <c r="D684" s="183"/>
      <c r="E684" s="183"/>
      <c r="F684" s="183"/>
      <c r="G684" s="183"/>
      <c r="H684" s="482" t="s">
        <v>1846</v>
      </c>
      <c r="I684" s="482"/>
      <c r="J684" s="482"/>
      <c r="K684" s="482"/>
      <c r="L684" s="372">
        <v>249</v>
      </c>
    </row>
    <row r="685" spans="1:12" ht="15" customHeight="1" x14ac:dyDescent="0.25">
      <c r="A685" s="182"/>
      <c r="B685" s="183"/>
      <c r="C685" s="183"/>
      <c r="D685" s="183"/>
      <c r="E685" s="183"/>
      <c r="F685" s="183"/>
      <c r="G685" s="183"/>
      <c r="H685" s="482" t="s">
        <v>1847</v>
      </c>
      <c r="I685" s="482"/>
      <c r="J685" s="482"/>
      <c r="K685" s="482"/>
      <c r="L685" s="371">
        <f>ROUND(L683/L684,4)</f>
        <v>3.5122</v>
      </c>
    </row>
    <row r="686" spans="1:12" ht="15" customHeight="1" x14ac:dyDescent="0.25">
      <c r="A686" s="182"/>
      <c r="B686" s="183"/>
      <c r="C686" s="183"/>
      <c r="D686" s="183"/>
      <c r="E686" s="183"/>
      <c r="F686" s="183"/>
      <c r="G686" s="183"/>
      <c r="H686" s="482" t="s">
        <v>2650</v>
      </c>
      <c r="I686" s="482"/>
      <c r="J686" s="482"/>
      <c r="K686" s="482"/>
      <c r="L686" s="371">
        <f>ROUND((((D681*J681))/L684)*0.03125,4)</f>
        <v>3.4500000000000003E-2</v>
      </c>
    </row>
    <row r="687" spans="1:12" ht="15" customHeight="1" x14ac:dyDescent="0.25">
      <c r="A687" s="182"/>
      <c r="B687" s="183"/>
      <c r="C687" s="183"/>
      <c r="D687" s="183"/>
      <c r="E687" s="183"/>
      <c r="F687" s="183"/>
      <c r="G687" s="183"/>
      <c r="H687" s="482" t="s">
        <v>1848</v>
      </c>
      <c r="I687" s="482"/>
      <c r="J687" s="482"/>
      <c r="K687" s="482"/>
      <c r="L687" s="371">
        <f>SUM(L685,L686)</f>
        <v>3.5467</v>
      </c>
    </row>
    <row r="688" spans="1:12" ht="15" customHeight="1" x14ac:dyDescent="0.25">
      <c r="A688" s="182"/>
      <c r="B688" s="183"/>
      <c r="C688" s="183"/>
      <c r="D688" s="183"/>
      <c r="E688" s="183"/>
      <c r="F688" s="183"/>
      <c r="G688" s="183"/>
      <c r="H688" s="482" t="s">
        <v>1834</v>
      </c>
      <c r="I688" s="482"/>
      <c r="J688" s="482"/>
      <c r="K688" s="482"/>
      <c r="L688" s="369">
        <f>ROUND(SUM(L687),2)</f>
        <v>3.55</v>
      </c>
    </row>
    <row r="689" spans="1:12" ht="9.9499999999999993" customHeight="1" x14ac:dyDescent="0.25">
      <c r="A689" s="182"/>
      <c r="B689" s="183"/>
      <c r="C689" s="183"/>
      <c r="D689" s="183"/>
      <c r="E689" s="183"/>
      <c r="F689" s="183"/>
      <c r="G689" s="183"/>
      <c r="H689" s="485"/>
      <c r="I689" s="485"/>
      <c r="J689" s="485"/>
      <c r="K689" s="485"/>
      <c r="L689" s="512"/>
    </row>
    <row r="690" spans="1:12" ht="20.100000000000001" customHeight="1" x14ac:dyDescent="0.25">
      <c r="A690" s="486" t="s">
        <v>2652</v>
      </c>
      <c r="B690" s="487"/>
      <c r="C690" s="487"/>
      <c r="D690" s="487"/>
      <c r="E690" s="487"/>
      <c r="F690" s="487"/>
      <c r="G690" s="487"/>
      <c r="H690" s="487"/>
      <c r="I690" s="487"/>
      <c r="J690" s="487"/>
      <c r="K690" s="487"/>
      <c r="L690" s="513"/>
    </row>
    <row r="691" spans="1:12" ht="15" customHeight="1" x14ac:dyDescent="0.25">
      <c r="A691" s="474" t="s">
        <v>1812</v>
      </c>
      <c r="B691" s="475"/>
      <c r="C691" s="475"/>
      <c r="D691" s="476" t="s">
        <v>42</v>
      </c>
      <c r="E691" s="476"/>
      <c r="F691" s="476"/>
      <c r="G691" s="230" t="s">
        <v>44</v>
      </c>
      <c r="H691" s="476" t="s">
        <v>1813</v>
      </c>
      <c r="I691" s="476"/>
      <c r="J691" s="476" t="s">
        <v>1814</v>
      </c>
      <c r="K691" s="476"/>
      <c r="L691" s="366" t="s">
        <v>1802</v>
      </c>
    </row>
    <row r="692" spans="1:12" ht="21" customHeight="1" x14ac:dyDescent="0.25">
      <c r="A692" s="181" t="s">
        <v>2653</v>
      </c>
      <c r="B692" s="509" t="s">
        <v>2654</v>
      </c>
      <c r="C692" s="509"/>
      <c r="D692" s="481" t="s">
        <v>82</v>
      </c>
      <c r="E692" s="481"/>
      <c r="F692" s="481"/>
      <c r="G692" s="231" t="s">
        <v>226</v>
      </c>
      <c r="H692" s="510">
        <v>1</v>
      </c>
      <c r="I692" s="510"/>
      <c r="J692" s="511">
        <v>44.36</v>
      </c>
      <c r="K692" s="511"/>
      <c r="L692" s="367">
        <f>TRUNC(TRUNC(H692,8)*J692,2)</f>
        <v>44.36</v>
      </c>
    </row>
    <row r="693" spans="1:12" ht="29.1" customHeight="1" x14ac:dyDescent="0.25">
      <c r="A693" s="181" t="s">
        <v>2655</v>
      </c>
      <c r="B693" s="509" t="s">
        <v>2208</v>
      </c>
      <c r="C693" s="509"/>
      <c r="D693" s="481" t="s">
        <v>82</v>
      </c>
      <c r="E693" s="481"/>
      <c r="F693" s="481"/>
      <c r="G693" s="231" t="s">
        <v>226</v>
      </c>
      <c r="H693" s="510">
        <v>2</v>
      </c>
      <c r="I693" s="510"/>
      <c r="J693" s="511">
        <v>2.2999999999999998</v>
      </c>
      <c r="K693" s="511"/>
      <c r="L693" s="367">
        <f>TRUNC(TRUNC(H693,8)*J693,2)</f>
        <v>4.5999999999999996</v>
      </c>
    </row>
    <row r="694" spans="1:12" ht="15" customHeight="1" x14ac:dyDescent="0.25">
      <c r="A694" s="182"/>
      <c r="B694" s="183"/>
      <c r="C694" s="183"/>
      <c r="D694" s="183"/>
      <c r="E694" s="183"/>
      <c r="F694" s="183"/>
      <c r="G694" s="183"/>
      <c r="H694" s="477" t="s">
        <v>1826</v>
      </c>
      <c r="I694" s="477"/>
      <c r="J694" s="477"/>
      <c r="K694" s="477"/>
      <c r="L694" s="368">
        <f>SUM(L692:L693)</f>
        <v>48.96</v>
      </c>
    </row>
    <row r="695" spans="1:12" ht="15" customHeight="1" x14ac:dyDescent="0.25">
      <c r="A695" s="474" t="s">
        <v>2190</v>
      </c>
      <c r="B695" s="475"/>
      <c r="C695" s="475"/>
      <c r="D695" s="476" t="s">
        <v>42</v>
      </c>
      <c r="E695" s="476"/>
      <c r="F695" s="476"/>
      <c r="G695" s="230" t="s">
        <v>44</v>
      </c>
      <c r="H695" s="476" t="s">
        <v>1813</v>
      </c>
      <c r="I695" s="476"/>
      <c r="J695" s="476" t="s">
        <v>1814</v>
      </c>
      <c r="K695" s="476"/>
      <c r="L695" s="366" t="s">
        <v>1802</v>
      </c>
    </row>
    <row r="696" spans="1:12" ht="21" customHeight="1" x14ac:dyDescent="0.25">
      <c r="A696" s="181" t="s">
        <v>2191</v>
      </c>
      <c r="B696" s="509" t="s">
        <v>2192</v>
      </c>
      <c r="C696" s="509"/>
      <c r="D696" s="481" t="s">
        <v>82</v>
      </c>
      <c r="E696" s="481"/>
      <c r="F696" s="481"/>
      <c r="G696" s="231" t="s">
        <v>1024</v>
      </c>
      <c r="H696" s="510">
        <v>0.353163</v>
      </c>
      <c r="I696" s="510"/>
      <c r="J696" s="511">
        <v>31.67</v>
      </c>
      <c r="K696" s="511"/>
      <c r="L696" s="367">
        <f>TRUNC(TRUNC(H696,8)*J696,2)</f>
        <v>11.18</v>
      </c>
    </row>
    <row r="697" spans="1:12" ht="15" customHeight="1" x14ac:dyDescent="0.25">
      <c r="A697" s="181" t="s">
        <v>2193</v>
      </c>
      <c r="B697" s="509" t="s">
        <v>2194</v>
      </c>
      <c r="C697" s="509"/>
      <c r="D697" s="481" t="s">
        <v>82</v>
      </c>
      <c r="E697" s="481"/>
      <c r="F697" s="481"/>
      <c r="G697" s="231" t="s">
        <v>1024</v>
      </c>
      <c r="H697" s="510">
        <v>0.353163</v>
      </c>
      <c r="I697" s="510"/>
      <c r="J697" s="511">
        <v>44.2</v>
      </c>
      <c r="K697" s="511"/>
      <c r="L697" s="367">
        <f>TRUNC(TRUNC(H697,8)*J697,2)</f>
        <v>15.6</v>
      </c>
    </row>
    <row r="698" spans="1:12" ht="18" customHeight="1" x14ac:dyDescent="0.25">
      <c r="A698" s="182"/>
      <c r="B698" s="183"/>
      <c r="C698" s="183"/>
      <c r="D698" s="183"/>
      <c r="E698" s="183"/>
      <c r="F698" s="183"/>
      <c r="G698" s="183"/>
      <c r="H698" s="477" t="s">
        <v>2195</v>
      </c>
      <c r="I698" s="477"/>
      <c r="J698" s="477"/>
      <c r="K698" s="477"/>
      <c r="L698" s="368">
        <f>SUM(L696:L697)</f>
        <v>26.78</v>
      </c>
    </row>
    <row r="699" spans="1:12" ht="15" customHeight="1" x14ac:dyDescent="0.25">
      <c r="A699" s="182"/>
      <c r="B699" s="183"/>
      <c r="C699" s="183"/>
      <c r="D699" s="183"/>
      <c r="E699" s="183"/>
      <c r="F699" s="183"/>
      <c r="G699" s="183"/>
      <c r="H699" s="482" t="s">
        <v>1834</v>
      </c>
      <c r="I699" s="482"/>
      <c r="J699" s="482"/>
      <c r="K699" s="482"/>
      <c r="L699" s="369">
        <f>ROUND(SUM(L694,L698),2)</f>
        <v>75.739999999999995</v>
      </c>
    </row>
    <row r="700" spans="1:12" ht="9.9499999999999993" customHeight="1" x14ac:dyDescent="0.25">
      <c r="A700" s="182"/>
      <c r="B700" s="183"/>
      <c r="C700" s="183"/>
      <c r="D700" s="183"/>
      <c r="E700" s="183"/>
      <c r="F700" s="183"/>
      <c r="G700" s="183"/>
      <c r="H700" s="485"/>
      <c r="I700" s="485"/>
      <c r="J700" s="485"/>
      <c r="K700" s="485"/>
      <c r="L700" s="512"/>
    </row>
    <row r="701" spans="1:12" ht="20.100000000000001" customHeight="1" x14ac:dyDescent="0.25">
      <c r="A701" s="486" t="s">
        <v>2656</v>
      </c>
      <c r="B701" s="487"/>
      <c r="C701" s="487"/>
      <c r="D701" s="487"/>
      <c r="E701" s="487"/>
      <c r="F701" s="487"/>
      <c r="G701" s="487"/>
      <c r="H701" s="487"/>
      <c r="I701" s="487"/>
      <c r="J701" s="487"/>
      <c r="K701" s="487"/>
      <c r="L701" s="513"/>
    </row>
    <row r="702" spans="1:12" ht="20.100000000000001" customHeight="1" x14ac:dyDescent="0.25">
      <c r="A702" s="488" t="s">
        <v>1836</v>
      </c>
      <c r="B702" s="489"/>
      <c r="C702" s="489"/>
      <c r="D702" s="489"/>
      <c r="E702" s="489"/>
      <c r="F702" s="489"/>
      <c r="G702" s="233" t="s">
        <v>44</v>
      </c>
      <c r="H702" s="515" t="s">
        <v>1837</v>
      </c>
      <c r="I702" s="515"/>
      <c r="J702" s="515" t="s">
        <v>1838</v>
      </c>
      <c r="K702" s="515"/>
      <c r="L702" s="169" t="s">
        <v>1839</v>
      </c>
    </row>
    <row r="703" spans="1:12" ht="15" customHeight="1" x14ac:dyDescent="0.25">
      <c r="A703" s="170" t="s">
        <v>1851</v>
      </c>
      <c r="B703" s="490" t="s">
        <v>1852</v>
      </c>
      <c r="C703" s="490"/>
      <c r="D703" s="490"/>
      <c r="E703" s="490"/>
      <c r="F703" s="490"/>
      <c r="G703" s="127" t="s">
        <v>1024</v>
      </c>
      <c r="H703" s="524">
        <v>7.73</v>
      </c>
      <c r="I703" s="524"/>
      <c r="J703" s="517">
        <v>26.03</v>
      </c>
      <c r="K703" s="517"/>
      <c r="L703" s="370">
        <f>TRUNC(TRUNC(H703,8)*J703,2)</f>
        <v>201.21</v>
      </c>
    </row>
    <row r="704" spans="1:12" ht="15" customHeight="1" x14ac:dyDescent="0.25">
      <c r="A704" s="170" t="s">
        <v>1830</v>
      </c>
      <c r="B704" s="490" t="s">
        <v>1831</v>
      </c>
      <c r="C704" s="490"/>
      <c r="D704" s="490"/>
      <c r="E704" s="490"/>
      <c r="F704" s="490"/>
      <c r="G704" s="127" t="s">
        <v>1024</v>
      </c>
      <c r="H704" s="524">
        <v>1.25</v>
      </c>
      <c r="I704" s="524"/>
      <c r="J704" s="517">
        <v>19.68</v>
      </c>
      <c r="K704" s="517"/>
      <c r="L704" s="370">
        <f>TRUNC(TRUNC(H704,8)*J704,2)</f>
        <v>24.6</v>
      </c>
    </row>
    <row r="705" spans="1:12" ht="15" customHeight="1" x14ac:dyDescent="0.25">
      <c r="A705" s="184"/>
      <c r="B705" s="141"/>
      <c r="C705" s="141"/>
      <c r="D705" s="141"/>
      <c r="E705" s="141"/>
      <c r="F705" s="141"/>
      <c r="G705" s="141"/>
      <c r="H705" s="491" t="s">
        <v>1844</v>
      </c>
      <c r="I705" s="491"/>
      <c r="J705" s="491"/>
      <c r="K705" s="491"/>
      <c r="L705" s="369">
        <f>SUM(L703:L704)</f>
        <v>225.81</v>
      </c>
    </row>
    <row r="706" spans="1:12" ht="15" customHeight="1" x14ac:dyDescent="0.25">
      <c r="A706" s="182"/>
      <c r="B706" s="183"/>
      <c r="C706" s="183"/>
      <c r="D706" s="183"/>
      <c r="E706" s="183"/>
      <c r="F706" s="183"/>
      <c r="G706" s="183"/>
      <c r="H706" s="482" t="s">
        <v>1845</v>
      </c>
      <c r="I706" s="482"/>
      <c r="J706" s="482"/>
      <c r="K706" s="482"/>
      <c r="L706" s="371">
        <f>SUM(L705)</f>
        <v>225.81</v>
      </c>
    </row>
    <row r="707" spans="1:12" ht="15" customHeight="1" x14ac:dyDescent="0.25">
      <c r="A707" s="182"/>
      <c r="B707" s="183"/>
      <c r="C707" s="183"/>
      <c r="D707" s="183"/>
      <c r="E707" s="183"/>
      <c r="F707" s="183"/>
      <c r="G707" s="183"/>
      <c r="H707" s="482" t="s">
        <v>1846</v>
      </c>
      <c r="I707" s="482"/>
      <c r="J707" s="482"/>
      <c r="K707" s="482"/>
      <c r="L707" s="374">
        <v>1</v>
      </c>
    </row>
    <row r="708" spans="1:12" ht="15" customHeight="1" x14ac:dyDescent="0.25">
      <c r="A708" s="182"/>
      <c r="B708" s="183"/>
      <c r="C708" s="183"/>
      <c r="D708" s="183"/>
      <c r="E708" s="183"/>
      <c r="F708" s="183"/>
      <c r="G708" s="183"/>
      <c r="H708" s="482" t="s">
        <v>1847</v>
      </c>
      <c r="I708" s="482"/>
      <c r="J708" s="482"/>
      <c r="K708" s="482"/>
      <c r="L708" s="371">
        <f>TRUNC(L706/L707,4)</f>
        <v>225.81</v>
      </c>
    </row>
    <row r="709" spans="1:12" ht="15" customHeight="1" x14ac:dyDescent="0.25">
      <c r="A709" s="182"/>
      <c r="B709" s="183"/>
      <c r="C709" s="183"/>
      <c r="D709" s="183"/>
      <c r="E709" s="183"/>
      <c r="F709" s="183"/>
      <c r="G709" s="183"/>
      <c r="H709" s="482" t="s">
        <v>1848</v>
      </c>
      <c r="I709" s="482"/>
      <c r="J709" s="482"/>
      <c r="K709" s="482"/>
      <c r="L709" s="371">
        <f>SUM(L708)</f>
        <v>225.81</v>
      </c>
    </row>
    <row r="710" spans="1:12" ht="15" customHeight="1" x14ac:dyDescent="0.25">
      <c r="A710" s="182"/>
      <c r="B710" s="183"/>
      <c r="C710" s="183"/>
      <c r="D710" s="183"/>
      <c r="E710" s="183"/>
      <c r="F710" s="183"/>
      <c r="G710" s="183"/>
      <c r="H710" s="482" t="s">
        <v>1834</v>
      </c>
      <c r="I710" s="482"/>
      <c r="J710" s="482"/>
      <c r="K710" s="482"/>
      <c r="L710" s="369">
        <f>ROUND(SUM(L709),2)</f>
        <v>225.81</v>
      </c>
    </row>
    <row r="711" spans="1:12" ht="9.9499999999999993" customHeight="1" x14ac:dyDescent="0.25">
      <c r="A711" s="182"/>
      <c r="B711" s="183"/>
      <c r="C711" s="183"/>
      <c r="D711" s="183"/>
      <c r="E711" s="183"/>
      <c r="F711" s="183"/>
      <c r="G711" s="183"/>
      <c r="H711" s="485"/>
      <c r="I711" s="485"/>
      <c r="J711" s="485"/>
      <c r="K711" s="485"/>
      <c r="L711" s="512"/>
    </row>
    <row r="712" spans="1:12" ht="20.100000000000001" customHeight="1" x14ac:dyDescent="0.25">
      <c r="A712" s="486" t="s">
        <v>2657</v>
      </c>
      <c r="B712" s="487"/>
      <c r="C712" s="487"/>
      <c r="D712" s="487"/>
      <c r="E712" s="487"/>
      <c r="F712" s="487"/>
      <c r="G712" s="487"/>
      <c r="H712" s="487"/>
      <c r="I712" s="487"/>
      <c r="J712" s="487"/>
      <c r="K712" s="487"/>
      <c r="L712" s="513"/>
    </row>
    <row r="713" spans="1:12" ht="15" customHeight="1" x14ac:dyDescent="0.25">
      <c r="A713" s="474" t="s">
        <v>1932</v>
      </c>
      <c r="B713" s="475"/>
      <c r="C713" s="475"/>
      <c r="D713" s="476" t="s">
        <v>42</v>
      </c>
      <c r="E713" s="476"/>
      <c r="F713" s="476"/>
      <c r="G713" s="230" t="s">
        <v>44</v>
      </c>
      <c r="H713" s="476" t="s">
        <v>1813</v>
      </c>
      <c r="I713" s="476"/>
      <c r="J713" s="476" t="s">
        <v>1814</v>
      </c>
      <c r="K713" s="476"/>
      <c r="L713" s="366" t="s">
        <v>1802</v>
      </c>
    </row>
    <row r="714" spans="1:12" ht="21" customHeight="1" x14ac:dyDescent="0.25">
      <c r="A714" s="181" t="s">
        <v>2336</v>
      </c>
      <c r="B714" s="509" t="s">
        <v>2337</v>
      </c>
      <c r="C714" s="509"/>
      <c r="D714" s="481" t="s">
        <v>82</v>
      </c>
      <c r="E714" s="481"/>
      <c r="F714" s="481"/>
      <c r="G714" s="231" t="s">
        <v>1024</v>
      </c>
      <c r="H714" s="510">
        <v>1</v>
      </c>
      <c r="I714" s="510"/>
      <c r="J714" s="511">
        <v>7.63</v>
      </c>
      <c r="K714" s="511"/>
      <c r="L714" s="367">
        <f t="shared" ref="L714:L719" si="8">TRUNC(TRUNC(H714,8)*J714,2)</f>
        <v>7.63</v>
      </c>
    </row>
    <row r="715" spans="1:12" ht="21" customHeight="1" x14ac:dyDescent="0.25">
      <c r="A715" s="181" t="s">
        <v>2400</v>
      </c>
      <c r="B715" s="509" t="s">
        <v>2401</v>
      </c>
      <c r="C715" s="509"/>
      <c r="D715" s="481" t="s">
        <v>82</v>
      </c>
      <c r="E715" s="481"/>
      <c r="F715" s="481"/>
      <c r="G715" s="231" t="s">
        <v>1024</v>
      </c>
      <c r="H715" s="510">
        <v>1</v>
      </c>
      <c r="I715" s="510"/>
      <c r="J715" s="511">
        <v>1.2</v>
      </c>
      <c r="K715" s="511"/>
      <c r="L715" s="367">
        <f t="shared" si="8"/>
        <v>1.2</v>
      </c>
    </row>
    <row r="716" spans="1:12" ht="21" customHeight="1" x14ac:dyDescent="0.25">
      <c r="A716" s="181" t="s">
        <v>2340</v>
      </c>
      <c r="B716" s="509" t="s">
        <v>2341</v>
      </c>
      <c r="C716" s="509"/>
      <c r="D716" s="481" t="s">
        <v>82</v>
      </c>
      <c r="E716" s="481"/>
      <c r="F716" s="481"/>
      <c r="G716" s="231" t="s">
        <v>1024</v>
      </c>
      <c r="H716" s="510">
        <v>1</v>
      </c>
      <c r="I716" s="510"/>
      <c r="J716" s="511">
        <v>1.62</v>
      </c>
      <c r="K716" s="511"/>
      <c r="L716" s="367">
        <f t="shared" si="8"/>
        <v>1.62</v>
      </c>
    </row>
    <row r="717" spans="1:12" ht="21" customHeight="1" x14ac:dyDescent="0.25">
      <c r="A717" s="181" t="s">
        <v>2402</v>
      </c>
      <c r="B717" s="509" t="s">
        <v>2403</v>
      </c>
      <c r="C717" s="509"/>
      <c r="D717" s="481" t="s">
        <v>82</v>
      </c>
      <c r="E717" s="481"/>
      <c r="F717" s="481"/>
      <c r="G717" s="231" t="s">
        <v>1024</v>
      </c>
      <c r="H717" s="510">
        <v>1</v>
      </c>
      <c r="I717" s="510"/>
      <c r="J717" s="511">
        <v>0.81</v>
      </c>
      <c r="K717" s="511"/>
      <c r="L717" s="367">
        <f t="shared" si="8"/>
        <v>0.81</v>
      </c>
    </row>
    <row r="718" spans="1:12" ht="21" customHeight="1" x14ac:dyDescent="0.25">
      <c r="A718" s="181" t="s">
        <v>2344</v>
      </c>
      <c r="B718" s="509" t="s">
        <v>2345</v>
      </c>
      <c r="C718" s="509"/>
      <c r="D718" s="481" t="s">
        <v>82</v>
      </c>
      <c r="E718" s="481"/>
      <c r="F718" s="481"/>
      <c r="G718" s="231" t="s">
        <v>1024</v>
      </c>
      <c r="H718" s="510">
        <v>1</v>
      </c>
      <c r="I718" s="510"/>
      <c r="J718" s="511">
        <v>0.11</v>
      </c>
      <c r="K718" s="511"/>
      <c r="L718" s="367">
        <f t="shared" si="8"/>
        <v>0.11</v>
      </c>
    </row>
    <row r="719" spans="1:12" ht="21" customHeight="1" x14ac:dyDescent="0.25">
      <c r="A719" s="181" t="s">
        <v>2346</v>
      </c>
      <c r="B719" s="509" t="s">
        <v>2347</v>
      </c>
      <c r="C719" s="509"/>
      <c r="D719" s="481" t="s">
        <v>82</v>
      </c>
      <c r="E719" s="481"/>
      <c r="F719" s="481"/>
      <c r="G719" s="231" t="s">
        <v>1024</v>
      </c>
      <c r="H719" s="510">
        <v>1</v>
      </c>
      <c r="I719" s="510"/>
      <c r="J719" s="511">
        <v>0.66</v>
      </c>
      <c r="K719" s="511"/>
      <c r="L719" s="367">
        <f t="shared" si="8"/>
        <v>0.66</v>
      </c>
    </row>
    <row r="720" spans="1:12" ht="15" customHeight="1" x14ac:dyDescent="0.25">
      <c r="A720" s="182"/>
      <c r="B720" s="183"/>
      <c r="C720" s="183"/>
      <c r="D720" s="183"/>
      <c r="E720" s="183"/>
      <c r="F720" s="183"/>
      <c r="G720" s="183"/>
      <c r="H720" s="477" t="s">
        <v>1938</v>
      </c>
      <c r="I720" s="477"/>
      <c r="J720" s="477"/>
      <c r="K720" s="477"/>
      <c r="L720" s="368">
        <f>SUM(L714:L719)</f>
        <v>12.03</v>
      </c>
    </row>
    <row r="721" spans="1:12" ht="15" customHeight="1" x14ac:dyDescent="0.25">
      <c r="A721" s="474" t="s">
        <v>1827</v>
      </c>
      <c r="B721" s="475"/>
      <c r="C721" s="475"/>
      <c r="D721" s="476" t="s">
        <v>42</v>
      </c>
      <c r="E721" s="476"/>
      <c r="F721" s="476"/>
      <c r="G721" s="230" t="s">
        <v>44</v>
      </c>
      <c r="H721" s="476" t="s">
        <v>1813</v>
      </c>
      <c r="I721" s="476"/>
      <c r="J721" s="476" t="s">
        <v>1814</v>
      </c>
      <c r="K721" s="476"/>
      <c r="L721" s="366" t="s">
        <v>1802</v>
      </c>
    </row>
    <row r="722" spans="1:12" ht="15" customHeight="1" x14ac:dyDescent="0.25">
      <c r="A722" s="181" t="s">
        <v>2584</v>
      </c>
      <c r="B722" s="509" t="s">
        <v>2585</v>
      </c>
      <c r="C722" s="509"/>
      <c r="D722" s="481" t="s">
        <v>82</v>
      </c>
      <c r="E722" s="481"/>
      <c r="F722" s="481"/>
      <c r="G722" s="231" t="s">
        <v>1024</v>
      </c>
      <c r="H722" s="510">
        <v>1</v>
      </c>
      <c r="I722" s="510"/>
      <c r="J722" s="511">
        <v>31.02</v>
      </c>
      <c r="K722" s="511"/>
      <c r="L722" s="367">
        <f>TRUNC(TRUNC(H722,8)*J722,2)</f>
        <v>31.02</v>
      </c>
    </row>
    <row r="723" spans="1:12" ht="15" customHeight="1" x14ac:dyDescent="0.25">
      <c r="A723" s="182"/>
      <c r="B723" s="183"/>
      <c r="C723" s="183"/>
      <c r="D723" s="183"/>
      <c r="E723" s="183"/>
      <c r="F723" s="183"/>
      <c r="G723" s="183"/>
      <c r="H723" s="477" t="s">
        <v>1832</v>
      </c>
      <c r="I723" s="477"/>
      <c r="J723" s="477"/>
      <c r="K723" s="477"/>
      <c r="L723" s="368">
        <f>SUM(L722:L722)</f>
        <v>31.02</v>
      </c>
    </row>
    <row r="724" spans="1:12" ht="15" customHeight="1" x14ac:dyDescent="0.25">
      <c r="A724" s="474" t="s">
        <v>1912</v>
      </c>
      <c r="B724" s="475"/>
      <c r="C724" s="475"/>
      <c r="D724" s="476" t="s">
        <v>42</v>
      </c>
      <c r="E724" s="476"/>
      <c r="F724" s="476"/>
      <c r="G724" s="230" t="s">
        <v>44</v>
      </c>
      <c r="H724" s="476" t="s">
        <v>1813</v>
      </c>
      <c r="I724" s="476"/>
      <c r="J724" s="476" t="s">
        <v>1814</v>
      </c>
      <c r="K724" s="476"/>
      <c r="L724" s="366" t="s">
        <v>1802</v>
      </c>
    </row>
    <row r="725" spans="1:12" ht="21" customHeight="1" x14ac:dyDescent="0.25">
      <c r="A725" s="181" t="s">
        <v>2658</v>
      </c>
      <c r="B725" s="509" t="s">
        <v>2659</v>
      </c>
      <c r="C725" s="509"/>
      <c r="D725" s="481" t="s">
        <v>82</v>
      </c>
      <c r="E725" s="481"/>
      <c r="F725" s="481"/>
      <c r="G725" s="231" t="s">
        <v>1024</v>
      </c>
      <c r="H725" s="510">
        <v>1</v>
      </c>
      <c r="I725" s="510"/>
      <c r="J725" s="511">
        <v>1.1499999999999999</v>
      </c>
      <c r="K725" s="511"/>
      <c r="L725" s="367">
        <f>TRUNC(TRUNC(H725,8)*J725,2)</f>
        <v>1.1499999999999999</v>
      </c>
    </row>
    <row r="726" spans="1:12" ht="15" customHeight="1" x14ac:dyDescent="0.25">
      <c r="A726" s="182"/>
      <c r="B726" s="183"/>
      <c r="C726" s="183"/>
      <c r="D726" s="183"/>
      <c r="E726" s="183"/>
      <c r="F726" s="183"/>
      <c r="G726" s="183"/>
      <c r="H726" s="477" t="s">
        <v>1915</v>
      </c>
      <c r="I726" s="477"/>
      <c r="J726" s="477"/>
      <c r="K726" s="477"/>
      <c r="L726" s="368">
        <f>SUM(L725:L725)</f>
        <v>1.1499999999999999</v>
      </c>
    </row>
    <row r="727" spans="1:12" ht="15" customHeight="1" x14ac:dyDescent="0.25">
      <c r="A727" s="182"/>
      <c r="B727" s="183"/>
      <c r="C727" s="183"/>
      <c r="D727" s="183"/>
      <c r="E727" s="183"/>
      <c r="F727" s="183"/>
      <c r="G727" s="183"/>
      <c r="H727" s="482" t="s">
        <v>1834</v>
      </c>
      <c r="I727" s="482"/>
      <c r="J727" s="482"/>
      <c r="K727" s="482"/>
      <c r="L727" s="369">
        <f>ROUND(SUM(L720,L723,L726),2)</f>
        <v>44.2</v>
      </c>
    </row>
    <row r="728" spans="1:12" ht="9.9499999999999993" customHeight="1" x14ac:dyDescent="0.25">
      <c r="A728" s="182"/>
      <c r="B728" s="183"/>
      <c r="C728" s="183"/>
      <c r="D728" s="183"/>
      <c r="E728" s="183"/>
      <c r="F728" s="183"/>
      <c r="G728" s="183"/>
      <c r="H728" s="485"/>
      <c r="I728" s="485"/>
      <c r="J728" s="485"/>
      <c r="K728" s="485"/>
      <c r="L728" s="512"/>
    </row>
    <row r="729" spans="1:12" ht="20.100000000000001" customHeight="1" x14ac:dyDescent="0.25">
      <c r="A729" s="486" t="s">
        <v>2660</v>
      </c>
      <c r="B729" s="487"/>
      <c r="C729" s="487"/>
      <c r="D729" s="487"/>
      <c r="E729" s="487"/>
      <c r="F729" s="487"/>
      <c r="G729" s="487"/>
      <c r="H729" s="487"/>
      <c r="I729" s="487"/>
      <c r="J729" s="487"/>
      <c r="K729" s="487"/>
      <c r="L729" s="513"/>
    </row>
    <row r="730" spans="1:12" ht="15" customHeight="1" x14ac:dyDescent="0.25">
      <c r="A730" s="474" t="s">
        <v>1812</v>
      </c>
      <c r="B730" s="475"/>
      <c r="C730" s="475"/>
      <c r="D730" s="476" t="s">
        <v>42</v>
      </c>
      <c r="E730" s="476"/>
      <c r="F730" s="476"/>
      <c r="G730" s="230" t="s">
        <v>44</v>
      </c>
      <c r="H730" s="476" t="s">
        <v>1813</v>
      </c>
      <c r="I730" s="476"/>
      <c r="J730" s="476" t="s">
        <v>1814</v>
      </c>
      <c r="K730" s="476"/>
      <c r="L730" s="366" t="s">
        <v>1802</v>
      </c>
    </row>
    <row r="731" spans="1:12" ht="38.1" customHeight="1" x14ac:dyDescent="0.25">
      <c r="A731" s="181" t="s">
        <v>2661</v>
      </c>
      <c r="B731" s="509" t="s">
        <v>2662</v>
      </c>
      <c r="C731" s="509"/>
      <c r="D731" s="481" t="s">
        <v>82</v>
      </c>
      <c r="E731" s="481"/>
      <c r="F731" s="481"/>
      <c r="G731" s="231" t="s">
        <v>188</v>
      </c>
      <c r="H731" s="510">
        <v>1.1000000000000001</v>
      </c>
      <c r="I731" s="510"/>
      <c r="J731" s="511">
        <v>7.85</v>
      </c>
      <c r="K731" s="511"/>
      <c r="L731" s="367">
        <f>TRUNC(TRUNC(H731,8)*J731,2)</f>
        <v>8.6300000000000008</v>
      </c>
    </row>
    <row r="732" spans="1:12" ht="15" customHeight="1" x14ac:dyDescent="0.25">
      <c r="A732" s="182"/>
      <c r="B732" s="183"/>
      <c r="C732" s="183"/>
      <c r="D732" s="183"/>
      <c r="E732" s="183"/>
      <c r="F732" s="183"/>
      <c r="G732" s="183"/>
      <c r="H732" s="477" t="s">
        <v>1826</v>
      </c>
      <c r="I732" s="477"/>
      <c r="J732" s="477"/>
      <c r="K732" s="477"/>
      <c r="L732" s="368">
        <f>SUM(L731:L731)</f>
        <v>8.6300000000000008</v>
      </c>
    </row>
    <row r="733" spans="1:12" ht="15" customHeight="1" x14ac:dyDescent="0.25">
      <c r="A733" s="474" t="s">
        <v>2190</v>
      </c>
      <c r="B733" s="475"/>
      <c r="C733" s="475"/>
      <c r="D733" s="476" t="s">
        <v>42</v>
      </c>
      <c r="E733" s="476"/>
      <c r="F733" s="476"/>
      <c r="G733" s="230" t="s">
        <v>44</v>
      </c>
      <c r="H733" s="476" t="s">
        <v>1813</v>
      </c>
      <c r="I733" s="476"/>
      <c r="J733" s="476" t="s">
        <v>1814</v>
      </c>
      <c r="K733" s="476"/>
      <c r="L733" s="366" t="s">
        <v>1802</v>
      </c>
    </row>
    <row r="734" spans="1:12" ht="21" customHeight="1" x14ac:dyDescent="0.25">
      <c r="A734" s="181" t="s">
        <v>2191</v>
      </c>
      <c r="B734" s="509" t="s">
        <v>2192</v>
      </c>
      <c r="C734" s="509"/>
      <c r="D734" s="481" t="s">
        <v>82</v>
      </c>
      <c r="E734" s="481"/>
      <c r="F734" s="481"/>
      <c r="G734" s="231" t="s">
        <v>1024</v>
      </c>
      <c r="H734" s="510">
        <v>9.4500000000000001E-2</v>
      </c>
      <c r="I734" s="510"/>
      <c r="J734" s="511">
        <v>31.67</v>
      </c>
      <c r="K734" s="511"/>
      <c r="L734" s="367">
        <f>TRUNC(TRUNC(H734,8)*J734,2)</f>
        <v>2.99</v>
      </c>
    </row>
    <row r="735" spans="1:12" ht="15" customHeight="1" x14ac:dyDescent="0.25">
      <c r="A735" s="181" t="s">
        <v>2193</v>
      </c>
      <c r="B735" s="509" t="s">
        <v>2194</v>
      </c>
      <c r="C735" s="509"/>
      <c r="D735" s="481" t="s">
        <v>82</v>
      </c>
      <c r="E735" s="481"/>
      <c r="F735" s="481"/>
      <c r="G735" s="231" t="s">
        <v>1024</v>
      </c>
      <c r="H735" s="510">
        <v>9.4500000000000001E-2</v>
      </c>
      <c r="I735" s="510"/>
      <c r="J735" s="511">
        <v>44.2</v>
      </c>
      <c r="K735" s="511"/>
      <c r="L735" s="367">
        <f>TRUNC(TRUNC(H735,8)*J735,2)</f>
        <v>4.17</v>
      </c>
    </row>
    <row r="736" spans="1:12" ht="18" customHeight="1" x14ac:dyDescent="0.25">
      <c r="A736" s="182"/>
      <c r="B736" s="183"/>
      <c r="C736" s="183"/>
      <c r="D736" s="183"/>
      <c r="E736" s="183"/>
      <c r="F736" s="183"/>
      <c r="G736" s="183"/>
      <c r="H736" s="477" t="s">
        <v>2195</v>
      </c>
      <c r="I736" s="477"/>
      <c r="J736" s="477"/>
      <c r="K736" s="477"/>
      <c r="L736" s="368">
        <f>SUM(L734:L735)</f>
        <v>7.16</v>
      </c>
    </row>
    <row r="737" spans="1:12" ht="15" customHeight="1" x14ac:dyDescent="0.25">
      <c r="A737" s="182"/>
      <c r="B737" s="183"/>
      <c r="C737" s="183"/>
      <c r="D737" s="183"/>
      <c r="E737" s="183"/>
      <c r="F737" s="183"/>
      <c r="G737" s="183"/>
      <c r="H737" s="482" t="s">
        <v>1834</v>
      </c>
      <c r="I737" s="482"/>
      <c r="J737" s="482"/>
      <c r="K737" s="482"/>
      <c r="L737" s="369">
        <f>ROUND(SUM(L732,L736),2)</f>
        <v>15.79</v>
      </c>
    </row>
    <row r="738" spans="1:12" ht="9.9499999999999993" customHeight="1" x14ac:dyDescent="0.25">
      <c r="A738" s="182"/>
      <c r="B738" s="183"/>
      <c r="C738" s="183"/>
      <c r="D738" s="183"/>
      <c r="E738" s="183"/>
      <c r="F738" s="183"/>
      <c r="G738" s="183"/>
      <c r="H738" s="485"/>
      <c r="I738" s="485"/>
      <c r="J738" s="485"/>
      <c r="K738" s="485"/>
      <c r="L738" s="512"/>
    </row>
    <row r="739" spans="1:12" ht="20.100000000000001" customHeight="1" x14ac:dyDescent="0.25">
      <c r="A739" s="486" t="s">
        <v>2663</v>
      </c>
      <c r="B739" s="487"/>
      <c r="C739" s="487"/>
      <c r="D739" s="487"/>
      <c r="E739" s="487"/>
      <c r="F739" s="487"/>
      <c r="G739" s="487"/>
      <c r="H739" s="487"/>
      <c r="I739" s="487"/>
      <c r="J739" s="487"/>
      <c r="K739" s="487"/>
      <c r="L739" s="513"/>
    </row>
    <row r="740" spans="1:12" ht="15" customHeight="1" x14ac:dyDescent="0.25">
      <c r="A740" s="474" t="s">
        <v>1812</v>
      </c>
      <c r="B740" s="475"/>
      <c r="C740" s="475"/>
      <c r="D740" s="476" t="s">
        <v>42</v>
      </c>
      <c r="E740" s="476"/>
      <c r="F740" s="476"/>
      <c r="G740" s="230" t="s">
        <v>44</v>
      </c>
      <c r="H740" s="476" t="s">
        <v>1813</v>
      </c>
      <c r="I740" s="476"/>
      <c r="J740" s="476" t="s">
        <v>1814</v>
      </c>
      <c r="K740" s="476"/>
      <c r="L740" s="366" t="s">
        <v>1802</v>
      </c>
    </row>
    <row r="741" spans="1:12" ht="15" customHeight="1" x14ac:dyDescent="0.25">
      <c r="A741" s="181" t="s">
        <v>2664</v>
      </c>
      <c r="B741" s="509" t="s">
        <v>2665</v>
      </c>
      <c r="C741" s="509"/>
      <c r="D741" s="481" t="s">
        <v>82</v>
      </c>
      <c r="E741" s="481"/>
      <c r="F741" s="481"/>
      <c r="G741" s="231" t="s">
        <v>188</v>
      </c>
      <c r="H741" s="510">
        <v>1.0169999999999999</v>
      </c>
      <c r="I741" s="510"/>
      <c r="J741" s="511">
        <v>7.02</v>
      </c>
      <c r="K741" s="511"/>
      <c r="L741" s="367">
        <f>TRUNC(TRUNC(H741,8)*J741,2)</f>
        <v>7.13</v>
      </c>
    </row>
    <row r="742" spans="1:12" ht="15" customHeight="1" x14ac:dyDescent="0.25">
      <c r="A742" s="182"/>
      <c r="B742" s="183"/>
      <c r="C742" s="183"/>
      <c r="D742" s="183"/>
      <c r="E742" s="183"/>
      <c r="F742" s="183"/>
      <c r="G742" s="183"/>
      <c r="H742" s="477" t="s">
        <v>1826</v>
      </c>
      <c r="I742" s="477"/>
      <c r="J742" s="477"/>
      <c r="K742" s="477"/>
      <c r="L742" s="368">
        <f>SUM(L741:L741)</f>
        <v>7.13</v>
      </c>
    </row>
    <row r="743" spans="1:12" ht="15" customHeight="1" x14ac:dyDescent="0.25">
      <c r="A743" s="474" t="s">
        <v>2190</v>
      </c>
      <c r="B743" s="475"/>
      <c r="C743" s="475"/>
      <c r="D743" s="476" t="s">
        <v>42</v>
      </c>
      <c r="E743" s="476"/>
      <c r="F743" s="476"/>
      <c r="G743" s="230" t="s">
        <v>44</v>
      </c>
      <c r="H743" s="476" t="s">
        <v>1813</v>
      </c>
      <c r="I743" s="476"/>
      <c r="J743" s="476" t="s">
        <v>1814</v>
      </c>
      <c r="K743" s="476"/>
      <c r="L743" s="366" t="s">
        <v>1802</v>
      </c>
    </row>
    <row r="744" spans="1:12" ht="21" customHeight="1" x14ac:dyDescent="0.25">
      <c r="A744" s="181" t="s">
        <v>2191</v>
      </c>
      <c r="B744" s="509" t="s">
        <v>2192</v>
      </c>
      <c r="C744" s="509"/>
      <c r="D744" s="481" t="s">
        <v>82</v>
      </c>
      <c r="E744" s="481"/>
      <c r="F744" s="481"/>
      <c r="G744" s="231" t="s">
        <v>1024</v>
      </c>
      <c r="H744" s="510">
        <v>0.19700000000000001</v>
      </c>
      <c r="I744" s="510"/>
      <c r="J744" s="511">
        <v>31.67</v>
      </c>
      <c r="K744" s="511"/>
      <c r="L744" s="367">
        <f>TRUNC(TRUNC(H744,8)*J744,2)</f>
        <v>6.23</v>
      </c>
    </row>
    <row r="745" spans="1:12" ht="15" customHeight="1" x14ac:dyDescent="0.25">
      <c r="A745" s="181" t="s">
        <v>2193</v>
      </c>
      <c r="B745" s="509" t="s">
        <v>2194</v>
      </c>
      <c r="C745" s="509"/>
      <c r="D745" s="481" t="s">
        <v>82</v>
      </c>
      <c r="E745" s="481"/>
      <c r="F745" s="481"/>
      <c r="G745" s="231" t="s">
        <v>1024</v>
      </c>
      <c r="H745" s="510">
        <v>0.19700000000000001</v>
      </c>
      <c r="I745" s="510"/>
      <c r="J745" s="511">
        <v>44.2</v>
      </c>
      <c r="K745" s="511"/>
      <c r="L745" s="367">
        <f>TRUNC(TRUNC(H745,8)*J745,2)</f>
        <v>8.6999999999999993</v>
      </c>
    </row>
    <row r="746" spans="1:12" ht="18" customHeight="1" x14ac:dyDescent="0.25">
      <c r="A746" s="182"/>
      <c r="B746" s="183"/>
      <c r="C746" s="183"/>
      <c r="D746" s="183"/>
      <c r="E746" s="183"/>
      <c r="F746" s="183"/>
      <c r="G746" s="183"/>
      <c r="H746" s="477" t="s">
        <v>2195</v>
      </c>
      <c r="I746" s="477"/>
      <c r="J746" s="477"/>
      <c r="K746" s="477"/>
      <c r="L746" s="368">
        <f>SUM(L744:L745)</f>
        <v>14.93</v>
      </c>
    </row>
    <row r="747" spans="1:12" ht="15" customHeight="1" x14ac:dyDescent="0.25">
      <c r="A747" s="182"/>
      <c r="B747" s="183"/>
      <c r="C747" s="183"/>
      <c r="D747" s="183"/>
      <c r="E747" s="183"/>
      <c r="F747" s="183"/>
      <c r="G747" s="183"/>
      <c r="H747" s="482" t="s">
        <v>1834</v>
      </c>
      <c r="I747" s="482"/>
      <c r="J747" s="482"/>
      <c r="K747" s="482"/>
      <c r="L747" s="369">
        <f>ROUND(SUM(L742,L746),2)</f>
        <v>22.06</v>
      </c>
    </row>
    <row r="748" spans="1:12" ht="9.9499999999999993" customHeight="1" x14ac:dyDescent="0.25">
      <c r="A748" s="182"/>
      <c r="B748" s="183"/>
      <c r="C748" s="183"/>
      <c r="D748" s="183"/>
      <c r="E748" s="183"/>
      <c r="F748" s="183"/>
      <c r="G748" s="183"/>
      <c r="H748" s="485"/>
      <c r="I748" s="485"/>
      <c r="J748" s="485"/>
      <c r="K748" s="485"/>
      <c r="L748" s="512"/>
    </row>
    <row r="749" spans="1:12" ht="20.100000000000001" customHeight="1" x14ac:dyDescent="0.25">
      <c r="A749" s="486" t="s">
        <v>2666</v>
      </c>
      <c r="B749" s="487"/>
      <c r="C749" s="487"/>
      <c r="D749" s="487"/>
      <c r="E749" s="487"/>
      <c r="F749" s="487"/>
      <c r="G749" s="487"/>
      <c r="H749" s="487"/>
      <c r="I749" s="487"/>
      <c r="J749" s="487"/>
      <c r="K749" s="487"/>
      <c r="L749" s="513"/>
    </row>
    <row r="750" spans="1:12" ht="15" customHeight="1" x14ac:dyDescent="0.25">
      <c r="A750" s="474" t="s">
        <v>1932</v>
      </c>
      <c r="B750" s="475"/>
      <c r="C750" s="475"/>
      <c r="D750" s="476" t="s">
        <v>42</v>
      </c>
      <c r="E750" s="476"/>
      <c r="F750" s="476"/>
      <c r="G750" s="230" t="s">
        <v>44</v>
      </c>
      <c r="H750" s="476" t="s">
        <v>1813</v>
      </c>
      <c r="I750" s="476"/>
      <c r="J750" s="476" t="s">
        <v>1814</v>
      </c>
      <c r="K750" s="476"/>
      <c r="L750" s="366" t="s">
        <v>1802</v>
      </c>
    </row>
    <row r="751" spans="1:12" ht="21" customHeight="1" x14ac:dyDescent="0.25">
      <c r="A751" s="181" t="s">
        <v>2336</v>
      </c>
      <c r="B751" s="509" t="s">
        <v>2337</v>
      </c>
      <c r="C751" s="509"/>
      <c r="D751" s="481" t="s">
        <v>82</v>
      </c>
      <c r="E751" s="481"/>
      <c r="F751" s="481"/>
      <c r="G751" s="231" t="s">
        <v>1024</v>
      </c>
      <c r="H751" s="510">
        <v>1</v>
      </c>
      <c r="I751" s="510"/>
      <c r="J751" s="511">
        <v>7.63</v>
      </c>
      <c r="K751" s="511"/>
      <c r="L751" s="367">
        <f t="shared" ref="L751:L756" si="9">TRUNC(TRUNC(H751,8)*J751,2)</f>
        <v>7.63</v>
      </c>
    </row>
    <row r="752" spans="1:12" ht="21" customHeight="1" x14ac:dyDescent="0.25">
      <c r="A752" s="181" t="s">
        <v>2407</v>
      </c>
      <c r="B752" s="509" t="s">
        <v>2408</v>
      </c>
      <c r="C752" s="509"/>
      <c r="D752" s="481" t="s">
        <v>82</v>
      </c>
      <c r="E752" s="481"/>
      <c r="F752" s="481"/>
      <c r="G752" s="231" t="s">
        <v>1024</v>
      </c>
      <c r="H752" s="510">
        <v>1</v>
      </c>
      <c r="I752" s="510"/>
      <c r="J752" s="511">
        <v>1.07</v>
      </c>
      <c r="K752" s="511"/>
      <c r="L752" s="367">
        <f t="shared" si="9"/>
        <v>1.07</v>
      </c>
    </row>
    <row r="753" spans="1:12" ht="21" customHeight="1" x14ac:dyDescent="0.25">
      <c r="A753" s="181" t="s">
        <v>2340</v>
      </c>
      <c r="B753" s="509" t="s">
        <v>2341</v>
      </c>
      <c r="C753" s="509"/>
      <c r="D753" s="481" t="s">
        <v>82</v>
      </c>
      <c r="E753" s="481"/>
      <c r="F753" s="481"/>
      <c r="G753" s="231" t="s">
        <v>1024</v>
      </c>
      <c r="H753" s="510">
        <v>1</v>
      </c>
      <c r="I753" s="510"/>
      <c r="J753" s="511">
        <v>1.62</v>
      </c>
      <c r="K753" s="511"/>
      <c r="L753" s="367">
        <f t="shared" si="9"/>
        <v>1.62</v>
      </c>
    </row>
    <row r="754" spans="1:12" ht="21" customHeight="1" x14ac:dyDescent="0.25">
      <c r="A754" s="181" t="s">
        <v>2409</v>
      </c>
      <c r="B754" s="509" t="s">
        <v>2410</v>
      </c>
      <c r="C754" s="509"/>
      <c r="D754" s="481" t="s">
        <v>82</v>
      </c>
      <c r="E754" s="481"/>
      <c r="F754" s="481"/>
      <c r="G754" s="231" t="s">
        <v>1024</v>
      </c>
      <c r="H754" s="510">
        <v>1</v>
      </c>
      <c r="I754" s="510"/>
      <c r="J754" s="511">
        <v>0.41</v>
      </c>
      <c r="K754" s="511"/>
      <c r="L754" s="367">
        <f t="shared" si="9"/>
        <v>0.41</v>
      </c>
    </row>
    <row r="755" spans="1:12" ht="21" customHeight="1" x14ac:dyDescent="0.25">
      <c r="A755" s="181" t="s">
        <v>2344</v>
      </c>
      <c r="B755" s="509" t="s">
        <v>2345</v>
      </c>
      <c r="C755" s="509"/>
      <c r="D755" s="481" t="s">
        <v>82</v>
      </c>
      <c r="E755" s="481"/>
      <c r="F755" s="481"/>
      <c r="G755" s="231" t="s">
        <v>1024</v>
      </c>
      <c r="H755" s="510">
        <v>1</v>
      </c>
      <c r="I755" s="510"/>
      <c r="J755" s="511">
        <v>0.11</v>
      </c>
      <c r="K755" s="511"/>
      <c r="L755" s="367">
        <f t="shared" si="9"/>
        <v>0.11</v>
      </c>
    </row>
    <row r="756" spans="1:12" ht="21" customHeight="1" x14ac:dyDescent="0.25">
      <c r="A756" s="181" t="s">
        <v>2346</v>
      </c>
      <c r="B756" s="509" t="s">
        <v>2347</v>
      </c>
      <c r="C756" s="509"/>
      <c r="D756" s="481" t="s">
        <v>82</v>
      </c>
      <c r="E756" s="481"/>
      <c r="F756" s="481"/>
      <c r="G756" s="231" t="s">
        <v>1024</v>
      </c>
      <c r="H756" s="510">
        <v>1</v>
      </c>
      <c r="I756" s="510"/>
      <c r="J756" s="511">
        <v>0.66</v>
      </c>
      <c r="K756" s="511"/>
      <c r="L756" s="367">
        <f t="shared" si="9"/>
        <v>0.66</v>
      </c>
    </row>
    <row r="757" spans="1:12" ht="15" customHeight="1" x14ac:dyDescent="0.25">
      <c r="A757" s="182"/>
      <c r="B757" s="183"/>
      <c r="C757" s="183"/>
      <c r="D757" s="183"/>
      <c r="E757" s="183"/>
      <c r="F757" s="183"/>
      <c r="G757" s="183"/>
      <c r="H757" s="477" t="s">
        <v>1938</v>
      </c>
      <c r="I757" s="477"/>
      <c r="J757" s="477"/>
      <c r="K757" s="477"/>
      <c r="L757" s="368">
        <f>SUM(L751:L756)</f>
        <v>11.5</v>
      </c>
    </row>
    <row r="758" spans="1:12" ht="15" customHeight="1" x14ac:dyDescent="0.25">
      <c r="A758" s="474" t="s">
        <v>1827</v>
      </c>
      <c r="B758" s="475"/>
      <c r="C758" s="475"/>
      <c r="D758" s="476" t="s">
        <v>42</v>
      </c>
      <c r="E758" s="476"/>
      <c r="F758" s="476"/>
      <c r="G758" s="230" t="s">
        <v>44</v>
      </c>
      <c r="H758" s="476" t="s">
        <v>1813</v>
      </c>
      <c r="I758" s="476"/>
      <c r="J758" s="476" t="s">
        <v>1814</v>
      </c>
      <c r="K758" s="476"/>
      <c r="L758" s="366" t="s">
        <v>1802</v>
      </c>
    </row>
    <row r="759" spans="1:12" ht="15" customHeight="1" x14ac:dyDescent="0.25">
      <c r="A759" s="181" t="s">
        <v>2587</v>
      </c>
      <c r="B759" s="509" t="s">
        <v>2588</v>
      </c>
      <c r="C759" s="509"/>
      <c r="D759" s="481" t="s">
        <v>82</v>
      </c>
      <c r="E759" s="481"/>
      <c r="F759" s="481"/>
      <c r="G759" s="231" t="s">
        <v>1024</v>
      </c>
      <c r="H759" s="510">
        <v>1</v>
      </c>
      <c r="I759" s="510"/>
      <c r="J759" s="511">
        <v>21.39</v>
      </c>
      <c r="K759" s="511"/>
      <c r="L759" s="367">
        <f>TRUNC(TRUNC(H759,8)*J759,2)</f>
        <v>21.39</v>
      </c>
    </row>
    <row r="760" spans="1:12" ht="15" customHeight="1" x14ac:dyDescent="0.25">
      <c r="A760" s="182"/>
      <c r="B760" s="183"/>
      <c r="C760" s="183"/>
      <c r="D760" s="183"/>
      <c r="E760" s="183"/>
      <c r="F760" s="183"/>
      <c r="G760" s="183"/>
      <c r="H760" s="477" t="s">
        <v>1832</v>
      </c>
      <c r="I760" s="477"/>
      <c r="J760" s="477"/>
      <c r="K760" s="477"/>
      <c r="L760" s="368">
        <f>SUM(L759:L759)</f>
        <v>21.39</v>
      </c>
    </row>
    <row r="761" spans="1:12" ht="15" customHeight="1" x14ac:dyDescent="0.25">
      <c r="A761" s="474" t="s">
        <v>1912</v>
      </c>
      <c r="B761" s="475"/>
      <c r="C761" s="475"/>
      <c r="D761" s="476" t="s">
        <v>42</v>
      </c>
      <c r="E761" s="476"/>
      <c r="F761" s="476"/>
      <c r="G761" s="230" t="s">
        <v>44</v>
      </c>
      <c r="H761" s="476" t="s">
        <v>1813</v>
      </c>
      <c r="I761" s="476"/>
      <c r="J761" s="476" t="s">
        <v>1814</v>
      </c>
      <c r="K761" s="476"/>
      <c r="L761" s="366" t="s">
        <v>1802</v>
      </c>
    </row>
    <row r="762" spans="1:12" ht="21" customHeight="1" x14ac:dyDescent="0.25">
      <c r="A762" s="181" t="s">
        <v>2667</v>
      </c>
      <c r="B762" s="509" t="s">
        <v>2668</v>
      </c>
      <c r="C762" s="509"/>
      <c r="D762" s="481" t="s">
        <v>82</v>
      </c>
      <c r="E762" s="481"/>
      <c r="F762" s="481"/>
      <c r="G762" s="231" t="s">
        <v>1024</v>
      </c>
      <c r="H762" s="510">
        <v>1</v>
      </c>
      <c r="I762" s="510"/>
      <c r="J762" s="511">
        <v>0.38</v>
      </c>
      <c r="K762" s="511"/>
      <c r="L762" s="367">
        <f>TRUNC(TRUNC(H762,8)*J762,2)</f>
        <v>0.38</v>
      </c>
    </row>
    <row r="763" spans="1:12" ht="15" customHeight="1" x14ac:dyDescent="0.25">
      <c r="A763" s="182"/>
      <c r="B763" s="183"/>
      <c r="C763" s="183"/>
      <c r="D763" s="183"/>
      <c r="E763" s="183"/>
      <c r="F763" s="183"/>
      <c r="G763" s="183"/>
      <c r="H763" s="477" t="s">
        <v>1915</v>
      </c>
      <c r="I763" s="477"/>
      <c r="J763" s="477"/>
      <c r="K763" s="477"/>
      <c r="L763" s="368">
        <f>SUM(L762:L762)</f>
        <v>0.38</v>
      </c>
    </row>
    <row r="764" spans="1:12" ht="15" customHeight="1" x14ac:dyDescent="0.25">
      <c r="A764" s="182"/>
      <c r="B764" s="183"/>
      <c r="C764" s="183"/>
      <c r="D764" s="183"/>
      <c r="E764" s="183"/>
      <c r="F764" s="183"/>
      <c r="G764" s="183"/>
      <c r="H764" s="482" t="s">
        <v>1834</v>
      </c>
      <c r="I764" s="482"/>
      <c r="J764" s="482"/>
      <c r="K764" s="482"/>
      <c r="L764" s="369">
        <f>ROUND(SUM(L757,L760,L763),2)</f>
        <v>33.270000000000003</v>
      </c>
    </row>
    <row r="765" spans="1:12" ht="9.9499999999999993" customHeight="1" x14ac:dyDescent="0.25">
      <c r="A765" s="182"/>
      <c r="B765" s="183"/>
      <c r="C765" s="183"/>
      <c r="D765" s="183"/>
      <c r="E765" s="183"/>
      <c r="F765" s="183"/>
      <c r="G765" s="183"/>
      <c r="H765" s="485"/>
      <c r="I765" s="485"/>
      <c r="J765" s="485"/>
      <c r="K765" s="485"/>
      <c r="L765" s="512"/>
    </row>
    <row r="766" spans="1:12" ht="20.100000000000001" customHeight="1" x14ac:dyDescent="0.25">
      <c r="A766" s="486" t="s">
        <v>2669</v>
      </c>
      <c r="B766" s="487"/>
      <c r="C766" s="487"/>
      <c r="D766" s="487"/>
      <c r="E766" s="487"/>
      <c r="F766" s="487"/>
      <c r="G766" s="487"/>
      <c r="H766" s="487"/>
      <c r="I766" s="487"/>
      <c r="J766" s="487"/>
      <c r="K766" s="487"/>
      <c r="L766" s="513"/>
    </row>
    <row r="767" spans="1:12" ht="20.100000000000001" customHeight="1" x14ac:dyDescent="0.25">
      <c r="A767" s="488" t="s">
        <v>1880</v>
      </c>
      <c r="B767" s="489"/>
      <c r="C767" s="489"/>
      <c r="D767" s="489"/>
      <c r="E767" s="489"/>
      <c r="F767" s="489"/>
      <c r="G767" s="233" t="s">
        <v>44</v>
      </c>
      <c r="H767" s="515" t="s">
        <v>1837</v>
      </c>
      <c r="I767" s="515"/>
      <c r="J767" s="515" t="s">
        <v>1881</v>
      </c>
      <c r="K767" s="515"/>
      <c r="L767" s="169" t="s">
        <v>1882</v>
      </c>
    </row>
    <row r="768" spans="1:12" ht="15.95" customHeight="1" x14ac:dyDescent="0.25">
      <c r="A768" s="170" t="s">
        <v>2670</v>
      </c>
      <c r="B768" s="492" t="s">
        <v>2671</v>
      </c>
      <c r="C768" s="492"/>
      <c r="D768" s="492"/>
      <c r="E768" s="492"/>
      <c r="F768" s="492"/>
      <c r="G768" s="127" t="s">
        <v>2066</v>
      </c>
      <c r="H768" s="516">
        <v>1</v>
      </c>
      <c r="I768" s="516"/>
      <c r="J768" s="523">
        <v>1.41</v>
      </c>
      <c r="K768" s="523"/>
      <c r="L768" s="371">
        <f>ROUND(ROUND(H768,7)*J768,4)</f>
        <v>1.41</v>
      </c>
    </row>
    <row r="769" spans="1:12" ht="15" customHeight="1" x14ac:dyDescent="0.25">
      <c r="A769" s="184"/>
      <c r="B769" s="141"/>
      <c r="C769" s="141"/>
      <c r="D769" s="141"/>
      <c r="E769" s="141"/>
      <c r="F769" s="141"/>
      <c r="G769" s="141"/>
      <c r="H769" s="491" t="s">
        <v>1889</v>
      </c>
      <c r="I769" s="491"/>
      <c r="J769" s="491"/>
      <c r="K769" s="491"/>
      <c r="L769" s="373">
        <f>SUM(L768:L768)</f>
        <v>1.41</v>
      </c>
    </row>
    <row r="770" spans="1:12" ht="15" customHeight="1" x14ac:dyDescent="0.25">
      <c r="A770" s="182"/>
      <c r="B770" s="183"/>
      <c r="C770" s="183"/>
      <c r="D770" s="183"/>
      <c r="E770" s="183"/>
      <c r="F770" s="183"/>
      <c r="G770" s="183"/>
      <c r="H770" s="482" t="s">
        <v>1848</v>
      </c>
      <c r="I770" s="482"/>
      <c r="J770" s="482"/>
      <c r="K770" s="482"/>
      <c r="L770" s="371">
        <f>SUM(L769)</f>
        <v>1.41</v>
      </c>
    </row>
    <row r="771" spans="1:12" ht="15" customHeight="1" x14ac:dyDescent="0.25">
      <c r="A771" s="182"/>
      <c r="B771" s="183"/>
      <c r="C771" s="183"/>
      <c r="D771" s="183"/>
      <c r="E771" s="183"/>
      <c r="F771" s="183"/>
      <c r="G771" s="183"/>
      <c r="H771" s="482" t="s">
        <v>1834</v>
      </c>
      <c r="I771" s="482"/>
      <c r="J771" s="482"/>
      <c r="K771" s="482"/>
      <c r="L771" s="369">
        <f>ROUND(SUM(L770),2)</f>
        <v>1.41</v>
      </c>
    </row>
    <row r="772" spans="1:12" ht="9.9499999999999993" customHeight="1" x14ac:dyDescent="0.25">
      <c r="A772" s="182"/>
      <c r="B772" s="183"/>
      <c r="C772" s="183"/>
      <c r="D772" s="183"/>
      <c r="E772" s="183"/>
      <c r="F772" s="183"/>
      <c r="G772" s="183"/>
      <c r="H772" s="485"/>
      <c r="I772" s="485"/>
      <c r="J772" s="485"/>
      <c r="K772" s="485"/>
      <c r="L772" s="512"/>
    </row>
    <row r="773" spans="1:12" ht="20.100000000000001" customHeight="1" x14ac:dyDescent="0.25">
      <c r="A773" s="486" t="s">
        <v>2672</v>
      </c>
      <c r="B773" s="487"/>
      <c r="C773" s="487"/>
      <c r="D773" s="487"/>
      <c r="E773" s="487"/>
      <c r="F773" s="487"/>
      <c r="G773" s="487"/>
      <c r="H773" s="487"/>
      <c r="I773" s="487"/>
      <c r="J773" s="487"/>
      <c r="K773" s="487"/>
      <c r="L773" s="513"/>
    </row>
    <row r="774" spans="1:12" ht="15" customHeight="1" x14ac:dyDescent="0.25">
      <c r="A774" s="474" t="s">
        <v>2190</v>
      </c>
      <c r="B774" s="475"/>
      <c r="C774" s="475"/>
      <c r="D774" s="476" t="s">
        <v>42</v>
      </c>
      <c r="E774" s="476"/>
      <c r="F774" s="476"/>
      <c r="G774" s="230" t="s">
        <v>44</v>
      </c>
      <c r="H774" s="476" t="s">
        <v>1813</v>
      </c>
      <c r="I774" s="476"/>
      <c r="J774" s="476" t="s">
        <v>1814</v>
      </c>
      <c r="K774" s="476"/>
      <c r="L774" s="366" t="s">
        <v>1802</v>
      </c>
    </row>
    <row r="775" spans="1:12" ht="21" customHeight="1" x14ac:dyDescent="0.25">
      <c r="A775" s="181" t="s">
        <v>2673</v>
      </c>
      <c r="B775" s="509" t="s">
        <v>2674</v>
      </c>
      <c r="C775" s="509"/>
      <c r="D775" s="481" t="s">
        <v>82</v>
      </c>
      <c r="E775" s="481"/>
      <c r="F775" s="481"/>
      <c r="G775" s="231" t="s">
        <v>1024</v>
      </c>
      <c r="H775" s="510">
        <v>1</v>
      </c>
      <c r="I775" s="510"/>
      <c r="J775" s="511">
        <v>42.52</v>
      </c>
      <c r="K775" s="511"/>
      <c r="L775" s="367">
        <f>TRUNC(TRUNC(H775,8)*J775,2)</f>
        <v>42.52</v>
      </c>
    </row>
    <row r="776" spans="1:12" ht="18" customHeight="1" x14ac:dyDescent="0.25">
      <c r="A776" s="182"/>
      <c r="B776" s="183"/>
      <c r="C776" s="183"/>
      <c r="D776" s="183"/>
      <c r="E776" s="183"/>
      <c r="F776" s="183"/>
      <c r="G776" s="183"/>
      <c r="H776" s="477" t="s">
        <v>2195</v>
      </c>
      <c r="I776" s="477"/>
      <c r="J776" s="477"/>
      <c r="K776" s="477"/>
      <c r="L776" s="368">
        <f>SUM(L775:L775)</f>
        <v>42.52</v>
      </c>
    </row>
    <row r="777" spans="1:12" ht="15" customHeight="1" x14ac:dyDescent="0.25">
      <c r="A777" s="474" t="s">
        <v>1912</v>
      </c>
      <c r="B777" s="475"/>
      <c r="C777" s="475"/>
      <c r="D777" s="476" t="s">
        <v>42</v>
      </c>
      <c r="E777" s="476"/>
      <c r="F777" s="476"/>
      <c r="G777" s="230" t="s">
        <v>44</v>
      </c>
      <c r="H777" s="476" t="s">
        <v>1813</v>
      </c>
      <c r="I777" s="476"/>
      <c r="J777" s="476" t="s">
        <v>1814</v>
      </c>
      <c r="K777" s="476"/>
      <c r="L777" s="366" t="s">
        <v>1802</v>
      </c>
    </row>
    <row r="778" spans="1:12" ht="29.1" customHeight="1" x14ac:dyDescent="0.25">
      <c r="A778" s="181" t="s">
        <v>2675</v>
      </c>
      <c r="B778" s="509" t="s">
        <v>2676</v>
      </c>
      <c r="C778" s="509"/>
      <c r="D778" s="481" t="s">
        <v>82</v>
      </c>
      <c r="E778" s="481"/>
      <c r="F778" s="481"/>
      <c r="G778" s="231" t="s">
        <v>1024</v>
      </c>
      <c r="H778" s="510">
        <v>1</v>
      </c>
      <c r="I778" s="510"/>
      <c r="J778" s="511">
        <v>47.29</v>
      </c>
      <c r="K778" s="511"/>
      <c r="L778" s="367">
        <f>TRUNC(TRUNC(H778,8)*J778,2)</f>
        <v>47.29</v>
      </c>
    </row>
    <row r="779" spans="1:12" ht="29.1" customHeight="1" x14ac:dyDescent="0.25">
      <c r="A779" s="181" t="s">
        <v>2677</v>
      </c>
      <c r="B779" s="509" t="s">
        <v>2678</v>
      </c>
      <c r="C779" s="509"/>
      <c r="D779" s="481" t="s">
        <v>82</v>
      </c>
      <c r="E779" s="481"/>
      <c r="F779" s="481"/>
      <c r="G779" s="231" t="s">
        <v>1024</v>
      </c>
      <c r="H779" s="510">
        <v>1</v>
      </c>
      <c r="I779" s="510"/>
      <c r="J779" s="511">
        <v>12.49</v>
      </c>
      <c r="K779" s="511"/>
      <c r="L779" s="367">
        <f>TRUNC(TRUNC(H779,8)*J779,2)</f>
        <v>12.49</v>
      </c>
    </row>
    <row r="780" spans="1:12" ht="15" customHeight="1" x14ac:dyDescent="0.25">
      <c r="A780" s="182"/>
      <c r="B780" s="183"/>
      <c r="C780" s="183"/>
      <c r="D780" s="183"/>
      <c r="E780" s="183"/>
      <c r="F780" s="183"/>
      <c r="G780" s="183"/>
      <c r="H780" s="477" t="s">
        <v>1915</v>
      </c>
      <c r="I780" s="477"/>
      <c r="J780" s="477"/>
      <c r="K780" s="477"/>
      <c r="L780" s="368">
        <f>SUM(L778:L779)</f>
        <v>59.78</v>
      </c>
    </row>
    <row r="781" spans="1:12" ht="15" customHeight="1" x14ac:dyDescent="0.25">
      <c r="A781" s="182"/>
      <c r="B781" s="183"/>
      <c r="C781" s="183"/>
      <c r="D781" s="183"/>
      <c r="E781" s="183"/>
      <c r="F781" s="183"/>
      <c r="G781" s="183"/>
      <c r="H781" s="482" t="s">
        <v>1834</v>
      </c>
      <c r="I781" s="482"/>
      <c r="J781" s="482"/>
      <c r="K781" s="482"/>
      <c r="L781" s="369">
        <f>ROUND(SUM(L776,L780),2)</f>
        <v>102.3</v>
      </c>
    </row>
    <row r="782" spans="1:12" ht="9.9499999999999993" customHeight="1" x14ac:dyDescent="0.25">
      <c r="A782" s="182"/>
      <c r="B782" s="183"/>
      <c r="C782" s="183"/>
      <c r="D782" s="183"/>
      <c r="E782" s="183"/>
      <c r="F782" s="183"/>
      <c r="G782" s="183"/>
      <c r="H782" s="485"/>
      <c r="I782" s="485"/>
      <c r="J782" s="485"/>
      <c r="K782" s="485"/>
      <c r="L782" s="512"/>
    </row>
    <row r="783" spans="1:12" ht="20.100000000000001" customHeight="1" x14ac:dyDescent="0.25">
      <c r="A783" s="486" t="s">
        <v>2679</v>
      </c>
      <c r="B783" s="487"/>
      <c r="C783" s="487"/>
      <c r="D783" s="487"/>
      <c r="E783" s="487"/>
      <c r="F783" s="487"/>
      <c r="G783" s="487"/>
      <c r="H783" s="487"/>
      <c r="I783" s="487"/>
      <c r="J783" s="487"/>
      <c r="K783" s="487"/>
      <c r="L783" s="513"/>
    </row>
    <row r="784" spans="1:12" ht="15" customHeight="1" x14ac:dyDescent="0.25">
      <c r="A784" s="474" t="s">
        <v>2190</v>
      </c>
      <c r="B784" s="475"/>
      <c r="C784" s="475"/>
      <c r="D784" s="476" t="s">
        <v>42</v>
      </c>
      <c r="E784" s="476"/>
      <c r="F784" s="476"/>
      <c r="G784" s="230" t="s">
        <v>44</v>
      </c>
      <c r="H784" s="476" t="s">
        <v>1813</v>
      </c>
      <c r="I784" s="476"/>
      <c r="J784" s="476" t="s">
        <v>1814</v>
      </c>
      <c r="K784" s="476"/>
      <c r="L784" s="366" t="s">
        <v>1802</v>
      </c>
    </row>
    <row r="785" spans="1:12" ht="21" customHeight="1" x14ac:dyDescent="0.25">
      <c r="A785" s="181" t="s">
        <v>2673</v>
      </c>
      <c r="B785" s="509" t="s">
        <v>2674</v>
      </c>
      <c r="C785" s="509"/>
      <c r="D785" s="481" t="s">
        <v>82</v>
      </c>
      <c r="E785" s="481"/>
      <c r="F785" s="481"/>
      <c r="G785" s="231" t="s">
        <v>1024</v>
      </c>
      <c r="H785" s="510">
        <v>1</v>
      </c>
      <c r="I785" s="510"/>
      <c r="J785" s="511">
        <v>42.52</v>
      </c>
      <c r="K785" s="511"/>
      <c r="L785" s="367">
        <f>TRUNC(TRUNC(H785,8)*J785,2)</f>
        <v>42.52</v>
      </c>
    </row>
    <row r="786" spans="1:12" ht="18" customHeight="1" x14ac:dyDescent="0.25">
      <c r="A786" s="182"/>
      <c r="B786" s="183"/>
      <c r="C786" s="183"/>
      <c r="D786" s="183"/>
      <c r="E786" s="183"/>
      <c r="F786" s="183"/>
      <c r="G786" s="183"/>
      <c r="H786" s="477" t="s">
        <v>2195</v>
      </c>
      <c r="I786" s="477"/>
      <c r="J786" s="477"/>
      <c r="K786" s="477"/>
      <c r="L786" s="368">
        <f>SUM(L785:L785)</f>
        <v>42.52</v>
      </c>
    </row>
    <row r="787" spans="1:12" ht="15" customHeight="1" x14ac:dyDescent="0.25">
      <c r="A787" s="474" t="s">
        <v>1912</v>
      </c>
      <c r="B787" s="475"/>
      <c r="C787" s="475"/>
      <c r="D787" s="476" t="s">
        <v>42</v>
      </c>
      <c r="E787" s="476"/>
      <c r="F787" s="476"/>
      <c r="G787" s="230" t="s">
        <v>44</v>
      </c>
      <c r="H787" s="476" t="s">
        <v>1813</v>
      </c>
      <c r="I787" s="476"/>
      <c r="J787" s="476" t="s">
        <v>1814</v>
      </c>
      <c r="K787" s="476"/>
      <c r="L787" s="366" t="s">
        <v>1802</v>
      </c>
    </row>
    <row r="788" spans="1:12" ht="29.1" customHeight="1" x14ac:dyDescent="0.25">
      <c r="A788" s="181" t="s">
        <v>2675</v>
      </c>
      <c r="B788" s="509" t="s">
        <v>2676</v>
      </c>
      <c r="C788" s="509"/>
      <c r="D788" s="481" t="s">
        <v>82</v>
      </c>
      <c r="E788" s="481"/>
      <c r="F788" s="481"/>
      <c r="G788" s="231" t="s">
        <v>1024</v>
      </c>
      <c r="H788" s="510">
        <v>1</v>
      </c>
      <c r="I788" s="510"/>
      <c r="J788" s="511">
        <v>47.29</v>
      </c>
      <c r="K788" s="511"/>
      <c r="L788" s="367">
        <f>TRUNC(TRUNC(H788,8)*J788,2)</f>
        <v>47.29</v>
      </c>
    </row>
    <row r="789" spans="1:12" ht="29.1" customHeight="1" x14ac:dyDescent="0.25">
      <c r="A789" s="181" t="s">
        <v>2677</v>
      </c>
      <c r="B789" s="509" t="s">
        <v>2678</v>
      </c>
      <c r="C789" s="509"/>
      <c r="D789" s="481" t="s">
        <v>82</v>
      </c>
      <c r="E789" s="481"/>
      <c r="F789" s="481"/>
      <c r="G789" s="231" t="s">
        <v>1024</v>
      </c>
      <c r="H789" s="510">
        <v>1</v>
      </c>
      <c r="I789" s="510"/>
      <c r="J789" s="511">
        <v>12.49</v>
      </c>
      <c r="K789" s="511"/>
      <c r="L789" s="367">
        <f>TRUNC(TRUNC(H789,8)*J789,2)</f>
        <v>12.49</v>
      </c>
    </row>
    <row r="790" spans="1:12" ht="29.1" customHeight="1" x14ac:dyDescent="0.25">
      <c r="A790" s="181" t="s">
        <v>2680</v>
      </c>
      <c r="B790" s="509" t="s">
        <v>2681</v>
      </c>
      <c r="C790" s="509"/>
      <c r="D790" s="481" t="s">
        <v>82</v>
      </c>
      <c r="E790" s="481"/>
      <c r="F790" s="481"/>
      <c r="G790" s="231" t="s">
        <v>1024</v>
      </c>
      <c r="H790" s="510">
        <v>1</v>
      </c>
      <c r="I790" s="510"/>
      <c r="J790" s="511">
        <v>59.11</v>
      </c>
      <c r="K790" s="511"/>
      <c r="L790" s="367">
        <f>TRUNC(TRUNC(H790,8)*J790,2)</f>
        <v>59.11</v>
      </c>
    </row>
    <row r="791" spans="1:12" ht="29.1" customHeight="1" x14ac:dyDescent="0.25">
      <c r="A791" s="181" t="s">
        <v>2682</v>
      </c>
      <c r="B791" s="509" t="s">
        <v>2683</v>
      </c>
      <c r="C791" s="509"/>
      <c r="D791" s="481" t="s">
        <v>82</v>
      </c>
      <c r="E791" s="481"/>
      <c r="F791" s="481"/>
      <c r="G791" s="231" t="s">
        <v>1024</v>
      </c>
      <c r="H791" s="510">
        <v>1</v>
      </c>
      <c r="I791" s="510"/>
      <c r="J791" s="511">
        <v>74.2</v>
      </c>
      <c r="K791" s="511"/>
      <c r="L791" s="367">
        <f>TRUNC(TRUNC(H791,8)*J791,2)</f>
        <v>74.2</v>
      </c>
    </row>
    <row r="792" spans="1:12" ht="15" customHeight="1" x14ac:dyDescent="0.25">
      <c r="A792" s="182"/>
      <c r="B792" s="183"/>
      <c r="C792" s="183"/>
      <c r="D792" s="183"/>
      <c r="E792" s="183"/>
      <c r="F792" s="183"/>
      <c r="G792" s="183"/>
      <c r="H792" s="477" t="s">
        <v>1915</v>
      </c>
      <c r="I792" s="477"/>
      <c r="J792" s="477"/>
      <c r="K792" s="477"/>
      <c r="L792" s="368">
        <f>SUM(L788:L791)</f>
        <v>193.09</v>
      </c>
    </row>
    <row r="793" spans="1:12" ht="15" customHeight="1" x14ac:dyDescent="0.25">
      <c r="A793" s="182"/>
      <c r="B793" s="183"/>
      <c r="C793" s="183"/>
      <c r="D793" s="183"/>
      <c r="E793" s="183"/>
      <c r="F793" s="183"/>
      <c r="G793" s="183"/>
      <c r="H793" s="482" t="s">
        <v>1834</v>
      </c>
      <c r="I793" s="482"/>
      <c r="J793" s="482"/>
      <c r="K793" s="482"/>
      <c r="L793" s="369">
        <f>ROUND(SUM(L786,L792),2)</f>
        <v>235.61</v>
      </c>
    </row>
    <row r="794" spans="1:12" ht="9.9499999999999993" customHeight="1" x14ac:dyDescent="0.25">
      <c r="A794" s="182"/>
      <c r="B794" s="183"/>
      <c r="C794" s="183"/>
      <c r="D794" s="183"/>
      <c r="E794" s="183"/>
      <c r="F794" s="183"/>
      <c r="G794" s="183"/>
      <c r="H794" s="485"/>
      <c r="I794" s="485"/>
      <c r="J794" s="485"/>
      <c r="K794" s="485"/>
      <c r="L794" s="512"/>
    </row>
    <row r="795" spans="1:12" ht="20.100000000000001" customHeight="1" x14ac:dyDescent="0.25">
      <c r="A795" s="486" t="s">
        <v>2684</v>
      </c>
      <c r="B795" s="487"/>
      <c r="C795" s="487"/>
      <c r="D795" s="487"/>
      <c r="E795" s="487"/>
      <c r="F795" s="487"/>
      <c r="G795" s="487"/>
      <c r="H795" s="487"/>
      <c r="I795" s="487"/>
      <c r="J795" s="487"/>
      <c r="K795" s="487"/>
      <c r="L795" s="513"/>
    </row>
    <row r="796" spans="1:12" ht="15" customHeight="1" x14ac:dyDescent="0.25">
      <c r="A796" s="474" t="s">
        <v>2443</v>
      </c>
      <c r="B796" s="475"/>
      <c r="C796" s="475"/>
      <c r="D796" s="476" t="s">
        <v>42</v>
      </c>
      <c r="E796" s="476"/>
      <c r="F796" s="476"/>
      <c r="G796" s="230" t="s">
        <v>44</v>
      </c>
      <c r="H796" s="476" t="s">
        <v>1813</v>
      </c>
      <c r="I796" s="476"/>
      <c r="J796" s="476" t="s">
        <v>1814</v>
      </c>
      <c r="K796" s="476"/>
      <c r="L796" s="366" t="s">
        <v>1802</v>
      </c>
    </row>
    <row r="797" spans="1:12" ht="21" customHeight="1" x14ac:dyDescent="0.25">
      <c r="A797" s="181" t="s">
        <v>2685</v>
      </c>
      <c r="B797" s="509" t="s">
        <v>2686</v>
      </c>
      <c r="C797" s="509"/>
      <c r="D797" s="481" t="s">
        <v>82</v>
      </c>
      <c r="E797" s="481"/>
      <c r="F797" s="481"/>
      <c r="G797" s="231" t="s">
        <v>226</v>
      </c>
      <c r="H797" s="510">
        <v>5.5999999999999999E-5</v>
      </c>
      <c r="I797" s="510"/>
      <c r="J797" s="511">
        <v>844500</v>
      </c>
      <c r="K797" s="511"/>
      <c r="L797" s="367">
        <f>TRUNC(TRUNC(H797,8)*J797,2)</f>
        <v>47.29</v>
      </c>
    </row>
    <row r="798" spans="1:12" ht="15" customHeight="1" x14ac:dyDescent="0.25">
      <c r="A798" s="182"/>
      <c r="B798" s="183"/>
      <c r="C798" s="183"/>
      <c r="D798" s="183"/>
      <c r="E798" s="183"/>
      <c r="F798" s="183"/>
      <c r="G798" s="183"/>
      <c r="H798" s="477" t="s">
        <v>2446</v>
      </c>
      <c r="I798" s="477"/>
      <c r="J798" s="477"/>
      <c r="K798" s="477"/>
      <c r="L798" s="368">
        <f>SUM(L797:L797)</f>
        <v>47.29</v>
      </c>
    </row>
    <row r="799" spans="1:12" ht="15" customHeight="1" x14ac:dyDescent="0.25">
      <c r="A799" s="182"/>
      <c r="B799" s="183"/>
      <c r="C799" s="183"/>
      <c r="D799" s="183"/>
      <c r="E799" s="183"/>
      <c r="F799" s="183"/>
      <c r="G799" s="183"/>
      <c r="H799" s="482" t="s">
        <v>1834</v>
      </c>
      <c r="I799" s="482"/>
      <c r="J799" s="482"/>
      <c r="K799" s="482"/>
      <c r="L799" s="369">
        <f>ROUND(SUM(L798),2)</f>
        <v>47.29</v>
      </c>
    </row>
    <row r="800" spans="1:12" ht="9.9499999999999993" customHeight="1" x14ac:dyDescent="0.25">
      <c r="A800" s="182"/>
      <c r="B800" s="183"/>
      <c r="C800" s="183"/>
      <c r="D800" s="183"/>
      <c r="E800" s="183"/>
      <c r="F800" s="183"/>
      <c r="G800" s="183"/>
      <c r="H800" s="485"/>
      <c r="I800" s="485"/>
      <c r="J800" s="485"/>
      <c r="K800" s="485"/>
      <c r="L800" s="512"/>
    </row>
    <row r="801" spans="1:12" ht="20.100000000000001" customHeight="1" x14ac:dyDescent="0.25">
      <c r="A801" s="486" t="s">
        <v>2687</v>
      </c>
      <c r="B801" s="487"/>
      <c r="C801" s="487"/>
      <c r="D801" s="487"/>
      <c r="E801" s="487"/>
      <c r="F801" s="487"/>
      <c r="G801" s="487"/>
      <c r="H801" s="487"/>
      <c r="I801" s="487"/>
      <c r="J801" s="487"/>
      <c r="K801" s="487"/>
      <c r="L801" s="513"/>
    </row>
    <row r="802" spans="1:12" ht="15" customHeight="1" x14ac:dyDescent="0.25">
      <c r="A802" s="474" t="s">
        <v>2443</v>
      </c>
      <c r="B802" s="475"/>
      <c r="C802" s="475"/>
      <c r="D802" s="476" t="s">
        <v>42</v>
      </c>
      <c r="E802" s="476"/>
      <c r="F802" s="476"/>
      <c r="G802" s="230" t="s">
        <v>44</v>
      </c>
      <c r="H802" s="476" t="s">
        <v>1813</v>
      </c>
      <c r="I802" s="476"/>
      <c r="J802" s="476" t="s">
        <v>1814</v>
      </c>
      <c r="K802" s="476"/>
      <c r="L802" s="366" t="s">
        <v>1802</v>
      </c>
    </row>
    <row r="803" spans="1:12" ht="21" customHeight="1" x14ac:dyDescent="0.25">
      <c r="A803" s="181" t="s">
        <v>2685</v>
      </c>
      <c r="B803" s="509" t="s">
        <v>2686</v>
      </c>
      <c r="C803" s="509"/>
      <c r="D803" s="481" t="s">
        <v>82</v>
      </c>
      <c r="E803" s="481"/>
      <c r="F803" s="481"/>
      <c r="G803" s="231" t="s">
        <v>226</v>
      </c>
      <c r="H803" s="510">
        <v>1.4800000000000001E-5</v>
      </c>
      <c r="I803" s="510"/>
      <c r="J803" s="511">
        <v>844500</v>
      </c>
      <c r="K803" s="511"/>
      <c r="L803" s="367">
        <f>TRUNC(TRUNC(H803,8)*J803,2)</f>
        <v>12.49</v>
      </c>
    </row>
    <row r="804" spans="1:12" ht="15" customHeight="1" x14ac:dyDescent="0.25">
      <c r="A804" s="182"/>
      <c r="B804" s="183"/>
      <c r="C804" s="183"/>
      <c r="D804" s="183"/>
      <c r="E804" s="183"/>
      <c r="F804" s="183"/>
      <c r="G804" s="183"/>
      <c r="H804" s="477" t="s">
        <v>2446</v>
      </c>
      <c r="I804" s="477"/>
      <c r="J804" s="477"/>
      <c r="K804" s="477"/>
      <c r="L804" s="368">
        <f>SUM(L803:L803)</f>
        <v>12.49</v>
      </c>
    </row>
    <row r="805" spans="1:12" ht="15" customHeight="1" x14ac:dyDescent="0.25">
      <c r="A805" s="182"/>
      <c r="B805" s="183"/>
      <c r="C805" s="183"/>
      <c r="D805" s="183"/>
      <c r="E805" s="183"/>
      <c r="F805" s="183"/>
      <c r="G805" s="183"/>
      <c r="H805" s="482" t="s">
        <v>1834</v>
      </c>
      <c r="I805" s="482"/>
      <c r="J805" s="482"/>
      <c r="K805" s="482"/>
      <c r="L805" s="369">
        <f>ROUND(SUM(L804),2)</f>
        <v>12.49</v>
      </c>
    </row>
    <row r="806" spans="1:12" ht="9.9499999999999993" customHeight="1" x14ac:dyDescent="0.25">
      <c r="A806" s="182"/>
      <c r="B806" s="183"/>
      <c r="C806" s="183"/>
      <c r="D806" s="183"/>
      <c r="E806" s="183"/>
      <c r="F806" s="183"/>
      <c r="G806" s="183"/>
      <c r="H806" s="485"/>
      <c r="I806" s="485"/>
      <c r="J806" s="485"/>
      <c r="K806" s="485"/>
      <c r="L806" s="512"/>
    </row>
    <row r="807" spans="1:12" ht="20.100000000000001" customHeight="1" x14ac:dyDescent="0.25">
      <c r="A807" s="486" t="s">
        <v>2688</v>
      </c>
      <c r="B807" s="487"/>
      <c r="C807" s="487"/>
      <c r="D807" s="487"/>
      <c r="E807" s="487"/>
      <c r="F807" s="487"/>
      <c r="G807" s="487"/>
      <c r="H807" s="487"/>
      <c r="I807" s="487"/>
      <c r="J807" s="487"/>
      <c r="K807" s="487"/>
      <c r="L807" s="513"/>
    </row>
    <row r="808" spans="1:12" ht="15" customHeight="1" x14ac:dyDescent="0.25">
      <c r="A808" s="474" t="s">
        <v>2443</v>
      </c>
      <c r="B808" s="475"/>
      <c r="C808" s="475"/>
      <c r="D808" s="476" t="s">
        <v>42</v>
      </c>
      <c r="E808" s="476"/>
      <c r="F808" s="476"/>
      <c r="G808" s="230" t="s">
        <v>44</v>
      </c>
      <c r="H808" s="476" t="s">
        <v>1813</v>
      </c>
      <c r="I808" s="476"/>
      <c r="J808" s="476" t="s">
        <v>1814</v>
      </c>
      <c r="K808" s="476"/>
      <c r="L808" s="366" t="s">
        <v>1802</v>
      </c>
    </row>
    <row r="809" spans="1:12" ht="21" customHeight="1" x14ac:dyDescent="0.25">
      <c r="A809" s="181" t="s">
        <v>2685</v>
      </c>
      <c r="B809" s="509" t="s">
        <v>2686</v>
      </c>
      <c r="C809" s="509"/>
      <c r="D809" s="481" t="s">
        <v>82</v>
      </c>
      <c r="E809" s="481"/>
      <c r="F809" s="481"/>
      <c r="G809" s="231" t="s">
        <v>226</v>
      </c>
      <c r="H809" s="510">
        <v>6.9999999999999994E-5</v>
      </c>
      <c r="I809" s="510"/>
      <c r="J809" s="511">
        <v>844500</v>
      </c>
      <c r="K809" s="511"/>
      <c r="L809" s="367">
        <f>TRUNC(TRUNC(H809,8)*J809,2)</f>
        <v>59.11</v>
      </c>
    </row>
    <row r="810" spans="1:12" ht="15" customHeight="1" x14ac:dyDescent="0.25">
      <c r="A810" s="182"/>
      <c r="B810" s="183"/>
      <c r="C810" s="183"/>
      <c r="D810" s="183"/>
      <c r="E810" s="183"/>
      <c r="F810" s="183"/>
      <c r="G810" s="183"/>
      <c r="H810" s="477" t="s">
        <v>2446</v>
      </c>
      <c r="I810" s="477"/>
      <c r="J810" s="477"/>
      <c r="K810" s="477"/>
      <c r="L810" s="368">
        <f>SUM(L809:L809)</f>
        <v>59.11</v>
      </c>
    </row>
    <row r="811" spans="1:12" ht="15" customHeight="1" x14ac:dyDescent="0.25">
      <c r="A811" s="182"/>
      <c r="B811" s="183"/>
      <c r="C811" s="183"/>
      <c r="D811" s="183"/>
      <c r="E811" s="183"/>
      <c r="F811" s="183"/>
      <c r="G811" s="183"/>
      <c r="H811" s="482" t="s">
        <v>1834</v>
      </c>
      <c r="I811" s="482"/>
      <c r="J811" s="482"/>
      <c r="K811" s="482"/>
      <c r="L811" s="369">
        <f>ROUND(SUM(L810),2)</f>
        <v>59.11</v>
      </c>
    </row>
    <row r="812" spans="1:12" ht="9.9499999999999993" customHeight="1" x14ac:dyDescent="0.25">
      <c r="A812" s="182"/>
      <c r="B812" s="183"/>
      <c r="C812" s="183"/>
      <c r="D812" s="183"/>
      <c r="E812" s="183"/>
      <c r="F812" s="183"/>
      <c r="G812" s="183"/>
      <c r="H812" s="485"/>
      <c r="I812" s="485"/>
      <c r="J812" s="485"/>
      <c r="K812" s="485"/>
      <c r="L812" s="512"/>
    </row>
    <row r="813" spans="1:12" ht="20.100000000000001" customHeight="1" x14ac:dyDescent="0.25">
      <c r="A813" s="486" t="s">
        <v>2689</v>
      </c>
      <c r="B813" s="487"/>
      <c r="C813" s="487"/>
      <c r="D813" s="487"/>
      <c r="E813" s="487"/>
      <c r="F813" s="487"/>
      <c r="G813" s="487"/>
      <c r="H813" s="487"/>
      <c r="I813" s="487"/>
      <c r="J813" s="487"/>
      <c r="K813" s="487"/>
      <c r="L813" s="513"/>
    </row>
    <row r="814" spans="1:12" ht="15" customHeight="1" x14ac:dyDescent="0.25">
      <c r="A814" s="474" t="s">
        <v>1812</v>
      </c>
      <c r="B814" s="475"/>
      <c r="C814" s="475"/>
      <c r="D814" s="476" t="s">
        <v>42</v>
      </c>
      <c r="E814" s="476"/>
      <c r="F814" s="476"/>
      <c r="G814" s="230" t="s">
        <v>44</v>
      </c>
      <c r="H814" s="476" t="s">
        <v>1813</v>
      </c>
      <c r="I814" s="476"/>
      <c r="J814" s="476" t="s">
        <v>1814</v>
      </c>
      <c r="K814" s="476"/>
      <c r="L814" s="366" t="s">
        <v>1802</v>
      </c>
    </row>
    <row r="815" spans="1:12" ht="21" customHeight="1" x14ac:dyDescent="0.25">
      <c r="A815" s="181" t="s">
        <v>2498</v>
      </c>
      <c r="B815" s="509" t="s">
        <v>2499</v>
      </c>
      <c r="C815" s="509"/>
      <c r="D815" s="481" t="s">
        <v>82</v>
      </c>
      <c r="E815" s="481"/>
      <c r="F815" s="481"/>
      <c r="G815" s="231" t="s">
        <v>1006</v>
      </c>
      <c r="H815" s="510">
        <v>10.77</v>
      </c>
      <c r="I815" s="510"/>
      <c r="J815" s="511">
        <v>6.89</v>
      </c>
      <c r="K815" s="511"/>
      <c r="L815" s="367">
        <f>TRUNC(TRUNC(H815,8)*J815,2)</f>
        <v>74.2</v>
      </c>
    </row>
    <row r="816" spans="1:12" ht="15" customHeight="1" x14ac:dyDescent="0.25">
      <c r="A816" s="182"/>
      <c r="B816" s="183"/>
      <c r="C816" s="183"/>
      <c r="D816" s="183"/>
      <c r="E816" s="183"/>
      <c r="F816" s="183"/>
      <c r="G816" s="183"/>
      <c r="H816" s="477" t="s">
        <v>1826</v>
      </c>
      <c r="I816" s="477"/>
      <c r="J816" s="477"/>
      <c r="K816" s="477"/>
      <c r="L816" s="368">
        <f>SUM(L815:L815)</f>
        <v>74.2</v>
      </c>
    </row>
    <row r="817" spans="1:12" ht="15" customHeight="1" x14ac:dyDescent="0.25">
      <c r="A817" s="182"/>
      <c r="B817" s="183"/>
      <c r="C817" s="183"/>
      <c r="D817" s="183"/>
      <c r="E817" s="183"/>
      <c r="F817" s="183"/>
      <c r="G817" s="183"/>
      <c r="H817" s="482" t="s">
        <v>1834</v>
      </c>
      <c r="I817" s="482"/>
      <c r="J817" s="482"/>
      <c r="K817" s="482"/>
      <c r="L817" s="369">
        <f>ROUND(SUM(L816),2)</f>
        <v>74.2</v>
      </c>
    </row>
    <row r="818" spans="1:12" ht="9.9499999999999993" customHeight="1" x14ac:dyDescent="0.25">
      <c r="A818" s="182"/>
      <c r="B818" s="183"/>
      <c r="C818" s="183"/>
      <c r="D818" s="183"/>
      <c r="E818" s="183"/>
      <c r="F818" s="183"/>
      <c r="G818" s="183"/>
      <c r="H818" s="485"/>
      <c r="I818" s="485"/>
      <c r="J818" s="485"/>
      <c r="K818" s="485"/>
      <c r="L818" s="512"/>
    </row>
    <row r="819" spans="1:12" ht="20.100000000000001" customHeight="1" x14ac:dyDescent="0.25">
      <c r="A819" s="486" t="s">
        <v>2690</v>
      </c>
      <c r="B819" s="487"/>
      <c r="C819" s="487"/>
      <c r="D819" s="487"/>
      <c r="E819" s="487"/>
      <c r="F819" s="487"/>
      <c r="G819" s="487"/>
      <c r="H819" s="487"/>
      <c r="I819" s="487"/>
      <c r="J819" s="487"/>
      <c r="K819" s="487"/>
      <c r="L819" s="513"/>
    </row>
    <row r="820" spans="1:12" ht="15" customHeight="1" x14ac:dyDescent="0.25">
      <c r="A820" s="474" t="s">
        <v>2190</v>
      </c>
      <c r="B820" s="475"/>
      <c r="C820" s="475"/>
      <c r="D820" s="476" t="s">
        <v>42</v>
      </c>
      <c r="E820" s="476"/>
      <c r="F820" s="476"/>
      <c r="G820" s="230" t="s">
        <v>44</v>
      </c>
      <c r="H820" s="476" t="s">
        <v>1813</v>
      </c>
      <c r="I820" s="476"/>
      <c r="J820" s="476" t="s">
        <v>1814</v>
      </c>
      <c r="K820" s="476"/>
      <c r="L820" s="366" t="s">
        <v>1802</v>
      </c>
    </row>
    <row r="821" spans="1:12" ht="21" customHeight="1" x14ac:dyDescent="0.25">
      <c r="A821" s="181" t="s">
        <v>2673</v>
      </c>
      <c r="B821" s="509" t="s">
        <v>2674</v>
      </c>
      <c r="C821" s="509"/>
      <c r="D821" s="481" t="s">
        <v>82</v>
      </c>
      <c r="E821" s="481"/>
      <c r="F821" s="481"/>
      <c r="G821" s="231" t="s">
        <v>1024</v>
      </c>
      <c r="H821" s="510">
        <v>1</v>
      </c>
      <c r="I821" s="510"/>
      <c r="J821" s="511">
        <v>42.52</v>
      </c>
      <c r="K821" s="511"/>
      <c r="L821" s="367">
        <f>TRUNC(TRUNC(H821,8)*J821,2)</f>
        <v>42.52</v>
      </c>
    </row>
    <row r="822" spans="1:12" ht="18" customHeight="1" x14ac:dyDescent="0.25">
      <c r="A822" s="182"/>
      <c r="B822" s="183"/>
      <c r="C822" s="183"/>
      <c r="D822" s="183"/>
      <c r="E822" s="183"/>
      <c r="F822" s="183"/>
      <c r="G822" s="183"/>
      <c r="H822" s="477" t="s">
        <v>2195</v>
      </c>
      <c r="I822" s="477"/>
      <c r="J822" s="477"/>
      <c r="K822" s="477"/>
      <c r="L822" s="368">
        <f>SUM(L821:L821)</f>
        <v>42.52</v>
      </c>
    </row>
    <row r="823" spans="1:12" ht="15" customHeight="1" x14ac:dyDescent="0.25">
      <c r="A823" s="474" t="s">
        <v>1912</v>
      </c>
      <c r="B823" s="475"/>
      <c r="C823" s="475"/>
      <c r="D823" s="476" t="s">
        <v>42</v>
      </c>
      <c r="E823" s="476"/>
      <c r="F823" s="476"/>
      <c r="G823" s="230" t="s">
        <v>44</v>
      </c>
      <c r="H823" s="476" t="s">
        <v>1813</v>
      </c>
      <c r="I823" s="476"/>
      <c r="J823" s="476" t="s">
        <v>1814</v>
      </c>
      <c r="K823" s="476"/>
      <c r="L823" s="366" t="s">
        <v>1802</v>
      </c>
    </row>
    <row r="824" spans="1:12" ht="29.1" customHeight="1" x14ac:dyDescent="0.25">
      <c r="A824" s="181" t="s">
        <v>2691</v>
      </c>
      <c r="B824" s="509" t="s">
        <v>2692</v>
      </c>
      <c r="C824" s="509"/>
      <c r="D824" s="481" t="s">
        <v>82</v>
      </c>
      <c r="E824" s="481"/>
      <c r="F824" s="481"/>
      <c r="G824" s="231" t="s">
        <v>1024</v>
      </c>
      <c r="H824" s="510">
        <v>1</v>
      </c>
      <c r="I824" s="510"/>
      <c r="J824" s="511">
        <v>53.51</v>
      </c>
      <c r="K824" s="511"/>
      <c r="L824" s="367">
        <f>TRUNC(TRUNC(H824,8)*J824,2)</f>
        <v>53.51</v>
      </c>
    </row>
    <row r="825" spans="1:12" ht="29.1" customHeight="1" x14ac:dyDescent="0.25">
      <c r="A825" s="181" t="s">
        <v>2693</v>
      </c>
      <c r="B825" s="509" t="s">
        <v>2694</v>
      </c>
      <c r="C825" s="509"/>
      <c r="D825" s="481" t="s">
        <v>82</v>
      </c>
      <c r="E825" s="481"/>
      <c r="F825" s="481"/>
      <c r="G825" s="231" t="s">
        <v>1024</v>
      </c>
      <c r="H825" s="510">
        <v>1</v>
      </c>
      <c r="I825" s="510"/>
      <c r="J825" s="511">
        <v>14.14</v>
      </c>
      <c r="K825" s="511"/>
      <c r="L825" s="367">
        <f>TRUNC(TRUNC(H825,8)*J825,2)</f>
        <v>14.14</v>
      </c>
    </row>
    <row r="826" spans="1:12" ht="15" customHeight="1" x14ac:dyDescent="0.25">
      <c r="A826" s="182"/>
      <c r="B826" s="183"/>
      <c r="C826" s="183"/>
      <c r="D826" s="183"/>
      <c r="E826" s="183"/>
      <c r="F826" s="183"/>
      <c r="G826" s="183"/>
      <c r="H826" s="477" t="s">
        <v>1915</v>
      </c>
      <c r="I826" s="477"/>
      <c r="J826" s="477"/>
      <c r="K826" s="477"/>
      <c r="L826" s="368">
        <f>SUM(L824:L825)</f>
        <v>67.650000000000006</v>
      </c>
    </row>
    <row r="827" spans="1:12" ht="15" customHeight="1" x14ac:dyDescent="0.25">
      <c r="A827" s="182"/>
      <c r="B827" s="183"/>
      <c r="C827" s="183"/>
      <c r="D827" s="183"/>
      <c r="E827" s="183"/>
      <c r="F827" s="183"/>
      <c r="G827" s="183"/>
      <c r="H827" s="482" t="s">
        <v>1834</v>
      </c>
      <c r="I827" s="482"/>
      <c r="J827" s="482"/>
      <c r="K827" s="482"/>
      <c r="L827" s="369">
        <f>ROUND(SUM(L822,L826),2)</f>
        <v>110.17</v>
      </c>
    </row>
    <row r="828" spans="1:12" ht="9.9499999999999993" customHeight="1" x14ac:dyDescent="0.25">
      <c r="A828" s="182"/>
      <c r="B828" s="183"/>
      <c r="C828" s="183"/>
      <c r="D828" s="183"/>
      <c r="E828" s="183"/>
      <c r="F828" s="183"/>
      <c r="G828" s="183"/>
      <c r="H828" s="485"/>
      <c r="I828" s="485"/>
      <c r="J828" s="485"/>
      <c r="K828" s="485"/>
      <c r="L828" s="512"/>
    </row>
    <row r="829" spans="1:12" ht="20.100000000000001" customHeight="1" x14ac:dyDescent="0.25">
      <c r="A829" s="486" t="s">
        <v>2695</v>
      </c>
      <c r="B829" s="487"/>
      <c r="C829" s="487"/>
      <c r="D829" s="487"/>
      <c r="E829" s="487"/>
      <c r="F829" s="487"/>
      <c r="G829" s="487"/>
      <c r="H829" s="487"/>
      <c r="I829" s="487"/>
      <c r="J829" s="487"/>
      <c r="K829" s="487"/>
      <c r="L829" s="513"/>
    </row>
    <row r="830" spans="1:12" ht="15" customHeight="1" x14ac:dyDescent="0.25">
      <c r="A830" s="474" t="s">
        <v>2190</v>
      </c>
      <c r="B830" s="475"/>
      <c r="C830" s="475"/>
      <c r="D830" s="476" t="s">
        <v>42</v>
      </c>
      <c r="E830" s="476"/>
      <c r="F830" s="476"/>
      <c r="G830" s="230" t="s">
        <v>44</v>
      </c>
      <c r="H830" s="476" t="s">
        <v>1813</v>
      </c>
      <c r="I830" s="476"/>
      <c r="J830" s="476" t="s">
        <v>1814</v>
      </c>
      <c r="K830" s="476"/>
      <c r="L830" s="366" t="s">
        <v>1802</v>
      </c>
    </row>
    <row r="831" spans="1:12" ht="21" customHeight="1" x14ac:dyDescent="0.25">
      <c r="A831" s="181" t="s">
        <v>2673</v>
      </c>
      <c r="B831" s="509" t="s">
        <v>2674</v>
      </c>
      <c r="C831" s="509"/>
      <c r="D831" s="481" t="s">
        <v>82</v>
      </c>
      <c r="E831" s="481"/>
      <c r="F831" s="481"/>
      <c r="G831" s="231" t="s">
        <v>1024</v>
      </c>
      <c r="H831" s="510">
        <v>1</v>
      </c>
      <c r="I831" s="510"/>
      <c r="J831" s="511">
        <v>42.52</v>
      </c>
      <c r="K831" s="511"/>
      <c r="L831" s="367">
        <f>TRUNC(TRUNC(H831,8)*J831,2)</f>
        <v>42.52</v>
      </c>
    </row>
    <row r="832" spans="1:12" ht="18" customHeight="1" x14ac:dyDescent="0.25">
      <c r="A832" s="182"/>
      <c r="B832" s="183"/>
      <c r="C832" s="183"/>
      <c r="D832" s="183"/>
      <c r="E832" s="183"/>
      <c r="F832" s="183"/>
      <c r="G832" s="183"/>
      <c r="H832" s="477" t="s">
        <v>2195</v>
      </c>
      <c r="I832" s="477"/>
      <c r="J832" s="477"/>
      <c r="K832" s="477"/>
      <c r="L832" s="368">
        <f>SUM(L831:L831)</f>
        <v>42.52</v>
      </c>
    </row>
    <row r="833" spans="1:12" ht="15" customHeight="1" x14ac:dyDescent="0.25">
      <c r="A833" s="474" t="s">
        <v>1912</v>
      </c>
      <c r="B833" s="475"/>
      <c r="C833" s="475"/>
      <c r="D833" s="476" t="s">
        <v>42</v>
      </c>
      <c r="E833" s="476"/>
      <c r="F833" s="476"/>
      <c r="G833" s="230" t="s">
        <v>44</v>
      </c>
      <c r="H833" s="476" t="s">
        <v>1813</v>
      </c>
      <c r="I833" s="476"/>
      <c r="J833" s="476" t="s">
        <v>1814</v>
      </c>
      <c r="K833" s="476"/>
      <c r="L833" s="366" t="s">
        <v>1802</v>
      </c>
    </row>
    <row r="834" spans="1:12" ht="29.1" customHeight="1" x14ac:dyDescent="0.25">
      <c r="A834" s="181" t="s">
        <v>2691</v>
      </c>
      <c r="B834" s="509" t="s">
        <v>2692</v>
      </c>
      <c r="C834" s="509"/>
      <c r="D834" s="481" t="s">
        <v>82</v>
      </c>
      <c r="E834" s="481"/>
      <c r="F834" s="481"/>
      <c r="G834" s="231" t="s">
        <v>1024</v>
      </c>
      <c r="H834" s="510">
        <v>1</v>
      </c>
      <c r="I834" s="510"/>
      <c r="J834" s="511">
        <v>53.51</v>
      </c>
      <c r="K834" s="511"/>
      <c r="L834" s="367">
        <f>TRUNC(TRUNC(H834,8)*J834,2)</f>
        <v>53.51</v>
      </c>
    </row>
    <row r="835" spans="1:12" ht="29.1" customHeight="1" x14ac:dyDescent="0.25">
      <c r="A835" s="181" t="s">
        <v>2693</v>
      </c>
      <c r="B835" s="509" t="s">
        <v>2694</v>
      </c>
      <c r="C835" s="509"/>
      <c r="D835" s="481" t="s">
        <v>82</v>
      </c>
      <c r="E835" s="481"/>
      <c r="F835" s="481"/>
      <c r="G835" s="231" t="s">
        <v>1024</v>
      </c>
      <c r="H835" s="510">
        <v>1</v>
      </c>
      <c r="I835" s="510"/>
      <c r="J835" s="511">
        <v>14.14</v>
      </c>
      <c r="K835" s="511"/>
      <c r="L835" s="367">
        <f>TRUNC(TRUNC(H835,8)*J835,2)</f>
        <v>14.14</v>
      </c>
    </row>
    <row r="836" spans="1:12" ht="29.1" customHeight="1" x14ac:dyDescent="0.25">
      <c r="A836" s="181" t="s">
        <v>2696</v>
      </c>
      <c r="B836" s="509" t="s">
        <v>2697</v>
      </c>
      <c r="C836" s="509"/>
      <c r="D836" s="481" t="s">
        <v>82</v>
      </c>
      <c r="E836" s="481"/>
      <c r="F836" s="481"/>
      <c r="G836" s="231" t="s">
        <v>1024</v>
      </c>
      <c r="H836" s="510">
        <v>1</v>
      </c>
      <c r="I836" s="510"/>
      <c r="J836" s="511">
        <v>66.89</v>
      </c>
      <c r="K836" s="511"/>
      <c r="L836" s="367">
        <f>TRUNC(TRUNC(H836,8)*J836,2)</f>
        <v>66.89</v>
      </c>
    </row>
    <row r="837" spans="1:12" ht="29.1" customHeight="1" x14ac:dyDescent="0.25">
      <c r="A837" s="181" t="s">
        <v>2698</v>
      </c>
      <c r="B837" s="509" t="s">
        <v>2699</v>
      </c>
      <c r="C837" s="509"/>
      <c r="D837" s="481" t="s">
        <v>82</v>
      </c>
      <c r="E837" s="481"/>
      <c r="F837" s="481"/>
      <c r="G837" s="231" t="s">
        <v>1024</v>
      </c>
      <c r="H837" s="510">
        <v>1</v>
      </c>
      <c r="I837" s="510"/>
      <c r="J837" s="511">
        <v>103.55</v>
      </c>
      <c r="K837" s="511"/>
      <c r="L837" s="367">
        <f>TRUNC(TRUNC(H837,8)*J837,2)</f>
        <v>103.55</v>
      </c>
    </row>
    <row r="838" spans="1:12" ht="15" customHeight="1" x14ac:dyDescent="0.25">
      <c r="A838" s="182"/>
      <c r="B838" s="183"/>
      <c r="C838" s="183"/>
      <c r="D838" s="183"/>
      <c r="E838" s="183"/>
      <c r="F838" s="183"/>
      <c r="G838" s="183"/>
      <c r="H838" s="477" t="s">
        <v>1915</v>
      </c>
      <c r="I838" s="477"/>
      <c r="J838" s="477"/>
      <c r="K838" s="477"/>
      <c r="L838" s="368">
        <f>SUM(L834:L837)</f>
        <v>238.09000000000003</v>
      </c>
    </row>
    <row r="839" spans="1:12" ht="15" customHeight="1" x14ac:dyDescent="0.25">
      <c r="A839" s="182"/>
      <c r="B839" s="183"/>
      <c r="C839" s="183"/>
      <c r="D839" s="183"/>
      <c r="E839" s="183"/>
      <c r="F839" s="183"/>
      <c r="G839" s="183"/>
      <c r="H839" s="482" t="s">
        <v>1834</v>
      </c>
      <c r="I839" s="482"/>
      <c r="J839" s="482"/>
      <c r="K839" s="482"/>
      <c r="L839" s="369">
        <f>ROUND(SUM(L832,L838),2)</f>
        <v>280.61</v>
      </c>
    </row>
    <row r="840" spans="1:12" ht="9.9499999999999993" customHeight="1" x14ac:dyDescent="0.25">
      <c r="A840" s="182"/>
      <c r="B840" s="183"/>
      <c r="C840" s="183"/>
      <c r="D840" s="183"/>
      <c r="E840" s="183"/>
      <c r="F840" s="183"/>
      <c r="G840" s="183"/>
      <c r="H840" s="485"/>
      <c r="I840" s="485"/>
      <c r="J840" s="485"/>
      <c r="K840" s="485"/>
      <c r="L840" s="512"/>
    </row>
    <row r="841" spans="1:12" ht="20.100000000000001" customHeight="1" x14ac:dyDescent="0.25">
      <c r="A841" s="486" t="s">
        <v>2700</v>
      </c>
      <c r="B841" s="487"/>
      <c r="C841" s="487"/>
      <c r="D841" s="487"/>
      <c r="E841" s="487"/>
      <c r="F841" s="487"/>
      <c r="G841" s="487"/>
      <c r="H841" s="487"/>
      <c r="I841" s="487"/>
      <c r="J841" s="487"/>
      <c r="K841" s="487"/>
      <c r="L841" s="513"/>
    </row>
    <row r="842" spans="1:12" ht="15" customHeight="1" x14ac:dyDescent="0.25">
      <c r="A842" s="474" t="s">
        <v>2443</v>
      </c>
      <c r="B842" s="475"/>
      <c r="C842" s="475"/>
      <c r="D842" s="476" t="s">
        <v>42</v>
      </c>
      <c r="E842" s="476"/>
      <c r="F842" s="476"/>
      <c r="G842" s="230" t="s">
        <v>44</v>
      </c>
      <c r="H842" s="476" t="s">
        <v>1813</v>
      </c>
      <c r="I842" s="476"/>
      <c r="J842" s="476" t="s">
        <v>1814</v>
      </c>
      <c r="K842" s="476"/>
      <c r="L842" s="366" t="s">
        <v>1802</v>
      </c>
    </row>
    <row r="843" spans="1:12" ht="29.1" customHeight="1" x14ac:dyDescent="0.25">
      <c r="A843" s="181" t="s">
        <v>2701</v>
      </c>
      <c r="B843" s="509" t="s">
        <v>2702</v>
      </c>
      <c r="C843" s="509"/>
      <c r="D843" s="481" t="s">
        <v>82</v>
      </c>
      <c r="E843" s="481"/>
      <c r="F843" s="481"/>
      <c r="G843" s="231" t="s">
        <v>226</v>
      </c>
      <c r="H843" s="510">
        <v>5.5999999999999999E-5</v>
      </c>
      <c r="I843" s="510"/>
      <c r="J843" s="511">
        <v>955578.35</v>
      </c>
      <c r="K843" s="511"/>
      <c r="L843" s="367">
        <f>TRUNC(TRUNC(H843,8)*J843,2)</f>
        <v>53.51</v>
      </c>
    </row>
    <row r="844" spans="1:12" ht="15" customHeight="1" x14ac:dyDescent="0.25">
      <c r="A844" s="182"/>
      <c r="B844" s="183"/>
      <c r="C844" s="183"/>
      <c r="D844" s="183"/>
      <c r="E844" s="183"/>
      <c r="F844" s="183"/>
      <c r="G844" s="183"/>
      <c r="H844" s="477" t="s">
        <v>2446</v>
      </c>
      <c r="I844" s="477"/>
      <c r="J844" s="477"/>
      <c r="K844" s="477"/>
      <c r="L844" s="368">
        <f>SUM(L843:L843)</f>
        <v>53.51</v>
      </c>
    </row>
    <row r="845" spans="1:12" ht="15" customHeight="1" x14ac:dyDescent="0.25">
      <c r="A845" s="182"/>
      <c r="B845" s="183"/>
      <c r="C845" s="183"/>
      <c r="D845" s="183"/>
      <c r="E845" s="183"/>
      <c r="F845" s="183"/>
      <c r="G845" s="183"/>
      <c r="H845" s="482" t="s">
        <v>1834</v>
      </c>
      <c r="I845" s="482"/>
      <c r="J845" s="482"/>
      <c r="K845" s="482"/>
      <c r="L845" s="369">
        <f>ROUND(SUM(L844),2)</f>
        <v>53.51</v>
      </c>
    </row>
    <row r="846" spans="1:12" ht="9.9499999999999993" customHeight="1" x14ac:dyDescent="0.25">
      <c r="A846" s="182"/>
      <c r="B846" s="183"/>
      <c r="C846" s="183"/>
      <c r="D846" s="183"/>
      <c r="E846" s="183"/>
      <c r="F846" s="183"/>
      <c r="G846" s="183"/>
      <c r="H846" s="485"/>
      <c r="I846" s="485"/>
      <c r="J846" s="485"/>
      <c r="K846" s="485"/>
      <c r="L846" s="512"/>
    </row>
    <row r="847" spans="1:12" ht="20.100000000000001" customHeight="1" x14ac:dyDescent="0.25">
      <c r="A847" s="486" t="s">
        <v>2703</v>
      </c>
      <c r="B847" s="487"/>
      <c r="C847" s="487"/>
      <c r="D847" s="487"/>
      <c r="E847" s="487"/>
      <c r="F847" s="487"/>
      <c r="G847" s="487"/>
      <c r="H847" s="487"/>
      <c r="I847" s="487"/>
      <c r="J847" s="487"/>
      <c r="K847" s="487"/>
      <c r="L847" s="513"/>
    </row>
    <row r="848" spans="1:12" ht="15" customHeight="1" x14ac:dyDescent="0.25">
      <c r="A848" s="474" t="s">
        <v>2443</v>
      </c>
      <c r="B848" s="475"/>
      <c r="C848" s="475"/>
      <c r="D848" s="476" t="s">
        <v>42</v>
      </c>
      <c r="E848" s="476"/>
      <c r="F848" s="476"/>
      <c r="G848" s="230" t="s">
        <v>44</v>
      </c>
      <c r="H848" s="476" t="s">
        <v>1813</v>
      </c>
      <c r="I848" s="476"/>
      <c r="J848" s="476" t="s">
        <v>1814</v>
      </c>
      <c r="K848" s="476"/>
      <c r="L848" s="366" t="s">
        <v>1802</v>
      </c>
    </row>
    <row r="849" spans="1:12" ht="29.1" customHeight="1" x14ac:dyDescent="0.25">
      <c r="A849" s="181" t="s">
        <v>2701</v>
      </c>
      <c r="B849" s="509" t="s">
        <v>2702</v>
      </c>
      <c r="C849" s="509"/>
      <c r="D849" s="481" t="s">
        <v>82</v>
      </c>
      <c r="E849" s="481"/>
      <c r="F849" s="481"/>
      <c r="G849" s="231" t="s">
        <v>226</v>
      </c>
      <c r="H849" s="510">
        <v>1.4800000000000001E-5</v>
      </c>
      <c r="I849" s="510"/>
      <c r="J849" s="511">
        <v>955578.35</v>
      </c>
      <c r="K849" s="511"/>
      <c r="L849" s="367">
        <f>TRUNC(TRUNC(H849,8)*J849,2)</f>
        <v>14.14</v>
      </c>
    </row>
    <row r="850" spans="1:12" ht="15" customHeight="1" x14ac:dyDescent="0.25">
      <c r="A850" s="182"/>
      <c r="B850" s="183"/>
      <c r="C850" s="183"/>
      <c r="D850" s="183"/>
      <c r="E850" s="183"/>
      <c r="F850" s="183"/>
      <c r="G850" s="183"/>
      <c r="H850" s="477" t="s">
        <v>2446</v>
      </c>
      <c r="I850" s="477"/>
      <c r="J850" s="477"/>
      <c r="K850" s="477"/>
      <c r="L850" s="368">
        <f>SUM(L849:L849)</f>
        <v>14.14</v>
      </c>
    </row>
    <row r="851" spans="1:12" ht="15" customHeight="1" x14ac:dyDescent="0.25">
      <c r="A851" s="182"/>
      <c r="B851" s="183"/>
      <c r="C851" s="183"/>
      <c r="D851" s="183"/>
      <c r="E851" s="183"/>
      <c r="F851" s="183"/>
      <c r="G851" s="183"/>
      <c r="H851" s="482" t="s">
        <v>1834</v>
      </c>
      <c r="I851" s="482"/>
      <c r="J851" s="482"/>
      <c r="K851" s="482"/>
      <c r="L851" s="369">
        <f>ROUND(SUM(L850),2)</f>
        <v>14.14</v>
      </c>
    </row>
    <row r="852" spans="1:12" ht="9.9499999999999993" customHeight="1" x14ac:dyDescent="0.25">
      <c r="A852" s="182"/>
      <c r="B852" s="183"/>
      <c r="C852" s="183"/>
      <c r="D852" s="183"/>
      <c r="E852" s="183"/>
      <c r="F852" s="183"/>
      <c r="G852" s="183"/>
      <c r="H852" s="485"/>
      <c r="I852" s="485"/>
      <c r="J852" s="485"/>
      <c r="K852" s="485"/>
      <c r="L852" s="512"/>
    </row>
    <row r="853" spans="1:12" ht="20.100000000000001" customHeight="1" x14ac:dyDescent="0.25">
      <c r="A853" s="486" t="s">
        <v>2704</v>
      </c>
      <c r="B853" s="487"/>
      <c r="C853" s="487"/>
      <c r="D853" s="487"/>
      <c r="E853" s="487"/>
      <c r="F853" s="487"/>
      <c r="G853" s="487"/>
      <c r="H853" s="487"/>
      <c r="I853" s="487"/>
      <c r="J853" s="487"/>
      <c r="K853" s="487"/>
      <c r="L853" s="513"/>
    </row>
    <row r="854" spans="1:12" ht="15" customHeight="1" x14ac:dyDescent="0.25">
      <c r="A854" s="474" t="s">
        <v>2443</v>
      </c>
      <c r="B854" s="475"/>
      <c r="C854" s="475"/>
      <c r="D854" s="476" t="s">
        <v>42</v>
      </c>
      <c r="E854" s="476"/>
      <c r="F854" s="476"/>
      <c r="G854" s="230" t="s">
        <v>44</v>
      </c>
      <c r="H854" s="476" t="s">
        <v>1813</v>
      </c>
      <c r="I854" s="476"/>
      <c r="J854" s="476" t="s">
        <v>1814</v>
      </c>
      <c r="K854" s="476"/>
      <c r="L854" s="366" t="s">
        <v>1802</v>
      </c>
    </row>
    <row r="855" spans="1:12" ht="29.1" customHeight="1" x14ac:dyDescent="0.25">
      <c r="A855" s="181" t="s">
        <v>2701</v>
      </c>
      <c r="B855" s="509" t="s">
        <v>2702</v>
      </c>
      <c r="C855" s="509"/>
      <c r="D855" s="481" t="s">
        <v>82</v>
      </c>
      <c r="E855" s="481"/>
      <c r="F855" s="481"/>
      <c r="G855" s="231" t="s">
        <v>226</v>
      </c>
      <c r="H855" s="510">
        <v>6.9999999999999994E-5</v>
      </c>
      <c r="I855" s="510"/>
      <c r="J855" s="511">
        <v>955578.35</v>
      </c>
      <c r="K855" s="511"/>
      <c r="L855" s="367">
        <f>TRUNC(TRUNC(H855,8)*J855,2)</f>
        <v>66.89</v>
      </c>
    </row>
    <row r="856" spans="1:12" ht="15" customHeight="1" x14ac:dyDescent="0.25">
      <c r="A856" s="182"/>
      <c r="B856" s="183"/>
      <c r="C856" s="183"/>
      <c r="D856" s="183"/>
      <c r="E856" s="183"/>
      <c r="F856" s="183"/>
      <c r="G856" s="183"/>
      <c r="H856" s="477" t="s">
        <v>2446</v>
      </c>
      <c r="I856" s="477"/>
      <c r="J856" s="477"/>
      <c r="K856" s="477"/>
      <c r="L856" s="368">
        <f>SUM(L855:L855)</f>
        <v>66.89</v>
      </c>
    </row>
    <row r="857" spans="1:12" ht="15" customHeight="1" x14ac:dyDescent="0.25">
      <c r="A857" s="182"/>
      <c r="B857" s="183"/>
      <c r="C857" s="183"/>
      <c r="D857" s="183"/>
      <c r="E857" s="183"/>
      <c r="F857" s="183"/>
      <c r="G857" s="183"/>
      <c r="H857" s="482" t="s">
        <v>1834</v>
      </c>
      <c r="I857" s="482"/>
      <c r="J857" s="482"/>
      <c r="K857" s="482"/>
      <c r="L857" s="369">
        <f>ROUND(SUM(L856),2)</f>
        <v>66.89</v>
      </c>
    </row>
    <row r="858" spans="1:12" ht="9.9499999999999993" customHeight="1" x14ac:dyDescent="0.25">
      <c r="A858" s="182"/>
      <c r="B858" s="183"/>
      <c r="C858" s="183"/>
      <c r="D858" s="183"/>
      <c r="E858" s="183"/>
      <c r="F858" s="183"/>
      <c r="G858" s="183"/>
      <c r="H858" s="485"/>
      <c r="I858" s="485"/>
      <c r="J858" s="485"/>
      <c r="K858" s="485"/>
      <c r="L858" s="512"/>
    </row>
    <row r="859" spans="1:12" ht="20.100000000000001" customHeight="1" x14ac:dyDescent="0.25">
      <c r="A859" s="486" t="s">
        <v>2705</v>
      </c>
      <c r="B859" s="487"/>
      <c r="C859" s="487"/>
      <c r="D859" s="487"/>
      <c r="E859" s="487"/>
      <c r="F859" s="487"/>
      <c r="G859" s="487"/>
      <c r="H859" s="487"/>
      <c r="I859" s="487"/>
      <c r="J859" s="487"/>
      <c r="K859" s="487"/>
      <c r="L859" s="513"/>
    </row>
    <row r="860" spans="1:12" ht="15" customHeight="1" x14ac:dyDescent="0.25">
      <c r="A860" s="474" t="s">
        <v>1812</v>
      </c>
      <c r="B860" s="475"/>
      <c r="C860" s="475"/>
      <c r="D860" s="476" t="s">
        <v>42</v>
      </c>
      <c r="E860" s="476"/>
      <c r="F860" s="476"/>
      <c r="G860" s="230" t="s">
        <v>44</v>
      </c>
      <c r="H860" s="476" t="s">
        <v>1813</v>
      </c>
      <c r="I860" s="476"/>
      <c r="J860" s="476" t="s">
        <v>1814</v>
      </c>
      <c r="K860" s="476"/>
      <c r="L860" s="366" t="s">
        <v>1802</v>
      </c>
    </row>
    <row r="861" spans="1:12" ht="21" customHeight="1" x14ac:dyDescent="0.25">
      <c r="A861" s="181" t="s">
        <v>2498</v>
      </c>
      <c r="B861" s="509" t="s">
        <v>2499</v>
      </c>
      <c r="C861" s="509"/>
      <c r="D861" s="481" t="s">
        <v>82</v>
      </c>
      <c r="E861" s="481"/>
      <c r="F861" s="481"/>
      <c r="G861" s="231" t="s">
        <v>1006</v>
      </c>
      <c r="H861" s="510">
        <v>15.03</v>
      </c>
      <c r="I861" s="510"/>
      <c r="J861" s="511">
        <v>6.89</v>
      </c>
      <c r="K861" s="511"/>
      <c r="L861" s="367">
        <f>TRUNC(TRUNC(H861,8)*J861,2)</f>
        <v>103.55</v>
      </c>
    </row>
    <row r="862" spans="1:12" ht="15" customHeight="1" x14ac:dyDescent="0.25">
      <c r="A862" s="182"/>
      <c r="B862" s="183"/>
      <c r="C862" s="183"/>
      <c r="D862" s="183"/>
      <c r="E862" s="183"/>
      <c r="F862" s="183"/>
      <c r="G862" s="183"/>
      <c r="H862" s="477" t="s">
        <v>1826</v>
      </c>
      <c r="I862" s="477"/>
      <c r="J862" s="477"/>
      <c r="K862" s="477"/>
      <c r="L862" s="368">
        <f>SUM(L861:L861)</f>
        <v>103.55</v>
      </c>
    </row>
    <row r="863" spans="1:12" ht="15" customHeight="1" x14ac:dyDescent="0.25">
      <c r="A863" s="182"/>
      <c r="B863" s="183"/>
      <c r="C863" s="183"/>
      <c r="D863" s="183"/>
      <c r="E863" s="183"/>
      <c r="F863" s="183"/>
      <c r="G863" s="183"/>
      <c r="H863" s="482" t="s">
        <v>1834</v>
      </c>
      <c r="I863" s="482"/>
      <c r="J863" s="482"/>
      <c r="K863" s="482"/>
      <c r="L863" s="369">
        <f>ROUND(SUM(L862),2)</f>
        <v>103.55</v>
      </c>
    </row>
    <row r="864" spans="1:12" ht="9.9499999999999993" customHeight="1" x14ac:dyDescent="0.25">
      <c r="A864" s="182"/>
      <c r="B864" s="183"/>
      <c r="C864" s="183"/>
      <c r="D864" s="183"/>
      <c r="E864" s="183"/>
      <c r="F864" s="183"/>
      <c r="G864" s="183"/>
      <c r="H864" s="485"/>
      <c r="I864" s="485"/>
      <c r="J864" s="485"/>
      <c r="K864" s="485"/>
      <c r="L864" s="512"/>
    </row>
    <row r="865" spans="1:12" ht="20.100000000000001" customHeight="1" x14ac:dyDescent="0.25">
      <c r="A865" s="486" t="s">
        <v>2706</v>
      </c>
      <c r="B865" s="487"/>
      <c r="C865" s="487"/>
      <c r="D865" s="487"/>
      <c r="E865" s="487"/>
      <c r="F865" s="487"/>
      <c r="G865" s="487"/>
      <c r="H865" s="487"/>
      <c r="I865" s="487"/>
      <c r="J865" s="487"/>
      <c r="K865" s="487"/>
      <c r="L865" s="513"/>
    </row>
    <row r="866" spans="1:12" ht="20.100000000000001" customHeight="1" x14ac:dyDescent="0.25">
      <c r="A866" s="488" t="s">
        <v>1836</v>
      </c>
      <c r="B866" s="489"/>
      <c r="C866" s="489"/>
      <c r="D866" s="489"/>
      <c r="E866" s="489"/>
      <c r="F866" s="489"/>
      <c r="G866" s="233" t="s">
        <v>44</v>
      </c>
      <c r="H866" s="515" t="s">
        <v>1837</v>
      </c>
      <c r="I866" s="515"/>
      <c r="J866" s="515" t="s">
        <v>1838</v>
      </c>
      <c r="K866" s="515"/>
      <c r="L866" s="169" t="s">
        <v>1839</v>
      </c>
    </row>
    <row r="867" spans="1:12" ht="15" customHeight="1" x14ac:dyDescent="0.25">
      <c r="A867" s="170" t="s">
        <v>1840</v>
      </c>
      <c r="B867" s="490" t="s">
        <v>1841</v>
      </c>
      <c r="C867" s="490"/>
      <c r="D867" s="490"/>
      <c r="E867" s="490"/>
      <c r="F867" s="490"/>
      <c r="G867" s="127" t="s">
        <v>1024</v>
      </c>
      <c r="H867" s="524">
        <v>0.3</v>
      </c>
      <c r="I867" s="524"/>
      <c r="J867" s="517">
        <v>21.94</v>
      </c>
      <c r="K867" s="517"/>
      <c r="L867" s="370">
        <f>TRUNC(TRUNC(H867,8)*J867,2)</f>
        <v>6.58</v>
      </c>
    </row>
    <row r="868" spans="1:12" ht="15" customHeight="1" x14ac:dyDescent="0.25">
      <c r="A868" s="170" t="s">
        <v>1983</v>
      </c>
      <c r="B868" s="490" t="s">
        <v>1984</v>
      </c>
      <c r="C868" s="490"/>
      <c r="D868" s="490"/>
      <c r="E868" s="490"/>
      <c r="F868" s="490"/>
      <c r="G868" s="127" t="s">
        <v>1024</v>
      </c>
      <c r="H868" s="524">
        <v>0.35</v>
      </c>
      <c r="I868" s="524"/>
      <c r="J868" s="517">
        <v>26.03</v>
      </c>
      <c r="K868" s="517"/>
      <c r="L868" s="370">
        <f>TRUNC(TRUNC(H868,8)*J868,2)</f>
        <v>9.11</v>
      </c>
    </row>
    <row r="869" spans="1:12" ht="15" customHeight="1" x14ac:dyDescent="0.25">
      <c r="A869" s="184"/>
      <c r="B869" s="141"/>
      <c r="C869" s="141"/>
      <c r="D869" s="141"/>
      <c r="E869" s="141"/>
      <c r="F869" s="141"/>
      <c r="G869" s="141"/>
      <c r="H869" s="491" t="s">
        <v>1844</v>
      </c>
      <c r="I869" s="491"/>
      <c r="J869" s="491"/>
      <c r="K869" s="491"/>
      <c r="L869" s="369">
        <f>SUM(L867:L868)</f>
        <v>15.69</v>
      </c>
    </row>
    <row r="870" spans="1:12" ht="15" customHeight="1" x14ac:dyDescent="0.25">
      <c r="A870" s="182"/>
      <c r="B870" s="183"/>
      <c r="C870" s="183"/>
      <c r="D870" s="183"/>
      <c r="E870" s="183"/>
      <c r="F870" s="183"/>
      <c r="G870" s="183"/>
      <c r="H870" s="482" t="s">
        <v>1845</v>
      </c>
      <c r="I870" s="482"/>
      <c r="J870" s="482"/>
      <c r="K870" s="482"/>
      <c r="L870" s="371">
        <f>SUM(L869)</f>
        <v>15.69</v>
      </c>
    </row>
    <row r="871" spans="1:12" ht="15" customHeight="1" x14ac:dyDescent="0.25">
      <c r="A871" s="182"/>
      <c r="B871" s="183"/>
      <c r="C871" s="183"/>
      <c r="D871" s="183"/>
      <c r="E871" s="183"/>
      <c r="F871" s="183"/>
      <c r="G871" s="183"/>
      <c r="H871" s="482" t="s">
        <v>1846</v>
      </c>
      <c r="I871" s="482"/>
      <c r="J871" s="482"/>
      <c r="K871" s="482"/>
      <c r="L871" s="374">
        <v>1</v>
      </c>
    </row>
    <row r="872" spans="1:12" ht="15" customHeight="1" x14ac:dyDescent="0.25">
      <c r="A872" s="182"/>
      <c r="B872" s="183"/>
      <c r="C872" s="183"/>
      <c r="D872" s="183"/>
      <c r="E872" s="183"/>
      <c r="F872" s="183"/>
      <c r="G872" s="183"/>
      <c r="H872" s="482" t="s">
        <v>1847</v>
      </c>
      <c r="I872" s="482"/>
      <c r="J872" s="482"/>
      <c r="K872" s="482"/>
      <c r="L872" s="371">
        <f>TRUNC(L870/L871,4)</f>
        <v>15.69</v>
      </c>
    </row>
    <row r="873" spans="1:12" ht="20.100000000000001" customHeight="1" x14ac:dyDescent="0.25">
      <c r="A873" s="488" t="s">
        <v>1880</v>
      </c>
      <c r="B873" s="489"/>
      <c r="C873" s="489"/>
      <c r="D873" s="489"/>
      <c r="E873" s="489"/>
      <c r="F873" s="489"/>
      <c r="G873" s="233" t="s">
        <v>44</v>
      </c>
      <c r="H873" s="515" t="s">
        <v>1837</v>
      </c>
      <c r="I873" s="515"/>
      <c r="J873" s="515" t="s">
        <v>1881</v>
      </c>
      <c r="K873" s="515"/>
      <c r="L873" s="169" t="s">
        <v>1882</v>
      </c>
    </row>
    <row r="874" spans="1:12" ht="15" customHeight="1" x14ac:dyDescent="0.25">
      <c r="A874" s="170" t="s">
        <v>2707</v>
      </c>
      <c r="B874" s="492" t="s">
        <v>2708</v>
      </c>
      <c r="C874" s="492"/>
      <c r="D874" s="492"/>
      <c r="E874" s="492"/>
      <c r="F874" s="492"/>
      <c r="G874" s="127" t="s">
        <v>226</v>
      </c>
      <c r="H874" s="524">
        <v>0.5</v>
      </c>
      <c r="I874" s="524"/>
      <c r="J874" s="525">
        <v>1.0900000000000001</v>
      </c>
      <c r="K874" s="525"/>
      <c r="L874" s="171">
        <f>TRUNC(TRUNC(H874,8)*J874,2)</f>
        <v>0.54</v>
      </c>
    </row>
    <row r="875" spans="1:12" ht="15" customHeight="1" x14ac:dyDescent="0.25">
      <c r="A875" s="170" t="s">
        <v>2709</v>
      </c>
      <c r="B875" s="492" t="s">
        <v>2710</v>
      </c>
      <c r="C875" s="492"/>
      <c r="D875" s="492"/>
      <c r="E875" s="492"/>
      <c r="F875" s="492"/>
      <c r="G875" s="127" t="s">
        <v>1817</v>
      </c>
      <c r="H875" s="524">
        <v>0.45</v>
      </c>
      <c r="I875" s="524"/>
      <c r="J875" s="525">
        <v>17.809999999999999</v>
      </c>
      <c r="K875" s="525"/>
      <c r="L875" s="171">
        <f>TRUNC(TRUNC(H875,8)*J875,2)</f>
        <v>8.01</v>
      </c>
    </row>
    <row r="876" spans="1:12" ht="15" customHeight="1" x14ac:dyDescent="0.25">
      <c r="A876" s="184"/>
      <c r="B876" s="141"/>
      <c r="C876" s="141"/>
      <c r="D876" s="141"/>
      <c r="E876" s="141"/>
      <c r="F876" s="141"/>
      <c r="G876" s="141"/>
      <c r="H876" s="491" t="s">
        <v>1889</v>
      </c>
      <c r="I876" s="491"/>
      <c r="J876" s="491"/>
      <c r="K876" s="491"/>
      <c r="L876" s="375">
        <f>SUM(L874:L875)</f>
        <v>8.5500000000000007</v>
      </c>
    </row>
    <row r="877" spans="1:12" ht="20.100000000000001" customHeight="1" x14ac:dyDescent="0.25">
      <c r="A877" s="488" t="s">
        <v>2009</v>
      </c>
      <c r="B877" s="489"/>
      <c r="C877" s="489"/>
      <c r="D877" s="489"/>
      <c r="E877" s="489"/>
      <c r="F877" s="489"/>
      <c r="G877" s="233" t="s">
        <v>44</v>
      </c>
      <c r="H877" s="515" t="s">
        <v>1837</v>
      </c>
      <c r="I877" s="515"/>
      <c r="J877" s="515" t="s">
        <v>1814</v>
      </c>
      <c r="K877" s="515"/>
      <c r="L877" s="169" t="s">
        <v>1882</v>
      </c>
    </row>
    <row r="878" spans="1:12" ht="15.95" customHeight="1" x14ac:dyDescent="0.25">
      <c r="A878" s="170" t="s">
        <v>2711</v>
      </c>
      <c r="B878" s="492" t="s">
        <v>2712</v>
      </c>
      <c r="C878" s="492"/>
      <c r="D878" s="492"/>
      <c r="E878" s="492"/>
      <c r="F878" s="492"/>
      <c r="G878" s="127" t="s">
        <v>54</v>
      </c>
      <c r="H878" s="526">
        <v>1</v>
      </c>
      <c r="I878" s="526"/>
      <c r="J878" s="525">
        <v>24.83</v>
      </c>
      <c r="K878" s="525"/>
      <c r="L878" s="171">
        <f>TRUNC(TRUNC(H878,8)*J878,2)</f>
        <v>24.83</v>
      </c>
    </row>
    <row r="879" spans="1:12" ht="15" customHeight="1" x14ac:dyDescent="0.25">
      <c r="A879" s="184"/>
      <c r="B879" s="141"/>
      <c r="C879" s="141"/>
      <c r="D879" s="141"/>
      <c r="E879" s="141"/>
      <c r="F879" s="141"/>
      <c r="G879" s="141"/>
      <c r="H879" s="491" t="s">
        <v>2014</v>
      </c>
      <c r="I879" s="491"/>
      <c r="J879" s="491"/>
      <c r="K879" s="491"/>
      <c r="L879" s="375">
        <f>SUM(L878:L878)</f>
        <v>24.83</v>
      </c>
    </row>
    <row r="880" spans="1:12" ht="15" customHeight="1" x14ac:dyDescent="0.25">
      <c r="A880" s="182"/>
      <c r="B880" s="183"/>
      <c r="C880" s="183"/>
      <c r="D880" s="183"/>
      <c r="E880" s="183"/>
      <c r="F880" s="183"/>
      <c r="G880" s="183"/>
      <c r="H880" s="482" t="s">
        <v>1848</v>
      </c>
      <c r="I880" s="482"/>
      <c r="J880" s="482"/>
      <c r="K880" s="482"/>
      <c r="L880" s="371">
        <f>SUM(L872,L876,L879)</f>
        <v>49.07</v>
      </c>
    </row>
    <row r="881" spans="1:12" ht="15" customHeight="1" x14ac:dyDescent="0.25">
      <c r="A881" s="182"/>
      <c r="B881" s="183"/>
      <c r="C881" s="183"/>
      <c r="D881" s="183"/>
      <c r="E881" s="183"/>
      <c r="F881" s="183"/>
      <c r="G881" s="183"/>
      <c r="H881" s="482" t="s">
        <v>1834</v>
      </c>
      <c r="I881" s="482"/>
      <c r="J881" s="482"/>
      <c r="K881" s="482"/>
      <c r="L881" s="369">
        <f>ROUND(SUM(L880),2)</f>
        <v>49.07</v>
      </c>
    </row>
    <row r="882" spans="1:12" ht="9.9499999999999993" customHeight="1" x14ac:dyDescent="0.25">
      <c r="A882" s="182"/>
      <c r="B882" s="183"/>
      <c r="C882" s="183"/>
      <c r="D882" s="183"/>
      <c r="E882" s="183"/>
      <c r="F882" s="183"/>
      <c r="G882" s="183"/>
      <c r="H882" s="485"/>
      <c r="I882" s="485"/>
      <c r="J882" s="485"/>
      <c r="K882" s="485"/>
      <c r="L882" s="512"/>
    </row>
    <row r="883" spans="1:12" ht="20.100000000000001" customHeight="1" x14ac:dyDescent="0.25">
      <c r="A883" s="486" t="s">
        <v>2713</v>
      </c>
      <c r="B883" s="487"/>
      <c r="C883" s="487"/>
      <c r="D883" s="487"/>
      <c r="E883" s="487"/>
      <c r="F883" s="487"/>
      <c r="G883" s="487"/>
      <c r="H883" s="487"/>
      <c r="I883" s="487"/>
      <c r="J883" s="487"/>
      <c r="K883" s="487"/>
      <c r="L883" s="513"/>
    </row>
    <row r="884" spans="1:12" ht="15" customHeight="1" x14ac:dyDescent="0.25">
      <c r="A884" s="474" t="s">
        <v>1932</v>
      </c>
      <c r="B884" s="475"/>
      <c r="C884" s="475"/>
      <c r="D884" s="476" t="s">
        <v>42</v>
      </c>
      <c r="E884" s="476"/>
      <c r="F884" s="476"/>
      <c r="G884" s="230" t="s">
        <v>44</v>
      </c>
      <c r="H884" s="476" t="s">
        <v>1813</v>
      </c>
      <c r="I884" s="476"/>
      <c r="J884" s="476" t="s">
        <v>1814</v>
      </c>
      <c r="K884" s="476"/>
      <c r="L884" s="366" t="s">
        <v>1802</v>
      </c>
    </row>
    <row r="885" spans="1:12" ht="15" customHeight="1" x14ac:dyDescent="0.25">
      <c r="A885" s="181" t="s">
        <v>2714</v>
      </c>
      <c r="B885" s="509" t="s">
        <v>2715</v>
      </c>
      <c r="C885" s="509"/>
      <c r="D885" s="481" t="s">
        <v>341</v>
      </c>
      <c r="E885" s="481"/>
      <c r="F885" s="481"/>
      <c r="G885" s="231" t="s">
        <v>579</v>
      </c>
      <c r="H885" s="510">
        <v>0.1018</v>
      </c>
      <c r="I885" s="510"/>
      <c r="J885" s="511">
        <v>14</v>
      </c>
      <c r="K885" s="511"/>
      <c r="L885" s="367">
        <f t="shared" ref="L885:L904" si="10">TRUNC(TRUNC(H885,8)*J885,2)</f>
        <v>1.42</v>
      </c>
    </row>
    <row r="886" spans="1:12" ht="21" customHeight="1" x14ac:dyDescent="0.25">
      <c r="A886" s="181" t="s">
        <v>2716</v>
      </c>
      <c r="B886" s="509" t="s">
        <v>2717</v>
      </c>
      <c r="C886" s="509"/>
      <c r="D886" s="481" t="s">
        <v>341</v>
      </c>
      <c r="E886" s="481"/>
      <c r="F886" s="481"/>
      <c r="G886" s="231" t="s">
        <v>2718</v>
      </c>
      <c r="H886" s="510">
        <v>6.9999999999999999E-4</v>
      </c>
      <c r="I886" s="510"/>
      <c r="J886" s="511">
        <v>73.930000000000007</v>
      </c>
      <c r="K886" s="511"/>
      <c r="L886" s="367">
        <f t="shared" si="10"/>
        <v>0.05</v>
      </c>
    </row>
    <row r="887" spans="1:12" ht="21" customHeight="1" x14ac:dyDescent="0.25">
      <c r="A887" s="181" t="s">
        <v>2719</v>
      </c>
      <c r="B887" s="509" t="s">
        <v>2720</v>
      </c>
      <c r="C887" s="509"/>
      <c r="D887" s="481" t="s">
        <v>341</v>
      </c>
      <c r="E887" s="481"/>
      <c r="F887" s="481"/>
      <c r="G887" s="231" t="s">
        <v>579</v>
      </c>
      <c r="H887" s="510">
        <v>2.0000000000000001E-4</v>
      </c>
      <c r="I887" s="510"/>
      <c r="J887" s="511">
        <v>20.11</v>
      </c>
      <c r="K887" s="511"/>
      <c r="L887" s="367">
        <f t="shared" si="10"/>
        <v>0</v>
      </c>
    </row>
    <row r="888" spans="1:12" ht="21" customHeight="1" x14ac:dyDescent="0.25">
      <c r="A888" s="181" t="s">
        <v>2721</v>
      </c>
      <c r="B888" s="509" t="s">
        <v>2722</v>
      </c>
      <c r="C888" s="509"/>
      <c r="D888" s="481" t="s">
        <v>341</v>
      </c>
      <c r="E888" s="481"/>
      <c r="F888" s="481"/>
      <c r="G888" s="231" t="s">
        <v>579</v>
      </c>
      <c r="H888" s="510">
        <v>5.9999999999999995E-4</v>
      </c>
      <c r="I888" s="510"/>
      <c r="J888" s="511">
        <v>13.5</v>
      </c>
      <c r="K888" s="511"/>
      <c r="L888" s="367">
        <f t="shared" si="10"/>
        <v>0</v>
      </c>
    </row>
    <row r="889" spans="1:12" ht="15" customHeight="1" x14ac:dyDescent="0.25">
      <c r="A889" s="181" t="s">
        <v>2723</v>
      </c>
      <c r="B889" s="509" t="s">
        <v>2724</v>
      </c>
      <c r="C889" s="509"/>
      <c r="D889" s="481" t="s">
        <v>341</v>
      </c>
      <c r="E889" s="481"/>
      <c r="F889" s="481"/>
      <c r="G889" s="231" t="s">
        <v>579</v>
      </c>
      <c r="H889" s="510">
        <v>4.4999999999999997E-3</v>
      </c>
      <c r="I889" s="510"/>
      <c r="J889" s="511">
        <v>205</v>
      </c>
      <c r="K889" s="511"/>
      <c r="L889" s="367">
        <f t="shared" si="10"/>
        <v>0.92</v>
      </c>
    </row>
    <row r="890" spans="1:12" ht="15" customHeight="1" x14ac:dyDescent="0.25">
      <c r="A890" s="181" t="s">
        <v>2725</v>
      </c>
      <c r="B890" s="509" t="s">
        <v>2726</v>
      </c>
      <c r="C890" s="509"/>
      <c r="D890" s="481" t="s">
        <v>341</v>
      </c>
      <c r="E890" s="481"/>
      <c r="F890" s="481"/>
      <c r="G890" s="231" t="s">
        <v>579</v>
      </c>
      <c r="H890" s="510">
        <v>2.0000000000000001E-4</v>
      </c>
      <c r="I890" s="510"/>
      <c r="J890" s="511">
        <v>26.89</v>
      </c>
      <c r="K890" s="511"/>
      <c r="L890" s="367">
        <f t="shared" si="10"/>
        <v>0</v>
      </c>
    </row>
    <row r="891" spans="1:12" ht="15" customHeight="1" x14ac:dyDescent="0.25">
      <c r="A891" s="181" t="s">
        <v>2727</v>
      </c>
      <c r="B891" s="509" t="s">
        <v>2728</v>
      </c>
      <c r="C891" s="509"/>
      <c r="D891" s="481" t="s">
        <v>341</v>
      </c>
      <c r="E891" s="481"/>
      <c r="F891" s="481"/>
      <c r="G891" s="231" t="s">
        <v>664</v>
      </c>
      <c r="H891" s="510">
        <v>4.0000000000000002E-4</v>
      </c>
      <c r="I891" s="510"/>
      <c r="J891" s="511">
        <v>300</v>
      </c>
      <c r="K891" s="511"/>
      <c r="L891" s="367">
        <f t="shared" si="10"/>
        <v>0.12</v>
      </c>
    </row>
    <row r="892" spans="1:12" ht="15" customHeight="1" x14ac:dyDescent="0.25">
      <c r="A892" s="181" t="s">
        <v>2729</v>
      </c>
      <c r="B892" s="509" t="s">
        <v>2730</v>
      </c>
      <c r="C892" s="509"/>
      <c r="D892" s="481" t="s">
        <v>341</v>
      </c>
      <c r="E892" s="481"/>
      <c r="F892" s="481"/>
      <c r="G892" s="231" t="s">
        <v>579</v>
      </c>
      <c r="H892" s="510">
        <v>1.5E-3</v>
      </c>
      <c r="I892" s="510"/>
      <c r="J892" s="511">
        <v>193.04</v>
      </c>
      <c r="K892" s="511"/>
      <c r="L892" s="367">
        <f t="shared" si="10"/>
        <v>0.28000000000000003</v>
      </c>
    </row>
    <row r="893" spans="1:12" ht="15" customHeight="1" x14ac:dyDescent="0.25">
      <c r="A893" s="181" t="s">
        <v>2731</v>
      </c>
      <c r="B893" s="509" t="s">
        <v>2732</v>
      </c>
      <c r="C893" s="509"/>
      <c r="D893" s="481" t="s">
        <v>341</v>
      </c>
      <c r="E893" s="481"/>
      <c r="F893" s="481"/>
      <c r="G893" s="231" t="s">
        <v>579</v>
      </c>
      <c r="H893" s="510">
        <v>2.0000000000000001E-4</v>
      </c>
      <c r="I893" s="510"/>
      <c r="J893" s="511">
        <v>21.3</v>
      </c>
      <c r="K893" s="511"/>
      <c r="L893" s="367">
        <f t="shared" si="10"/>
        <v>0</v>
      </c>
    </row>
    <row r="894" spans="1:12" ht="21" customHeight="1" x14ac:dyDescent="0.25">
      <c r="A894" s="181" t="s">
        <v>2733</v>
      </c>
      <c r="B894" s="509" t="s">
        <v>2734</v>
      </c>
      <c r="C894" s="509"/>
      <c r="D894" s="481" t="s">
        <v>341</v>
      </c>
      <c r="E894" s="481"/>
      <c r="F894" s="481"/>
      <c r="G894" s="231" t="s">
        <v>579</v>
      </c>
      <c r="H894" s="510">
        <v>1E-4</v>
      </c>
      <c r="I894" s="510"/>
      <c r="J894" s="511">
        <v>246</v>
      </c>
      <c r="K894" s="511"/>
      <c r="L894" s="367">
        <f t="shared" si="10"/>
        <v>0.02</v>
      </c>
    </row>
    <row r="895" spans="1:12" ht="15" customHeight="1" x14ac:dyDescent="0.25">
      <c r="A895" s="181" t="s">
        <v>2735</v>
      </c>
      <c r="B895" s="509" t="s">
        <v>2736</v>
      </c>
      <c r="C895" s="509"/>
      <c r="D895" s="481" t="s">
        <v>341</v>
      </c>
      <c r="E895" s="481"/>
      <c r="F895" s="481"/>
      <c r="G895" s="231" t="s">
        <v>2718</v>
      </c>
      <c r="H895" s="510">
        <v>2.3E-3</v>
      </c>
      <c r="I895" s="510"/>
      <c r="J895" s="511">
        <v>10.87</v>
      </c>
      <c r="K895" s="511"/>
      <c r="L895" s="367">
        <f t="shared" si="10"/>
        <v>0.02</v>
      </c>
    </row>
    <row r="896" spans="1:12" ht="15" customHeight="1" x14ac:dyDescent="0.25">
      <c r="A896" s="181" t="s">
        <v>2737</v>
      </c>
      <c r="B896" s="509" t="s">
        <v>2738</v>
      </c>
      <c r="C896" s="509"/>
      <c r="D896" s="481" t="s">
        <v>341</v>
      </c>
      <c r="E896" s="481"/>
      <c r="F896" s="481"/>
      <c r="G896" s="231" t="s">
        <v>579</v>
      </c>
      <c r="H896" s="510">
        <v>2.0000000000000001E-4</v>
      </c>
      <c r="I896" s="510"/>
      <c r="J896" s="511">
        <v>39.1</v>
      </c>
      <c r="K896" s="511"/>
      <c r="L896" s="367">
        <f t="shared" si="10"/>
        <v>0</v>
      </c>
    </row>
    <row r="897" spans="1:12" ht="15" customHeight="1" x14ac:dyDescent="0.25">
      <c r="A897" s="181" t="s">
        <v>2739</v>
      </c>
      <c r="B897" s="509" t="s">
        <v>2740</v>
      </c>
      <c r="C897" s="509"/>
      <c r="D897" s="481" t="s">
        <v>341</v>
      </c>
      <c r="E897" s="481"/>
      <c r="F897" s="481"/>
      <c r="G897" s="231" t="s">
        <v>2741</v>
      </c>
      <c r="H897" s="510">
        <v>6.9999999999999999E-4</v>
      </c>
      <c r="I897" s="510"/>
      <c r="J897" s="511">
        <v>6</v>
      </c>
      <c r="K897" s="511"/>
      <c r="L897" s="367">
        <f t="shared" si="10"/>
        <v>0</v>
      </c>
    </row>
    <row r="898" spans="1:12" ht="15" customHeight="1" x14ac:dyDescent="0.25">
      <c r="A898" s="181" t="s">
        <v>2742</v>
      </c>
      <c r="B898" s="509" t="s">
        <v>2743</v>
      </c>
      <c r="C898" s="509"/>
      <c r="D898" s="481" t="s">
        <v>341</v>
      </c>
      <c r="E898" s="481"/>
      <c r="F898" s="481"/>
      <c r="G898" s="231" t="s">
        <v>579</v>
      </c>
      <c r="H898" s="510">
        <v>4.4999999999999997E-3</v>
      </c>
      <c r="I898" s="510"/>
      <c r="J898" s="511">
        <v>4.8099999999999996</v>
      </c>
      <c r="K898" s="511"/>
      <c r="L898" s="367">
        <f t="shared" si="10"/>
        <v>0.02</v>
      </c>
    </row>
    <row r="899" spans="1:12" ht="15" customHeight="1" x14ac:dyDescent="0.25">
      <c r="A899" s="181" t="s">
        <v>2744</v>
      </c>
      <c r="B899" s="509" t="s">
        <v>2745</v>
      </c>
      <c r="C899" s="509"/>
      <c r="D899" s="481" t="s">
        <v>341</v>
      </c>
      <c r="E899" s="481"/>
      <c r="F899" s="481"/>
      <c r="G899" s="231" t="s">
        <v>579</v>
      </c>
      <c r="H899" s="510">
        <v>1.8E-3</v>
      </c>
      <c r="I899" s="510"/>
      <c r="J899" s="511">
        <v>18</v>
      </c>
      <c r="K899" s="511"/>
      <c r="L899" s="367">
        <f t="shared" si="10"/>
        <v>0.03</v>
      </c>
    </row>
    <row r="900" spans="1:12" ht="21" customHeight="1" x14ac:dyDescent="0.25">
      <c r="A900" s="181" t="s">
        <v>2746</v>
      </c>
      <c r="B900" s="509" t="s">
        <v>2747</v>
      </c>
      <c r="C900" s="509"/>
      <c r="D900" s="481" t="s">
        <v>341</v>
      </c>
      <c r="E900" s="481"/>
      <c r="F900" s="481"/>
      <c r="G900" s="231" t="s">
        <v>579</v>
      </c>
      <c r="H900" s="510">
        <v>0.1018</v>
      </c>
      <c r="I900" s="510"/>
      <c r="J900" s="511">
        <v>5</v>
      </c>
      <c r="K900" s="511"/>
      <c r="L900" s="367">
        <f t="shared" si="10"/>
        <v>0.5</v>
      </c>
    </row>
    <row r="901" spans="1:12" ht="15" customHeight="1" x14ac:dyDescent="0.25">
      <c r="A901" s="181" t="s">
        <v>2748</v>
      </c>
      <c r="B901" s="509" t="s">
        <v>2749</v>
      </c>
      <c r="C901" s="509"/>
      <c r="D901" s="481" t="s">
        <v>341</v>
      </c>
      <c r="E901" s="481"/>
      <c r="F901" s="481"/>
      <c r="G901" s="231" t="s">
        <v>579</v>
      </c>
      <c r="H901" s="510">
        <v>4.4999999999999997E-3</v>
      </c>
      <c r="I901" s="510"/>
      <c r="J901" s="511">
        <v>12.54</v>
      </c>
      <c r="K901" s="511"/>
      <c r="L901" s="367">
        <f t="shared" si="10"/>
        <v>0.05</v>
      </c>
    </row>
    <row r="902" spans="1:12" ht="15" customHeight="1" x14ac:dyDescent="0.25">
      <c r="A902" s="181" t="s">
        <v>2750</v>
      </c>
      <c r="B902" s="509" t="s">
        <v>2751</v>
      </c>
      <c r="C902" s="509"/>
      <c r="D902" s="481" t="s">
        <v>341</v>
      </c>
      <c r="E902" s="481"/>
      <c r="F902" s="481"/>
      <c r="G902" s="231" t="s">
        <v>579</v>
      </c>
      <c r="H902" s="510">
        <v>1E-4</v>
      </c>
      <c r="I902" s="510"/>
      <c r="J902" s="511">
        <v>979.65</v>
      </c>
      <c r="K902" s="511"/>
      <c r="L902" s="367">
        <f t="shared" si="10"/>
        <v>0.09</v>
      </c>
    </row>
    <row r="903" spans="1:12" ht="15" customHeight="1" x14ac:dyDescent="0.25">
      <c r="A903" s="181" t="s">
        <v>2752</v>
      </c>
      <c r="B903" s="509" t="s">
        <v>2753</v>
      </c>
      <c r="C903" s="509"/>
      <c r="D903" s="481" t="s">
        <v>341</v>
      </c>
      <c r="E903" s="481"/>
      <c r="F903" s="481"/>
      <c r="G903" s="231" t="s">
        <v>579</v>
      </c>
      <c r="H903" s="510">
        <v>1E-4</v>
      </c>
      <c r="I903" s="510"/>
      <c r="J903" s="511">
        <v>36</v>
      </c>
      <c r="K903" s="511"/>
      <c r="L903" s="367">
        <f t="shared" si="10"/>
        <v>0</v>
      </c>
    </row>
    <row r="904" spans="1:12" ht="15" customHeight="1" x14ac:dyDescent="0.25">
      <c r="A904" s="181" t="s">
        <v>2754</v>
      </c>
      <c r="B904" s="509" t="s">
        <v>2755</v>
      </c>
      <c r="C904" s="509"/>
      <c r="D904" s="481" t="s">
        <v>341</v>
      </c>
      <c r="E904" s="481"/>
      <c r="F904" s="481"/>
      <c r="G904" s="231" t="s">
        <v>579</v>
      </c>
      <c r="H904" s="510">
        <v>6.54E-2</v>
      </c>
      <c r="I904" s="510"/>
      <c r="J904" s="511">
        <v>4.5</v>
      </c>
      <c r="K904" s="511"/>
      <c r="L904" s="367">
        <f t="shared" si="10"/>
        <v>0.28999999999999998</v>
      </c>
    </row>
    <row r="905" spans="1:12" ht="15" customHeight="1" x14ac:dyDescent="0.25">
      <c r="A905" s="182"/>
      <c r="B905" s="183"/>
      <c r="C905" s="183"/>
      <c r="D905" s="183"/>
      <c r="E905" s="183"/>
      <c r="F905" s="183"/>
      <c r="G905" s="183"/>
      <c r="H905" s="477" t="s">
        <v>1938</v>
      </c>
      <c r="I905" s="477"/>
      <c r="J905" s="477"/>
      <c r="K905" s="477"/>
      <c r="L905" s="368">
        <f>SUM(L885:L904)</f>
        <v>3.8099999999999996</v>
      </c>
    </row>
    <row r="906" spans="1:12" ht="15" customHeight="1" x14ac:dyDescent="0.25">
      <c r="A906" s="182"/>
      <c r="B906" s="183"/>
      <c r="C906" s="183"/>
      <c r="D906" s="183"/>
      <c r="E906" s="183"/>
      <c r="F906" s="183"/>
      <c r="G906" s="183"/>
      <c r="H906" s="482" t="s">
        <v>1834</v>
      </c>
      <c r="I906" s="482"/>
      <c r="J906" s="482"/>
      <c r="K906" s="482"/>
      <c r="L906" s="369">
        <f>ROUND(SUM(L905),2)</f>
        <v>3.81</v>
      </c>
    </row>
    <row r="907" spans="1:12" ht="9.9499999999999993" customHeight="1" x14ac:dyDescent="0.25">
      <c r="A907" s="182"/>
      <c r="B907" s="183"/>
      <c r="C907" s="183"/>
      <c r="D907" s="183"/>
      <c r="E907" s="183"/>
      <c r="F907" s="183"/>
      <c r="G907" s="183"/>
      <c r="H907" s="485"/>
      <c r="I907" s="485"/>
      <c r="J907" s="485"/>
      <c r="K907" s="485"/>
      <c r="L907" s="512"/>
    </row>
    <row r="908" spans="1:12" ht="20.100000000000001" customHeight="1" x14ac:dyDescent="0.25">
      <c r="A908" s="486" t="s">
        <v>2756</v>
      </c>
      <c r="B908" s="487"/>
      <c r="C908" s="487"/>
      <c r="D908" s="487"/>
      <c r="E908" s="487"/>
      <c r="F908" s="487"/>
      <c r="G908" s="487"/>
      <c r="H908" s="487"/>
      <c r="I908" s="487"/>
      <c r="J908" s="487"/>
      <c r="K908" s="487"/>
      <c r="L908" s="513"/>
    </row>
    <row r="909" spans="1:12" ht="15" customHeight="1" x14ac:dyDescent="0.25">
      <c r="A909" s="474" t="s">
        <v>1932</v>
      </c>
      <c r="B909" s="475"/>
      <c r="C909" s="475"/>
      <c r="D909" s="476" t="s">
        <v>42</v>
      </c>
      <c r="E909" s="476"/>
      <c r="F909" s="476"/>
      <c r="G909" s="230" t="s">
        <v>44</v>
      </c>
      <c r="H909" s="476" t="s">
        <v>1813</v>
      </c>
      <c r="I909" s="476"/>
      <c r="J909" s="476" t="s">
        <v>1814</v>
      </c>
      <c r="K909" s="476"/>
      <c r="L909" s="366" t="s">
        <v>1802</v>
      </c>
    </row>
    <row r="910" spans="1:12" ht="15" customHeight="1" x14ac:dyDescent="0.25">
      <c r="A910" s="181" t="s">
        <v>2714</v>
      </c>
      <c r="B910" s="509" t="s">
        <v>2715</v>
      </c>
      <c r="C910" s="509"/>
      <c r="D910" s="481" t="s">
        <v>341</v>
      </c>
      <c r="E910" s="481"/>
      <c r="F910" s="481"/>
      <c r="G910" s="231" t="s">
        <v>579</v>
      </c>
      <c r="H910" s="510">
        <v>0.1018</v>
      </c>
      <c r="I910" s="510"/>
      <c r="J910" s="511">
        <v>14</v>
      </c>
      <c r="K910" s="511"/>
      <c r="L910" s="367">
        <f t="shared" ref="L910:L929" si="11">TRUNC(TRUNC(H910,8)*J910,2)</f>
        <v>1.42</v>
      </c>
    </row>
    <row r="911" spans="1:12" ht="21" customHeight="1" x14ac:dyDescent="0.25">
      <c r="A911" s="181" t="s">
        <v>2716</v>
      </c>
      <c r="B911" s="509" t="s">
        <v>2717</v>
      </c>
      <c r="C911" s="509"/>
      <c r="D911" s="481" t="s">
        <v>341</v>
      </c>
      <c r="E911" s="481"/>
      <c r="F911" s="481"/>
      <c r="G911" s="231" t="s">
        <v>2718</v>
      </c>
      <c r="H911" s="510">
        <v>6.9999999999999999E-4</v>
      </c>
      <c r="I911" s="510"/>
      <c r="J911" s="511">
        <v>73.930000000000007</v>
      </c>
      <c r="K911" s="511"/>
      <c r="L911" s="367">
        <f t="shared" si="11"/>
        <v>0.05</v>
      </c>
    </row>
    <row r="912" spans="1:12" ht="21" customHeight="1" x14ac:dyDescent="0.25">
      <c r="A912" s="181" t="s">
        <v>2719</v>
      </c>
      <c r="B912" s="509" t="s">
        <v>2720</v>
      </c>
      <c r="C912" s="509"/>
      <c r="D912" s="481" t="s">
        <v>341</v>
      </c>
      <c r="E912" s="481"/>
      <c r="F912" s="481"/>
      <c r="G912" s="231" t="s">
        <v>579</v>
      </c>
      <c r="H912" s="510">
        <v>2.0000000000000001E-4</v>
      </c>
      <c r="I912" s="510"/>
      <c r="J912" s="511">
        <v>20.11</v>
      </c>
      <c r="K912" s="511"/>
      <c r="L912" s="367">
        <f t="shared" si="11"/>
        <v>0</v>
      </c>
    </row>
    <row r="913" spans="1:12" ht="21" customHeight="1" x14ac:dyDescent="0.25">
      <c r="A913" s="181" t="s">
        <v>2721</v>
      </c>
      <c r="B913" s="509" t="s">
        <v>2722</v>
      </c>
      <c r="C913" s="509"/>
      <c r="D913" s="481" t="s">
        <v>341</v>
      </c>
      <c r="E913" s="481"/>
      <c r="F913" s="481"/>
      <c r="G913" s="231" t="s">
        <v>579</v>
      </c>
      <c r="H913" s="510">
        <v>5.9999999999999995E-4</v>
      </c>
      <c r="I913" s="510"/>
      <c r="J913" s="511">
        <v>13.5</v>
      </c>
      <c r="K913" s="511"/>
      <c r="L913" s="367">
        <f t="shared" si="11"/>
        <v>0</v>
      </c>
    </row>
    <row r="914" spans="1:12" ht="15" customHeight="1" x14ac:dyDescent="0.25">
      <c r="A914" s="181" t="s">
        <v>2723</v>
      </c>
      <c r="B914" s="509" t="s">
        <v>2724</v>
      </c>
      <c r="C914" s="509"/>
      <c r="D914" s="481" t="s">
        <v>341</v>
      </c>
      <c r="E914" s="481"/>
      <c r="F914" s="481"/>
      <c r="G914" s="231" t="s">
        <v>579</v>
      </c>
      <c r="H914" s="510">
        <v>4.4999999999999997E-3</v>
      </c>
      <c r="I914" s="510"/>
      <c r="J914" s="511">
        <v>205</v>
      </c>
      <c r="K914" s="511"/>
      <c r="L914" s="367">
        <f t="shared" si="11"/>
        <v>0.92</v>
      </c>
    </row>
    <row r="915" spans="1:12" ht="15" customHeight="1" x14ac:dyDescent="0.25">
      <c r="A915" s="181" t="s">
        <v>2725</v>
      </c>
      <c r="B915" s="509" t="s">
        <v>2726</v>
      </c>
      <c r="C915" s="509"/>
      <c r="D915" s="481" t="s">
        <v>341</v>
      </c>
      <c r="E915" s="481"/>
      <c r="F915" s="481"/>
      <c r="G915" s="231" t="s">
        <v>579</v>
      </c>
      <c r="H915" s="510">
        <v>2.0000000000000001E-4</v>
      </c>
      <c r="I915" s="510"/>
      <c r="J915" s="511">
        <v>26.89</v>
      </c>
      <c r="K915" s="511"/>
      <c r="L915" s="367">
        <f t="shared" si="11"/>
        <v>0</v>
      </c>
    </row>
    <row r="916" spans="1:12" ht="15" customHeight="1" x14ac:dyDescent="0.25">
      <c r="A916" s="181" t="s">
        <v>2727</v>
      </c>
      <c r="B916" s="509" t="s">
        <v>2728</v>
      </c>
      <c r="C916" s="509"/>
      <c r="D916" s="481" t="s">
        <v>341</v>
      </c>
      <c r="E916" s="481"/>
      <c r="F916" s="481"/>
      <c r="G916" s="231" t="s">
        <v>664</v>
      </c>
      <c r="H916" s="510">
        <v>4.0000000000000002E-4</v>
      </c>
      <c r="I916" s="510"/>
      <c r="J916" s="511">
        <v>300</v>
      </c>
      <c r="K916" s="511"/>
      <c r="L916" s="367">
        <f t="shared" si="11"/>
        <v>0.12</v>
      </c>
    </row>
    <row r="917" spans="1:12" ht="15" customHeight="1" x14ac:dyDescent="0.25">
      <c r="A917" s="181" t="s">
        <v>2729</v>
      </c>
      <c r="B917" s="509" t="s">
        <v>2730</v>
      </c>
      <c r="C917" s="509"/>
      <c r="D917" s="481" t="s">
        <v>341</v>
      </c>
      <c r="E917" s="481"/>
      <c r="F917" s="481"/>
      <c r="G917" s="231" t="s">
        <v>579</v>
      </c>
      <c r="H917" s="510">
        <v>1.5E-3</v>
      </c>
      <c r="I917" s="510"/>
      <c r="J917" s="511">
        <v>193.04</v>
      </c>
      <c r="K917" s="511"/>
      <c r="L917" s="367">
        <f t="shared" si="11"/>
        <v>0.28000000000000003</v>
      </c>
    </row>
    <row r="918" spans="1:12" ht="15" customHeight="1" x14ac:dyDescent="0.25">
      <c r="A918" s="181" t="s">
        <v>2731</v>
      </c>
      <c r="B918" s="509" t="s">
        <v>2732</v>
      </c>
      <c r="C918" s="509"/>
      <c r="D918" s="481" t="s">
        <v>341</v>
      </c>
      <c r="E918" s="481"/>
      <c r="F918" s="481"/>
      <c r="G918" s="231" t="s">
        <v>579</v>
      </c>
      <c r="H918" s="510">
        <v>2.0000000000000001E-4</v>
      </c>
      <c r="I918" s="510"/>
      <c r="J918" s="511">
        <v>21.3</v>
      </c>
      <c r="K918" s="511"/>
      <c r="L918" s="367">
        <f t="shared" si="11"/>
        <v>0</v>
      </c>
    </row>
    <row r="919" spans="1:12" ht="21" customHeight="1" x14ac:dyDescent="0.25">
      <c r="A919" s="181" t="s">
        <v>2733</v>
      </c>
      <c r="B919" s="509" t="s">
        <v>2734</v>
      </c>
      <c r="C919" s="509"/>
      <c r="D919" s="481" t="s">
        <v>341</v>
      </c>
      <c r="E919" s="481"/>
      <c r="F919" s="481"/>
      <c r="G919" s="231" t="s">
        <v>579</v>
      </c>
      <c r="H919" s="510">
        <v>1E-4</v>
      </c>
      <c r="I919" s="510"/>
      <c r="J919" s="511">
        <v>246</v>
      </c>
      <c r="K919" s="511"/>
      <c r="L919" s="367">
        <f t="shared" si="11"/>
        <v>0.02</v>
      </c>
    </row>
    <row r="920" spans="1:12" ht="15" customHeight="1" x14ac:dyDescent="0.25">
      <c r="A920" s="181" t="s">
        <v>2735</v>
      </c>
      <c r="B920" s="509" t="s">
        <v>2736</v>
      </c>
      <c r="C920" s="509"/>
      <c r="D920" s="481" t="s">
        <v>341</v>
      </c>
      <c r="E920" s="481"/>
      <c r="F920" s="481"/>
      <c r="G920" s="231" t="s">
        <v>2718</v>
      </c>
      <c r="H920" s="510">
        <v>2.3E-3</v>
      </c>
      <c r="I920" s="510"/>
      <c r="J920" s="511">
        <v>10.87</v>
      </c>
      <c r="K920" s="511"/>
      <c r="L920" s="367">
        <f t="shared" si="11"/>
        <v>0.02</v>
      </c>
    </row>
    <row r="921" spans="1:12" ht="15" customHeight="1" x14ac:dyDescent="0.25">
      <c r="A921" s="181" t="s">
        <v>2737</v>
      </c>
      <c r="B921" s="509" t="s">
        <v>2738</v>
      </c>
      <c r="C921" s="509"/>
      <c r="D921" s="481" t="s">
        <v>341</v>
      </c>
      <c r="E921" s="481"/>
      <c r="F921" s="481"/>
      <c r="G921" s="231" t="s">
        <v>579</v>
      </c>
      <c r="H921" s="510">
        <v>2.0000000000000001E-4</v>
      </c>
      <c r="I921" s="510"/>
      <c r="J921" s="511">
        <v>39.1</v>
      </c>
      <c r="K921" s="511"/>
      <c r="L921" s="367">
        <f t="shared" si="11"/>
        <v>0</v>
      </c>
    </row>
    <row r="922" spans="1:12" ht="15" customHeight="1" x14ac:dyDescent="0.25">
      <c r="A922" s="181" t="s">
        <v>2739</v>
      </c>
      <c r="B922" s="509" t="s">
        <v>2740</v>
      </c>
      <c r="C922" s="509"/>
      <c r="D922" s="481" t="s">
        <v>341</v>
      </c>
      <c r="E922" s="481"/>
      <c r="F922" s="481"/>
      <c r="G922" s="231" t="s">
        <v>2741</v>
      </c>
      <c r="H922" s="510">
        <v>6.9999999999999999E-4</v>
      </c>
      <c r="I922" s="510"/>
      <c r="J922" s="511">
        <v>6</v>
      </c>
      <c r="K922" s="511"/>
      <c r="L922" s="367">
        <f t="shared" si="11"/>
        <v>0</v>
      </c>
    </row>
    <row r="923" spans="1:12" ht="15" customHeight="1" x14ac:dyDescent="0.25">
      <c r="A923" s="181" t="s">
        <v>2742</v>
      </c>
      <c r="B923" s="509" t="s">
        <v>2743</v>
      </c>
      <c r="C923" s="509"/>
      <c r="D923" s="481" t="s">
        <v>341</v>
      </c>
      <c r="E923" s="481"/>
      <c r="F923" s="481"/>
      <c r="G923" s="231" t="s">
        <v>579</v>
      </c>
      <c r="H923" s="510">
        <v>4.4999999999999997E-3</v>
      </c>
      <c r="I923" s="510"/>
      <c r="J923" s="511">
        <v>4.8099999999999996</v>
      </c>
      <c r="K923" s="511"/>
      <c r="L923" s="367">
        <f t="shared" si="11"/>
        <v>0.02</v>
      </c>
    </row>
    <row r="924" spans="1:12" ht="15" customHeight="1" x14ac:dyDescent="0.25">
      <c r="A924" s="181" t="s">
        <v>2744</v>
      </c>
      <c r="B924" s="509" t="s">
        <v>2745</v>
      </c>
      <c r="C924" s="509"/>
      <c r="D924" s="481" t="s">
        <v>341</v>
      </c>
      <c r="E924" s="481"/>
      <c r="F924" s="481"/>
      <c r="G924" s="231" t="s">
        <v>579</v>
      </c>
      <c r="H924" s="510">
        <v>1.8E-3</v>
      </c>
      <c r="I924" s="510"/>
      <c r="J924" s="511">
        <v>18</v>
      </c>
      <c r="K924" s="511"/>
      <c r="L924" s="367">
        <f t="shared" si="11"/>
        <v>0.03</v>
      </c>
    </row>
    <row r="925" spans="1:12" ht="21" customHeight="1" x14ac:dyDescent="0.25">
      <c r="A925" s="181" t="s">
        <v>2746</v>
      </c>
      <c r="B925" s="509" t="s">
        <v>2747</v>
      </c>
      <c r="C925" s="509"/>
      <c r="D925" s="481" t="s">
        <v>341</v>
      </c>
      <c r="E925" s="481"/>
      <c r="F925" s="481"/>
      <c r="G925" s="231" t="s">
        <v>579</v>
      </c>
      <c r="H925" s="510">
        <v>0.1018</v>
      </c>
      <c r="I925" s="510"/>
      <c r="J925" s="511">
        <v>5</v>
      </c>
      <c r="K925" s="511"/>
      <c r="L925" s="367">
        <f t="shared" si="11"/>
        <v>0.5</v>
      </c>
    </row>
    <row r="926" spans="1:12" ht="15" customHeight="1" x14ac:dyDescent="0.25">
      <c r="A926" s="181" t="s">
        <v>2748</v>
      </c>
      <c r="B926" s="509" t="s">
        <v>2749</v>
      </c>
      <c r="C926" s="509"/>
      <c r="D926" s="481" t="s">
        <v>341</v>
      </c>
      <c r="E926" s="481"/>
      <c r="F926" s="481"/>
      <c r="G926" s="231" t="s">
        <v>579</v>
      </c>
      <c r="H926" s="510">
        <v>4.4999999999999997E-3</v>
      </c>
      <c r="I926" s="510"/>
      <c r="J926" s="511">
        <v>12.54</v>
      </c>
      <c r="K926" s="511"/>
      <c r="L926" s="367">
        <f t="shared" si="11"/>
        <v>0.05</v>
      </c>
    </row>
    <row r="927" spans="1:12" ht="15" customHeight="1" x14ac:dyDescent="0.25">
      <c r="A927" s="181" t="s">
        <v>2750</v>
      </c>
      <c r="B927" s="509" t="s">
        <v>2751</v>
      </c>
      <c r="C927" s="509"/>
      <c r="D927" s="481" t="s">
        <v>341</v>
      </c>
      <c r="E927" s="481"/>
      <c r="F927" s="481"/>
      <c r="G927" s="231" t="s">
        <v>579</v>
      </c>
      <c r="H927" s="510">
        <v>1E-4</v>
      </c>
      <c r="I927" s="510"/>
      <c r="J927" s="511">
        <v>979.65</v>
      </c>
      <c r="K927" s="511"/>
      <c r="L927" s="367">
        <f t="shared" si="11"/>
        <v>0.09</v>
      </c>
    </row>
    <row r="928" spans="1:12" ht="15" customHeight="1" x14ac:dyDescent="0.25">
      <c r="A928" s="181" t="s">
        <v>2752</v>
      </c>
      <c r="B928" s="509" t="s">
        <v>2753</v>
      </c>
      <c r="C928" s="509"/>
      <c r="D928" s="481" t="s">
        <v>341</v>
      </c>
      <c r="E928" s="481"/>
      <c r="F928" s="481"/>
      <c r="G928" s="231" t="s">
        <v>579</v>
      </c>
      <c r="H928" s="510">
        <v>1E-4</v>
      </c>
      <c r="I928" s="510"/>
      <c r="J928" s="511">
        <v>36</v>
      </c>
      <c r="K928" s="511"/>
      <c r="L928" s="367">
        <f t="shared" si="11"/>
        <v>0</v>
      </c>
    </row>
    <row r="929" spans="1:12" ht="15" customHeight="1" x14ac:dyDescent="0.25">
      <c r="A929" s="181" t="s">
        <v>2754</v>
      </c>
      <c r="B929" s="509" t="s">
        <v>2755</v>
      </c>
      <c r="C929" s="509"/>
      <c r="D929" s="481" t="s">
        <v>341</v>
      </c>
      <c r="E929" s="481"/>
      <c r="F929" s="481"/>
      <c r="G929" s="231" t="s">
        <v>579</v>
      </c>
      <c r="H929" s="510">
        <v>6.54E-2</v>
      </c>
      <c r="I929" s="510"/>
      <c r="J929" s="511">
        <v>4.5</v>
      </c>
      <c r="K929" s="511"/>
      <c r="L929" s="367">
        <f t="shared" si="11"/>
        <v>0.28999999999999998</v>
      </c>
    </row>
    <row r="930" spans="1:12" ht="15" customHeight="1" x14ac:dyDescent="0.25">
      <c r="A930" s="182"/>
      <c r="B930" s="183"/>
      <c r="C930" s="183"/>
      <c r="D930" s="183"/>
      <c r="E930" s="183"/>
      <c r="F930" s="183"/>
      <c r="G930" s="183"/>
      <c r="H930" s="477" t="s">
        <v>1938</v>
      </c>
      <c r="I930" s="477"/>
      <c r="J930" s="477"/>
      <c r="K930" s="477"/>
      <c r="L930" s="368">
        <f>SUM(L910:L929)</f>
        <v>3.8099999999999996</v>
      </c>
    </row>
    <row r="931" spans="1:12" ht="15" customHeight="1" x14ac:dyDescent="0.25">
      <c r="A931" s="182"/>
      <c r="B931" s="183"/>
      <c r="C931" s="183"/>
      <c r="D931" s="183"/>
      <c r="E931" s="183"/>
      <c r="F931" s="183"/>
      <c r="G931" s="183"/>
      <c r="H931" s="482" t="s">
        <v>1834</v>
      </c>
      <c r="I931" s="482"/>
      <c r="J931" s="482"/>
      <c r="K931" s="482"/>
      <c r="L931" s="369">
        <f>ROUND(SUM(L930),2)</f>
        <v>3.81</v>
      </c>
    </row>
    <row r="932" spans="1:12" ht="9.9499999999999993" customHeight="1" x14ac:dyDescent="0.25">
      <c r="A932" s="182"/>
      <c r="B932" s="183"/>
      <c r="C932" s="183"/>
      <c r="D932" s="183"/>
      <c r="E932" s="183"/>
      <c r="F932" s="183"/>
      <c r="G932" s="183"/>
      <c r="H932" s="485"/>
      <c r="I932" s="485"/>
      <c r="J932" s="485"/>
      <c r="K932" s="485"/>
      <c r="L932" s="512"/>
    </row>
    <row r="933" spans="1:12" ht="20.100000000000001" customHeight="1" x14ac:dyDescent="0.25">
      <c r="A933" s="486" t="s">
        <v>2757</v>
      </c>
      <c r="B933" s="487"/>
      <c r="C933" s="487"/>
      <c r="D933" s="487"/>
      <c r="E933" s="487"/>
      <c r="F933" s="487"/>
      <c r="G933" s="487"/>
      <c r="H933" s="487"/>
      <c r="I933" s="487"/>
      <c r="J933" s="487"/>
      <c r="K933" s="487"/>
      <c r="L933" s="513"/>
    </row>
    <row r="934" spans="1:12" ht="15" customHeight="1" x14ac:dyDescent="0.25">
      <c r="A934" s="474" t="s">
        <v>1932</v>
      </c>
      <c r="B934" s="475"/>
      <c r="C934" s="475"/>
      <c r="D934" s="476" t="s">
        <v>42</v>
      </c>
      <c r="E934" s="476"/>
      <c r="F934" s="476"/>
      <c r="G934" s="230" t="s">
        <v>44</v>
      </c>
      <c r="H934" s="476" t="s">
        <v>1813</v>
      </c>
      <c r="I934" s="476"/>
      <c r="J934" s="476" t="s">
        <v>1814</v>
      </c>
      <c r="K934" s="476"/>
      <c r="L934" s="366" t="s">
        <v>1802</v>
      </c>
    </row>
    <row r="935" spans="1:12" ht="15" customHeight="1" x14ac:dyDescent="0.25">
      <c r="A935" s="181" t="s">
        <v>2714</v>
      </c>
      <c r="B935" s="509" t="s">
        <v>2715</v>
      </c>
      <c r="C935" s="509"/>
      <c r="D935" s="481" t="s">
        <v>341</v>
      </c>
      <c r="E935" s="481"/>
      <c r="F935" s="481"/>
      <c r="G935" s="231" t="s">
        <v>579</v>
      </c>
      <c r="H935" s="510">
        <v>0.1018</v>
      </c>
      <c r="I935" s="510"/>
      <c r="J935" s="511">
        <v>14</v>
      </c>
      <c r="K935" s="511"/>
      <c r="L935" s="367">
        <f t="shared" ref="L935:L954" si="12">TRUNC(TRUNC(H935,8)*J935,2)</f>
        <v>1.42</v>
      </c>
    </row>
    <row r="936" spans="1:12" ht="21" customHeight="1" x14ac:dyDescent="0.25">
      <c r="A936" s="181" t="s">
        <v>2716</v>
      </c>
      <c r="B936" s="509" t="s">
        <v>2717</v>
      </c>
      <c r="C936" s="509"/>
      <c r="D936" s="481" t="s">
        <v>341</v>
      </c>
      <c r="E936" s="481"/>
      <c r="F936" s="481"/>
      <c r="G936" s="231" t="s">
        <v>2718</v>
      </c>
      <c r="H936" s="510">
        <v>6.9999999999999999E-4</v>
      </c>
      <c r="I936" s="510"/>
      <c r="J936" s="511">
        <v>73.930000000000007</v>
      </c>
      <c r="K936" s="511"/>
      <c r="L936" s="367">
        <f t="shared" si="12"/>
        <v>0.05</v>
      </c>
    </row>
    <row r="937" spans="1:12" ht="21" customHeight="1" x14ac:dyDescent="0.25">
      <c r="A937" s="181" t="s">
        <v>2719</v>
      </c>
      <c r="B937" s="509" t="s">
        <v>2720</v>
      </c>
      <c r="C937" s="509"/>
      <c r="D937" s="481" t="s">
        <v>341</v>
      </c>
      <c r="E937" s="481"/>
      <c r="F937" s="481"/>
      <c r="G937" s="231" t="s">
        <v>579</v>
      </c>
      <c r="H937" s="510">
        <v>2.0000000000000001E-4</v>
      </c>
      <c r="I937" s="510"/>
      <c r="J937" s="511">
        <v>20.11</v>
      </c>
      <c r="K937" s="511"/>
      <c r="L937" s="367">
        <f t="shared" si="12"/>
        <v>0</v>
      </c>
    </row>
    <row r="938" spans="1:12" ht="21" customHeight="1" x14ac:dyDescent="0.25">
      <c r="A938" s="181" t="s">
        <v>2721</v>
      </c>
      <c r="B938" s="509" t="s">
        <v>2722</v>
      </c>
      <c r="C938" s="509"/>
      <c r="D938" s="481" t="s">
        <v>341</v>
      </c>
      <c r="E938" s="481"/>
      <c r="F938" s="481"/>
      <c r="G938" s="231" t="s">
        <v>579</v>
      </c>
      <c r="H938" s="510">
        <v>5.9999999999999995E-4</v>
      </c>
      <c r="I938" s="510"/>
      <c r="J938" s="511">
        <v>13.5</v>
      </c>
      <c r="K938" s="511"/>
      <c r="L938" s="367">
        <f t="shared" si="12"/>
        <v>0</v>
      </c>
    </row>
    <row r="939" spans="1:12" ht="15" customHeight="1" x14ac:dyDescent="0.25">
      <c r="A939" s="181" t="s">
        <v>2723</v>
      </c>
      <c r="B939" s="509" t="s">
        <v>2724</v>
      </c>
      <c r="C939" s="509"/>
      <c r="D939" s="481" t="s">
        <v>341</v>
      </c>
      <c r="E939" s="481"/>
      <c r="F939" s="481"/>
      <c r="G939" s="231" t="s">
        <v>579</v>
      </c>
      <c r="H939" s="510">
        <v>4.4999999999999997E-3</v>
      </c>
      <c r="I939" s="510"/>
      <c r="J939" s="511">
        <v>205</v>
      </c>
      <c r="K939" s="511"/>
      <c r="L939" s="367">
        <f t="shared" si="12"/>
        <v>0.92</v>
      </c>
    </row>
    <row r="940" spans="1:12" ht="15" customHeight="1" x14ac:dyDescent="0.25">
      <c r="A940" s="181" t="s">
        <v>2725</v>
      </c>
      <c r="B940" s="509" t="s">
        <v>2726</v>
      </c>
      <c r="C940" s="509"/>
      <c r="D940" s="481" t="s">
        <v>341</v>
      </c>
      <c r="E940" s="481"/>
      <c r="F940" s="481"/>
      <c r="G940" s="231" t="s">
        <v>579</v>
      </c>
      <c r="H940" s="510">
        <v>2.0000000000000001E-4</v>
      </c>
      <c r="I940" s="510"/>
      <c r="J940" s="511">
        <v>26.89</v>
      </c>
      <c r="K940" s="511"/>
      <c r="L940" s="367">
        <f t="shared" si="12"/>
        <v>0</v>
      </c>
    </row>
    <row r="941" spans="1:12" ht="15" customHeight="1" x14ac:dyDescent="0.25">
      <c r="A941" s="181" t="s">
        <v>2727</v>
      </c>
      <c r="B941" s="509" t="s">
        <v>2728</v>
      </c>
      <c r="C941" s="509"/>
      <c r="D941" s="481" t="s">
        <v>341</v>
      </c>
      <c r="E941" s="481"/>
      <c r="F941" s="481"/>
      <c r="G941" s="231" t="s">
        <v>664</v>
      </c>
      <c r="H941" s="510">
        <v>4.0000000000000002E-4</v>
      </c>
      <c r="I941" s="510"/>
      <c r="J941" s="511">
        <v>300</v>
      </c>
      <c r="K941" s="511"/>
      <c r="L941" s="367">
        <f t="shared" si="12"/>
        <v>0.12</v>
      </c>
    </row>
    <row r="942" spans="1:12" ht="15" customHeight="1" x14ac:dyDescent="0.25">
      <c r="A942" s="181" t="s">
        <v>2729</v>
      </c>
      <c r="B942" s="509" t="s">
        <v>2730</v>
      </c>
      <c r="C942" s="509"/>
      <c r="D942" s="481" t="s">
        <v>341</v>
      </c>
      <c r="E942" s="481"/>
      <c r="F942" s="481"/>
      <c r="G942" s="231" t="s">
        <v>579</v>
      </c>
      <c r="H942" s="510">
        <v>1.5E-3</v>
      </c>
      <c r="I942" s="510"/>
      <c r="J942" s="511">
        <v>193.04</v>
      </c>
      <c r="K942" s="511"/>
      <c r="L942" s="367">
        <f t="shared" si="12"/>
        <v>0.28000000000000003</v>
      </c>
    </row>
    <row r="943" spans="1:12" ht="15" customHeight="1" x14ac:dyDescent="0.25">
      <c r="A943" s="181" t="s">
        <v>2731</v>
      </c>
      <c r="B943" s="509" t="s">
        <v>2732</v>
      </c>
      <c r="C943" s="509"/>
      <c r="D943" s="481" t="s">
        <v>341</v>
      </c>
      <c r="E943" s="481"/>
      <c r="F943" s="481"/>
      <c r="G943" s="231" t="s">
        <v>579</v>
      </c>
      <c r="H943" s="510">
        <v>2.0000000000000001E-4</v>
      </c>
      <c r="I943" s="510"/>
      <c r="J943" s="511">
        <v>21.3</v>
      </c>
      <c r="K943" s="511"/>
      <c r="L943" s="367">
        <f t="shared" si="12"/>
        <v>0</v>
      </c>
    </row>
    <row r="944" spans="1:12" ht="21" customHeight="1" x14ac:dyDescent="0.25">
      <c r="A944" s="181" t="s">
        <v>2733</v>
      </c>
      <c r="B944" s="509" t="s">
        <v>2734</v>
      </c>
      <c r="C944" s="509"/>
      <c r="D944" s="481" t="s">
        <v>341</v>
      </c>
      <c r="E944" s="481"/>
      <c r="F944" s="481"/>
      <c r="G944" s="231" t="s">
        <v>579</v>
      </c>
      <c r="H944" s="510">
        <v>1E-4</v>
      </c>
      <c r="I944" s="510"/>
      <c r="J944" s="511">
        <v>246</v>
      </c>
      <c r="K944" s="511"/>
      <c r="L944" s="367">
        <f t="shared" si="12"/>
        <v>0.02</v>
      </c>
    </row>
    <row r="945" spans="1:12" ht="15" customHeight="1" x14ac:dyDescent="0.25">
      <c r="A945" s="181" t="s">
        <v>2735</v>
      </c>
      <c r="B945" s="509" t="s">
        <v>2736</v>
      </c>
      <c r="C945" s="509"/>
      <c r="D945" s="481" t="s">
        <v>341</v>
      </c>
      <c r="E945" s="481"/>
      <c r="F945" s="481"/>
      <c r="G945" s="231" t="s">
        <v>2718</v>
      </c>
      <c r="H945" s="510">
        <v>2.3E-3</v>
      </c>
      <c r="I945" s="510"/>
      <c r="J945" s="511">
        <v>10.87</v>
      </c>
      <c r="K945" s="511"/>
      <c r="L945" s="367">
        <f t="shared" si="12"/>
        <v>0.02</v>
      </c>
    </row>
    <row r="946" spans="1:12" ht="15" customHeight="1" x14ac:dyDescent="0.25">
      <c r="A946" s="181" t="s">
        <v>2737</v>
      </c>
      <c r="B946" s="509" t="s">
        <v>2738</v>
      </c>
      <c r="C946" s="509"/>
      <c r="D946" s="481" t="s">
        <v>341</v>
      </c>
      <c r="E946" s="481"/>
      <c r="F946" s="481"/>
      <c r="G946" s="231" t="s">
        <v>579</v>
      </c>
      <c r="H946" s="510">
        <v>2.0000000000000001E-4</v>
      </c>
      <c r="I946" s="510"/>
      <c r="J946" s="511">
        <v>39.1</v>
      </c>
      <c r="K946" s="511"/>
      <c r="L946" s="367">
        <f t="shared" si="12"/>
        <v>0</v>
      </c>
    </row>
    <row r="947" spans="1:12" ht="15" customHeight="1" x14ac:dyDescent="0.25">
      <c r="A947" s="181" t="s">
        <v>2739</v>
      </c>
      <c r="B947" s="509" t="s">
        <v>2740</v>
      </c>
      <c r="C947" s="509"/>
      <c r="D947" s="481" t="s">
        <v>341</v>
      </c>
      <c r="E947" s="481"/>
      <c r="F947" s="481"/>
      <c r="G947" s="231" t="s">
        <v>2741</v>
      </c>
      <c r="H947" s="510">
        <v>6.9999999999999999E-4</v>
      </c>
      <c r="I947" s="510"/>
      <c r="J947" s="511">
        <v>6</v>
      </c>
      <c r="K947" s="511"/>
      <c r="L947" s="367">
        <f t="shared" si="12"/>
        <v>0</v>
      </c>
    </row>
    <row r="948" spans="1:12" ht="15" customHeight="1" x14ac:dyDescent="0.25">
      <c r="A948" s="181" t="s">
        <v>2742</v>
      </c>
      <c r="B948" s="509" t="s">
        <v>2743</v>
      </c>
      <c r="C948" s="509"/>
      <c r="D948" s="481" t="s">
        <v>341</v>
      </c>
      <c r="E948" s="481"/>
      <c r="F948" s="481"/>
      <c r="G948" s="231" t="s">
        <v>579</v>
      </c>
      <c r="H948" s="510">
        <v>4.4999999999999997E-3</v>
      </c>
      <c r="I948" s="510"/>
      <c r="J948" s="511">
        <v>4.8099999999999996</v>
      </c>
      <c r="K948" s="511"/>
      <c r="L948" s="367">
        <f t="shared" si="12"/>
        <v>0.02</v>
      </c>
    </row>
    <row r="949" spans="1:12" ht="15" customHeight="1" x14ac:dyDescent="0.25">
      <c r="A949" s="181" t="s">
        <v>2744</v>
      </c>
      <c r="B949" s="509" t="s">
        <v>2745</v>
      </c>
      <c r="C949" s="509"/>
      <c r="D949" s="481" t="s">
        <v>341</v>
      </c>
      <c r="E949" s="481"/>
      <c r="F949" s="481"/>
      <c r="G949" s="231" t="s">
        <v>579</v>
      </c>
      <c r="H949" s="510">
        <v>1.8E-3</v>
      </c>
      <c r="I949" s="510"/>
      <c r="J949" s="511">
        <v>18</v>
      </c>
      <c r="K949" s="511"/>
      <c r="L949" s="367">
        <f t="shared" si="12"/>
        <v>0.03</v>
      </c>
    </row>
    <row r="950" spans="1:12" ht="21" customHeight="1" x14ac:dyDescent="0.25">
      <c r="A950" s="181" t="s">
        <v>2746</v>
      </c>
      <c r="B950" s="509" t="s">
        <v>2747</v>
      </c>
      <c r="C950" s="509"/>
      <c r="D950" s="481" t="s">
        <v>341</v>
      </c>
      <c r="E950" s="481"/>
      <c r="F950" s="481"/>
      <c r="G950" s="231" t="s">
        <v>579</v>
      </c>
      <c r="H950" s="510">
        <v>0.1018</v>
      </c>
      <c r="I950" s="510"/>
      <c r="J950" s="511">
        <v>5</v>
      </c>
      <c r="K950" s="511"/>
      <c r="L950" s="367">
        <f t="shared" si="12"/>
        <v>0.5</v>
      </c>
    </row>
    <row r="951" spans="1:12" ht="15" customHeight="1" x14ac:dyDescent="0.25">
      <c r="A951" s="181" t="s">
        <v>2748</v>
      </c>
      <c r="B951" s="509" t="s">
        <v>2749</v>
      </c>
      <c r="C951" s="509"/>
      <c r="D951" s="481" t="s">
        <v>341</v>
      </c>
      <c r="E951" s="481"/>
      <c r="F951" s="481"/>
      <c r="G951" s="231" t="s">
        <v>579</v>
      </c>
      <c r="H951" s="510">
        <v>4.4999999999999997E-3</v>
      </c>
      <c r="I951" s="510"/>
      <c r="J951" s="511">
        <v>12.54</v>
      </c>
      <c r="K951" s="511"/>
      <c r="L951" s="367">
        <f t="shared" si="12"/>
        <v>0.05</v>
      </c>
    </row>
    <row r="952" spans="1:12" ht="15" customHeight="1" x14ac:dyDescent="0.25">
      <c r="A952" s="181" t="s">
        <v>2750</v>
      </c>
      <c r="B952" s="509" t="s">
        <v>2751</v>
      </c>
      <c r="C952" s="509"/>
      <c r="D952" s="481" t="s">
        <v>341</v>
      </c>
      <c r="E952" s="481"/>
      <c r="F952" s="481"/>
      <c r="G952" s="231" t="s">
        <v>579</v>
      </c>
      <c r="H952" s="510">
        <v>1E-4</v>
      </c>
      <c r="I952" s="510"/>
      <c r="J952" s="511">
        <v>979.65</v>
      </c>
      <c r="K952" s="511"/>
      <c r="L952" s="367">
        <f t="shared" si="12"/>
        <v>0.09</v>
      </c>
    </row>
    <row r="953" spans="1:12" ht="15" customHeight="1" x14ac:dyDescent="0.25">
      <c r="A953" s="181" t="s">
        <v>2752</v>
      </c>
      <c r="B953" s="509" t="s">
        <v>2753</v>
      </c>
      <c r="C953" s="509"/>
      <c r="D953" s="481" t="s">
        <v>341</v>
      </c>
      <c r="E953" s="481"/>
      <c r="F953" s="481"/>
      <c r="G953" s="231" t="s">
        <v>579</v>
      </c>
      <c r="H953" s="510">
        <v>1E-4</v>
      </c>
      <c r="I953" s="510"/>
      <c r="J953" s="511">
        <v>36</v>
      </c>
      <c r="K953" s="511"/>
      <c r="L953" s="367">
        <f t="shared" si="12"/>
        <v>0</v>
      </c>
    </row>
    <row r="954" spans="1:12" ht="15" customHeight="1" x14ac:dyDescent="0.25">
      <c r="A954" s="181" t="s">
        <v>2754</v>
      </c>
      <c r="B954" s="509" t="s">
        <v>2755</v>
      </c>
      <c r="C954" s="509"/>
      <c r="D954" s="481" t="s">
        <v>341</v>
      </c>
      <c r="E954" s="481"/>
      <c r="F954" s="481"/>
      <c r="G954" s="231" t="s">
        <v>579</v>
      </c>
      <c r="H954" s="510">
        <v>6.54E-2</v>
      </c>
      <c r="I954" s="510"/>
      <c r="J954" s="511">
        <v>4.5</v>
      </c>
      <c r="K954" s="511"/>
      <c r="L954" s="367">
        <f t="shared" si="12"/>
        <v>0.28999999999999998</v>
      </c>
    </row>
    <row r="955" spans="1:12" ht="15" customHeight="1" x14ac:dyDescent="0.25">
      <c r="A955" s="182"/>
      <c r="B955" s="183"/>
      <c r="C955" s="183"/>
      <c r="D955" s="183"/>
      <c r="E955" s="183"/>
      <c r="F955" s="183"/>
      <c r="G955" s="183"/>
      <c r="H955" s="477" t="s">
        <v>1938</v>
      </c>
      <c r="I955" s="477"/>
      <c r="J955" s="477"/>
      <c r="K955" s="477"/>
      <c r="L955" s="368">
        <f>SUM(L935:L954)</f>
        <v>3.8099999999999996</v>
      </c>
    </row>
    <row r="956" spans="1:12" ht="15" customHeight="1" x14ac:dyDescent="0.25">
      <c r="A956" s="182"/>
      <c r="B956" s="183"/>
      <c r="C956" s="183"/>
      <c r="D956" s="183"/>
      <c r="E956" s="183"/>
      <c r="F956" s="183"/>
      <c r="G956" s="183"/>
      <c r="H956" s="482" t="s">
        <v>1834</v>
      </c>
      <c r="I956" s="482"/>
      <c r="J956" s="482"/>
      <c r="K956" s="482"/>
      <c r="L956" s="369">
        <f>ROUND(SUM(L955),2)</f>
        <v>3.81</v>
      </c>
    </row>
    <row r="957" spans="1:12" ht="9.9499999999999993" customHeight="1" x14ac:dyDescent="0.25">
      <c r="A957" s="182"/>
      <c r="B957" s="183"/>
      <c r="C957" s="183"/>
      <c r="D957" s="183"/>
      <c r="E957" s="183"/>
      <c r="F957" s="183"/>
      <c r="G957" s="183"/>
      <c r="H957" s="485"/>
      <c r="I957" s="485"/>
      <c r="J957" s="485"/>
      <c r="K957" s="485"/>
      <c r="L957" s="512"/>
    </row>
    <row r="958" spans="1:12" ht="20.100000000000001" customHeight="1" x14ac:dyDescent="0.25">
      <c r="A958" s="486" t="s">
        <v>2758</v>
      </c>
      <c r="B958" s="487"/>
      <c r="C958" s="487"/>
      <c r="D958" s="487"/>
      <c r="E958" s="487"/>
      <c r="F958" s="487"/>
      <c r="G958" s="487"/>
      <c r="H958" s="487"/>
      <c r="I958" s="487"/>
      <c r="J958" s="487"/>
      <c r="K958" s="487"/>
      <c r="L958" s="513"/>
    </row>
    <row r="959" spans="1:12" ht="15" customHeight="1" x14ac:dyDescent="0.25">
      <c r="A959" s="474" t="s">
        <v>1932</v>
      </c>
      <c r="B959" s="475"/>
      <c r="C959" s="475"/>
      <c r="D959" s="476" t="s">
        <v>42</v>
      </c>
      <c r="E959" s="476"/>
      <c r="F959" s="476"/>
      <c r="G959" s="230" t="s">
        <v>44</v>
      </c>
      <c r="H959" s="476" t="s">
        <v>1813</v>
      </c>
      <c r="I959" s="476"/>
      <c r="J959" s="476" t="s">
        <v>1814</v>
      </c>
      <c r="K959" s="476"/>
      <c r="L959" s="366" t="s">
        <v>1802</v>
      </c>
    </row>
    <row r="960" spans="1:12" ht="15" customHeight="1" x14ac:dyDescent="0.25">
      <c r="A960" s="181" t="s">
        <v>2714</v>
      </c>
      <c r="B960" s="509" t="s">
        <v>2715</v>
      </c>
      <c r="C960" s="509"/>
      <c r="D960" s="481" t="s">
        <v>341</v>
      </c>
      <c r="E960" s="481"/>
      <c r="F960" s="481"/>
      <c r="G960" s="231" t="s">
        <v>579</v>
      </c>
      <c r="H960" s="510">
        <v>0.1018</v>
      </c>
      <c r="I960" s="510"/>
      <c r="J960" s="511">
        <v>14</v>
      </c>
      <c r="K960" s="511"/>
      <c r="L960" s="367">
        <f t="shared" ref="L960:L984" si="13">TRUNC(TRUNC(H960,8)*J960,2)</f>
        <v>1.42</v>
      </c>
    </row>
    <row r="961" spans="1:12" ht="21" customHeight="1" x14ac:dyDescent="0.25">
      <c r="A961" s="181" t="s">
        <v>2716</v>
      </c>
      <c r="B961" s="509" t="s">
        <v>2717</v>
      </c>
      <c r="C961" s="509"/>
      <c r="D961" s="481" t="s">
        <v>341</v>
      </c>
      <c r="E961" s="481"/>
      <c r="F961" s="481"/>
      <c r="G961" s="231" t="s">
        <v>2718</v>
      </c>
      <c r="H961" s="510">
        <v>8.0000000000000004E-4</v>
      </c>
      <c r="I961" s="510"/>
      <c r="J961" s="511">
        <v>73.930000000000007</v>
      </c>
      <c r="K961" s="511"/>
      <c r="L961" s="367">
        <f t="shared" si="13"/>
        <v>0.05</v>
      </c>
    </row>
    <row r="962" spans="1:12" ht="21" customHeight="1" x14ac:dyDescent="0.25">
      <c r="A962" s="181" t="s">
        <v>2719</v>
      </c>
      <c r="B962" s="509" t="s">
        <v>2720</v>
      </c>
      <c r="C962" s="509"/>
      <c r="D962" s="481" t="s">
        <v>341</v>
      </c>
      <c r="E962" s="481"/>
      <c r="F962" s="481"/>
      <c r="G962" s="231" t="s">
        <v>579</v>
      </c>
      <c r="H962" s="510">
        <v>2.0000000000000001E-4</v>
      </c>
      <c r="I962" s="510"/>
      <c r="J962" s="511">
        <v>20.11</v>
      </c>
      <c r="K962" s="511"/>
      <c r="L962" s="367">
        <f t="shared" si="13"/>
        <v>0</v>
      </c>
    </row>
    <row r="963" spans="1:12" ht="21" customHeight="1" x14ac:dyDescent="0.25">
      <c r="A963" s="181" t="s">
        <v>2721</v>
      </c>
      <c r="B963" s="509" t="s">
        <v>2722</v>
      </c>
      <c r="C963" s="509"/>
      <c r="D963" s="481" t="s">
        <v>341</v>
      </c>
      <c r="E963" s="481"/>
      <c r="F963" s="481"/>
      <c r="G963" s="231" t="s">
        <v>579</v>
      </c>
      <c r="H963" s="510">
        <v>5.9999999999999995E-4</v>
      </c>
      <c r="I963" s="510"/>
      <c r="J963" s="511">
        <v>13.5</v>
      </c>
      <c r="K963" s="511"/>
      <c r="L963" s="367">
        <f t="shared" si="13"/>
        <v>0</v>
      </c>
    </row>
    <row r="964" spans="1:12" ht="15" customHeight="1" x14ac:dyDescent="0.25">
      <c r="A964" s="181" t="s">
        <v>2723</v>
      </c>
      <c r="B964" s="509" t="s">
        <v>2724</v>
      </c>
      <c r="C964" s="509"/>
      <c r="D964" s="481" t="s">
        <v>341</v>
      </c>
      <c r="E964" s="481"/>
      <c r="F964" s="481"/>
      <c r="G964" s="231" t="s">
        <v>579</v>
      </c>
      <c r="H964" s="510">
        <v>4.4999999999999997E-3</v>
      </c>
      <c r="I964" s="510"/>
      <c r="J964" s="511">
        <v>205</v>
      </c>
      <c r="K964" s="511"/>
      <c r="L964" s="367">
        <f t="shared" si="13"/>
        <v>0.92</v>
      </c>
    </row>
    <row r="965" spans="1:12" ht="15" customHeight="1" x14ac:dyDescent="0.25">
      <c r="A965" s="181" t="s">
        <v>2759</v>
      </c>
      <c r="B965" s="509" t="s">
        <v>2760</v>
      </c>
      <c r="C965" s="509"/>
      <c r="D965" s="481" t="s">
        <v>341</v>
      </c>
      <c r="E965" s="481"/>
      <c r="F965" s="481"/>
      <c r="G965" s="231" t="s">
        <v>579</v>
      </c>
      <c r="H965" s="510">
        <v>4.0000000000000002E-4</v>
      </c>
      <c r="I965" s="510"/>
      <c r="J965" s="511">
        <v>18.8</v>
      </c>
      <c r="K965" s="511"/>
      <c r="L965" s="367">
        <f t="shared" si="13"/>
        <v>0</v>
      </c>
    </row>
    <row r="966" spans="1:12" ht="21" customHeight="1" x14ac:dyDescent="0.25">
      <c r="A966" s="181" t="s">
        <v>2761</v>
      </c>
      <c r="B966" s="509" t="s">
        <v>2762</v>
      </c>
      <c r="C966" s="509"/>
      <c r="D966" s="481" t="s">
        <v>341</v>
      </c>
      <c r="E966" s="481"/>
      <c r="F966" s="481"/>
      <c r="G966" s="231" t="s">
        <v>579</v>
      </c>
      <c r="H966" s="510">
        <v>5.0000000000000001E-4</v>
      </c>
      <c r="I966" s="510"/>
      <c r="J966" s="511">
        <v>12.9</v>
      </c>
      <c r="K966" s="511"/>
      <c r="L966" s="367">
        <f t="shared" si="13"/>
        <v>0</v>
      </c>
    </row>
    <row r="967" spans="1:12" ht="15" customHeight="1" x14ac:dyDescent="0.25">
      <c r="A967" s="181" t="s">
        <v>2763</v>
      </c>
      <c r="B967" s="509" t="s">
        <v>2764</v>
      </c>
      <c r="C967" s="509"/>
      <c r="D967" s="481" t="s">
        <v>341</v>
      </c>
      <c r="E967" s="481"/>
      <c r="F967" s="481"/>
      <c r="G967" s="231" t="s">
        <v>579</v>
      </c>
      <c r="H967" s="510">
        <v>6.9999999999999999E-4</v>
      </c>
      <c r="I967" s="510"/>
      <c r="J967" s="511">
        <v>11.6</v>
      </c>
      <c r="K967" s="511"/>
      <c r="L967" s="367">
        <f t="shared" si="13"/>
        <v>0</v>
      </c>
    </row>
    <row r="968" spans="1:12" ht="15" customHeight="1" x14ac:dyDescent="0.25">
      <c r="A968" s="181" t="s">
        <v>2765</v>
      </c>
      <c r="B968" s="509" t="s">
        <v>2766</v>
      </c>
      <c r="C968" s="509"/>
      <c r="D968" s="481" t="s">
        <v>341</v>
      </c>
      <c r="E968" s="481"/>
      <c r="F968" s="481"/>
      <c r="G968" s="231" t="s">
        <v>2767</v>
      </c>
      <c r="H968" s="510">
        <v>6.9999999999999999E-4</v>
      </c>
      <c r="I968" s="510"/>
      <c r="J968" s="511">
        <v>10.220000000000001</v>
      </c>
      <c r="K968" s="511"/>
      <c r="L968" s="367">
        <f t="shared" si="13"/>
        <v>0</v>
      </c>
    </row>
    <row r="969" spans="1:12" ht="15" customHeight="1" x14ac:dyDescent="0.25">
      <c r="A969" s="181" t="s">
        <v>2727</v>
      </c>
      <c r="B969" s="509" t="s">
        <v>2728</v>
      </c>
      <c r="C969" s="509"/>
      <c r="D969" s="481" t="s">
        <v>341</v>
      </c>
      <c r="E969" s="481"/>
      <c r="F969" s="481"/>
      <c r="G969" s="231" t="s">
        <v>664</v>
      </c>
      <c r="H969" s="510">
        <v>4.0000000000000002E-4</v>
      </c>
      <c r="I969" s="510"/>
      <c r="J969" s="511">
        <v>300</v>
      </c>
      <c r="K969" s="511"/>
      <c r="L969" s="367">
        <f t="shared" si="13"/>
        <v>0.12</v>
      </c>
    </row>
    <row r="970" spans="1:12" ht="15" customHeight="1" x14ac:dyDescent="0.25">
      <c r="A970" s="181" t="s">
        <v>2729</v>
      </c>
      <c r="B970" s="509" t="s">
        <v>2730</v>
      </c>
      <c r="C970" s="509"/>
      <c r="D970" s="481" t="s">
        <v>341</v>
      </c>
      <c r="E970" s="481"/>
      <c r="F970" s="481"/>
      <c r="G970" s="231" t="s">
        <v>579</v>
      </c>
      <c r="H970" s="510">
        <v>1.5E-3</v>
      </c>
      <c r="I970" s="510"/>
      <c r="J970" s="511">
        <v>193.04</v>
      </c>
      <c r="K970" s="511"/>
      <c r="L970" s="367">
        <f t="shared" si="13"/>
        <v>0.28000000000000003</v>
      </c>
    </row>
    <row r="971" spans="1:12" ht="15" customHeight="1" x14ac:dyDescent="0.25">
      <c r="A971" s="181" t="s">
        <v>2735</v>
      </c>
      <c r="B971" s="509" t="s">
        <v>2736</v>
      </c>
      <c r="C971" s="509"/>
      <c r="D971" s="481" t="s">
        <v>341</v>
      </c>
      <c r="E971" s="481"/>
      <c r="F971" s="481"/>
      <c r="G971" s="231" t="s">
        <v>2718</v>
      </c>
      <c r="H971" s="510">
        <v>2.3E-3</v>
      </c>
      <c r="I971" s="510"/>
      <c r="J971" s="511">
        <v>10.87</v>
      </c>
      <c r="K971" s="511"/>
      <c r="L971" s="367">
        <f t="shared" si="13"/>
        <v>0.02</v>
      </c>
    </row>
    <row r="972" spans="1:12" ht="15" customHeight="1" x14ac:dyDescent="0.25">
      <c r="A972" s="181" t="s">
        <v>2768</v>
      </c>
      <c r="B972" s="509" t="s">
        <v>2769</v>
      </c>
      <c r="C972" s="509"/>
      <c r="D972" s="481" t="s">
        <v>341</v>
      </c>
      <c r="E972" s="481"/>
      <c r="F972" s="481"/>
      <c r="G972" s="231" t="s">
        <v>579</v>
      </c>
      <c r="H972" s="510">
        <v>2.0000000000000001E-4</v>
      </c>
      <c r="I972" s="510"/>
      <c r="J972" s="511">
        <v>13.52</v>
      </c>
      <c r="K972" s="511"/>
      <c r="L972" s="367">
        <f t="shared" si="13"/>
        <v>0</v>
      </c>
    </row>
    <row r="973" spans="1:12" ht="15" customHeight="1" x14ac:dyDescent="0.25">
      <c r="A973" s="181" t="s">
        <v>2770</v>
      </c>
      <c r="B973" s="509" t="s">
        <v>2771</v>
      </c>
      <c r="C973" s="509"/>
      <c r="D973" s="481" t="s">
        <v>341</v>
      </c>
      <c r="E973" s="481"/>
      <c r="F973" s="481"/>
      <c r="G973" s="231" t="s">
        <v>579</v>
      </c>
      <c r="H973" s="510">
        <v>4.0000000000000002E-4</v>
      </c>
      <c r="I973" s="510"/>
      <c r="J973" s="511">
        <v>18.75</v>
      </c>
      <c r="K973" s="511"/>
      <c r="L973" s="367">
        <f t="shared" si="13"/>
        <v>0</v>
      </c>
    </row>
    <row r="974" spans="1:12" ht="15" customHeight="1" x14ac:dyDescent="0.25">
      <c r="A974" s="181" t="s">
        <v>2772</v>
      </c>
      <c r="B974" s="509" t="s">
        <v>2773</v>
      </c>
      <c r="C974" s="509"/>
      <c r="D974" s="481" t="s">
        <v>341</v>
      </c>
      <c r="E974" s="481"/>
      <c r="F974" s="481"/>
      <c r="G974" s="231" t="s">
        <v>579</v>
      </c>
      <c r="H974" s="510">
        <v>1E-4</v>
      </c>
      <c r="I974" s="510"/>
      <c r="J974" s="511">
        <v>28</v>
      </c>
      <c r="K974" s="511"/>
      <c r="L974" s="367">
        <f t="shared" si="13"/>
        <v>0</v>
      </c>
    </row>
    <row r="975" spans="1:12" ht="15" customHeight="1" x14ac:dyDescent="0.25">
      <c r="A975" s="181" t="s">
        <v>2774</v>
      </c>
      <c r="B975" s="509" t="s">
        <v>2775</v>
      </c>
      <c r="C975" s="509"/>
      <c r="D975" s="481" t="s">
        <v>341</v>
      </c>
      <c r="E975" s="481"/>
      <c r="F975" s="481"/>
      <c r="G975" s="231" t="s">
        <v>579</v>
      </c>
      <c r="H975" s="510">
        <v>2.0000000000000001E-4</v>
      </c>
      <c r="I975" s="510"/>
      <c r="J975" s="511">
        <v>15.4</v>
      </c>
      <c r="K975" s="511"/>
      <c r="L975" s="367">
        <f t="shared" si="13"/>
        <v>0</v>
      </c>
    </row>
    <row r="976" spans="1:12" ht="15" customHeight="1" x14ac:dyDescent="0.25">
      <c r="A976" s="181" t="s">
        <v>2739</v>
      </c>
      <c r="B976" s="509" t="s">
        <v>2740</v>
      </c>
      <c r="C976" s="509"/>
      <c r="D976" s="481" t="s">
        <v>341</v>
      </c>
      <c r="E976" s="481"/>
      <c r="F976" s="481"/>
      <c r="G976" s="231" t="s">
        <v>2741</v>
      </c>
      <c r="H976" s="510">
        <v>8.0000000000000004E-4</v>
      </c>
      <c r="I976" s="510"/>
      <c r="J976" s="511">
        <v>6</v>
      </c>
      <c r="K976" s="511"/>
      <c r="L976" s="367">
        <f t="shared" si="13"/>
        <v>0</v>
      </c>
    </row>
    <row r="977" spans="1:12" ht="15" customHeight="1" x14ac:dyDescent="0.25">
      <c r="A977" s="181" t="s">
        <v>2742</v>
      </c>
      <c r="B977" s="509" t="s">
        <v>2743</v>
      </c>
      <c r="C977" s="509"/>
      <c r="D977" s="481" t="s">
        <v>341</v>
      </c>
      <c r="E977" s="481"/>
      <c r="F977" s="481"/>
      <c r="G977" s="231" t="s">
        <v>579</v>
      </c>
      <c r="H977" s="510">
        <v>4.4999999999999997E-3</v>
      </c>
      <c r="I977" s="510"/>
      <c r="J977" s="511">
        <v>4.8099999999999996</v>
      </c>
      <c r="K977" s="511"/>
      <c r="L977" s="367">
        <f t="shared" si="13"/>
        <v>0.02</v>
      </c>
    </row>
    <row r="978" spans="1:12" ht="15" customHeight="1" x14ac:dyDescent="0.25">
      <c r="A978" s="181" t="s">
        <v>2744</v>
      </c>
      <c r="B978" s="509" t="s">
        <v>2745</v>
      </c>
      <c r="C978" s="509"/>
      <c r="D978" s="481" t="s">
        <v>341</v>
      </c>
      <c r="E978" s="481"/>
      <c r="F978" s="481"/>
      <c r="G978" s="231" t="s">
        <v>579</v>
      </c>
      <c r="H978" s="510">
        <v>1.8E-3</v>
      </c>
      <c r="I978" s="510"/>
      <c r="J978" s="511">
        <v>18</v>
      </c>
      <c r="K978" s="511"/>
      <c r="L978" s="367">
        <f t="shared" si="13"/>
        <v>0.03</v>
      </c>
    </row>
    <row r="979" spans="1:12" ht="15" customHeight="1" x14ac:dyDescent="0.25">
      <c r="A979" s="181" t="s">
        <v>2776</v>
      </c>
      <c r="B979" s="509" t="s">
        <v>2777</v>
      </c>
      <c r="C979" s="509"/>
      <c r="D979" s="481" t="s">
        <v>341</v>
      </c>
      <c r="E979" s="481"/>
      <c r="F979" s="481"/>
      <c r="G979" s="231" t="s">
        <v>579</v>
      </c>
      <c r="H979" s="510">
        <v>1E-4</v>
      </c>
      <c r="I979" s="510"/>
      <c r="J979" s="511">
        <v>25.95</v>
      </c>
      <c r="K979" s="511"/>
      <c r="L979" s="367">
        <f t="shared" si="13"/>
        <v>0</v>
      </c>
    </row>
    <row r="980" spans="1:12" ht="21" customHeight="1" x14ac:dyDescent="0.25">
      <c r="A980" s="181" t="s">
        <v>2746</v>
      </c>
      <c r="B980" s="509" t="s">
        <v>2747</v>
      </c>
      <c r="C980" s="509"/>
      <c r="D980" s="481" t="s">
        <v>341</v>
      </c>
      <c r="E980" s="481"/>
      <c r="F980" s="481"/>
      <c r="G980" s="231" t="s">
        <v>579</v>
      </c>
      <c r="H980" s="510">
        <v>0.1018</v>
      </c>
      <c r="I980" s="510"/>
      <c r="J980" s="511">
        <v>5</v>
      </c>
      <c r="K980" s="511"/>
      <c r="L980" s="367">
        <f t="shared" si="13"/>
        <v>0.5</v>
      </c>
    </row>
    <row r="981" spans="1:12" ht="15" customHeight="1" x14ac:dyDescent="0.25">
      <c r="A981" s="181" t="s">
        <v>2778</v>
      </c>
      <c r="B981" s="509" t="s">
        <v>2779</v>
      </c>
      <c r="C981" s="509"/>
      <c r="D981" s="481" t="s">
        <v>341</v>
      </c>
      <c r="E981" s="481"/>
      <c r="F981" s="481"/>
      <c r="G981" s="231" t="s">
        <v>579</v>
      </c>
      <c r="H981" s="510">
        <v>2.0000000000000001E-4</v>
      </c>
      <c r="I981" s="510"/>
      <c r="J981" s="511">
        <v>44</v>
      </c>
      <c r="K981" s="511"/>
      <c r="L981" s="367">
        <f t="shared" si="13"/>
        <v>0</v>
      </c>
    </row>
    <row r="982" spans="1:12" ht="15" customHeight="1" x14ac:dyDescent="0.25">
      <c r="A982" s="181" t="s">
        <v>2748</v>
      </c>
      <c r="B982" s="509" t="s">
        <v>2749</v>
      </c>
      <c r="C982" s="509"/>
      <c r="D982" s="481" t="s">
        <v>341</v>
      </c>
      <c r="E982" s="481"/>
      <c r="F982" s="481"/>
      <c r="G982" s="231" t="s">
        <v>579</v>
      </c>
      <c r="H982" s="510">
        <v>4.4999999999999997E-3</v>
      </c>
      <c r="I982" s="510"/>
      <c r="J982" s="511">
        <v>12.54</v>
      </c>
      <c r="K982" s="511"/>
      <c r="L982" s="367">
        <f t="shared" si="13"/>
        <v>0.05</v>
      </c>
    </row>
    <row r="983" spans="1:12" ht="15" customHeight="1" x14ac:dyDescent="0.25">
      <c r="A983" s="181" t="s">
        <v>2780</v>
      </c>
      <c r="B983" s="509" t="s">
        <v>2781</v>
      </c>
      <c r="C983" s="509"/>
      <c r="D983" s="481" t="s">
        <v>341</v>
      </c>
      <c r="E983" s="481"/>
      <c r="F983" s="481"/>
      <c r="G983" s="231" t="s">
        <v>579</v>
      </c>
      <c r="H983" s="510">
        <v>1E-4</v>
      </c>
      <c r="I983" s="510"/>
      <c r="J983" s="511">
        <v>319.89999999999998</v>
      </c>
      <c r="K983" s="511"/>
      <c r="L983" s="367">
        <f t="shared" si="13"/>
        <v>0.03</v>
      </c>
    </row>
    <row r="984" spans="1:12" ht="15" customHeight="1" x14ac:dyDescent="0.25">
      <c r="A984" s="181" t="s">
        <v>2754</v>
      </c>
      <c r="B984" s="509" t="s">
        <v>2755</v>
      </c>
      <c r="C984" s="509"/>
      <c r="D984" s="481" t="s">
        <v>341</v>
      </c>
      <c r="E984" s="481"/>
      <c r="F984" s="481"/>
      <c r="G984" s="231" t="s">
        <v>579</v>
      </c>
      <c r="H984" s="510">
        <v>6.54E-2</v>
      </c>
      <c r="I984" s="510"/>
      <c r="J984" s="511">
        <v>4.5</v>
      </c>
      <c r="K984" s="511"/>
      <c r="L984" s="367">
        <f t="shared" si="13"/>
        <v>0.28999999999999998</v>
      </c>
    </row>
    <row r="985" spans="1:12" ht="15" customHeight="1" x14ac:dyDescent="0.25">
      <c r="A985" s="182"/>
      <c r="B985" s="183"/>
      <c r="C985" s="183"/>
      <c r="D985" s="183"/>
      <c r="E985" s="183"/>
      <c r="F985" s="183"/>
      <c r="G985" s="183"/>
      <c r="H985" s="477" t="s">
        <v>1938</v>
      </c>
      <c r="I985" s="477"/>
      <c r="J985" s="477"/>
      <c r="K985" s="477"/>
      <c r="L985" s="368">
        <f>SUM(L960:L984)</f>
        <v>3.7299999999999995</v>
      </c>
    </row>
    <row r="986" spans="1:12" ht="15" customHeight="1" x14ac:dyDescent="0.25">
      <c r="A986" s="182"/>
      <c r="B986" s="183"/>
      <c r="C986" s="183"/>
      <c r="D986" s="183"/>
      <c r="E986" s="183"/>
      <c r="F986" s="183"/>
      <c r="G986" s="183"/>
      <c r="H986" s="482" t="s">
        <v>1834</v>
      </c>
      <c r="I986" s="482"/>
      <c r="J986" s="482"/>
      <c r="K986" s="482"/>
      <c r="L986" s="369">
        <f>ROUND(SUM(L985),2)</f>
        <v>3.73</v>
      </c>
    </row>
    <row r="987" spans="1:12" ht="9.9499999999999993" customHeight="1" x14ac:dyDescent="0.25">
      <c r="A987" s="182"/>
      <c r="B987" s="183"/>
      <c r="C987" s="183"/>
      <c r="D987" s="183"/>
      <c r="E987" s="183"/>
      <c r="F987" s="183"/>
      <c r="G987" s="183"/>
      <c r="H987" s="485"/>
      <c r="I987" s="485"/>
      <c r="J987" s="485"/>
      <c r="K987" s="485"/>
      <c r="L987" s="512"/>
    </row>
    <row r="988" spans="1:12" ht="20.100000000000001" customHeight="1" x14ac:dyDescent="0.25">
      <c r="A988" s="486" t="s">
        <v>2782</v>
      </c>
      <c r="B988" s="487"/>
      <c r="C988" s="487"/>
      <c r="D988" s="487"/>
      <c r="E988" s="487"/>
      <c r="F988" s="487"/>
      <c r="G988" s="487"/>
      <c r="H988" s="487"/>
      <c r="I988" s="487"/>
      <c r="J988" s="487"/>
      <c r="K988" s="487"/>
      <c r="L988" s="513"/>
    </row>
    <row r="989" spans="1:12" ht="15" customHeight="1" x14ac:dyDescent="0.25">
      <c r="A989" s="474" t="s">
        <v>1932</v>
      </c>
      <c r="B989" s="475"/>
      <c r="C989" s="475"/>
      <c r="D989" s="476" t="s">
        <v>42</v>
      </c>
      <c r="E989" s="476"/>
      <c r="F989" s="476"/>
      <c r="G989" s="230" t="s">
        <v>44</v>
      </c>
      <c r="H989" s="476" t="s">
        <v>1813</v>
      </c>
      <c r="I989" s="476"/>
      <c r="J989" s="476" t="s">
        <v>1814</v>
      </c>
      <c r="K989" s="476"/>
      <c r="L989" s="366" t="s">
        <v>1802</v>
      </c>
    </row>
    <row r="990" spans="1:12" ht="15" customHeight="1" x14ac:dyDescent="0.25">
      <c r="A990" s="181" t="s">
        <v>2714</v>
      </c>
      <c r="B990" s="509" t="s">
        <v>2715</v>
      </c>
      <c r="C990" s="509"/>
      <c r="D990" s="481" t="s">
        <v>341</v>
      </c>
      <c r="E990" s="481"/>
      <c r="F990" s="481"/>
      <c r="G990" s="231" t="s">
        <v>579</v>
      </c>
      <c r="H990" s="510">
        <v>0.1018</v>
      </c>
      <c r="I990" s="510"/>
      <c r="J990" s="511">
        <v>14</v>
      </c>
      <c r="K990" s="511"/>
      <c r="L990" s="367">
        <f t="shared" ref="L990:L1009" si="14">TRUNC(TRUNC(H990,8)*J990,2)</f>
        <v>1.42</v>
      </c>
    </row>
    <row r="991" spans="1:12" ht="21" customHeight="1" x14ac:dyDescent="0.25">
      <c r="A991" s="181" t="s">
        <v>2716</v>
      </c>
      <c r="B991" s="509" t="s">
        <v>2717</v>
      </c>
      <c r="C991" s="509"/>
      <c r="D991" s="481" t="s">
        <v>341</v>
      </c>
      <c r="E991" s="481"/>
      <c r="F991" s="481"/>
      <c r="G991" s="231" t="s">
        <v>2718</v>
      </c>
      <c r="H991" s="510">
        <v>6.9999999999999999E-4</v>
      </c>
      <c r="I991" s="510"/>
      <c r="J991" s="511">
        <v>73.930000000000007</v>
      </c>
      <c r="K991" s="511"/>
      <c r="L991" s="367">
        <f t="shared" si="14"/>
        <v>0.05</v>
      </c>
    </row>
    <row r="992" spans="1:12" ht="21" customHeight="1" x14ac:dyDescent="0.25">
      <c r="A992" s="181" t="s">
        <v>2719</v>
      </c>
      <c r="B992" s="509" t="s">
        <v>2720</v>
      </c>
      <c r="C992" s="509"/>
      <c r="D992" s="481" t="s">
        <v>341</v>
      </c>
      <c r="E992" s="481"/>
      <c r="F992" s="481"/>
      <c r="G992" s="231" t="s">
        <v>579</v>
      </c>
      <c r="H992" s="510">
        <v>2.0000000000000001E-4</v>
      </c>
      <c r="I992" s="510"/>
      <c r="J992" s="511">
        <v>20.11</v>
      </c>
      <c r="K992" s="511"/>
      <c r="L992" s="367">
        <f t="shared" si="14"/>
        <v>0</v>
      </c>
    </row>
    <row r="993" spans="1:12" ht="21" customHeight="1" x14ac:dyDescent="0.25">
      <c r="A993" s="181" t="s">
        <v>2721</v>
      </c>
      <c r="B993" s="509" t="s">
        <v>2722</v>
      </c>
      <c r="C993" s="509"/>
      <c r="D993" s="481" t="s">
        <v>341</v>
      </c>
      <c r="E993" s="481"/>
      <c r="F993" s="481"/>
      <c r="G993" s="231" t="s">
        <v>579</v>
      </c>
      <c r="H993" s="510">
        <v>5.9999999999999995E-4</v>
      </c>
      <c r="I993" s="510"/>
      <c r="J993" s="511">
        <v>13.5</v>
      </c>
      <c r="K993" s="511"/>
      <c r="L993" s="367">
        <f t="shared" si="14"/>
        <v>0</v>
      </c>
    </row>
    <row r="994" spans="1:12" ht="15" customHeight="1" x14ac:dyDescent="0.25">
      <c r="A994" s="181" t="s">
        <v>2723</v>
      </c>
      <c r="B994" s="509" t="s">
        <v>2724</v>
      </c>
      <c r="C994" s="509"/>
      <c r="D994" s="481" t="s">
        <v>341</v>
      </c>
      <c r="E994" s="481"/>
      <c r="F994" s="481"/>
      <c r="G994" s="231" t="s">
        <v>579</v>
      </c>
      <c r="H994" s="510">
        <v>4.4999999999999997E-3</v>
      </c>
      <c r="I994" s="510"/>
      <c r="J994" s="511">
        <v>205</v>
      </c>
      <c r="K994" s="511"/>
      <c r="L994" s="367">
        <f t="shared" si="14"/>
        <v>0.92</v>
      </c>
    </row>
    <row r="995" spans="1:12" ht="15" customHeight="1" x14ac:dyDescent="0.25">
      <c r="A995" s="181" t="s">
        <v>2725</v>
      </c>
      <c r="B995" s="509" t="s">
        <v>2726</v>
      </c>
      <c r="C995" s="509"/>
      <c r="D995" s="481" t="s">
        <v>341</v>
      </c>
      <c r="E995" s="481"/>
      <c r="F995" s="481"/>
      <c r="G995" s="231" t="s">
        <v>579</v>
      </c>
      <c r="H995" s="510">
        <v>2.0000000000000001E-4</v>
      </c>
      <c r="I995" s="510"/>
      <c r="J995" s="511">
        <v>26.89</v>
      </c>
      <c r="K995" s="511"/>
      <c r="L995" s="367">
        <f t="shared" si="14"/>
        <v>0</v>
      </c>
    </row>
    <row r="996" spans="1:12" ht="15" customHeight="1" x14ac:dyDescent="0.25">
      <c r="A996" s="181" t="s">
        <v>2727</v>
      </c>
      <c r="B996" s="509" t="s">
        <v>2728</v>
      </c>
      <c r="C996" s="509"/>
      <c r="D996" s="481" t="s">
        <v>341</v>
      </c>
      <c r="E996" s="481"/>
      <c r="F996" s="481"/>
      <c r="G996" s="231" t="s">
        <v>664</v>
      </c>
      <c r="H996" s="510">
        <v>4.0000000000000002E-4</v>
      </c>
      <c r="I996" s="510"/>
      <c r="J996" s="511">
        <v>300</v>
      </c>
      <c r="K996" s="511"/>
      <c r="L996" s="367">
        <f t="shared" si="14"/>
        <v>0.12</v>
      </c>
    </row>
    <row r="997" spans="1:12" ht="15" customHeight="1" x14ac:dyDescent="0.25">
      <c r="A997" s="181" t="s">
        <v>2729</v>
      </c>
      <c r="B997" s="509" t="s">
        <v>2730</v>
      </c>
      <c r="C997" s="509"/>
      <c r="D997" s="481" t="s">
        <v>341</v>
      </c>
      <c r="E997" s="481"/>
      <c r="F997" s="481"/>
      <c r="G997" s="231" t="s">
        <v>579</v>
      </c>
      <c r="H997" s="510">
        <v>1.5E-3</v>
      </c>
      <c r="I997" s="510"/>
      <c r="J997" s="511">
        <v>193.04</v>
      </c>
      <c r="K997" s="511"/>
      <c r="L997" s="367">
        <f t="shared" si="14"/>
        <v>0.28000000000000003</v>
      </c>
    </row>
    <row r="998" spans="1:12" ht="15" customHeight="1" x14ac:dyDescent="0.25">
      <c r="A998" s="181" t="s">
        <v>2731</v>
      </c>
      <c r="B998" s="509" t="s">
        <v>2732</v>
      </c>
      <c r="C998" s="509"/>
      <c r="D998" s="481" t="s">
        <v>341</v>
      </c>
      <c r="E998" s="481"/>
      <c r="F998" s="481"/>
      <c r="G998" s="231" t="s">
        <v>579</v>
      </c>
      <c r="H998" s="510">
        <v>2.0000000000000001E-4</v>
      </c>
      <c r="I998" s="510"/>
      <c r="J998" s="511">
        <v>21.3</v>
      </c>
      <c r="K998" s="511"/>
      <c r="L998" s="367">
        <f t="shared" si="14"/>
        <v>0</v>
      </c>
    </row>
    <row r="999" spans="1:12" ht="21" customHeight="1" x14ac:dyDescent="0.25">
      <c r="A999" s="181" t="s">
        <v>2733</v>
      </c>
      <c r="B999" s="509" t="s">
        <v>2734</v>
      </c>
      <c r="C999" s="509"/>
      <c r="D999" s="481" t="s">
        <v>341</v>
      </c>
      <c r="E999" s="481"/>
      <c r="F999" s="481"/>
      <c r="G999" s="231" t="s">
        <v>579</v>
      </c>
      <c r="H999" s="510">
        <v>1E-4</v>
      </c>
      <c r="I999" s="510"/>
      <c r="J999" s="511">
        <v>246</v>
      </c>
      <c r="K999" s="511"/>
      <c r="L999" s="367">
        <f t="shared" si="14"/>
        <v>0.02</v>
      </c>
    </row>
    <row r="1000" spans="1:12" ht="15" customHeight="1" x14ac:dyDescent="0.25">
      <c r="A1000" s="181" t="s">
        <v>2735</v>
      </c>
      <c r="B1000" s="509" t="s">
        <v>2736</v>
      </c>
      <c r="C1000" s="509"/>
      <c r="D1000" s="481" t="s">
        <v>341</v>
      </c>
      <c r="E1000" s="481"/>
      <c r="F1000" s="481"/>
      <c r="G1000" s="231" t="s">
        <v>2718</v>
      </c>
      <c r="H1000" s="510">
        <v>2.3E-3</v>
      </c>
      <c r="I1000" s="510"/>
      <c r="J1000" s="511">
        <v>10.87</v>
      </c>
      <c r="K1000" s="511"/>
      <c r="L1000" s="367">
        <f t="shared" si="14"/>
        <v>0.02</v>
      </c>
    </row>
    <row r="1001" spans="1:12" ht="15" customHeight="1" x14ac:dyDescent="0.25">
      <c r="A1001" s="181" t="s">
        <v>2737</v>
      </c>
      <c r="B1001" s="509" t="s">
        <v>2738</v>
      </c>
      <c r="C1001" s="509"/>
      <c r="D1001" s="481" t="s">
        <v>341</v>
      </c>
      <c r="E1001" s="481"/>
      <c r="F1001" s="481"/>
      <c r="G1001" s="231" t="s">
        <v>579</v>
      </c>
      <c r="H1001" s="510">
        <v>2.0000000000000001E-4</v>
      </c>
      <c r="I1001" s="510"/>
      <c r="J1001" s="511">
        <v>39.1</v>
      </c>
      <c r="K1001" s="511"/>
      <c r="L1001" s="367">
        <f t="shared" si="14"/>
        <v>0</v>
      </c>
    </row>
    <row r="1002" spans="1:12" ht="15" customHeight="1" x14ac:dyDescent="0.25">
      <c r="A1002" s="181" t="s">
        <v>2739</v>
      </c>
      <c r="B1002" s="509" t="s">
        <v>2740</v>
      </c>
      <c r="C1002" s="509"/>
      <c r="D1002" s="481" t="s">
        <v>341</v>
      </c>
      <c r="E1002" s="481"/>
      <c r="F1002" s="481"/>
      <c r="G1002" s="231" t="s">
        <v>2741</v>
      </c>
      <c r="H1002" s="510">
        <v>6.9999999999999999E-4</v>
      </c>
      <c r="I1002" s="510"/>
      <c r="J1002" s="511">
        <v>6</v>
      </c>
      <c r="K1002" s="511"/>
      <c r="L1002" s="367">
        <f t="shared" si="14"/>
        <v>0</v>
      </c>
    </row>
    <row r="1003" spans="1:12" ht="15" customHeight="1" x14ac:dyDescent="0.25">
      <c r="A1003" s="181" t="s">
        <v>2742</v>
      </c>
      <c r="B1003" s="509" t="s">
        <v>2743</v>
      </c>
      <c r="C1003" s="509"/>
      <c r="D1003" s="481" t="s">
        <v>341</v>
      </c>
      <c r="E1003" s="481"/>
      <c r="F1003" s="481"/>
      <c r="G1003" s="231" t="s">
        <v>579</v>
      </c>
      <c r="H1003" s="510">
        <v>4.4999999999999997E-3</v>
      </c>
      <c r="I1003" s="510"/>
      <c r="J1003" s="511">
        <v>4.8099999999999996</v>
      </c>
      <c r="K1003" s="511"/>
      <c r="L1003" s="367">
        <f t="shared" si="14"/>
        <v>0.02</v>
      </c>
    </row>
    <row r="1004" spans="1:12" ht="15" customHeight="1" x14ac:dyDescent="0.25">
      <c r="A1004" s="181" t="s">
        <v>2744</v>
      </c>
      <c r="B1004" s="509" t="s">
        <v>2745</v>
      </c>
      <c r="C1004" s="509"/>
      <c r="D1004" s="481" t="s">
        <v>341</v>
      </c>
      <c r="E1004" s="481"/>
      <c r="F1004" s="481"/>
      <c r="G1004" s="231" t="s">
        <v>579</v>
      </c>
      <c r="H1004" s="510">
        <v>1.8E-3</v>
      </c>
      <c r="I1004" s="510"/>
      <c r="J1004" s="511">
        <v>18</v>
      </c>
      <c r="K1004" s="511"/>
      <c r="L1004" s="367">
        <f t="shared" si="14"/>
        <v>0.03</v>
      </c>
    </row>
    <row r="1005" spans="1:12" ht="21" customHeight="1" x14ac:dyDescent="0.25">
      <c r="A1005" s="181" t="s">
        <v>2746</v>
      </c>
      <c r="B1005" s="509" t="s">
        <v>2747</v>
      </c>
      <c r="C1005" s="509"/>
      <c r="D1005" s="481" t="s">
        <v>341</v>
      </c>
      <c r="E1005" s="481"/>
      <c r="F1005" s="481"/>
      <c r="G1005" s="231" t="s">
        <v>579</v>
      </c>
      <c r="H1005" s="510">
        <v>0.1018</v>
      </c>
      <c r="I1005" s="510"/>
      <c r="J1005" s="511">
        <v>5</v>
      </c>
      <c r="K1005" s="511"/>
      <c r="L1005" s="367">
        <f t="shared" si="14"/>
        <v>0.5</v>
      </c>
    </row>
    <row r="1006" spans="1:12" ht="15" customHeight="1" x14ac:dyDescent="0.25">
      <c r="A1006" s="181" t="s">
        <v>2748</v>
      </c>
      <c r="B1006" s="509" t="s">
        <v>2749</v>
      </c>
      <c r="C1006" s="509"/>
      <c r="D1006" s="481" t="s">
        <v>341</v>
      </c>
      <c r="E1006" s="481"/>
      <c r="F1006" s="481"/>
      <c r="G1006" s="231" t="s">
        <v>579</v>
      </c>
      <c r="H1006" s="510">
        <v>4.4999999999999997E-3</v>
      </c>
      <c r="I1006" s="510"/>
      <c r="J1006" s="511">
        <v>12.54</v>
      </c>
      <c r="K1006" s="511"/>
      <c r="L1006" s="367">
        <f t="shared" si="14"/>
        <v>0.05</v>
      </c>
    </row>
    <row r="1007" spans="1:12" ht="15" customHeight="1" x14ac:dyDescent="0.25">
      <c r="A1007" s="181" t="s">
        <v>2750</v>
      </c>
      <c r="B1007" s="509" t="s">
        <v>2751</v>
      </c>
      <c r="C1007" s="509"/>
      <c r="D1007" s="481" t="s">
        <v>341</v>
      </c>
      <c r="E1007" s="481"/>
      <c r="F1007" s="481"/>
      <c r="G1007" s="231" t="s">
        <v>579</v>
      </c>
      <c r="H1007" s="510">
        <v>1E-4</v>
      </c>
      <c r="I1007" s="510"/>
      <c r="J1007" s="511">
        <v>979.65</v>
      </c>
      <c r="K1007" s="511"/>
      <c r="L1007" s="367">
        <f t="shared" si="14"/>
        <v>0.09</v>
      </c>
    </row>
    <row r="1008" spans="1:12" ht="15" customHeight="1" x14ac:dyDescent="0.25">
      <c r="A1008" s="181" t="s">
        <v>2752</v>
      </c>
      <c r="B1008" s="509" t="s">
        <v>2753</v>
      </c>
      <c r="C1008" s="509"/>
      <c r="D1008" s="481" t="s">
        <v>341</v>
      </c>
      <c r="E1008" s="481"/>
      <c r="F1008" s="481"/>
      <c r="G1008" s="231" t="s">
        <v>579</v>
      </c>
      <c r="H1008" s="510">
        <v>1E-4</v>
      </c>
      <c r="I1008" s="510"/>
      <c r="J1008" s="511">
        <v>36</v>
      </c>
      <c r="K1008" s="511"/>
      <c r="L1008" s="367">
        <f t="shared" si="14"/>
        <v>0</v>
      </c>
    </row>
    <row r="1009" spans="1:12" ht="15" customHeight="1" x14ac:dyDescent="0.25">
      <c r="A1009" s="181" t="s">
        <v>2754</v>
      </c>
      <c r="B1009" s="509" t="s">
        <v>2755</v>
      </c>
      <c r="C1009" s="509"/>
      <c r="D1009" s="481" t="s">
        <v>341</v>
      </c>
      <c r="E1009" s="481"/>
      <c r="F1009" s="481"/>
      <c r="G1009" s="231" t="s">
        <v>579</v>
      </c>
      <c r="H1009" s="510">
        <v>6.54E-2</v>
      </c>
      <c r="I1009" s="510"/>
      <c r="J1009" s="511">
        <v>4.5</v>
      </c>
      <c r="K1009" s="511"/>
      <c r="L1009" s="367">
        <f t="shared" si="14"/>
        <v>0.28999999999999998</v>
      </c>
    </row>
    <row r="1010" spans="1:12" ht="15" customHeight="1" x14ac:dyDescent="0.25">
      <c r="A1010" s="182"/>
      <c r="B1010" s="183"/>
      <c r="C1010" s="183"/>
      <c r="D1010" s="183"/>
      <c r="E1010" s="183"/>
      <c r="F1010" s="183"/>
      <c r="G1010" s="183"/>
      <c r="H1010" s="477" t="s">
        <v>1938</v>
      </c>
      <c r="I1010" s="477"/>
      <c r="J1010" s="477"/>
      <c r="K1010" s="477"/>
      <c r="L1010" s="368">
        <f>SUM(L990:L1009)</f>
        <v>3.8099999999999996</v>
      </c>
    </row>
    <row r="1011" spans="1:12" ht="15" customHeight="1" x14ac:dyDescent="0.25">
      <c r="A1011" s="182"/>
      <c r="B1011" s="183"/>
      <c r="C1011" s="183"/>
      <c r="D1011" s="183"/>
      <c r="E1011" s="183"/>
      <c r="F1011" s="183"/>
      <c r="G1011" s="183"/>
      <c r="H1011" s="482" t="s">
        <v>1834</v>
      </c>
      <c r="I1011" s="482"/>
      <c r="J1011" s="482"/>
      <c r="K1011" s="482"/>
      <c r="L1011" s="369">
        <f>ROUND(SUM(L1010),2)</f>
        <v>3.81</v>
      </c>
    </row>
    <row r="1012" spans="1:12" ht="9.9499999999999993" customHeight="1" x14ac:dyDescent="0.25">
      <c r="A1012" s="182"/>
      <c r="B1012" s="183"/>
      <c r="C1012" s="183"/>
      <c r="D1012" s="183"/>
      <c r="E1012" s="183"/>
      <c r="F1012" s="183"/>
      <c r="G1012" s="183"/>
      <c r="H1012" s="485"/>
      <c r="I1012" s="485"/>
      <c r="J1012" s="485"/>
      <c r="K1012" s="485"/>
      <c r="L1012" s="512"/>
    </row>
    <row r="1013" spans="1:12" ht="20.100000000000001" customHeight="1" x14ac:dyDescent="0.25">
      <c r="A1013" s="486" t="s">
        <v>2783</v>
      </c>
      <c r="B1013" s="487"/>
      <c r="C1013" s="487"/>
      <c r="D1013" s="487"/>
      <c r="E1013" s="487"/>
      <c r="F1013" s="487"/>
      <c r="G1013" s="487"/>
      <c r="H1013" s="487"/>
      <c r="I1013" s="487"/>
      <c r="J1013" s="487"/>
      <c r="K1013" s="487"/>
      <c r="L1013" s="513"/>
    </row>
    <row r="1014" spans="1:12" ht="15" customHeight="1" x14ac:dyDescent="0.25">
      <c r="A1014" s="474" t="s">
        <v>1932</v>
      </c>
      <c r="B1014" s="475"/>
      <c r="C1014" s="475"/>
      <c r="D1014" s="476" t="s">
        <v>42</v>
      </c>
      <c r="E1014" s="476"/>
      <c r="F1014" s="476"/>
      <c r="G1014" s="230" t="s">
        <v>44</v>
      </c>
      <c r="H1014" s="476" t="s">
        <v>1813</v>
      </c>
      <c r="I1014" s="476"/>
      <c r="J1014" s="476" t="s">
        <v>1814</v>
      </c>
      <c r="K1014" s="476"/>
      <c r="L1014" s="366" t="s">
        <v>1802</v>
      </c>
    </row>
    <row r="1015" spans="1:12" ht="15" customHeight="1" x14ac:dyDescent="0.25">
      <c r="A1015" s="181" t="s">
        <v>2714</v>
      </c>
      <c r="B1015" s="509" t="s">
        <v>2715</v>
      </c>
      <c r="C1015" s="509"/>
      <c r="D1015" s="481" t="s">
        <v>341</v>
      </c>
      <c r="E1015" s="481"/>
      <c r="F1015" s="481"/>
      <c r="G1015" s="231" t="s">
        <v>579</v>
      </c>
      <c r="H1015" s="510">
        <v>0.1018</v>
      </c>
      <c r="I1015" s="510"/>
      <c r="J1015" s="511">
        <v>14</v>
      </c>
      <c r="K1015" s="511"/>
      <c r="L1015" s="367">
        <f t="shared" ref="L1015:L1039" si="15">TRUNC(TRUNC(H1015,8)*J1015,2)</f>
        <v>1.42</v>
      </c>
    </row>
    <row r="1016" spans="1:12" ht="21" customHeight="1" x14ac:dyDescent="0.25">
      <c r="A1016" s="181" t="s">
        <v>2716</v>
      </c>
      <c r="B1016" s="509" t="s">
        <v>2717</v>
      </c>
      <c r="C1016" s="509"/>
      <c r="D1016" s="481" t="s">
        <v>341</v>
      </c>
      <c r="E1016" s="481"/>
      <c r="F1016" s="481"/>
      <c r="G1016" s="231" t="s">
        <v>2718</v>
      </c>
      <c r="H1016" s="510">
        <v>8.0000000000000004E-4</v>
      </c>
      <c r="I1016" s="510"/>
      <c r="J1016" s="511">
        <v>73.930000000000007</v>
      </c>
      <c r="K1016" s="511"/>
      <c r="L1016" s="367">
        <f t="shared" si="15"/>
        <v>0.05</v>
      </c>
    </row>
    <row r="1017" spans="1:12" ht="21" customHeight="1" x14ac:dyDescent="0.25">
      <c r="A1017" s="181" t="s">
        <v>2719</v>
      </c>
      <c r="B1017" s="509" t="s">
        <v>2720</v>
      </c>
      <c r="C1017" s="509"/>
      <c r="D1017" s="481" t="s">
        <v>341</v>
      </c>
      <c r="E1017" s="481"/>
      <c r="F1017" s="481"/>
      <c r="G1017" s="231" t="s">
        <v>579</v>
      </c>
      <c r="H1017" s="510">
        <v>2.0000000000000001E-4</v>
      </c>
      <c r="I1017" s="510"/>
      <c r="J1017" s="511">
        <v>20.11</v>
      </c>
      <c r="K1017" s="511"/>
      <c r="L1017" s="367">
        <f t="shared" si="15"/>
        <v>0</v>
      </c>
    </row>
    <row r="1018" spans="1:12" ht="21" customHeight="1" x14ac:dyDescent="0.25">
      <c r="A1018" s="181" t="s">
        <v>2721</v>
      </c>
      <c r="B1018" s="509" t="s">
        <v>2722</v>
      </c>
      <c r="C1018" s="509"/>
      <c r="D1018" s="481" t="s">
        <v>341</v>
      </c>
      <c r="E1018" s="481"/>
      <c r="F1018" s="481"/>
      <c r="G1018" s="231" t="s">
        <v>579</v>
      </c>
      <c r="H1018" s="510">
        <v>5.9999999999999995E-4</v>
      </c>
      <c r="I1018" s="510"/>
      <c r="J1018" s="511">
        <v>13.5</v>
      </c>
      <c r="K1018" s="511"/>
      <c r="L1018" s="367">
        <f t="shared" si="15"/>
        <v>0</v>
      </c>
    </row>
    <row r="1019" spans="1:12" ht="15" customHeight="1" x14ac:dyDescent="0.25">
      <c r="A1019" s="181" t="s">
        <v>2723</v>
      </c>
      <c r="B1019" s="509" t="s">
        <v>2724</v>
      </c>
      <c r="C1019" s="509"/>
      <c r="D1019" s="481" t="s">
        <v>341</v>
      </c>
      <c r="E1019" s="481"/>
      <c r="F1019" s="481"/>
      <c r="G1019" s="231" t="s">
        <v>579</v>
      </c>
      <c r="H1019" s="510">
        <v>4.4999999999999997E-3</v>
      </c>
      <c r="I1019" s="510"/>
      <c r="J1019" s="511">
        <v>205</v>
      </c>
      <c r="K1019" s="511"/>
      <c r="L1019" s="367">
        <f t="shared" si="15"/>
        <v>0.92</v>
      </c>
    </row>
    <row r="1020" spans="1:12" ht="15" customHeight="1" x14ac:dyDescent="0.25">
      <c r="A1020" s="181" t="s">
        <v>2759</v>
      </c>
      <c r="B1020" s="509" t="s">
        <v>2760</v>
      </c>
      <c r="C1020" s="509"/>
      <c r="D1020" s="481" t="s">
        <v>341</v>
      </c>
      <c r="E1020" s="481"/>
      <c r="F1020" s="481"/>
      <c r="G1020" s="231" t="s">
        <v>579</v>
      </c>
      <c r="H1020" s="510">
        <v>4.0000000000000002E-4</v>
      </c>
      <c r="I1020" s="510"/>
      <c r="J1020" s="511">
        <v>18.8</v>
      </c>
      <c r="K1020" s="511"/>
      <c r="L1020" s="367">
        <f t="shared" si="15"/>
        <v>0</v>
      </c>
    </row>
    <row r="1021" spans="1:12" ht="21" customHeight="1" x14ac:dyDescent="0.25">
      <c r="A1021" s="181" t="s">
        <v>2761</v>
      </c>
      <c r="B1021" s="509" t="s">
        <v>2762</v>
      </c>
      <c r="C1021" s="509"/>
      <c r="D1021" s="481" t="s">
        <v>341</v>
      </c>
      <c r="E1021" s="481"/>
      <c r="F1021" s="481"/>
      <c r="G1021" s="231" t="s">
        <v>579</v>
      </c>
      <c r="H1021" s="510">
        <v>5.0000000000000001E-4</v>
      </c>
      <c r="I1021" s="510"/>
      <c r="J1021" s="511">
        <v>12.9</v>
      </c>
      <c r="K1021" s="511"/>
      <c r="L1021" s="367">
        <f t="shared" si="15"/>
        <v>0</v>
      </c>
    </row>
    <row r="1022" spans="1:12" ht="15" customHeight="1" x14ac:dyDescent="0.25">
      <c r="A1022" s="181" t="s">
        <v>2763</v>
      </c>
      <c r="B1022" s="509" t="s">
        <v>2764</v>
      </c>
      <c r="C1022" s="509"/>
      <c r="D1022" s="481" t="s">
        <v>341</v>
      </c>
      <c r="E1022" s="481"/>
      <c r="F1022" s="481"/>
      <c r="G1022" s="231" t="s">
        <v>579</v>
      </c>
      <c r="H1022" s="510">
        <v>6.9999999999999999E-4</v>
      </c>
      <c r="I1022" s="510"/>
      <c r="J1022" s="511">
        <v>11.6</v>
      </c>
      <c r="K1022" s="511"/>
      <c r="L1022" s="367">
        <f t="shared" si="15"/>
        <v>0</v>
      </c>
    </row>
    <row r="1023" spans="1:12" ht="15" customHeight="1" x14ac:dyDescent="0.25">
      <c r="A1023" s="181" t="s">
        <v>2765</v>
      </c>
      <c r="B1023" s="509" t="s">
        <v>2766</v>
      </c>
      <c r="C1023" s="509"/>
      <c r="D1023" s="481" t="s">
        <v>341</v>
      </c>
      <c r="E1023" s="481"/>
      <c r="F1023" s="481"/>
      <c r="G1023" s="231" t="s">
        <v>2767</v>
      </c>
      <c r="H1023" s="510">
        <v>6.9999999999999999E-4</v>
      </c>
      <c r="I1023" s="510"/>
      <c r="J1023" s="511">
        <v>10.220000000000001</v>
      </c>
      <c r="K1023" s="511"/>
      <c r="L1023" s="367">
        <f t="shared" si="15"/>
        <v>0</v>
      </c>
    </row>
    <row r="1024" spans="1:12" ht="15" customHeight="1" x14ac:dyDescent="0.25">
      <c r="A1024" s="181" t="s">
        <v>2727</v>
      </c>
      <c r="B1024" s="509" t="s">
        <v>2728</v>
      </c>
      <c r="C1024" s="509"/>
      <c r="D1024" s="481" t="s">
        <v>341</v>
      </c>
      <c r="E1024" s="481"/>
      <c r="F1024" s="481"/>
      <c r="G1024" s="231" t="s">
        <v>664</v>
      </c>
      <c r="H1024" s="510">
        <v>4.0000000000000002E-4</v>
      </c>
      <c r="I1024" s="510"/>
      <c r="J1024" s="511">
        <v>300</v>
      </c>
      <c r="K1024" s="511"/>
      <c r="L1024" s="367">
        <f t="shared" si="15"/>
        <v>0.12</v>
      </c>
    </row>
    <row r="1025" spans="1:12" ht="15" customHeight="1" x14ac:dyDescent="0.25">
      <c r="A1025" s="181" t="s">
        <v>2729</v>
      </c>
      <c r="B1025" s="509" t="s">
        <v>2730</v>
      </c>
      <c r="C1025" s="509"/>
      <c r="D1025" s="481" t="s">
        <v>341</v>
      </c>
      <c r="E1025" s="481"/>
      <c r="F1025" s="481"/>
      <c r="G1025" s="231" t="s">
        <v>579</v>
      </c>
      <c r="H1025" s="510">
        <v>1.5E-3</v>
      </c>
      <c r="I1025" s="510"/>
      <c r="J1025" s="511">
        <v>193.04</v>
      </c>
      <c r="K1025" s="511"/>
      <c r="L1025" s="367">
        <f t="shared" si="15"/>
        <v>0.28000000000000003</v>
      </c>
    </row>
    <row r="1026" spans="1:12" ht="15" customHeight="1" x14ac:dyDescent="0.25">
      <c r="A1026" s="181" t="s">
        <v>2735</v>
      </c>
      <c r="B1026" s="509" t="s">
        <v>2736</v>
      </c>
      <c r="C1026" s="509"/>
      <c r="D1026" s="481" t="s">
        <v>341</v>
      </c>
      <c r="E1026" s="481"/>
      <c r="F1026" s="481"/>
      <c r="G1026" s="231" t="s">
        <v>2718</v>
      </c>
      <c r="H1026" s="510">
        <v>2.3E-3</v>
      </c>
      <c r="I1026" s="510"/>
      <c r="J1026" s="511">
        <v>10.87</v>
      </c>
      <c r="K1026" s="511"/>
      <c r="L1026" s="367">
        <f t="shared" si="15"/>
        <v>0.02</v>
      </c>
    </row>
    <row r="1027" spans="1:12" ht="15" customHeight="1" x14ac:dyDescent="0.25">
      <c r="A1027" s="181" t="s">
        <v>2768</v>
      </c>
      <c r="B1027" s="509" t="s">
        <v>2769</v>
      </c>
      <c r="C1027" s="509"/>
      <c r="D1027" s="481" t="s">
        <v>341</v>
      </c>
      <c r="E1027" s="481"/>
      <c r="F1027" s="481"/>
      <c r="G1027" s="231" t="s">
        <v>579</v>
      </c>
      <c r="H1027" s="510">
        <v>2.0000000000000001E-4</v>
      </c>
      <c r="I1027" s="510"/>
      <c r="J1027" s="511">
        <v>13.52</v>
      </c>
      <c r="K1027" s="511"/>
      <c r="L1027" s="367">
        <f t="shared" si="15"/>
        <v>0</v>
      </c>
    </row>
    <row r="1028" spans="1:12" ht="15" customHeight="1" x14ac:dyDescent="0.25">
      <c r="A1028" s="181" t="s">
        <v>2770</v>
      </c>
      <c r="B1028" s="509" t="s">
        <v>2771</v>
      </c>
      <c r="C1028" s="509"/>
      <c r="D1028" s="481" t="s">
        <v>341</v>
      </c>
      <c r="E1028" s="481"/>
      <c r="F1028" s="481"/>
      <c r="G1028" s="231" t="s">
        <v>579</v>
      </c>
      <c r="H1028" s="510">
        <v>4.0000000000000002E-4</v>
      </c>
      <c r="I1028" s="510"/>
      <c r="J1028" s="511">
        <v>18.75</v>
      </c>
      <c r="K1028" s="511"/>
      <c r="L1028" s="367">
        <f t="shared" si="15"/>
        <v>0</v>
      </c>
    </row>
    <row r="1029" spans="1:12" ht="15" customHeight="1" x14ac:dyDescent="0.25">
      <c r="A1029" s="181" t="s">
        <v>2772</v>
      </c>
      <c r="B1029" s="509" t="s">
        <v>2773</v>
      </c>
      <c r="C1029" s="509"/>
      <c r="D1029" s="481" t="s">
        <v>341</v>
      </c>
      <c r="E1029" s="481"/>
      <c r="F1029" s="481"/>
      <c r="G1029" s="231" t="s">
        <v>579</v>
      </c>
      <c r="H1029" s="510">
        <v>1E-4</v>
      </c>
      <c r="I1029" s="510"/>
      <c r="J1029" s="511">
        <v>28</v>
      </c>
      <c r="K1029" s="511"/>
      <c r="L1029" s="367">
        <f t="shared" si="15"/>
        <v>0</v>
      </c>
    </row>
    <row r="1030" spans="1:12" ht="15" customHeight="1" x14ac:dyDescent="0.25">
      <c r="A1030" s="181" t="s">
        <v>2774</v>
      </c>
      <c r="B1030" s="509" t="s">
        <v>2775</v>
      </c>
      <c r="C1030" s="509"/>
      <c r="D1030" s="481" t="s">
        <v>341</v>
      </c>
      <c r="E1030" s="481"/>
      <c r="F1030" s="481"/>
      <c r="G1030" s="231" t="s">
        <v>579</v>
      </c>
      <c r="H1030" s="510">
        <v>2.0000000000000001E-4</v>
      </c>
      <c r="I1030" s="510"/>
      <c r="J1030" s="511">
        <v>15.4</v>
      </c>
      <c r="K1030" s="511"/>
      <c r="L1030" s="367">
        <f t="shared" si="15"/>
        <v>0</v>
      </c>
    </row>
    <row r="1031" spans="1:12" ht="15" customHeight="1" x14ac:dyDescent="0.25">
      <c r="A1031" s="181" t="s">
        <v>2739</v>
      </c>
      <c r="B1031" s="509" t="s">
        <v>2740</v>
      </c>
      <c r="C1031" s="509"/>
      <c r="D1031" s="481" t="s">
        <v>341</v>
      </c>
      <c r="E1031" s="481"/>
      <c r="F1031" s="481"/>
      <c r="G1031" s="231" t="s">
        <v>2741</v>
      </c>
      <c r="H1031" s="510">
        <v>8.0000000000000004E-4</v>
      </c>
      <c r="I1031" s="510"/>
      <c r="J1031" s="511">
        <v>6</v>
      </c>
      <c r="K1031" s="511"/>
      <c r="L1031" s="367">
        <f t="shared" si="15"/>
        <v>0</v>
      </c>
    </row>
    <row r="1032" spans="1:12" ht="15" customHeight="1" x14ac:dyDescent="0.25">
      <c r="A1032" s="181" t="s">
        <v>2742</v>
      </c>
      <c r="B1032" s="509" t="s">
        <v>2743</v>
      </c>
      <c r="C1032" s="509"/>
      <c r="D1032" s="481" t="s">
        <v>341</v>
      </c>
      <c r="E1032" s="481"/>
      <c r="F1032" s="481"/>
      <c r="G1032" s="231" t="s">
        <v>579</v>
      </c>
      <c r="H1032" s="510">
        <v>4.4999999999999997E-3</v>
      </c>
      <c r="I1032" s="510"/>
      <c r="J1032" s="511">
        <v>4.8099999999999996</v>
      </c>
      <c r="K1032" s="511"/>
      <c r="L1032" s="367">
        <f t="shared" si="15"/>
        <v>0.02</v>
      </c>
    </row>
    <row r="1033" spans="1:12" ht="15" customHeight="1" x14ac:dyDescent="0.25">
      <c r="A1033" s="181" t="s">
        <v>2744</v>
      </c>
      <c r="B1033" s="509" t="s">
        <v>2745</v>
      </c>
      <c r="C1033" s="509"/>
      <c r="D1033" s="481" t="s">
        <v>341</v>
      </c>
      <c r="E1033" s="481"/>
      <c r="F1033" s="481"/>
      <c r="G1033" s="231" t="s">
        <v>579</v>
      </c>
      <c r="H1033" s="510">
        <v>1.8E-3</v>
      </c>
      <c r="I1033" s="510"/>
      <c r="J1033" s="511">
        <v>18</v>
      </c>
      <c r="K1033" s="511"/>
      <c r="L1033" s="367">
        <f t="shared" si="15"/>
        <v>0.03</v>
      </c>
    </row>
    <row r="1034" spans="1:12" ht="15" customHeight="1" x14ac:dyDescent="0.25">
      <c r="A1034" s="181" t="s">
        <v>2776</v>
      </c>
      <c r="B1034" s="509" t="s">
        <v>2777</v>
      </c>
      <c r="C1034" s="509"/>
      <c r="D1034" s="481" t="s">
        <v>341</v>
      </c>
      <c r="E1034" s="481"/>
      <c r="F1034" s="481"/>
      <c r="G1034" s="231" t="s">
        <v>579</v>
      </c>
      <c r="H1034" s="510">
        <v>1E-4</v>
      </c>
      <c r="I1034" s="510"/>
      <c r="J1034" s="511">
        <v>25.95</v>
      </c>
      <c r="K1034" s="511"/>
      <c r="L1034" s="367">
        <f t="shared" si="15"/>
        <v>0</v>
      </c>
    </row>
    <row r="1035" spans="1:12" ht="21" customHeight="1" x14ac:dyDescent="0.25">
      <c r="A1035" s="181" t="s">
        <v>2746</v>
      </c>
      <c r="B1035" s="509" t="s">
        <v>2747</v>
      </c>
      <c r="C1035" s="509"/>
      <c r="D1035" s="481" t="s">
        <v>341</v>
      </c>
      <c r="E1035" s="481"/>
      <c r="F1035" s="481"/>
      <c r="G1035" s="231" t="s">
        <v>579</v>
      </c>
      <c r="H1035" s="510">
        <v>0.1018</v>
      </c>
      <c r="I1035" s="510"/>
      <c r="J1035" s="511">
        <v>5</v>
      </c>
      <c r="K1035" s="511"/>
      <c r="L1035" s="367">
        <f t="shared" si="15"/>
        <v>0.5</v>
      </c>
    </row>
    <row r="1036" spans="1:12" ht="15" customHeight="1" x14ac:dyDescent="0.25">
      <c r="A1036" s="181" t="s">
        <v>2778</v>
      </c>
      <c r="B1036" s="509" t="s">
        <v>2779</v>
      </c>
      <c r="C1036" s="509"/>
      <c r="D1036" s="481" t="s">
        <v>341</v>
      </c>
      <c r="E1036" s="481"/>
      <c r="F1036" s="481"/>
      <c r="G1036" s="231" t="s">
        <v>579</v>
      </c>
      <c r="H1036" s="510">
        <v>2.0000000000000001E-4</v>
      </c>
      <c r="I1036" s="510"/>
      <c r="J1036" s="511">
        <v>44</v>
      </c>
      <c r="K1036" s="511"/>
      <c r="L1036" s="367">
        <f t="shared" si="15"/>
        <v>0</v>
      </c>
    </row>
    <row r="1037" spans="1:12" ht="15" customHeight="1" x14ac:dyDescent="0.25">
      <c r="A1037" s="181" t="s">
        <v>2748</v>
      </c>
      <c r="B1037" s="509" t="s">
        <v>2749</v>
      </c>
      <c r="C1037" s="509"/>
      <c r="D1037" s="481" t="s">
        <v>341</v>
      </c>
      <c r="E1037" s="481"/>
      <c r="F1037" s="481"/>
      <c r="G1037" s="231" t="s">
        <v>579</v>
      </c>
      <c r="H1037" s="510">
        <v>4.4999999999999997E-3</v>
      </c>
      <c r="I1037" s="510"/>
      <c r="J1037" s="511">
        <v>12.54</v>
      </c>
      <c r="K1037" s="511"/>
      <c r="L1037" s="367">
        <f t="shared" si="15"/>
        <v>0.05</v>
      </c>
    </row>
    <row r="1038" spans="1:12" ht="15" customHeight="1" x14ac:dyDescent="0.25">
      <c r="A1038" s="181" t="s">
        <v>2780</v>
      </c>
      <c r="B1038" s="509" t="s">
        <v>2781</v>
      </c>
      <c r="C1038" s="509"/>
      <c r="D1038" s="481" t="s">
        <v>341</v>
      </c>
      <c r="E1038" s="481"/>
      <c r="F1038" s="481"/>
      <c r="G1038" s="231" t="s">
        <v>579</v>
      </c>
      <c r="H1038" s="510">
        <v>1E-4</v>
      </c>
      <c r="I1038" s="510"/>
      <c r="J1038" s="511">
        <v>319.89999999999998</v>
      </c>
      <c r="K1038" s="511"/>
      <c r="L1038" s="367">
        <f t="shared" si="15"/>
        <v>0.03</v>
      </c>
    </row>
    <row r="1039" spans="1:12" ht="15" customHeight="1" x14ac:dyDescent="0.25">
      <c r="A1039" s="181" t="s">
        <v>2754</v>
      </c>
      <c r="B1039" s="509" t="s">
        <v>2755</v>
      </c>
      <c r="C1039" s="509"/>
      <c r="D1039" s="481" t="s">
        <v>341</v>
      </c>
      <c r="E1039" s="481"/>
      <c r="F1039" s="481"/>
      <c r="G1039" s="231" t="s">
        <v>579</v>
      </c>
      <c r="H1039" s="510">
        <v>6.54E-2</v>
      </c>
      <c r="I1039" s="510"/>
      <c r="J1039" s="511">
        <v>4.5</v>
      </c>
      <c r="K1039" s="511"/>
      <c r="L1039" s="367">
        <f t="shared" si="15"/>
        <v>0.28999999999999998</v>
      </c>
    </row>
    <row r="1040" spans="1:12" ht="15" customHeight="1" x14ac:dyDescent="0.25">
      <c r="A1040" s="182"/>
      <c r="B1040" s="183"/>
      <c r="C1040" s="183"/>
      <c r="D1040" s="183"/>
      <c r="E1040" s="183"/>
      <c r="F1040" s="183"/>
      <c r="G1040" s="183"/>
      <c r="H1040" s="477" t="s">
        <v>1938</v>
      </c>
      <c r="I1040" s="477"/>
      <c r="J1040" s="477"/>
      <c r="K1040" s="477"/>
      <c r="L1040" s="368">
        <f>SUM(L1015:L1039)</f>
        <v>3.7299999999999995</v>
      </c>
    </row>
    <row r="1041" spans="1:12" ht="15" customHeight="1" x14ac:dyDescent="0.25">
      <c r="A1041" s="182"/>
      <c r="B1041" s="183"/>
      <c r="C1041" s="183"/>
      <c r="D1041" s="183"/>
      <c r="E1041" s="183"/>
      <c r="F1041" s="183"/>
      <c r="G1041" s="183"/>
      <c r="H1041" s="482" t="s">
        <v>1834</v>
      </c>
      <c r="I1041" s="482"/>
      <c r="J1041" s="482"/>
      <c r="K1041" s="482"/>
      <c r="L1041" s="369">
        <f>ROUND(SUM(L1040),2)</f>
        <v>3.73</v>
      </c>
    </row>
    <row r="1042" spans="1:12" ht="9.9499999999999993" customHeight="1" x14ac:dyDescent="0.25">
      <c r="A1042" s="182"/>
      <c r="B1042" s="183"/>
      <c r="C1042" s="183"/>
      <c r="D1042" s="183"/>
      <c r="E1042" s="183"/>
      <c r="F1042" s="183"/>
      <c r="G1042" s="183"/>
      <c r="H1042" s="485"/>
      <c r="I1042" s="485"/>
      <c r="J1042" s="485"/>
      <c r="K1042" s="485"/>
      <c r="L1042" s="512"/>
    </row>
    <row r="1043" spans="1:12" ht="20.100000000000001" customHeight="1" x14ac:dyDescent="0.25">
      <c r="A1043" s="486" t="s">
        <v>2784</v>
      </c>
      <c r="B1043" s="487"/>
      <c r="C1043" s="487"/>
      <c r="D1043" s="487"/>
      <c r="E1043" s="487"/>
      <c r="F1043" s="487"/>
      <c r="G1043" s="487"/>
      <c r="H1043" s="487"/>
      <c r="I1043" s="487"/>
      <c r="J1043" s="487"/>
      <c r="K1043" s="487"/>
      <c r="L1043" s="513"/>
    </row>
    <row r="1044" spans="1:12" ht="15" customHeight="1" x14ac:dyDescent="0.25">
      <c r="A1044" s="474" t="s">
        <v>1932</v>
      </c>
      <c r="B1044" s="475"/>
      <c r="C1044" s="475"/>
      <c r="D1044" s="476" t="s">
        <v>42</v>
      </c>
      <c r="E1044" s="476"/>
      <c r="F1044" s="476"/>
      <c r="G1044" s="230" t="s">
        <v>44</v>
      </c>
      <c r="H1044" s="476" t="s">
        <v>1813</v>
      </c>
      <c r="I1044" s="476"/>
      <c r="J1044" s="476" t="s">
        <v>1814</v>
      </c>
      <c r="K1044" s="476"/>
      <c r="L1044" s="366" t="s">
        <v>1802</v>
      </c>
    </row>
    <row r="1045" spans="1:12" ht="15" customHeight="1" x14ac:dyDescent="0.25">
      <c r="A1045" s="181" t="s">
        <v>2714</v>
      </c>
      <c r="B1045" s="509" t="s">
        <v>2715</v>
      </c>
      <c r="C1045" s="509"/>
      <c r="D1045" s="481" t="s">
        <v>341</v>
      </c>
      <c r="E1045" s="481"/>
      <c r="F1045" s="481"/>
      <c r="G1045" s="231" t="s">
        <v>579</v>
      </c>
      <c r="H1045" s="510">
        <v>0.1018</v>
      </c>
      <c r="I1045" s="510"/>
      <c r="J1045" s="511">
        <v>14</v>
      </c>
      <c r="K1045" s="511"/>
      <c r="L1045" s="367">
        <f t="shared" ref="L1045:L1062" si="16">TRUNC(TRUNC(H1045,8)*J1045,2)</f>
        <v>1.42</v>
      </c>
    </row>
    <row r="1046" spans="1:12" ht="21" customHeight="1" x14ac:dyDescent="0.25">
      <c r="A1046" s="181" t="s">
        <v>2716</v>
      </c>
      <c r="B1046" s="509" t="s">
        <v>2717</v>
      </c>
      <c r="C1046" s="509"/>
      <c r="D1046" s="481" t="s">
        <v>341</v>
      </c>
      <c r="E1046" s="481"/>
      <c r="F1046" s="481"/>
      <c r="G1046" s="231" t="s">
        <v>2718</v>
      </c>
      <c r="H1046" s="510">
        <v>8.0000000000000004E-4</v>
      </c>
      <c r="I1046" s="510"/>
      <c r="J1046" s="511">
        <v>73.930000000000007</v>
      </c>
      <c r="K1046" s="511"/>
      <c r="L1046" s="367">
        <f t="shared" si="16"/>
        <v>0.05</v>
      </c>
    </row>
    <row r="1047" spans="1:12" ht="21" customHeight="1" x14ac:dyDescent="0.25">
      <c r="A1047" s="181" t="s">
        <v>2719</v>
      </c>
      <c r="B1047" s="509" t="s">
        <v>2720</v>
      </c>
      <c r="C1047" s="509"/>
      <c r="D1047" s="481" t="s">
        <v>341</v>
      </c>
      <c r="E1047" s="481"/>
      <c r="F1047" s="481"/>
      <c r="G1047" s="231" t="s">
        <v>579</v>
      </c>
      <c r="H1047" s="510">
        <v>2.0000000000000001E-4</v>
      </c>
      <c r="I1047" s="510"/>
      <c r="J1047" s="511">
        <v>20.11</v>
      </c>
      <c r="K1047" s="511"/>
      <c r="L1047" s="367">
        <f t="shared" si="16"/>
        <v>0</v>
      </c>
    </row>
    <row r="1048" spans="1:12" ht="21" customHeight="1" x14ac:dyDescent="0.25">
      <c r="A1048" s="181" t="s">
        <v>2721</v>
      </c>
      <c r="B1048" s="509" t="s">
        <v>2722</v>
      </c>
      <c r="C1048" s="509"/>
      <c r="D1048" s="481" t="s">
        <v>341</v>
      </c>
      <c r="E1048" s="481"/>
      <c r="F1048" s="481"/>
      <c r="G1048" s="231" t="s">
        <v>579</v>
      </c>
      <c r="H1048" s="510">
        <v>5.9999999999999995E-4</v>
      </c>
      <c r="I1048" s="510"/>
      <c r="J1048" s="511">
        <v>13.5</v>
      </c>
      <c r="K1048" s="511"/>
      <c r="L1048" s="367">
        <f t="shared" si="16"/>
        <v>0</v>
      </c>
    </row>
    <row r="1049" spans="1:12" ht="21" customHeight="1" x14ac:dyDescent="0.25">
      <c r="A1049" s="181" t="s">
        <v>2785</v>
      </c>
      <c r="B1049" s="509" t="s">
        <v>2786</v>
      </c>
      <c r="C1049" s="509"/>
      <c r="D1049" s="481" t="s">
        <v>341</v>
      </c>
      <c r="E1049" s="481"/>
      <c r="F1049" s="481"/>
      <c r="G1049" s="231" t="s">
        <v>579</v>
      </c>
      <c r="H1049" s="510">
        <v>2.0000000000000001E-4</v>
      </c>
      <c r="I1049" s="510"/>
      <c r="J1049" s="511">
        <v>175.45</v>
      </c>
      <c r="K1049" s="511"/>
      <c r="L1049" s="367">
        <f t="shared" si="16"/>
        <v>0.03</v>
      </c>
    </row>
    <row r="1050" spans="1:12" ht="15" customHeight="1" x14ac:dyDescent="0.25">
      <c r="A1050" s="181" t="s">
        <v>2723</v>
      </c>
      <c r="B1050" s="509" t="s">
        <v>2724</v>
      </c>
      <c r="C1050" s="509"/>
      <c r="D1050" s="481" t="s">
        <v>341</v>
      </c>
      <c r="E1050" s="481"/>
      <c r="F1050" s="481"/>
      <c r="G1050" s="231" t="s">
        <v>579</v>
      </c>
      <c r="H1050" s="510">
        <v>4.4999999999999997E-3</v>
      </c>
      <c r="I1050" s="510"/>
      <c r="J1050" s="511">
        <v>205</v>
      </c>
      <c r="K1050" s="511"/>
      <c r="L1050" s="367">
        <f t="shared" si="16"/>
        <v>0.92</v>
      </c>
    </row>
    <row r="1051" spans="1:12" ht="15" customHeight="1" x14ac:dyDescent="0.25">
      <c r="A1051" s="181" t="s">
        <v>2727</v>
      </c>
      <c r="B1051" s="509" t="s">
        <v>2728</v>
      </c>
      <c r="C1051" s="509"/>
      <c r="D1051" s="481" t="s">
        <v>341</v>
      </c>
      <c r="E1051" s="481"/>
      <c r="F1051" s="481"/>
      <c r="G1051" s="231" t="s">
        <v>664</v>
      </c>
      <c r="H1051" s="510">
        <v>4.0000000000000002E-4</v>
      </c>
      <c r="I1051" s="510"/>
      <c r="J1051" s="511">
        <v>300</v>
      </c>
      <c r="K1051" s="511"/>
      <c r="L1051" s="367">
        <f t="shared" si="16"/>
        <v>0.12</v>
      </c>
    </row>
    <row r="1052" spans="1:12" ht="15" customHeight="1" x14ac:dyDescent="0.25">
      <c r="A1052" s="181" t="s">
        <v>2729</v>
      </c>
      <c r="B1052" s="509" t="s">
        <v>2730</v>
      </c>
      <c r="C1052" s="509"/>
      <c r="D1052" s="481" t="s">
        <v>341</v>
      </c>
      <c r="E1052" s="481"/>
      <c r="F1052" s="481"/>
      <c r="G1052" s="231" t="s">
        <v>579</v>
      </c>
      <c r="H1052" s="510">
        <v>1.5E-3</v>
      </c>
      <c r="I1052" s="510"/>
      <c r="J1052" s="511">
        <v>193.04</v>
      </c>
      <c r="K1052" s="511"/>
      <c r="L1052" s="367">
        <f t="shared" si="16"/>
        <v>0.28000000000000003</v>
      </c>
    </row>
    <row r="1053" spans="1:12" ht="15" customHeight="1" x14ac:dyDescent="0.25">
      <c r="A1053" s="181" t="s">
        <v>2735</v>
      </c>
      <c r="B1053" s="509" t="s">
        <v>2736</v>
      </c>
      <c r="C1053" s="509"/>
      <c r="D1053" s="481" t="s">
        <v>341</v>
      </c>
      <c r="E1053" s="481"/>
      <c r="F1053" s="481"/>
      <c r="G1053" s="231" t="s">
        <v>2718</v>
      </c>
      <c r="H1053" s="510">
        <v>2.3E-3</v>
      </c>
      <c r="I1053" s="510"/>
      <c r="J1053" s="511">
        <v>10.87</v>
      </c>
      <c r="K1053" s="511"/>
      <c r="L1053" s="367">
        <f t="shared" si="16"/>
        <v>0.02</v>
      </c>
    </row>
    <row r="1054" spans="1:12" ht="15" customHeight="1" x14ac:dyDescent="0.25">
      <c r="A1054" s="181" t="s">
        <v>2787</v>
      </c>
      <c r="B1054" s="509" t="s">
        <v>2788</v>
      </c>
      <c r="C1054" s="509"/>
      <c r="D1054" s="481" t="s">
        <v>341</v>
      </c>
      <c r="E1054" s="481"/>
      <c r="F1054" s="481"/>
      <c r="G1054" s="231" t="s">
        <v>579</v>
      </c>
      <c r="H1054" s="510">
        <v>1E-4</v>
      </c>
      <c r="I1054" s="510"/>
      <c r="J1054" s="511">
        <v>39.5</v>
      </c>
      <c r="K1054" s="511"/>
      <c r="L1054" s="367">
        <f t="shared" si="16"/>
        <v>0</v>
      </c>
    </row>
    <row r="1055" spans="1:12" ht="15" customHeight="1" x14ac:dyDescent="0.25">
      <c r="A1055" s="181" t="s">
        <v>2739</v>
      </c>
      <c r="B1055" s="509" t="s">
        <v>2740</v>
      </c>
      <c r="C1055" s="509"/>
      <c r="D1055" s="481" t="s">
        <v>341</v>
      </c>
      <c r="E1055" s="481"/>
      <c r="F1055" s="481"/>
      <c r="G1055" s="231" t="s">
        <v>2741</v>
      </c>
      <c r="H1055" s="510">
        <v>8.0000000000000004E-4</v>
      </c>
      <c r="I1055" s="510"/>
      <c r="J1055" s="511">
        <v>6</v>
      </c>
      <c r="K1055" s="511"/>
      <c r="L1055" s="367">
        <f t="shared" si="16"/>
        <v>0</v>
      </c>
    </row>
    <row r="1056" spans="1:12" ht="15" customHeight="1" x14ac:dyDescent="0.25">
      <c r="A1056" s="181" t="s">
        <v>2789</v>
      </c>
      <c r="B1056" s="509" t="s">
        <v>2790</v>
      </c>
      <c r="C1056" s="509"/>
      <c r="D1056" s="481" t="s">
        <v>341</v>
      </c>
      <c r="E1056" s="481"/>
      <c r="F1056" s="481"/>
      <c r="G1056" s="231" t="s">
        <v>579</v>
      </c>
      <c r="H1056" s="510">
        <v>2.0000000000000001E-4</v>
      </c>
      <c r="I1056" s="510"/>
      <c r="J1056" s="511">
        <v>36.9</v>
      </c>
      <c r="K1056" s="511"/>
      <c r="L1056" s="367">
        <f t="shared" si="16"/>
        <v>0</v>
      </c>
    </row>
    <row r="1057" spans="1:12" ht="15" customHeight="1" x14ac:dyDescent="0.25">
      <c r="A1057" s="181" t="s">
        <v>2742</v>
      </c>
      <c r="B1057" s="509" t="s">
        <v>2743</v>
      </c>
      <c r="C1057" s="509"/>
      <c r="D1057" s="481" t="s">
        <v>341</v>
      </c>
      <c r="E1057" s="481"/>
      <c r="F1057" s="481"/>
      <c r="G1057" s="231" t="s">
        <v>579</v>
      </c>
      <c r="H1057" s="510">
        <v>4.4999999999999997E-3</v>
      </c>
      <c r="I1057" s="510"/>
      <c r="J1057" s="511">
        <v>4.8099999999999996</v>
      </c>
      <c r="K1057" s="511"/>
      <c r="L1057" s="367">
        <f t="shared" si="16"/>
        <v>0.02</v>
      </c>
    </row>
    <row r="1058" spans="1:12" ht="15" customHeight="1" x14ac:dyDescent="0.25">
      <c r="A1058" s="181" t="s">
        <v>2744</v>
      </c>
      <c r="B1058" s="509" t="s">
        <v>2745</v>
      </c>
      <c r="C1058" s="509"/>
      <c r="D1058" s="481" t="s">
        <v>341</v>
      </c>
      <c r="E1058" s="481"/>
      <c r="F1058" s="481"/>
      <c r="G1058" s="231" t="s">
        <v>579</v>
      </c>
      <c r="H1058" s="510">
        <v>1.8E-3</v>
      </c>
      <c r="I1058" s="510"/>
      <c r="J1058" s="511">
        <v>18</v>
      </c>
      <c r="K1058" s="511"/>
      <c r="L1058" s="367">
        <f t="shared" si="16"/>
        <v>0.03</v>
      </c>
    </row>
    <row r="1059" spans="1:12" ht="21" customHeight="1" x14ac:dyDescent="0.25">
      <c r="A1059" s="181" t="s">
        <v>2746</v>
      </c>
      <c r="B1059" s="509" t="s">
        <v>2747</v>
      </c>
      <c r="C1059" s="509"/>
      <c r="D1059" s="481" t="s">
        <v>341</v>
      </c>
      <c r="E1059" s="481"/>
      <c r="F1059" s="481"/>
      <c r="G1059" s="231" t="s">
        <v>579</v>
      </c>
      <c r="H1059" s="510">
        <v>0.1018</v>
      </c>
      <c r="I1059" s="510"/>
      <c r="J1059" s="511">
        <v>5</v>
      </c>
      <c r="K1059" s="511"/>
      <c r="L1059" s="367">
        <f t="shared" si="16"/>
        <v>0.5</v>
      </c>
    </row>
    <row r="1060" spans="1:12" ht="15" customHeight="1" x14ac:dyDescent="0.25">
      <c r="A1060" s="181" t="s">
        <v>2748</v>
      </c>
      <c r="B1060" s="509" t="s">
        <v>2749</v>
      </c>
      <c r="C1060" s="509"/>
      <c r="D1060" s="481" t="s">
        <v>341</v>
      </c>
      <c r="E1060" s="481"/>
      <c r="F1060" s="481"/>
      <c r="G1060" s="231" t="s">
        <v>579</v>
      </c>
      <c r="H1060" s="510">
        <v>4.4999999999999997E-3</v>
      </c>
      <c r="I1060" s="510"/>
      <c r="J1060" s="511">
        <v>12.54</v>
      </c>
      <c r="K1060" s="511"/>
      <c r="L1060" s="367">
        <f t="shared" si="16"/>
        <v>0.05</v>
      </c>
    </row>
    <row r="1061" spans="1:12" ht="15" customHeight="1" x14ac:dyDescent="0.25">
      <c r="A1061" s="181" t="s">
        <v>2791</v>
      </c>
      <c r="B1061" s="509" t="s">
        <v>2792</v>
      </c>
      <c r="C1061" s="509"/>
      <c r="D1061" s="481" t="s">
        <v>341</v>
      </c>
      <c r="E1061" s="481"/>
      <c r="F1061" s="481"/>
      <c r="G1061" s="231" t="s">
        <v>579</v>
      </c>
      <c r="H1061" s="510">
        <v>2.9999999999999997E-4</v>
      </c>
      <c r="I1061" s="510"/>
      <c r="J1061" s="511">
        <v>18.579999999999998</v>
      </c>
      <c r="K1061" s="511"/>
      <c r="L1061" s="367">
        <f t="shared" si="16"/>
        <v>0</v>
      </c>
    </row>
    <row r="1062" spans="1:12" ht="15" customHeight="1" x14ac:dyDescent="0.25">
      <c r="A1062" s="181" t="s">
        <v>2754</v>
      </c>
      <c r="B1062" s="509" t="s">
        <v>2755</v>
      </c>
      <c r="C1062" s="509"/>
      <c r="D1062" s="481" t="s">
        <v>341</v>
      </c>
      <c r="E1062" s="481"/>
      <c r="F1062" s="481"/>
      <c r="G1062" s="231" t="s">
        <v>579</v>
      </c>
      <c r="H1062" s="510">
        <v>9.4100000000000003E-2</v>
      </c>
      <c r="I1062" s="510"/>
      <c r="J1062" s="511">
        <v>4.5</v>
      </c>
      <c r="K1062" s="511"/>
      <c r="L1062" s="367">
        <f t="shared" si="16"/>
        <v>0.42</v>
      </c>
    </row>
    <row r="1063" spans="1:12" ht="15" customHeight="1" x14ac:dyDescent="0.25">
      <c r="A1063" s="182"/>
      <c r="B1063" s="183"/>
      <c r="C1063" s="183"/>
      <c r="D1063" s="183"/>
      <c r="E1063" s="183"/>
      <c r="F1063" s="183"/>
      <c r="G1063" s="183"/>
      <c r="H1063" s="477" t="s">
        <v>1938</v>
      </c>
      <c r="I1063" s="477"/>
      <c r="J1063" s="477"/>
      <c r="K1063" s="477"/>
      <c r="L1063" s="368">
        <f>SUM(L1045:L1062)</f>
        <v>3.86</v>
      </c>
    </row>
    <row r="1064" spans="1:12" ht="15" customHeight="1" x14ac:dyDescent="0.25">
      <c r="A1064" s="182"/>
      <c r="B1064" s="183"/>
      <c r="C1064" s="183"/>
      <c r="D1064" s="183"/>
      <c r="E1064" s="183"/>
      <c r="F1064" s="183"/>
      <c r="G1064" s="183"/>
      <c r="H1064" s="482" t="s">
        <v>1834</v>
      </c>
      <c r="I1064" s="482"/>
      <c r="J1064" s="482"/>
      <c r="K1064" s="482"/>
      <c r="L1064" s="369">
        <f>ROUND(SUM(L1063),2)</f>
        <v>3.86</v>
      </c>
    </row>
    <row r="1065" spans="1:12" ht="9.9499999999999993" customHeight="1" x14ac:dyDescent="0.25">
      <c r="A1065" s="182"/>
      <c r="B1065" s="183"/>
      <c r="C1065" s="183"/>
      <c r="D1065" s="183"/>
      <c r="E1065" s="183"/>
      <c r="F1065" s="183"/>
      <c r="G1065" s="183"/>
      <c r="H1065" s="485"/>
      <c r="I1065" s="485"/>
      <c r="J1065" s="485"/>
      <c r="K1065" s="485"/>
      <c r="L1065" s="512"/>
    </row>
    <row r="1066" spans="1:12" ht="20.100000000000001" customHeight="1" x14ac:dyDescent="0.25">
      <c r="A1066" s="486" t="s">
        <v>2793</v>
      </c>
      <c r="B1066" s="487"/>
      <c r="C1066" s="487"/>
      <c r="D1066" s="487"/>
      <c r="E1066" s="487"/>
      <c r="F1066" s="487"/>
      <c r="G1066" s="487"/>
      <c r="H1066" s="487"/>
      <c r="I1066" s="487"/>
      <c r="J1066" s="487"/>
      <c r="K1066" s="487"/>
      <c r="L1066" s="513"/>
    </row>
    <row r="1067" spans="1:12" ht="20.100000000000001" customHeight="1" x14ac:dyDescent="0.25">
      <c r="A1067" s="488" t="s">
        <v>1836</v>
      </c>
      <c r="B1067" s="489"/>
      <c r="C1067" s="489"/>
      <c r="D1067" s="489"/>
      <c r="E1067" s="489"/>
      <c r="F1067" s="489"/>
      <c r="G1067" s="233" t="s">
        <v>44</v>
      </c>
      <c r="H1067" s="515" t="s">
        <v>1837</v>
      </c>
      <c r="I1067" s="515"/>
      <c r="J1067" s="515" t="s">
        <v>1838</v>
      </c>
      <c r="K1067" s="515"/>
      <c r="L1067" s="169" t="s">
        <v>1839</v>
      </c>
    </row>
    <row r="1068" spans="1:12" ht="15" customHeight="1" x14ac:dyDescent="0.25">
      <c r="A1068" s="170" t="s">
        <v>1830</v>
      </c>
      <c r="B1068" s="490" t="s">
        <v>1831</v>
      </c>
      <c r="C1068" s="490"/>
      <c r="D1068" s="490"/>
      <c r="E1068" s="490"/>
      <c r="F1068" s="490"/>
      <c r="G1068" s="127" t="s">
        <v>1024</v>
      </c>
      <c r="H1068" s="524">
        <v>3.25</v>
      </c>
      <c r="I1068" s="524"/>
      <c r="J1068" s="517">
        <v>19.68</v>
      </c>
      <c r="K1068" s="517"/>
      <c r="L1068" s="370">
        <f>TRUNC(TRUNC(H1068,8)*J1068,2)</f>
        <v>63.96</v>
      </c>
    </row>
    <row r="1069" spans="1:12" ht="15" customHeight="1" x14ac:dyDescent="0.25">
      <c r="A1069" s="184"/>
      <c r="B1069" s="141"/>
      <c r="C1069" s="141"/>
      <c r="D1069" s="141"/>
      <c r="E1069" s="141"/>
      <c r="F1069" s="141"/>
      <c r="G1069" s="141"/>
      <c r="H1069" s="491" t="s">
        <v>1844</v>
      </c>
      <c r="I1069" s="491"/>
      <c r="J1069" s="491"/>
      <c r="K1069" s="491"/>
      <c r="L1069" s="369">
        <f>SUM(L1068:L1068)</f>
        <v>63.96</v>
      </c>
    </row>
    <row r="1070" spans="1:12" ht="15" customHeight="1" x14ac:dyDescent="0.25">
      <c r="A1070" s="182"/>
      <c r="B1070" s="183"/>
      <c r="C1070" s="183"/>
      <c r="D1070" s="183"/>
      <c r="E1070" s="183"/>
      <c r="F1070" s="183"/>
      <c r="G1070" s="183"/>
      <c r="H1070" s="482" t="s">
        <v>1845</v>
      </c>
      <c r="I1070" s="482"/>
      <c r="J1070" s="482"/>
      <c r="K1070" s="482"/>
      <c r="L1070" s="371">
        <f>SUM(L1069)</f>
        <v>63.96</v>
      </c>
    </row>
    <row r="1071" spans="1:12" ht="15" customHeight="1" x14ac:dyDescent="0.25">
      <c r="A1071" s="182"/>
      <c r="B1071" s="183"/>
      <c r="C1071" s="183"/>
      <c r="D1071" s="183"/>
      <c r="E1071" s="183"/>
      <c r="F1071" s="183"/>
      <c r="G1071" s="183"/>
      <c r="H1071" s="482" t="s">
        <v>1846</v>
      </c>
      <c r="I1071" s="482"/>
      <c r="J1071" s="482"/>
      <c r="K1071" s="482"/>
      <c r="L1071" s="374">
        <v>1</v>
      </c>
    </row>
    <row r="1072" spans="1:12" ht="15" customHeight="1" x14ac:dyDescent="0.25">
      <c r="A1072" s="182"/>
      <c r="B1072" s="183"/>
      <c r="C1072" s="183"/>
      <c r="D1072" s="183"/>
      <c r="E1072" s="183"/>
      <c r="F1072" s="183"/>
      <c r="G1072" s="183"/>
      <c r="H1072" s="482" t="s">
        <v>1847</v>
      </c>
      <c r="I1072" s="482"/>
      <c r="J1072" s="482"/>
      <c r="K1072" s="482"/>
      <c r="L1072" s="371">
        <f>TRUNC(L1070/L1071,4)</f>
        <v>63.96</v>
      </c>
    </row>
    <row r="1073" spans="1:12" ht="15" customHeight="1" x14ac:dyDescent="0.25">
      <c r="A1073" s="182"/>
      <c r="B1073" s="183"/>
      <c r="C1073" s="183"/>
      <c r="D1073" s="183"/>
      <c r="E1073" s="183"/>
      <c r="F1073" s="183"/>
      <c r="G1073" s="183"/>
      <c r="H1073" s="482" t="s">
        <v>1848</v>
      </c>
      <c r="I1073" s="482"/>
      <c r="J1073" s="482"/>
      <c r="K1073" s="482"/>
      <c r="L1073" s="371">
        <f>SUM(L1072)</f>
        <v>63.96</v>
      </c>
    </row>
    <row r="1074" spans="1:12" ht="15" customHeight="1" x14ac:dyDescent="0.25">
      <c r="A1074" s="182"/>
      <c r="B1074" s="183"/>
      <c r="C1074" s="183"/>
      <c r="D1074" s="183"/>
      <c r="E1074" s="183"/>
      <c r="F1074" s="183"/>
      <c r="G1074" s="183"/>
      <c r="H1074" s="482" t="s">
        <v>1834</v>
      </c>
      <c r="I1074" s="482"/>
      <c r="J1074" s="482"/>
      <c r="K1074" s="482"/>
      <c r="L1074" s="369">
        <f>ROUND(SUM(L1073),2)</f>
        <v>63.96</v>
      </c>
    </row>
    <row r="1075" spans="1:12" ht="9.9499999999999993" customHeight="1" x14ac:dyDescent="0.25">
      <c r="A1075" s="182"/>
      <c r="B1075" s="183"/>
      <c r="C1075" s="183"/>
      <c r="D1075" s="183"/>
      <c r="E1075" s="183"/>
      <c r="F1075" s="183"/>
      <c r="G1075" s="183"/>
      <c r="H1075" s="485"/>
      <c r="I1075" s="485"/>
      <c r="J1075" s="485"/>
      <c r="K1075" s="485"/>
      <c r="L1075" s="512"/>
    </row>
    <row r="1076" spans="1:12" ht="20.100000000000001" customHeight="1" x14ac:dyDescent="0.25">
      <c r="A1076" s="486" t="s">
        <v>2794</v>
      </c>
      <c r="B1076" s="487"/>
      <c r="C1076" s="487"/>
      <c r="D1076" s="487"/>
      <c r="E1076" s="487"/>
      <c r="F1076" s="487"/>
      <c r="G1076" s="487"/>
      <c r="H1076" s="487"/>
      <c r="I1076" s="487"/>
      <c r="J1076" s="487"/>
      <c r="K1076" s="487"/>
      <c r="L1076" s="513"/>
    </row>
    <row r="1077" spans="1:12" ht="15" customHeight="1" x14ac:dyDescent="0.25">
      <c r="A1077" s="474" t="s">
        <v>2021</v>
      </c>
      <c r="B1077" s="475"/>
      <c r="C1077" s="475"/>
      <c r="D1077" s="476" t="s">
        <v>42</v>
      </c>
      <c r="E1077" s="476"/>
      <c r="F1077" s="476"/>
      <c r="G1077" s="230" t="s">
        <v>44</v>
      </c>
      <c r="H1077" s="476" t="s">
        <v>1813</v>
      </c>
      <c r="I1077" s="476"/>
      <c r="J1077" s="476" t="s">
        <v>1814</v>
      </c>
      <c r="K1077" s="476"/>
      <c r="L1077" s="366" t="s">
        <v>1802</v>
      </c>
    </row>
    <row r="1078" spans="1:12" ht="29.1" customHeight="1" x14ac:dyDescent="0.25">
      <c r="A1078" s="181" t="s">
        <v>2022</v>
      </c>
      <c r="B1078" s="509" t="s">
        <v>2023</v>
      </c>
      <c r="C1078" s="509"/>
      <c r="D1078" s="481" t="s">
        <v>82</v>
      </c>
      <c r="E1078" s="481"/>
      <c r="F1078" s="481"/>
      <c r="G1078" s="231" t="s">
        <v>2024</v>
      </c>
      <c r="H1078" s="510">
        <v>0.112</v>
      </c>
      <c r="I1078" s="510"/>
      <c r="J1078" s="511">
        <v>43.96</v>
      </c>
      <c r="K1078" s="511"/>
      <c r="L1078" s="367">
        <f>TRUNC(TRUNC(H1078,8)*J1078,2)</f>
        <v>4.92</v>
      </c>
    </row>
    <row r="1079" spans="1:12" ht="29.1" customHeight="1" x14ac:dyDescent="0.25">
      <c r="A1079" s="181" t="s">
        <v>2025</v>
      </c>
      <c r="B1079" s="509" t="s">
        <v>2026</v>
      </c>
      <c r="C1079" s="509"/>
      <c r="D1079" s="481" t="s">
        <v>82</v>
      </c>
      <c r="E1079" s="481"/>
      <c r="F1079" s="481"/>
      <c r="G1079" s="231" t="s">
        <v>2027</v>
      </c>
      <c r="H1079" s="510">
        <v>6.2E-2</v>
      </c>
      <c r="I1079" s="510"/>
      <c r="J1079" s="511">
        <v>45.32</v>
      </c>
      <c r="K1079" s="511"/>
      <c r="L1079" s="367">
        <f>TRUNC(TRUNC(H1079,8)*J1079,2)</f>
        <v>2.8</v>
      </c>
    </row>
    <row r="1080" spans="1:12" ht="18" customHeight="1" x14ac:dyDescent="0.25">
      <c r="A1080" s="182"/>
      <c r="B1080" s="183"/>
      <c r="C1080" s="183"/>
      <c r="D1080" s="183"/>
      <c r="E1080" s="183"/>
      <c r="F1080" s="183"/>
      <c r="G1080" s="183"/>
      <c r="H1080" s="477" t="s">
        <v>2028</v>
      </c>
      <c r="I1080" s="477"/>
      <c r="J1080" s="477"/>
      <c r="K1080" s="477"/>
      <c r="L1080" s="368">
        <f>SUM(L1078:L1079)</f>
        <v>7.72</v>
      </c>
    </row>
    <row r="1081" spans="1:12" ht="15" customHeight="1" x14ac:dyDescent="0.25">
      <c r="A1081" s="474" t="s">
        <v>1812</v>
      </c>
      <c r="B1081" s="475"/>
      <c r="C1081" s="475"/>
      <c r="D1081" s="476" t="s">
        <v>42</v>
      </c>
      <c r="E1081" s="476"/>
      <c r="F1081" s="476"/>
      <c r="G1081" s="230" t="s">
        <v>44</v>
      </c>
      <c r="H1081" s="476" t="s">
        <v>1813</v>
      </c>
      <c r="I1081" s="476"/>
      <c r="J1081" s="476" t="s">
        <v>1814</v>
      </c>
      <c r="K1081" s="476"/>
      <c r="L1081" s="366" t="s">
        <v>1802</v>
      </c>
    </row>
    <row r="1082" spans="1:12" ht="29.1" customHeight="1" x14ac:dyDescent="0.25">
      <c r="A1082" s="181" t="s">
        <v>2795</v>
      </c>
      <c r="B1082" s="509" t="s">
        <v>2796</v>
      </c>
      <c r="C1082" s="509"/>
      <c r="D1082" s="481" t="s">
        <v>82</v>
      </c>
      <c r="E1082" s="481"/>
      <c r="F1082" s="481"/>
      <c r="G1082" s="231" t="s">
        <v>122</v>
      </c>
      <c r="H1082" s="510">
        <v>1.3280000000000001</v>
      </c>
      <c r="I1082" s="510"/>
      <c r="J1082" s="511">
        <v>57.39</v>
      </c>
      <c r="K1082" s="511"/>
      <c r="L1082" s="367">
        <f>TRUNC(TRUNC(H1082,8)*J1082,2)</f>
        <v>76.209999999999994</v>
      </c>
    </row>
    <row r="1083" spans="1:12" ht="21" customHeight="1" x14ac:dyDescent="0.25">
      <c r="A1083" s="181" t="s">
        <v>2797</v>
      </c>
      <c r="B1083" s="509" t="s">
        <v>2798</v>
      </c>
      <c r="C1083" s="509"/>
      <c r="D1083" s="481" t="s">
        <v>82</v>
      </c>
      <c r="E1083" s="481"/>
      <c r="F1083" s="481"/>
      <c r="G1083" s="231" t="s">
        <v>188</v>
      </c>
      <c r="H1083" s="510">
        <v>7.1879999999999997</v>
      </c>
      <c r="I1083" s="510"/>
      <c r="J1083" s="511">
        <v>8.0299999999999994</v>
      </c>
      <c r="K1083" s="511"/>
      <c r="L1083" s="367">
        <f>TRUNC(TRUNC(H1083,8)*J1083,2)</f>
        <v>57.71</v>
      </c>
    </row>
    <row r="1084" spans="1:12" ht="15" customHeight="1" x14ac:dyDescent="0.25">
      <c r="A1084" s="181" t="s">
        <v>2799</v>
      </c>
      <c r="B1084" s="509" t="s">
        <v>2800</v>
      </c>
      <c r="C1084" s="509"/>
      <c r="D1084" s="481" t="s">
        <v>82</v>
      </c>
      <c r="E1084" s="481"/>
      <c r="F1084" s="481"/>
      <c r="G1084" s="231" t="s">
        <v>1817</v>
      </c>
      <c r="H1084" s="510">
        <v>3.5999999999999997E-2</v>
      </c>
      <c r="I1084" s="510"/>
      <c r="J1084" s="511">
        <v>23.4</v>
      </c>
      <c r="K1084" s="511"/>
      <c r="L1084" s="367">
        <f>TRUNC(TRUNC(H1084,8)*J1084,2)</f>
        <v>0.84</v>
      </c>
    </row>
    <row r="1085" spans="1:12" ht="15" customHeight="1" x14ac:dyDescent="0.25">
      <c r="A1085" s="181" t="s">
        <v>2801</v>
      </c>
      <c r="B1085" s="509" t="s">
        <v>2802</v>
      </c>
      <c r="C1085" s="509"/>
      <c r="D1085" s="481" t="s">
        <v>82</v>
      </c>
      <c r="E1085" s="481"/>
      <c r="F1085" s="481"/>
      <c r="G1085" s="231" t="s">
        <v>1817</v>
      </c>
      <c r="H1085" s="510">
        <v>0.08</v>
      </c>
      <c r="I1085" s="510"/>
      <c r="J1085" s="511">
        <v>21.54</v>
      </c>
      <c r="K1085" s="511"/>
      <c r="L1085" s="367">
        <f>TRUNC(TRUNC(H1085,8)*J1085,2)</f>
        <v>1.72</v>
      </c>
    </row>
    <row r="1086" spans="1:12" ht="21" customHeight="1" x14ac:dyDescent="0.25">
      <c r="A1086" s="181" t="s">
        <v>2803</v>
      </c>
      <c r="B1086" s="509" t="s">
        <v>2804</v>
      </c>
      <c r="C1086" s="509"/>
      <c r="D1086" s="481" t="s">
        <v>82</v>
      </c>
      <c r="E1086" s="481"/>
      <c r="F1086" s="481"/>
      <c r="G1086" s="231" t="s">
        <v>188</v>
      </c>
      <c r="H1086" s="510">
        <v>1.198</v>
      </c>
      <c r="I1086" s="510"/>
      <c r="J1086" s="511">
        <v>2.81</v>
      </c>
      <c r="K1086" s="511"/>
      <c r="L1086" s="367">
        <f>TRUNC(TRUNC(H1086,8)*J1086,2)</f>
        <v>3.36</v>
      </c>
    </row>
    <row r="1087" spans="1:12" ht="15" customHeight="1" x14ac:dyDescent="0.25">
      <c r="A1087" s="182"/>
      <c r="B1087" s="183"/>
      <c r="C1087" s="183"/>
      <c r="D1087" s="183"/>
      <c r="E1087" s="183"/>
      <c r="F1087" s="183"/>
      <c r="G1087" s="183"/>
      <c r="H1087" s="477" t="s">
        <v>1826</v>
      </c>
      <c r="I1087" s="477"/>
      <c r="J1087" s="477"/>
      <c r="K1087" s="477"/>
      <c r="L1087" s="368">
        <f>SUM(L1082:L1086)</f>
        <v>139.84</v>
      </c>
    </row>
    <row r="1088" spans="1:12" ht="15" customHeight="1" x14ac:dyDescent="0.25">
      <c r="A1088" s="474" t="s">
        <v>2190</v>
      </c>
      <c r="B1088" s="475"/>
      <c r="C1088" s="475"/>
      <c r="D1088" s="476" t="s">
        <v>42</v>
      </c>
      <c r="E1088" s="476"/>
      <c r="F1088" s="476"/>
      <c r="G1088" s="230" t="s">
        <v>44</v>
      </c>
      <c r="H1088" s="476" t="s">
        <v>1813</v>
      </c>
      <c r="I1088" s="476"/>
      <c r="J1088" s="476" t="s">
        <v>1814</v>
      </c>
      <c r="K1088" s="476"/>
      <c r="L1088" s="366" t="s">
        <v>1802</v>
      </c>
    </row>
    <row r="1089" spans="1:12" ht="21" customHeight="1" x14ac:dyDescent="0.25">
      <c r="A1089" s="181" t="s">
        <v>2805</v>
      </c>
      <c r="B1089" s="509" t="s">
        <v>2806</v>
      </c>
      <c r="C1089" s="509"/>
      <c r="D1089" s="481" t="s">
        <v>82</v>
      </c>
      <c r="E1089" s="481"/>
      <c r="F1089" s="481"/>
      <c r="G1089" s="231" t="s">
        <v>1024</v>
      </c>
      <c r="H1089" s="510">
        <v>0.17399999999999999</v>
      </c>
      <c r="I1089" s="510"/>
      <c r="J1089" s="511">
        <v>30.77</v>
      </c>
      <c r="K1089" s="511"/>
      <c r="L1089" s="367">
        <f>TRUNC(TRUNC(H1089,8)*J1089,2)</f>
        <v>5.35</v>
      </c>
    </row>
    <row r="1090" spans="1:12" ht="21" customHeight="1" x14ac:dyDescent="0.25">
      <c r="A1090" s="181" t="s">
        <v>2547</v>
      </c>
      <c r="B1090" s="509" t="s">
        <v>2548</v>
      </c>
      <c r="C1090" s="509"/>
      <c r="D1090" s="481" t="s">
        <v>82</v>
      </c>
      <c r="E1090" s="481"/>
      <c r="F1090" s="481"/>
      <c r="G1090" s="231" t="s">
        <v>1024</v>
      </c>
      <c r="H1090" s="510">
        <v>0.872</v>
      </c>
      <c r="I1090" s="510"/>
      <c r="J1090" s="511">
        <v>37.880000000000003</v>
      </c>
      <c r="K1090" s="511"/>
      <c r="L1090" s="367">
        <f>TRUNC(TRUNC(H1090,8)*J1090,2)</f>
        <v>33.03</v>
      </c>
    </row>
    <row r="1091" spans="1:12" ht="18" customHeight="1" x14ac:dyDescent="0.25">
      <c r="A1091" s="182"/>
      <c r="B1091" s="183"/>
      <c r="C1091" s="183"/>
      <c r="D1091" s="183"/>
      <c r="E1091" s="183"/>
      <c r="F1091" s="183"/>
      <c r="G1091" s="183"/>
      <c r="H1091" s="477" t="s">
        <v>2195</v>
      </c>
      <c r="I1091" s="477"/>
      <c r="J1091" s="477"/>
      <c r="K1091" s="477"/>
      <c r="L1091" s="368">
        <f>SUM(L1089:L1090)</f>
        <v>38.380000000000003</v>
      </c>
    </row>
    <row r="1092" spans="1:12" ht="15" customHeight="1" x14ac:dyDescent="0.25">
      <c r="A1092" s="182"/>
      <c r="B1092" s="183"/>
      <c r="C1092" s="183"/>
      <c r="D1092" s="183"/>
      <c r="E1092" s="183"/>
      <c r="F1092" s="183"/>
      <c r="G1092" s="183"/>
      <c r="H1092" s="482" t="s">
        <v>1834</v>
      </c>
      <c r="I1092" s="482"/>
      <c r="J1092" s="482"/>
      <c r="K1092" s="482"/>
      <c r="L1092" s="369">
        <f>ROUND(SUM(L1080,L1087,L1091),2)</f>
        <v>185.94</v>
      </c>
    </row>
    <row r="1093" spans="1:12" ht="9.9499999999999993" customHeight="1" x14ac:dyDescent="0.25">
      <c r="A1093" s="182"/>
      <c r="B1093" s="183"/>
      <c r="C1093" s="183"/>
      <c r="D1093" s="183"/>
      <c r="E1093" s="183"/>
      <c r="F1093" s="183"/>
      <c r="G1093" s="183"/>
      <c r="H1093" s="485"/>
      <c r="I1093" s="485"/>
      <c r="J1093" s="485"/>
      <c r="K1093" s="485"/>
      <c r="L1093" s="512"/>
    </row>
    <row r="1094" spans="1:12" ht="20.100000000000001" customHeight="1" x14ac:dyDescent="0.25">
      <c r="A1094" s="486" t="s">
        <v>2807</v>
      </c>
      <c r="B1094" s="487"/>
      <c r="C1094" s="487"/>
      <c r="D1094" s="487"/>
      <c r="E1094" s="487"/>
      <c r="F1094" s="487"/>
      <c r="G1094" s="487"/>
      <c r="H1094" s="487"/>
      <c r="I1094" s="487"/>
      <c r="J1094" s="487"/>
      <c r="K1094" s="487"/>
      <c r="L1094" s="513"/>
    </row>
    <row r="1095" spans="1:12" ht="20.100000000000001" customHeight="1" x14ac:dyDescent="0.25">
      <c r="A1095" s="488" t="s">
        <v>1880</v>
      </c>
      <c r="B1095" s="489"/>
      <c r="C1095" s="489"/>
      <c r="D1095" s="489"/>
      <c r="E1095" s="489"/>
      <c r="F1095" s="489"/>
      <c r="G1095" s="233" t="s">
        <v>44</v>
      </c>
      <c r="H1095" s="515" t="s">
        <v>1837</v>
      </c>
      <c r="I1095" s="515"/>
      <c r="J1095" s="515" t="s">
        <v>1881</v>
      </c>
      <c r="K1095" s="515"/>
      <c r="L1095" s="169" t="s">
        <v>1882</v>
      </c>
    </row>
    <row r="1096" spans="1:12" ht="15.95" customHeight="1" x14ac:dyDescent="0.25">
      <c r="A1096" s="170" t="s">
        <v>2808</v>
      </c>
      <c r="B1096" s="492" t="s">
        <v>2809</v>
      </c>
      <c r="C1096" s="492"/>
      <c r="D1096" s="492"/>
      <c r="E1096" s="492"/>
      <c r="F1096" s="492"/>
      <c r="G1096" s="127" t="s">
        <v>2066</v>
      </c>
      <c r="H1096" s="516">
        <v>1</v>
      </c>
      <c r="I1096" s="516"/>
      <c r="J1096" s="523">
        <v>0.34</v>
      </c>
      <c r="K1096" s="523"/>
      <c r="L1096" s="371">
        <f>ROUND(ROUND(H1096,7)*J1096,4)</f>
        <v>0.34</v>
      </c>
    </row>
    <row r="1097" spans="1:12" ht="15" customHeight="1" x14ac:dyDescent="0.25">
      <c r="A1097" s="184"/>
      <c r="B1097" s="141"/>
      <c r="C1097" s="141"/>
      <c r="D1097" s="141"/>
      <c r="E1097" s="141"/>
      <c r="F1097" s="141"/>
      <c r="G1097" s="141"/>
      <c r="H1097" s="491" t="s">
        <v>1889</v>
      </c>
      <c r="I1097" s="491"/>
      <c r="J1097" s="491"/>
      <c r="K1097" s="491"/>
      <c r="L1097" s="373">
        <f>SUM(L1096:L1096)</f>
        <v>0.34</v>
      </c>
    </row>
    <row r="1098" spans="1:12" ht="15" customHeight="1" x14ac:dyDescent="0.25">
      <c r="A1098" s="182"/>
      <c r="B1098" s="183"/>
      <c r="C1098" s="183"/>
      <c r="D1098" s="183"/>
      <c r="E1098" s="183"/>
      <c r="F1098" s="183"/>
      <c r="G1098" s="183"/>
      <c r="H1098" s="482" t="s">
        <v>1848</v>
      </c>
      <c r="I1098" s="482"/>
      <c r="J1098" s="482"/>
      <c r="K1098" s="482"/>
      <c r="L1098" s="371">
        <f>SUM(L1097)</f>
        <v>0.34</v>
      </c>
    </row>
    <row r="1099" spans="1:12" ht="15" customHeight="1" x14ac:dyDescent="0.25">
      <c r="A1099" s="182"/>
      <c r="B1099" s="183"/>
      <c r="C1099" s="183"/>
      <c r="D1099" s="183"/>
      <c r="E1099" s="183"/>
      <c r="F1099" s="183"/>
      <c r="G1099" s="183"/>
      <c r="H1099" s="482" t="s">
        <v>1834</v>
      </c>
      <c r="I1099" s="482"/>
      <c r="J1099" s="482"/>
      <c r="K1099" s="482"/>
      <c r="L1099" s="369">
        <f>ROUND(SUM(L1098),2)</f>
        <v>0.34</v>
      </c>
    </row>
    <row r="1100" spans="1:12" ht="9.9499999999999993" customHeight="1" x14ac:dyDescent="0.25">
      <c r="A1100" s="182"/>
      <c r="B1100" s="183"/>
      <c r="C1100" s="183"/>
      <c r="D1100" s="183"/>
      <c r="E1100" s="183"/>
      <c r="F1100" s="183"/>
      <c r="G1100" s="183"/>
      <c r="H1100" s="485"/>
      <c r="I1100" s="485"/>
      <c r="J1100" s="485"/>
      <c r="K1100" s="485"/>
      <c r="L1100" s="512"/>
    </row>
    <row r="1101" spans="1:12" ht="27" customHeight="1" x14ac:dyDescent="0.25">
      <c r="A1101" s="486" t="s">
        <v>2810</v>
      </c>
      <c r="B1101" s="487"/>
      <c r="C1101" s="487"/>
      <c r="D1101" s="487"/>
      <c r="E1101" s="487"/>
      <c r="F1101" s="487"/>
      <c r="G1101" s="487"/>
      <c r="H1101" s="487"/>
      <c r="I1101" s="487"/>
      <c r="J1101" s="487"/>
      <c r="K1101" s="487"/>
      <c r="L1101" s="513"/>
    </row>
    <row r="1102" spans="1:12" ht="15" customHeight="1" x14ac:dyDescent="0.25">
      <c r="A1102" s="474" t="s">
        <v>1812</v>
      </c>
      <c r="B1102" s="475"/>
      <c r="C1102" s="475"/>
      <c r="D1102" s="476" t="s">
        <v>42</v>
      </c>
      <c r="E1102" s="476"/>
      <c r="F1102" s="476"/>
      <c r="G1102" s="230" t="s">
        <v>44</v>
      </c>
      <c r="H1102" s="476" t="s">
        <v>1813</v>
      </c>
      <c r="I1102" s="476"/>
      <c r="J1102" s="476" t="s">
        <v>1814</v>
      </c>
      <c r="K1102" s="476"/>
      <c r="L1102" s="366" t="s">
        <v>1802</v>
      </c>
    </row>
    <row r="1103" spans="1:12" ht="21" customHeight="1" x14ac:dyDescent="0.25">
      <c r="A1103" s="181" t="s">
        <v>2811</v>
      </c>
      <c r="B1103" s="509" t="s">
        <v>2812</v>
      </c>
      <c r="C1103" s="509"/>
      <c r="D1103" s="481" t="s">
        <v>82</v>
      </c>
      <c r="E1103" s="481"/>
      <c r="F1103" s="481"/>
      <c r="G1103" s="231" t="s">
        <v>226</v>
      </c>
      <c r="H1103" s="510">
        <v>1.7857000000000001</v>
      </c>
      <c r="I1103" s="510"/>
      <c r="J1103" s="511">
        <v>1.32</v>
      </c>
      <c r="K1103" s="511"/>
      <c r="L1103" s="367">
        <f>TRUNC(TRUNC(H1103,8)*J1103,2)</f>
        <v>2.35</v>
      </c>
    </row>
    <row r="1104" spans="1:12" ht="15" customHeight="1" x14ac:dyDescent="0.25">
      <c r="A1104" s="182"/>
      <c r="B1104" s="183"/>
      <c r="C1104" s="183"/>
      <c r="D1104" s="183"/>
      <c r="E1104" s="183"/>
      <c r="F1104" s="183"/>
      <c r="G1104" s="183"/>
      <c r="H1104" s="477" t="s">
        <v>1826</v>
      </c>
      <c r="I1104" s="477"/>
      <c r="J1104" s="477"/>
      <c r="K1104" s="477"/>
      <c r="L1104" s="368">
        <f>SUM(L1103:L1103)</f>
        <v>2.35</v>
      </c>
    </row>
    <row r="1105" spans="1:12" ht="15" customHeight="1" x14ac:dyDescent="0.25">
      <c r="A1105" s="474" t="s">
        <v>2190</v>
      </c>
      <c r="B1105" s="475"/>
      <c r="C1105" s="475"/>
      <c r="D1105" s="476" t="s">
        <v>42</v>
      </c>
      <c r="E1105" s="476"/>
      <c r="F1105" s="476"/>
      <c r="G1105" s="230" t="s">
        <v>44</v>
      </c>
      <c r="H1105" s="476" t="s">
        <v>1813</v>
      </c>
      <c r="I1105" s="476"/>
      <c r="J1105" s="476" t="s">
        <v>1814</v>
      </c>
      <c r="K1105" s="476"/>
      <c r="L1105" s="366" t="s">
        <v>1802</v>
      </c>
    </row>
    <row r="1106" spans="1:12" ht="21" customHeight="1" x14ac:dyDescent="0.25">
      <c r="A1106" s="181" t="s">
        <v>2813</v>
      </c>
      <c r="B1106" s="509" t="s">
        <v>2814</v>
      </c>
      <c r="C1106" s="509"/>
      <c r="D1106" s="481" t="s">
        <v>82</v>
      </c>
      <c r="E1106" s="481"/>
      <c r="F1106" s="481"/>
      <c r="G1106" s="231" t="s">
        <v>1024</v>
      </c>
      <c r="H1106" s="510">
        <v>4.8000000000000001E-2</v>
      </c>
      <c r="I1106" s="510"/>
      <c r="J1106" s="511">
        <v>30.78</v>
      </c>
      <c r="K1106" s="511"/>
      <c r="L1106" s="367">
        <f>TRUNC(TRUNC(H1106,8)*J1106,2)</f>
        <v>1.47</v>
      </c>
    </row>
    <row r="1107" spans="1:12" ht="21" customHeight="1" x14ac:dyDescent="0.25">
      <c r="A1107" s="181" t="s">
        <v>2815</v>
      </c>
      <c r="B1107" s="509" t="s">
        <v>2816</v>
      </c>
      <c r="C1107" s="509"/>
      <c r="D1107" s="481" t="s">
        <v>82</v>
      </c>
      <c r="E1107" s="481"/>
      <c r="F1107" s="481"/>
      <c r="G1107" s="231" t="s">
        <v>1024</v>
      </c>
      <c r="H1107" s="510">
        <v>0.2114</v>
      </c>
      <c r="I1107" s="510"/>
      <c r="J1107" s="511">
        <v>33.270000000000003</v>
      </c>
      <c r="K1107" s="511"/>
      <c r="L1107" s="367">
        <f>TRUNC(TRUNC(H1107,8)*J1107,2)</f>
        <v>7.03</v>
      </c>
    </row>
    <row r="1108" spans="1:12" ht="18" customHeight="1" x14ac:dyDescent="0.25">
      <c r="A1108" s="182"/>
      <c r="B1108" s="183"/>
      <c r="C1108" s="183"/>
      <c r="D1108" s="183"/>
      <c r="E1108" s="183"/>
      <c r="F1108" s="183"/>
      <c r="G1108" s="183"/>
      <c r="H1108" s="477" t="s">
        <v>2195</v>
      </c>
      <c r="I1108" s="477"/>
      <c r="J1108" s="477"/>
      <c r="K1108" s="477"/>
      <c r="L1108" s="368">
        <f>SUM(L1106:L1107)</f>
        <v>8.5</v>
      </c>
    </row>
    <row r="1109" spans="1:12" ht="15" customHeight="1" x14ac:dyDescent="0.25">
      <c r="A1109" s="182"/>
      <c r="B1109" s="183"/>
      <c r="C1109" s="183"/>
      <c r="D1109" s="183"/>
      <c r="E1109" s="183"/>
      <c r="F1109" s="183"/>
      <c r="G1109" s="183"/>
      <c r="H1109" s="482" t="s">
        <v>1834</v>
      </c>
      <c r="I1109" s="482"/>
      <c r="J1109" s="482"/>
      <c r="K1109" s="482"/>
      <c r="L1109" s="369">
        <f>ROUND(SUM(L1104,L1108),2)</f>
        <v>10.85</v>
      </c>
    </row>
    <row r="1110" spans="1:12" ht="9.9499999999999993" customHeight="1" x14ac:dyDescent="0.25">
      <c r="A1110" s="182"/>
      <c r="B1110" s="183"/>
      <c r="C1110" s="183"/>
      <c r="D1110" s="183"/>
      <c r="E1110" s="183"/>
      <c r="F1110" s="183"/>
      <c r="G1110" s="183"/>
      <c r="H1110" s="485"/>
      <c r="I1110" s="485"/>
      <c r="J1110" s="485"/>
      <c r="K1110" s="485"/>
      <c r="L1110" s="512"/>
    </row>
    <row r="1111" spans="1:12" ht="20.100000000000001" customHeight="1" x14ac:dyDescent="0.25">
      <c r="A1111" s="486" t="s">
        <v>2817</v>
      </c>
      <c r="B1111" s="487"/>
      <c r="C1111" s="487"/>
      <c r="D1111" s="487"/>
      <c r="E1111" s="487"/>
      <c r="F1111" s="487"/>
      <c r="G1111" s="487"/>
      <c r="H1111" s="487"/>
      <c r="I1111" s="487"/>
      <c r="J1111" s="487"/>
      <c r="K1111" s="487"/>
      <c r="L1111" s="513"/>
    </row>
    <row r="1112" spans="1:12" ht="15" customHeight="1" x14ac:dyDescent="0.25">
      <c r="A1112" s="474" t="s">
        <v>2190</v>
      </c>
      <c r="B1112" s="475"/>
      <c r="C1112" s="475"/>
      <c r="D1112" s="476" t="s">
        <v>42</v>
      </c>
      <c r="E1112" s="476"/>
      <c r="F1112" s="476"/>
      <c r="G1112" s="230" t="s">
        <v>44</v>
      </c>
      <c r="H1112" s="476" t="s">
        <v>1813</v>
      </c>
      <c r="I1112" s="476"/>
      <c r="J1112" s="476" t="s">
        <v>1814</v>
      </c>
      <c r="K1112" s="476"/>
      <c r="L1112" s="366" t="s">
        <v>1802</v>
      </c>
    </row>
    <row r="1113" spans="1:12" ht="21" customHeight="1" x14ac:dyDescent="0.25">
      <c r="A1113" s="181" t="s">
        <v>2818</v>
      </c>
      <c r="B1113" s="509" t="s">
        <v>2819</v>
      </c>
      <c r="C1113" s="509"/>
      <c r="D1113" s="481" t="s">
        <v>82</v>
      </c>
      <c r="E1113" s="481"/>
      <c r="F1113" s="481"/>
      <c r="G1113" s="231" t="s">
        <v>1024</v>
      </c>
      <c r="H1113" s="510">
        <v>1</v>
      </c>
      <c r="I1113" s="510"/>
      <c r="J1113" s="511">
        <v>53.32</v>
      </c>
      <c r="K1113" s="511"/>
      <c r="L1113" s="367">
        <f>TRUNC(TRUNC(H1113,8)*J1113,2)</f>
        <v>53.32</v>
      </c>
    </row>
    <row r="1114" spans="1:12" ht="18" customHeight="1" x14ac:dyDescent="0.25">
      <c r="A1114" s="182"/>
      <c r="B1114" s="183"/>
      <c r="C1114" s="183"/>
      <c r="D1114" s="183"/>
      <c r="E1114" s="183"/>
      <c r="F1114" s="183"/>
      <c r="G1114" s="183"/>
      <c r="H1114" s="477" t="s">
        <v>2195</v>
      </c>
      <c r="I1114" s="477"/>
      <c r="J1114" s="477"/>
      <c r="K1114" s="477"/>
      <c r="L1114" s="368">
        <f>SUM(L1113:L1113)</f>
        <v>53.32</v>
      </c>
    </row>
    <row r="1115" spans="1:12" ht="15" customHeight="1" x14ac:dyDescent="0.25">
      <c r="A1115" s="474" t="s">
        <v>1912</v>
      </c>
      <c r="B1115" s="475"/>
      <c r="C1115" s="475"/>
      <c r="D1115" s="476" t="s">
        <v>42</v>
      </c>
      <c r="E1115" s="476"/>
      <c r="F1115" s="476"/>
      <c r="G1115" s="230" t="s">
        <v>44</v>
      </c>
      <c r="H1115" s="476" t="s">
        <v>1813</v>
      </c>
      <c r="I1115" s="476"/>
      <c r="J1115" s="476" t="s">
        <v>1814</v>
      </c>
      <c r="K1115" s="476"/>
      <c r="L1115" s="366" t="s">
        <v>1802</v>
      </c>
    </row>
    <row r="1116" spans="1:12" ht="29.1" customHeight="1" x14ac:dyDescent="0.25">
      <c r="A1116" s="181" t="s">
        <v>2820</v>
      </c>
      <c r="B1116" s="509" t="s">
        <v>2821</v>
      </c>
      <c r="C1116" s="509"/>
      <c r="D1116" s="481" t="s">
        <v>82</v>
      </c>
      <c r="E1116" s="481"/>
      <c r="F1116" s="481"/>
      <c r="G1116" s="231" t="s">
        <v>1024</v>
      </c>
      <c r="H1116" s="510">
        <v>1</v>
      </c>
      <c r="I1116" s="510"/>
      <c r="J1116" s="511">
        <v>99.64</v>
      </c>
      <c r="K1116" s="511"/>
      <c r="L1116" s="367">
        <f>TRUNC(TRUNC(H1116,8)*J1116,2)</f>
        <v>99.64</v>
      </c>
    </row>
    <row r="1117" spans="1:12" ht="29.1" customHeight="1" x14ac:dyDescent="0.25">
      <c r="A1117" s="181" t="s">
        <v>2822</v>
      </c>
      <c r="B1117" s="509" t="s">
        <v>2823</v>
      </c>
      <c r="C1117" s="509"/>
      <c r="D1117" s="481" t="s">
        <v>82</v>
      </c>
      <c r="E1117" s="481"/>
      <c r="F1117" s="481"/>
      <c r="G1117" s="231" t="s">
        <v>1024</v>
      </c>
      <c r="H1117" s="510">
        <v>1</v>
      </c>
      <c r="I1117" s="510"/>
      <c r="J1117" s="511">
        <v>14.19</v>
      </c>
      <c r="K1117" s="511"/>
      <c r="L1117" s="367">
        <f>TRUNC(TRUNC(H1117,8)*J1117,2)</f>
        <v>14.19</v>
      </c>
    </row>
    <row r="1118" spans="1:12" ht="29.1" customHeight="1" x14ac:dyDescent="0.25">
      <c r="A1118" s="181" t="s">
        <v>2824</v>
      </c>
      <c r="B1118" s="509" t="s">
        <v>2825</v>
      </c>
      <c r="C1118" s="509"/>
      <c r="D1118" s="481" t="s">
        <v>82</v>
      </c>
      <c r="E1118" s="481"/>
      <c r="F1118" s="481"/>
      <c r="G1118" s="231" t="s">
        <v>1024</v>
      </c>
      <c r="H1118" s="510">
        <v>1</v>
      </c>
      <c r="I1118" s="510"/>
      <c r="J1118" s="511">
        <v>35.119999999999997</v>
      </c>
      <c r="K1118" s="511"/>
      <c r="L1118" s="367">
        <f>TRUNC(TRUNC(H1118,8)*J1118,2)</f>
        <v>35.119999999999997</v>
      </c>
    </row>
    <row r="1119" spans="1:12" ht="15" customHeight="1" x14ac:dyDescent="0.25">
      <c r="A1119" s="182"/>
      <c r="B1119" s="183"/>
      <c r="C1119" s="183"/>
      <c r="D1119" s="183"/>
      <c r="E1119" s="183"/>
      <c r="F1119" s="183"/>
      <c r="G1119" s="183"/>
      <c r="H1119" s="477" t="s">
        <v>1915</v>
      </c>
      <c r="I1119" s="477"/>
      <c r="J1119" s="477"/>
      <c r="K1119" s="477"/>
      <c r="L1119" s="368">
        <f>SUM(L1116:L1118)</f>
        <v>148.94999999999999</v>
      </c>
    </row>
    <row r="1120" spans="1:12" ht="15" customHeight="1" x14ac:dyDescent="0.25">
      <c r="A1120" s="182"/>
      <c r="B1120" s="183"/>
      <c r="C1120" s="183"/>
      <c r="D1120" s="183"/>
      <c r="E1120" s="183"/>
      <c r="F1120" s="183"/>
      <c r="G1120" s="183"/>
      <c r="H1120" s="482" t="s">
        <v>1834</v>
      </c>
      <c r="I1120" s="482"/>
      <c r="J1120" s="482"/>
      <c r="K1120" s="482"/>
      <c r="L1120" s="369">
        <f>ROUND(SUM(L1114,L1119),2)</f>
        <v>202.27</v>
      </c>
    </row>
    <row r="1121" spans="1:12" ht="9.9499999999999993" customHeight="1" x14ac:dyDescent="0.25">
      <c r="A1121" s="182"/>
      <c r="B1121" s="183"/>
      <c r="C1121" s="183"/>
      <c r="D1121" s="183"/>
      <c r="E1121" s="183"/>
      <c r="F1121" s="183"/>
      <c r="G1121" s="183"/>
      <c r="H1121" s="485"/>
      <c r="I1121" s="485"/>
      <c r="J1121" s="485"/>
      <c r="K1121" s="485"/>
      <c r="L1121" s="512"/>
    </row>
    <row r="1122" spans="1:12" ht="20.100000000000001" customHeight="1" x14ac:dyDescent="0.25">
      <c r="A1122" s="486" t="s">
        <v>2826</v>
      </c>
      <c r="B1122" s="487"/>
      <c r="C1122" s="487"/>
      <c r="D1122" s="487"/>
      <c r="E1122" s="487"/>
      <c r="F1122" s="487"/>
      <c r="G1122" s="487"/>
      <c r="H1122" s="487"/>
      <c r="I1122" s="487"/>
      <c r="J1122" s="487"/>
      <c r="K1122" s="487"/>
      <c r="L1122" s="513"/>
    </row>
    <row r="1123" spans="1:12" ht="15" customHeight="1" x14ac:dyDescent="0.25">
      <c r="A1123" s="474" t="s">
        <v>2190</v>
      </c>
      <c r="B1123" s="475"/>
      <c r="C1123" s="475"/>
      <c r="D1123" s="476" t="s">
        <v>42</v>
      </c>
      <c r="E1123" s="476"/>
      <c r="F1123" s="476"/>
      <c r="G1123" s="230" t="s">
        <v>44</v>
      </c>
      <c r="H1123" s="476" t="s">
        <v>1813</v>
      </c>
      <c r="I1123" s="476"/>
      <c r="J1123" s="476" t="s">
        <v>1814</v>
      </c>
      <c r="K1123" s="476"/>
      <c r="L1123" s="366" t="s">
        <v>1802</v>
      </c>
    </row>
    <row r="1124" spans="1:12" ht="21" customHeight="1" x14ac:dyDescent="0.25">
      <c r="A1124" s="181" t="s">
        <v>2818</v>
      </c>
      <c r="B1124" s="509" t="s">
        <v>2819</v>
      </c>
      <c r="C1124" s="509"/>
      <c r="D1124" s="481" t="s">
        <v>82</v>
      </c>
      <c r="E1124" s="481"/>
      <c r="F1124" s="481"/>
      <c r="G1124" s="231" t="s">
        <v>1024</v>
      </c>
      <c r="H1124" s="510">
        <v>1</v>
      </c>
      <c r="I1124" s="510"/>
      <c r="J1124" s="511">
        <v>53.32</v>
      </c>
      <c r="K1124" s="511"/>
      <c r="L1124" s="367">
        <f>TRUNC(TRUNC(H1124,8)*J1124,2)</f>
        <v>53.32</v>
      </c>
    </row>
    <row r="1125" spans="1:12" ht="18" customHeight="1" x14ac:dyDescent="0.25">
      <c r="A1125" s="182"/>
      <c r="B1125" s="183"/>
      <c r="C1125" s="183"/>
      <c r="D1125" s="183"/>
      <c r="E1125" s="183"/>
      <c r="F1125" s="183"/>
      <c r="G1125" s="183"/>
      <c r="H1125" s="477" t="s">
        <v>2195</v>
      </c>
      <c r="I1125" s="477"/>
      <c r="J1125" s="477"/>
      <c r="K1125" s="477"/>
      <c r="L1125" s="368">
        <f>SUM(L1124:L1124)</f>
        <v>53.32</v>
      </c>
    </row>
    <row r="1126" spans="1:12" ht="15" customHeight="1" x14ac:dyDescent="0.25">
      <c r="A1126" s="474" t="s">
        <v>1912</v>
      </c>
      <c r="B1126" s="475"/>
      <c r="C1126" s="475"/>
      <c r="D1126" s="476" t="s">
        <v>42</v>
      </c>
      <c r="E1126" s="476"/>
      <c r="F1126" s="476"/>
      <c r="G1126" s="230" t="s">
        <v>44</v>
      </c>
      <c r="H1126" s="476" t="s">
        <v>1813</v>
      </c>
      <c r="I1126" s="476"/>
      <c r="J1126" s="476" t="s">
        <v>1814</v>
      </c>
      <c r="K1126" s="476"/>
      <c r="L1126" s="366" t="s">
        <v>1802</v>
      </c>
    </row>
    <row r="1127" spans="1:12" ht="29.1" customHeight="1" x14ac:dyDescent="0.25">
      <c r="A1127" s="181" t="s">
        <v>2820</v>
      </c>
      <c r="B1127" s="509" t="s">
        <v>2821</v>
      </c>
      <c r="C1127" s="509"/>
      <c r="D1127" s="481" t="s">
        <v>82</v>
      </c>
      <c r="E1127" s="481"/>
      <c r="F1127" s="481"/>
      <c r="G1127" s="231" t="s">
        <v>1024</v>
      </c>
      <c r="H1127" s="510">
        <v>1</v>
      </c>
      <c r="I1127" s="510"/>
      <c r="J1127" s="511">
        <v>99.64</v>
      </c>
      <c r="K1127" s="511"/>
      <c r="L1127" s="367">
        <f>TRUNC(TRUNC(H1127,8)*J1127,2)</f>
        <v>99.64</v>
      </c>
    </row>
    <row r="1128" spans="1:12" ht="29.1" customHeight="1" x14ac:dyDescent="0.25">
      <c r="A1128" s="181" t="s">
        <v>2822</v>
      </c>
      <c r="B1128" s="509" t="s">
        <v>2823</v>
      </c>
      <c r="C1128" s="509"/>
      <c r="D1128" s="481" t="s">
        <v>82</v>
      </c>
      <c r="E1128" s="481"/>
      <c r="F1128" s="481"/>
      <c r="G1128" s="231" t="s">
        <v>1024</v>
      </c>
      <c r="H1128" s="510">
        <v>1</v>
      </c>
      <c r="I1128" s="510"/>
      <c r="J1128" s="511">
        <v>14.19</v>
      </c>
      <c r="K1128" s="511"/>
      <c r="L1128" s="367">
        <f>TRUNC(TRUNC(H1128,8)*J1128,2)</f>
        <v>14.19</v>
      </c>
    </row>
    <row r="1129" spans="1:12" ht="29.1" customHeight="1" x14ac:dyDescent="0.25">
      <c r="A1129" s="181" t="s">
        <v>2824</v>
      </c>
      <c r="B1129" s="509" t="s">
        <v>2825</v>
      </c>
      <c r="C1129" s="509"/>
      <c r="D1129" s="481" t="s">
        <v>82</v>
      </c>
      <c r="E1129" s="481"/>
      <c r="F1129" s="481"/>
      <c r="G1129" s="231" t="s">
        <v>1024</v>
      </c>
      <c r="H1129" s="510">
        <v>1</v>
      </c>
      <c r="I1129" s="510"/>
      <c r="J1129" s="511">
        <v>35.119999999999997</v>
      </c>
      <c r="K1129" s="511"/>
      <c r="L1129" s="367">
        <f>TRUNC(TRUNC(H1129,8)*J1129,2)</f>
        <v>35.119999999999997</v>
      </c>
    </row>
    <row r="1130" spans="1:12" ht="29.1" customHeight="1" x14ac:dyDescent="0.25">
      <c r="A1130" s="181" t="s">
        <v>2827</v>
      </c>
      <c r="B1130" s="509" t="s">
        <v>2828</v>
      </c>
      <c r="C1130" s="509"/>
      <c r="D1130" s="481" t="s">
        <v>82</v>
      </c>
      <c r="E1130" s="481"/>
      <c r="F1130" s="481"/>
      <c r="G1130" s="231" t="s">
        <v>1024</v>
      </c>
      <c r="H1130" s="510">
        <v>1</v>
      </c>
      <c r="I1130" s="510"/>
      <c r="J1130" s="511">
        <v>160.16999999999999</v>
      </c>
      <c r="K1130" s="511"/>
      <c r="L1130" s="367">
        <f>TRUNC(TRUNC(H1130,8)*J1130,2)</f>
        <v>160.16999999999999</v>
      </c>
    </row>
    <row r="1131" spans="1:12" ht="29.1" customHeight="1" x14ac:dyDescent="0.25">
      <c r="A1131" s="181" t="s">
        <v>2829</v>
      </c>
      <c r="B1131" s="509" t="s">
        <v>2830</v>
      </c>
      <c r="C1131" s="509"/>
      <c r="D1131" s="481" t="s">
        <v>82</v>
      </c>
      <c r="E1131" s="481"/>
      <c r="F1131" s="481"/>
      <c r="G1131" s="231" t="s">
        <v>1024</v>
      </c>
      <c r="H1131" s="510">
        <v>1</v>
      </c>
      <c r="I1131" s="510"/>
      <c r="J1131" s="511">
        <v>12.48</v>
      </c>
      <c r="K1131" s="511"/>
      <c r="L1131" s="367">
        <f>TRUNC(TRUNC(H1131,8)*J1131,2)</f>
        <v>12.48</v>
      </c>
    </row>
    <row r="1132" spans="1:12" ht="15" customHeight="1" x14ac:dyDescent="0.25">
      <c r="A1132" s="182"/>
      <c r="B1132" s="183"/>
      <c r="C1132" s="183"/>
      <c r="D1132" s="183"/>
      <c r="E1132" s="183"/>
      <c r="F1132" s="183"/>
      <c r="G1132" s="183"/>
      <c r="H1132" s="477" t="s">
        <v>1915</v>
      </c>
      <c r="I1132" s="477"/>
      <c r="J1132" s="477"/>
      <c r="K1132" s="477"/>
      <c r="L1132" s="368">
        <f>SUM(L1127:L1131)</f>
        <v>321.60000000000002</v>
      </c>
    </row>
    <row r="1133" spans="1:12" ht="15" customHeight="1" x14ac:dyDescent="0.25">
      <c r="A1133" s="182"/>
      <c r="B1133" s="183"/>
      <c r="C1133" s="183"/>
      <c r="D1133" s="183"/>
      <c r="E1133" s="183"/>
      <c r="F1133" s="183"/>
      <c r="G1133" s="183"/>
      <c r="H1133" s="482" t="s">
        <v>1834</v>
      </c>
      <c r="I1133" s="482"/>
      <c r="J1133" s="482"/>
      <c r="K1133" s="482"/>
      <c r="L1133" s="369">
        <f>ROUND(SUM(L1125,L1132),2)</f>
        <v>374.92</v>
      </c>
    </row>
    <row r="1134" spans="1:12" ht="9.9499999999999993" customHeight="1" x14ac:dyDescent="0.25">
      <c r="A1134" s="182"/>
      <c r="B1134" s="183"/>
      <c r="C1134" s="183"/>
      <c r="D1134" s="183"/>
      <c r="E1134" s="183"/>
      <c r="F1134" s="183"/>
      <c r="G1134" s="183"/>
      <c r="H1134" s="485"/>
      <c r="I1134" s="485"/>
      <c r="J1134" s="485"/>
      <c r="K1134" s="485"/>
      <c r="L1134" s="512"/>
    </row>
    <row r="1135" spans="1:12" ht="20.100000000000001" customHeight="1" x14ac:dyDescent="0.25">
      <c r="A1135" s="486" t="s">
        <v>2831</v>
      </c>
      <c r="B1135" s="487"/>
      <c r="C1135" s="487"/>
      <c r="D1135" s="487"/>
      <c r="E1135" s="487"/>
      <c r="F1135" s="487"/>
      <c r="G1135" s="487"/>
      <c r="H1135" s="487"/>
      <c r="I1135" s="487"/>
      <c r="J1135" s="487"/>
      <c r="K1135" s="487"/>
      <c r="L1135" s="513"/>
    </row>
    <row r="1136" spans="1:12" ht="15" customHeight="1" x14ac:dyDescent="0.25">
      <c r="A1136" s="474" t="s">
        <v>2443</v>
      </c>
      <c r="B1136" s="475"/>
      <c r="C1136" s="475"/>
      <c r="D1136" s="476" t="s">
        <v>42</v>
      </c>
      <c r="E1136" s="476"/>
      <c r="F1136" s="476"/>
      <c r="G1136" s="230" t="s">
        <v>44</v>
      </c>
      <c r="H1136" s="476" t="s">
        <v>1813</v>
      </c>
      <c r="I1136" s="476"/>
      <c r="J1136" s="476" t="s">
        <v>1814</v>
      </c>
      <c r="K1136" s="476"/>
      <c r="L1136" s="366" t="s">
        <v>1802</v>
      </c>
    </row>
    <row r="1137" spans="1:12" ht="29.1" customHeight="1" x14ac:dyDescent="0.25">
      <c r="A1137" s="181" t="s">
        <v>2832</v>
      </c>
      <c r="B1137" s="509" t="s">
        <v>2833</v>
      </c>
      <c r="C1137" s="509"/>
      <c r="D1137" s="481" t="s">
        <v>82</v>
      </c>
      <c r="E1137" s="481"/>
      <c r="F1137" s="481"/>
      <c r="G1137" s="231" t="s">
        <v>226</v>
      </c>
      <c r="H1137" s="510">
        <v>4.0000000000000003E-5</v>
      </c>
      <c r="I1137" s="510"/>
      <c r="J1137" s="527">
        <v>2491030.2799999998</v>
      </c>
      <c r="K1137" s="527"/>
      <c r="L1137" s="367">
        <f>TRUNC(TRUNC(H1137,8)*J1137,2)</f>
        <v>99.64</v>
      </c>
    </row>
    <row r="1138" spans="1:12" ht="15" customHeight="1" x14ac:dyDescent="0.25">
      <c r="A1138" s="182"/>
      <c r="B1138" s="183"/>
      <c r="C1138" s="183"/>
      <c r="D1138" s="183"/>
      <c r="E1138" s="183"/>
      <c r="F1138" s="183"/>
      <c r="G1138" s="183"/>
      <c r="H1138" s="477" t="s">
        <v>2446</v>
      </c>
      <c r="I1138" s="477"/>
      <c r="J1138" s="477"/>
      <c r="K1138" s="477"/>
      <c r="L1138" s="368">
        <f>SUM(L1137:L1137)</f>
        <v>99.64</v>
      </c>
    </row>
    <row r="1139" spans="1:12" ht="15" customHeight="1" x14ac:dyDescent="0.25">
      <c r="A1139" s="182"/>
      <c r="B1139" s="183"/>
      <c r="C1139" s="183"/>
      <c r="D1139" s="183"/>
      <c r="E1139" s="183"/>
      <c r="F1139" s="183"/>
      <c r="G1139" s="183"/>
      <c r="H1139" s="482" t="s">
        <v>1834</v>
      </c>
      <c r="I1139" s="482"/>
      <c r="J1139" s="482"/>
      <c r="K1139" s="482"/>
      <c r="L1139" s="369">
        <f>ROUND(SUM(L1138),2)</f>
        <v>99.64</v>
      </c>
    </row>
    <row r="1140" spans="1:12" ht="9.9499999999999993" customHeight="1" x14ac:dyDescent="0.25">
      <c r="A1140" s="182"/>
      <c r="B1140" s="183"/>
      <c r="C1140" s="183"/>
      <c r="D1140" s="183"/>
      <c r="E1140" s="183"/>
      <c r="F1140" s="183"/>
      <c r="G1140" s="183"/>
      <c r="H1140" s="485"/>
      <c r="I1140" s="485"/>
      <c r="J1140" s="485"/>
      <c r="K1140" s="485"/>
      <c r="L1140" s="512"/>
    </row>
    <row r="1141" spans="1:12" ht="20.100000000000001" customHeight="1" x14ac:dyDescent="0.25">
      <c r="A1141" s="486" t="s">
        <v>2834</v>
      </c>
      <c r="B1141" s="487"/>
      <c r="C1141" s="487"/>
      <c r="D1141" s="487"/>
      <c r="E1141" s="487"/>
      <c r="F1141" s="487"/>
      <c r="G1141" s="487"/>
      <c r="H1141" s="487"/>
      <c r="I1141" s="487"/>
      <c r="J1141" s="487"/>
      <c r="K1141" s="487"/>
      <c r="L1141" s="513"/>
    </row>
    <row r="1142" spans="1:12" ht="15" customHeight="1" x14ac:dyDescent="0.25">
      <c r="A1142" s="474" t="s">
        <v>2443</v>
      </c>
      <c r="B1142" s="475"/>
      <c r="C1142" s="475"/>
      <c r="D1142" s="476" t="s">
        <v>42</v>
      </c>
      <c r="E1142" s="476"/>
      <c r="F1142" s="476"/>
      <c r="G1142" s="230" t="s">
        <v>44</v>
      </c>
      <c r="H1142" s="476" t="s">
        <v>1813</v>
      </c>
      <c r="I1142" s="476"/>
      <c r="J1142" s="476" t="s">
        <v>1814</v>
      </c>
      <c r="K1142" s="476"/>
      <c r="L1142" s="366" t="s">
        <v>1802</v>
      </c>
    </row>
    <row r="1143" spans="1:12" ht="29.1" customHeight="1" x14ac:dyDescent="0.25">
      <c r="A1143" s="181" t="s">
        <v>2832</v>
      </c>
      <c r="B1143" s="509" t="s">
        <v>2833</v>
      </c>
      <c r="C1143" s="509"/>
      <c r="D1143" s="481" t="s">
        <v>82</v>
      </c>
      <c r="E1143" s="481"/>
      <c r="F1143" s="481"/>
      <c r="G1143" s="231" t="s">
        <v>226</v>
      </c>
      <c r="H1143" s="510">
        <v>5.6999999999999996E-6</v>
      </c>
      <c r="I1143" s="510"/>
      <c r="J1143" s="527">
        <v>2491030.2799999998</v>
      </c>
      <c r="K1143" s="527"/>
      <c r="L1143" s="367">
        <f>TRUNC(TRUNC(H1143,8)*J1143,2)</f>
        <v>14.19</v>
      </c>
    </row>
    <row r="1144" spans="1:12" ht="15" customHeight="1" x14ac:dyDescent="0.25">
      <c r="A1144" s="182"/>
      <c r="B1144" s="183"/>
      <c r="C1144" s="183"/>
      <c r="D1144" s="183"/>
      <c r="E1144" s="183"/>
      <c r="F1144" s="183"/>
      <c r="G1144" s="183"/>
      <c r="H1144" s="477" t="s">
        <v>2446</v>
      </c>
      <c r="I1144" s="477"/>
      <c r="J1144" s="477"/>
      <c r="K1144" s="477"/>
      <c r="L1144" s="368">
        <f>SUM(L1143:L1143)</f>
        <v>14.19</v>
      </c>
    </row>
    <row r="1145" spans="1:12" ht="15" customHeight="1" x14ac:dyDescent="0.25">
      <c r="A1145" s="182"/>
      <c r="B1145" s="183"/>
      <c r="C1145" s="183"/>
      <c r="D1145" s="183"/>
      <c r="E1145" s="183"/>
      <c r="F1145" s="183"/>
      <c r="G1145" s="183"/>
      <c r="H1145" s="482" t="s">
        <v>1834</v>
      </c>
      <c r="I1145" s="482"/>
      <c r="J1145" s="482"/>
      <c r="K1145" s="482"/>
      <c r="L1145" s="369">
        <f>ROUND(SUM(L1144),2)</f>
        <v>14.19</v>
      </c>
    </row>
    <row r="1146" spans="1:12" ht="9.9499999999999993" customHeight="1" x14ac:dyDescent="0.25">
      <c r="A1146" s="182"/>
      <c r="B1146" s="183"/>
      <c r="C1146" s="183"/>
      <c r="D1146" s="183"/>
      <c r="E1146" s="183"/>
      <c r="F1146" s="183"/>
      <c r="G1146" s="183"/>
      <c r="H1146" s="485"/>
      <c r="I1146" s="485"/>
      <c r="J1146" s="485"/>
      <c r="K1146" s="485"/>
      <c r="L1146" s="512"/>
    </row>
    <row r="1147" spans="1:12" ht="20.100000000000001" customHeight="1" x14ac:dyDescent="0.25">
      <c r="A1147" s="486" t="s">
        <v>2835</v>
      </c>
      <c r="B1147" s="487"/>
      <c r="C1147" s="487"/>
      <c r="D1147" s="487"/>
      <c r="E1147" s="487"/>
      <c r="F1147" s="487"/>
      <c r="G1147" s="487"/>
      <c r="H1147" s="487"/>
      <c r="I1147" s="487"/>
      <c r="J1147" s="487"/>
      <c r="K1147" s="487"/>
      <c r="L1147" s="513"/>
    </row>
    <row r="1148" spans="1:12" ht="15" customHeight="1" x14ac:dyDescent="0.25">
      <c r="A1148" s="474" t="s">
        <v>2443</v>
      </c>
      <c r="B1148" s="475"/>
      <c r="C1148" s="475"/>
      <c r="D1148" s="476" t="s">
        <v>42</v>
      </c>
      <c r="E1148" s="476"/>
      <c r="F1148" s="476"/>
      <c r="G1148" s="230" t="s">
        <v>44</v>
      </c>
      <c r="H1148" s="476" t="s">
        <v>1813</v>
      </c>
      <c r="I1148" s="476"/>
      <c r="J1148" s="476" t="s">
        <v>1814</v>
      </c>
      <c r="K1148" s="476"/>
      <c r="L1148" s="366" t="s">
        <v>1802</v>
      </c>
    </row>
    <row r="1149" spans="1:12" ht="29.1" customHeight="1" x14ac:dyDescent="0.25">
      <c r="A1149" s="181" t="s">
        <v>2832</v>
      </c>
      <c r="B1149" s="509" t="s">
        <v>2833</v>
      </c>
      <c r="C1149" s="509"/>
      <c r="D1149" s="481" t="s">
        <v>82</v>
      </c>
      <c r="E1149" s="481"/>
      <c r="F1149" s="481"/>
      <c r="G1149" s="231" t="s">
        <v>226</v>
      </c>
      <c r="H1149" s="510">
        <v>1.4100000000000001E-5</v>
      </c>
      <c r="I1149" s="510"/>
      <c r="J1149" s="527">
        <v>2491030.2799999998</v>
      </c>
      <c r="K1149" s="527"/>
      <c r="L1149" s="367">
        <f>TRUNC(TRUNC(H1149,8)*J1149,2)</f>
        <v>35.119999999999997</v>
      </c>
    </row>
    <row r="1150" spans="1:12" ht="15" customHeight="1" x14ac:dyDescent="0.25">
      <c r="A1150" s="182"/>
      <c r="B1150" s="183"/>
      <c r="C1150" s="183"/>
      <c r="D1150" s="183"/>
      <c r="E1150" s="183"/>
      <c r="F1150" s="183"/>
      <c r="G1150" s="183"/>
      <c r="H1150" s="477" t="s">
        <v>2446</v>
      </c>
      <c r="I1150" s="477"/>
      <c r="J1150" s="477"/>
      <c r="K1150" s="477"/>
      <c r="L1150" s="368">
        <f>SUM(L1149:L1149)</f>
        <v>35.119999999999997</v>
      </c>
    </row>
    <row r="1151" spans="1:12" ht="15" customHeight="1" x14ac:dyDescent="0.25">
      <c r="A1151" s="182"/>
      <c r="B1151" s="183"/>
      <c r="C1151" s="183"/>
      <c r="D1151" s="183"/>
      <c r="E1151" s="183"/>
      <c r="F1151" s="183"/>
      <c r="G1151" s="183"/>
      <c r="H1151" s="482" t="s">
        <v>1834</v>
      </c>
      <c r="I1151" s="482"/>
      <c r="J1151" s="482"/>
      <c r="K1151" s="482"/>
      <c r="L1151" s="369">
        <f>ROUND(SUM(L1150),2)</f>
        <v>35.119999999999997</v>
      </c>
    </row>
    <row r="1152" spans="1:12" ht="9.9499999999999993" customHeight="1" x14ac:dyDescent="0.25">
      <c r="A1152" s="182"/>
      <c r="B1152" s="183"/>
      <c r="C1152" s="183"/>
      <c r="D1152" s="183"/>
      <c r="E1152" s="183"/>
      <c r="F1152" s="183"/>
      <c r="G1152" s="183"/>
      <c r="H1152" s="485"/>
      <c r="I1152" s="485"/>
      <c r="J1152" s="485"/>
      <c r="K1152" s="485"/>
      <c r="L1152" s="512"/>
    </row>
    <row r="1153" spans="1:12" ht="20.100000000000001" customHeight="1" x14ac:dyDescent="0.25">
      <c r="A1153" s="486" t="s">
        <v>2836</v>
      </c>
      <c r="B1153" s="487"/>
      <c r="C1153" s="487"/>
      <c r="D1153" s="487"/>
      <c r="E1153" s="487"/>
      <c r="F1153" s="487"/>
      <c r="G1153" s="487"/>
      <c r="H1153" s="487"/>
      <c r="I1153" s="487"/>
      <c r="J1153" s="487"/>
      <c r="K1153" s="487"/>
      <c r="L1153" s="513"/>
    </row>
    <row r="1154" spans="1:12" ht="15" customHeight="1" x14ac:dyDescent="0.25">
      <c r="A1154" s="474" t="s">
        <v>2443</v>
      </c>
      <c r="B1154" s="475"/>
      <c r="C1154" s="475"/>
      <c r="D1154" s="476" t="s">
        <v>42</v>
      </c>
      <c r="E1154" s="476"/>
      <c r="F1154" s="476"/>
      <c r="G1154" s="230" t="s">
        <v>44</v>
      </c>
      <c r="H1154" s="476" t="s">
        <v>1813</v>
      </c>
      <c r="I1154" s="476"/>
      <c r="J1154" s="476" t="s">
        <v>1814</v>
      </c>
      <c r="K1154" s="476"/>
      <c r="L1154" s="366" t="s">
        <v>1802</v>
      </c>
    </row>
    <row r="1155" spans="1:12" ht="29.1" customHeight="1" x14ac:dyDescent="0.25">
      <c r="A1155" s="181" t="s">
        <v>2832</v>
      </c>
      <c r="B1155" s="509" t="s">
        <v>2833</v>
      </c>
      <c r="C1155" s="509"/>
      <c r="D1155" s="481" t="s">
        <v>82</v>
      </c>
      <c r="E1155" s="481"/>
      <c r="F1155" s="481"/>
      <c r="G1155" s="231" t="s">
        <v>226</v>
      </c>
      <c r="H1155" s="510">
        <v>6.4300000000000004E-5</v>
      </c>
      <c r="I1155" s="510"/>
      <c r="J1155" s="527">
        <v>2491030.2799999998</v>
      </c>
      <c r="K1155" s="527"/>
      <c r="L1155" s="367">
        <f>TRUNC(TRUNC(H1155,8)*J1155,2)</f>
        <v>160.16999999999999</v>
      </c>
    </row>
    <row r="1156" spans="1:12" ht="15" customHeight="1" x14ac:dyDescent="0.25">
      <c r="A1156" s="182"/>
      <c r="B1156" s="183"/>
      <c r="C1156" s="183"/>
      <c r="D1156" s="183"/>
      <c r="E1156" s="183"/>
      <c r="F1156" s="183"/>
      <c r="G1156" s="183"/>
      <c r="H1156" s="477" t="s">
        <v>2446</v>
      </c>
      <c r="I1156" s="477"/>
      <c r="J1156" s="477"/>
      <c r="K1156" s="477"/>
      <c r="L1156" s="368">
        <f>SUM(L1155:L1155)</f>
        <v>160.16999999999999</v>
      </c>
    </row>
    <row r="1157" spans="1:12" ht="15" customHeight="1" x14ac:dyDescent="0.25">
      <c r="A1157" s="182"/>
      <c r="B1157" s="183"/>
      <c r="C1157" s="183"/>
      <c r="D1157" s="183"/>
      <c r="E1157" s="183"/>
      <c r="F1157" s="183"/>
      <c r="G1157" s="183"/>
      <c r="H1157" s="482" t="s">
        <v>1834</v>
      </c>
      <c r="I1157" s="482"/>
      <c r="J1157" s="482"/>
      <c r="K1157" s="482"/>
      <c r="L1157" s="369">
        <f>ROUND(SUM(L1156),2)</f>
        <v>160.16999999999999</v>
      </c>
    </row>
    <row r="1158" spans="1:12" ht="9.9499999999999993" customHeight="1" x14ac:dyDescent="0.25">
      <c r="A1158" s="182"/>
      <c r="B1158" s="183"/>
      <c r="C1158" s="183"/>
      <c r="D1158" s="183"/>
      <c r="E1158" s="183"/>
      <c r="F1158" s="183"/>
      <c r="G1158" s="183"/>
      <c r="H1158" s="485"/>
      <c r="I1158" s="485"/>
      <c r="J1158" s="485"/>
      <c r="K1158" s="485"/>
      <c r="L1158" s="512"/>
    </row>
    <row r="1159" spans="1:12" ht="20.100000000000001" customHeight="1" x14ac:dyDescent="0.25">
      <c r="A1159" s="486" t="s">
        <v>2837</v>
      </c>
      <c r="B1159" s="487"/>
      <c r="C1159" s="487"/>
      <c r="D1159" s="487"/>
      <c r="E1159" s="487"/>
      <c r="F1159" s="487"/>
      <c r="G1159" s="487"/>
      <c r="H1159" s="487"/>
      <c r="I1159" s="487"/>
      <c r="J1159" s="487"/>
      <c r="K1159" s="487"/>
      <c r="L1159" s="513"/>
    </row>
    <row r="1160" spans="1:12" ht="15" customHeight="1" x14ac:dyDescent="0.25">
      <c r="A1160" s="474" t="s">
        <v>2450</v>
      </c>
      <c r="B1160" s="475"/>
      <c r="C1160" s="475"/>
      <c r="D1160" s="476" t="s">
        <v>42</v>
      </c>
      <c r="E1160" s="476"/>
      <c r="F1160" s="476"/>
      <c r="G1160" s="230" t="s">
        <v>44</v>
      </c>
      <c r="H1160" s="476" t="s">
        <v>1813</v>
      </c>
      <c r="I1160" s="476"/>
      <c r="J1160" s="476" t="s">
        <v>1814</v>
      </c>
      <c r="K1160" s="476"/>
      <c r="L1160" s="366" t="s">
        <v>1802</v>
      </c>
    </row>
    <row r="1161" spans="1:12" ht="21" customHeight="1" x14ac:dyDescent="0.25">
      <c r="A1161" s="181" t="s">
        <v>2451</v>
      </c>
      <c r="B1161" s="509" t="s">
        <v>2452</v>
      </c>
      <c r="C1161" s="509"/>
      <c r="D1161" s="481" t="s">
        <v>82</v>
      </c>
      <c r="E1161" s="481"/>
      <c r="F1161" s="481"/>
      <c r="G1161" s="231" t="s">
        <v>2453</v>
      </c>
      <c r="H1161" s="510">
        <v>13</v>
      </c>
      <c r="I1161" s="510"/>
      <c r="J1161" s="511">
        <v>0.96</v>
      </c>
      <c r="K1161" s="511"/>
      <c r="L1161" s="367">
        <f>TRUNC(TRUNC(H1161,8)*J1161,2)</f>
        <v>12.48</v>
      </c>
    </row>
    <row r="1162" spans="1:12" ht="15" customHeight="1" x14ac:dyDescent="0.25">
      <c r="A1162" s="182"/>
      <c r="B1162" s="183"/>
      <c r="C1162" s="183"/>
      <c r="D1162" s="183"/>
      <c r="E1162" s="183"/>
      <c r="F1162" s="183"/>
      <c r="G1162" s="183"/>
      <c r="H1162" s="477" t="s">
        <v>2454</v>
      </c>
      <c r="I1162" s="477"/>
      <c r="J1162" s="477"/>
      <c r="K1162" s="477"/>
      <c r="L1162" s="368">
        <f>SUM(L1161:L1161)</f>
        <v>12.48</v>
      </c>
    </row>
    <row r="1163" spans="1:12" ht="15" customHeight="1" x14ac:dyDescent="0.25">
      <c r="A1163" s="182"/>
      <c r="B1163" s="183"/>
      <c r="C1163" s="183"/>
      <c r="D1163" s="183"/>
      <c r="E1163" s="183"/>
      <c r="F1163" s="183"/>
      <c r="G1163" s="183"/>
      <c r="H1163" s="482" t="s">
        <v>1834</v>
      </c>
      <c r="I1163" s="482"/>
      <c r="J1163" s="482"/>
      <c r="K1163" s="482"/>
      <c r="L1163" s="369">
        <f>ROUND(SUM(L1162),2)</f>
        <v>12.48</v>
      </c>
    </row>
    <row r="1164" spans="1:12" ht="9.9499999999999993" customHeight="1" x14ac:dyDescent="0.25">
      <c r="A1164" s="182"/>
      <c r="B1164" s="183"/>
      <c r="C1164" s="183"/>
      <c r="D1164" s="183"/>
      <c r="E1164" s="183"/>
      <c r="F1164" s="183"/>
      <c r="G1164" s="183"/>
      <c r="H1164" s="485"/>
      <c r="I1164" s="485"/>
      <c r="J1164" s="485"/>
      <c r="K1164" s="485"/>
      <c r="L1164" s="512"/>
    </row>
    <row r="1165" spans="1:12" ht="20.100000000000001" customHeight="1" x14ac:dyDescent="0.25">
      <c r="A1165" s="486" t="s">
        <v>2838</v>
      </c>
      <c r="B1165" s="487"/>
      <c r="C1165" s="487"/>
      <c r="D1165" s="487"/>
      <c r="E1165" s="487"/>
      <c r="F1165" s="487"/>
      <c r="G1165" s="487"/>
      <c r="H1165" s="487"/>
      <c r="I1165" s="487"/>
      <c r="J1165" s="487"/>
      <c r="K1165" s="487"/>
      <c r="L1165" s="513"/>
    </row>
    <row r="1166" spans="1:12" ht="15" customHeight="1" x14ac:dyDescent="0.25">
      <c r="A1166" s="474" t="s">
        <v>2190</v>
      </c>
      <c r="B1166" s="475"/>
      <c r="C1166" s="475"/>
      <c r="D1166" s="476" t="s">
        <v>42</v>
      </c>
      <c r="E1166" s="476"/>
      <c r="F1166" s="476"/>
      <c r="G1166" s="230" t="s">
        <v>44</v>
      </c>
      <c r="H1166" s="476" t="s">
        <v>1813</v>
      </c>
      <c r="I1166" s="476"/>
      <c r="J1166" s="476" t="s">
        <v>1814</v>
      </c>
      <c r="K1166" s="476"/>
      <c r="L1166" s="366" t="s">
        <v>1802</v>
      </c>
    </row>
    <row r="1167" spans="1:12" ht="21" customHeight="1" x14ac:dyDescent="0.25">
      <c r="A1167" s="181" t="s">
        <v>2839</v>
      </c>
      <c r="B1167" s="509" t="s">
        <v>2840</v>
      </c>
      <c r="C1167" s="509"/>
      <c r="D1167" s="481" t="s">
        <v>82</v>
      </c>
      <c r="E1167" s="481"/>
      <c r="F1167" s="481"/>
      <c r="G1167" s="231" t="s">
        <v>1024</v>
      </c>
      <c r="H1167" s="510">
        <v>1</v>
      </c>
      <c r="I1167" s="510"/>
      <c r="J1167" s="511">
        <v>38.54</v>
      </c>
      <c r="K1167" s="511"/>
      <c r="L1167" s="367">
        <f>TRUNC(TRUNC(H1167,8)*J1167,2)</f>
        <v>38.54</v>
      </c>
    </row>
    <row r="1168" spans="1:12" ht="18" customHeight="1" x14ac:dyDescent="0.25">
      <c r="A1168" s="182"/>
      <c r="B1168" s="183"/>
      <c r="C1168" s="183"/>
      <c r="D1168" s="183"/>
      <c r="E1168" s="183"/>
      <c r="F1168" s="183"/>
      <c r="G1168" s="183"/>
      <c r="H1168" s="477" t="s">
        <v>2195</v>
      </c>
      <c r="I1168" s="477"/>
      <c r="J1168" s="477"/>
      <c r="K1168" s="477"/>
      <c r="L1168" s="368">
        <f>SUM(L1167:L1167)</f>
        <v>38.54</v>
      </c>
    </row>
    <row r="1169" spans="1:12" ht="15" customHeight="1" x14ac:dyDescent="0.25">
      <c r="A1169" s="474" t="s">
        <v>1912</v>
      </c>
      <c r="B1169" s="475"/>
      <c r="C1169" s="475"/>
      <c r="D1169" s="476" t="s">
        <v>42</v>
      </c>
      <c r="E1169" s="476"/>
      <c r="F1169" s="476"/>
      <c r="G1169" s="230" t="s">
        <v>44</v>
      </c>
      <c r="H1169" s="476" t="s">
        <v>1813</v>
      </c>
      <c r="I1169" s="476"/>
      <c r="J1169" s="476" t="s">
        <v>1814</v>
      </c>
      <c r="K1169" s="476"/>
      <c r="L1169" s="366" t="s">
        <v>1802</v>
      </c>
    </row>
    <row r="1170" spans="1:12" ht="45.95" customHeight="1" x14ac:dyDescent="0.25">
      <c r="A1170" s="181" t="s">
        <v>2841</v>
      </c>
      <c r="B1170" s="509" t="s">
        <v>2842</v>
      </c>
      <c r="C1170" s="509"/>
      <c r="D1170" s="481" t="s">
        <v>82</v>
      </c>
      <c r="E1170" s="481"/>
      <c r="F1170" s="481"/>
      <c r="G1170" s="231" t="s">
        <v>1024</v>
      </c>
      <c r="H1170" s="510">
        <v>1</v>
      </c>
      <c r="I1170" s="510"/>
      <c r="J1170" s="511">
        <v>28.21</v>
      </c>
      <c r="K1170" s="511"/>
      <c r="L1170" s="367">
        <f>TRUNC(TRUNC(H1170,8)*J1170,2)</f>
        <v>28.21</v>
      </c>
    </row>
    <row r="1171" spans="1:12" ht="45.95" customHeight="1" x14ac:dyDescent="0.25">
      <c r="A1171" s="181" t="s">
        <v>2843</v>
      </c>
      <c r="B1171" s="509" t="s">
        <v>2844</v>
      </c>
      <c r="C1171" s="509"/>
      <c r="D1171" s="481" t="s">
        <v>82</v>
      </c>
      <c r="E1171" s="481"/>
      <c r="F1171" s="481"/>
      <c r="G1171" s="231" t="s">
        <v>1024</v>
      </c>
      <c r="H1171" s="510">
        <v>1</v>
      </c>
      <c r="I1171" s="510"/>
      <c r="J1171" s="511">
        <v>4.2</v>
      </c>
      <c r="K1171" s="511"/>
      <c r="L1171" s="367">
        <f>TRUNC(TRUNC(H1171,8)*J1171,2)</f>
        <v>4.2</v>
      </c>
    </row>
    <row r="1172" spans="1:12" ht="38.1" customHeight="1" x14ac:dyDescent="0.25">
      <c r="A1172" s="181" t="s">
        <v>2845</v>
      </c>
      <c r="B1172" s="509" t="s">
        <v>2846</v>
      </c>
      <c r="C1172" s="509"/>
      <c r="D1172" s="481" t="s">
        <v>82</v>
      </c>
      <c r="E1172" s="481"/>
      <c r="F1172" s="481"/>
      <c r="G1172" s="231" t="s">
        <v>1024</v>
      </c>
      <c r="H1172" s="510">
        <v>1</v>
      </c>
      <c r="I1172" s="510"/>
      <c r="J1172" s="511">
        <v>10.41</v>
      </c>
      <c r="K1172" s="511"/>
      <c r="L1172" s="367">
        <f>TRUNC(TRUNC(H1172,8)*J1172,2)</f>
        <v>10.41</v>
      </c>
    </row>
    <row r="1173" spans="1:12" ht="15" customHeight="1" x14ac:dyDescent="0.25">
      <c r="A1173" s="182"/>
      <c r="B1173" s="183"/>
      <c r="C1173" s="183"/>
      <c r="D1173" s="183"/>
      <c r="E1173" s="183"/>
      <c r="F1173" s="183"/>
      <c r="G1173" s="183"/>
      <c r="H1173" s="477" t="s">
        <v>1915</v>
      </c>
      <c r="I1173" s="477"/>
      <c r="J1173" s="477"/>
      <c r="K1173" s="477"/>
      <c r="L1173" s="368">
        <f>SUM(L1170:L1172)</f>
        <v>42.820000000000007</v>
      </c>
    </row>
    <row r="1174" spans="1:12" ht="15" customHeight="1" x14ac:dyDescent="0.25">
      <c r="A1174" s="182"/>
      <c r="B1174" s="183"/>
      <c r="C1174" s="183"/>
      <c r="D1174" s="183"/>
      <c r="E1174" s="183"/>
      <c r="F1174" s="183"/>
      <c r="G1174" s="183"/>
      <c r="H1174" s="482" t="s">
        <v>1834</v>
      </c>
      <c r="I1174" s="482"/>
      <c r="J1174" s="482"/>
      <c r="K1174" s="482"/>
      <c r="L1174" s="369">
        <f>ROUND(SUM(L1168,L1173),2)</f>
        <v>81.36</v>
      </c>
    </row>
    <row r="1175" spans="1:12" ht="9.9499999999999993" customHeight="1" x14ac:dyDescent="0.25">
      <c r="A1175" s="182"/>
      <c r="B1175" s="183"/>
      <c r="C1175" s="183"/>
      <c r="D1175" s="183"/>
      <c r="E1175" s="183"/>
      <c r="F1175" s="183"/>
      <c r="G1175" s="183"/>
      <c r="H1175" s="485"/>
      <c r="I1175" s="485"/>
      <c r="J1175" s="485"/>
      <c r="K1175" s="485"/>
      <c r="L1175" s="512"/>
    </row>
    <row r="1176" spans="1:12" ht="20.100000000000001" customHeight="1" x14ac:dyDescent="0.25">
      <c r="A1176" s="486" t="s">
        <v>2847</v>
      </c>
      <c r="B1176" s="487"/>
      <c r="C1176" s="487"/>
      <c r="D1176" s="487"/>
      <c r="E1176" s="487"/>
      <c r="F1176" s="487"/>
      <c r="G1176" s="487"/>
      <c r="H1176" s="487"/>
      <c r="I1176" s="487"/>
      <c r="J1176" s="487"/>
      <c r="K1176" s="487"/>
      <c r="L1176" s="513"/>
    </row>
    <row r="1177" spans="1:12" ht="15" customHeight="1" x14ac:dyDescent="0.25">
      <c r="A1177" s="474" t="s">
        <v>2190</v>
      </c>
      <c r="B1177" s="475"/>
      <c r="C1177" s="475"/>
      <c r="D1177" s="476" t="s">
        <v>42</v>
      </c>
      <c r="E1177" s="476"/>
      <c r="F1177" s="476"/>
      <c r="G1177" s="230" t="s">
        <v>44</v>
      </c>
      <c r="H1177" s="476" t="s">
        <v>1813</v>
      </c>
      <c r="I1177" s="476"/>
      <c r="J1177" s="476" t="s">
        <v>1814</v>
      </c>
      <c r="K1177" s="476"/>
      <c r="L1177" s="366" t="s">
        <v>1802</v>
      </c>
    </row>
    <row r="1178" spans="1:12" ht="21" customHeight="1" x14ac:dyDescent="0.25">
      <c r="A1178" s="181" t="s">
        <v>2839</v>
      </c>
      <c r="B1178" s="509" t="s">
        <v>2840</v>
      </c>
      <c r="C1178" s="509"/>
      <c r="D1178" s="481" t="s">
        <v>82</v>
      </c>
      <c r="E1178" s="481"/>
      <c r="F1178" s="481"/>
      <c r="G1178" s="231" t="s">
        <v>1024</v>
      </c>
      <c r="H1178" s="510">
        <v>1</v>
      </c>
      <c r="I1178" s="510"/>
      <c r="J1178" s="511">
        <v>38.54</v>
      </c>
      <c r="K1178" s="511"/>
      <c r="L1178" s="367">
        <f>TRUNC(TRUNC(H1178,8)*J1178,2)</f>
        <v>38.54</v>
      </c>
    </row>
    <row r="1179" spans="1:12" ht="18" customHeight="1" x14ac:dyDescent="0.25">
      <c r="A1179" s="182"/>
      <c r="B1179" s="183"/>
      <c r="C1179" s="183"/>
      <c r="D1179" s="183"/>
      <c r="E1179" s="183"/>
      <c r="F1179" s="183"/>
      <c r="G1179" s="183"/>
      <c r="H1179" s="477" t="s">
        <v>2195</v>
      </c>
      <c r="I1179" s="477"/>
      <c r="J1179" s="477"/>
      <c r="K1179" s="477"/>
      <c r="L1179" s="368">
        <f>SUM(L1178:L1178)</f>
        <v>38.54</v>
      </c>
    </row>
    <row r="1180" spans="1:12" ht="15" customHeight="1" x14ac:dyDescent="0.25">
      <c r="A1180" s="474" t="s">
        <v>1912</v>
      </c>
      <c r="B1180" s="475"/>
      <c r="C1180" s="475"/>
      <c r="D1180" s="476" t="s">
        <v>42</v>
      </c>
      <c r="E1180" s="476"/>
      <c r="F1180" s="476"/>
      <c r="G1180" s="230" t="s">
        <v>44</v>
      </c>
      <c r="H1180" s="476" t="s">
        <v>1813</v>
      </c>
      <c r="I1180" s="476"/>
      <c r="J1180" s="476" t="s">
        <v>1814</v>
      </c>
      <c r="K1180" s="476"/>
      <c r="L1180" s="366" t="s">
        <v>1802</v>
      </c>
    </row>
    <row r="1181" spans="1:12" ht="45.95" customHeight="1" x14ac:dyDescent="0.25">
      <c r="A1181" s="181" t="s">
        <v>2841</v>
      </c>
      <c r="B1181" s="509" t="s">
        <v>2842</v>
      </c>
      <c r="C1181" s="509"/>
      <c r="D1181" s="481" t="s">
        <v>82</v>
      </c>
      <c r="E1181" s="481"/>
      <c r="F1181" s="481"/>
      <c r="G1181" s="231" t="s">
        <v>1024</v>
      </c>
      <c r="H1181" s="510">
        <v>1</v>
      </c>
      <c r="I1181" s="510"/>
      <c r="J1181" s="511">
        <v>28.21</v>
      </c>
      <c r="K1181" s="511"/>
      <c r="L1181" s="367">
        <f>TRUNC(TRUNC(H1181,8)*J1181,2)</f>
        <v>28.21</v>
      </c>
    </row>
    <row r="1182" spans="1:12" ht="45.95" customHeight="1" x14ac:dyDescent="0.25">
      <c r="A1182" s="181" t="s">
        <v>2843</v>
      </c>
      <c r="B1182" s="509" t="s">
        <v>2844</v>
      </c>
      <c r="C1182" s="509"/>
      <c r="D1182" s="481" t="s">
        <v>82</v>
      </c>
      <c r="E1182" s="481"/>
      <c r="F1182" s="481"/>
      <c r="G1182" s="231" t="s">
        <v>1024</v>
      </c>
      <c r="H1182" s="510">
        <v>1</v>
      </c>
      <c r="I1182" s="510"/>
      <c r="J1182" s="511">
        <v>4.2</v>
      </c>
      <c r="K1182" s="511"/>
      <c r="L1182" s="367">
        <f>TRUNC(TRUNC(H1182,8)*J1182,2)</f>
        <v>4.2</v>
      </c>
    </row>
    <row r="1183" spans="1:12" ht="38.1" customHeight="1" x14ac:dyDescent="0.25">
      <c r="A1183" s="181" t="s">
        <v>2845</v>
      </c>
      <c r="B1183" s="509" t="s">
        <v>2846</v>
      </c>
      <c r="C1183" s="509"/>
      <c r="D1183" s="481" t="s">
        <v>82</v>
      </c>
      <c r="E1183" s="481"/>
      <c r="F1183" s="481"/>
      <c r="G1183" s="231" t="s">
        <v>1024</v>
      </c>
      <c r="H1183" s="510">
        <v>1</v>
      </c>
      <c r="I1183" s="510"/>
      <c r="J1183" s="511">
        <v>10.41</v>
      </c>
      <c r="K1183" s="511"/>
      <c r="L1183" s="367">
        <f>TRUNC(TRUNC(H1183,8)*J1183,2)</f>
        <v>10.41</v>
      </c>
    </row>
    <row r="1184" spans="1:12" ht="45.95" customHeight="1" x14ac:dyDescent="0.25">
      <c r="A1184" s="181" t="s">
        <v>2848</v>
      </c>
      <c r="B1184" s="509" t="s">
        <v>2849</v>
      </c>
      <c r="C1184" s="509"/>
      <c r="D1184" s="481" t="s">
        <v>82</v>
      </c>
      <c r="E1184" s="481"/>
      <c r="F1184" s="481"/>
      <c r="G1184" s="231" t="s">
        <v>1024</v>
      </c>
      <c r="H1184" s="510">
        <v>1</v>
      </c>
      <c r="I1184" s="510"/>
      <c r="J1184" s="511">
        <v>47.93</v>
      </c>
      <c r="K1184" s="511"/>
      <c r="L1184" s="367">
        <f>TRUNC(TRUNC(H1184,8)*J1184,2)</f>
        <v>47.93</v>
      </c>
    </row>
    <row r="1185" spans="1:12" ht="45.95" customHeight="1" x14ac:dyDescent="0.25">
      <c r="A1185" s="181" t="s">
        <v>2850</v>
      </c>
      <c r="B1185" s="509" t="s">
        <v>2851</v>
      </c>
      <c r="C1185" s="509"/>
      <c r="D1185" s="481" t="s">
        <v>82</v>
      </c>
      <c r="E1185" s="481"/>
      <c r="F1185" s="481"/>
      <c r="G1185" s="231" t="s">
        <v>1024</v>
      </c>
      <c r="H1185" s="510">
        <v>1</v>
      </c>
      <c r="I1185" s="510"/>
      <c r="J1185" s="511">
        <v>182.1</v>
      </c>
      <c r="K1185" s="511"/>
      <c r="L1185" s="367">
        <f>TRUNC(TRUNC(H1185,8)*J1185,2)</f>
        <v>182.1</v>
      </c>
    </row>
    <row r="1186" spans="1:12" ht="15" customHeight="1" x14ac:dyDescent="0.25">
      <c r="A1186" s="182"/>
      <c r="B1186" s="183"/>
      <c r="C1186" s="183"/>
      <c r="D1186" s="183"/>
      <c r="E1186" s="183"/>
      <c r="F1186" s="183"/>
      <c r="G1186" s="183"/>
      <c r="H1186" s="477" t="s">
        <v>1915</v>
      </c>
      <c r="I1186" s="477"/>
      <c r="J1186" s="477"/>
      <c r="K1186" s="477"/>
      <c r="L1186" s="368">
        <f>SUM(L1181:L1185)</f>
        <v>272.85000000000002</v>
      </c>
    </row>
    <row r="1187" spans="1:12" ht="15" customHeight="1" x14ac:dyDescent="0.25">
      <c r="A1187" s="182"/>
      <c r="B1187" s="183"/>
      <c r="C1187" s="183"/>
      <c r="D1187" s="183"/>
      <c r="E1187" s="183"/>
      <c r="F1187" s="183"/>
      <c r="G1187" s="183"/>
      <c r="H1187" s="482" t="s">
        <v>1834</v>
      </c>
      <c r="I1187" s="482"/>
      <c r="J1187" s="482"/>
      <c r="K1187" s="482"/>
      <c r="L1187" s="369">
        <f>ROUND(SUM(L1179,L1186),2)</f>
        <v>311.39</v>
      </c>
    </row>
    <row r="1188" spans="1:12" ht="9.9499999999999993" customHeight="1" x14ac:dyDescent="0.25">
      <c r="A1188" s="182"/>
      <c r="B1188" s="183"/>
      <c r="C1188" s="183"/>
      <c r="D1188" s="183"/>
      <c r="E1188" s="183"/>
      <c r="F1188" s="183"/>
      <c r="G1188" s="183"/>
      <c r="H1188" s="485"/>
      <c r="I1188" s="485"/>
      <c r="J1188" s="485"/>
      <c r="K1188" s="485"/>
      <c r="L1188" s="512"/>
    </row>
    <row r="1189" spans="1:12" ht="20.100000000000001" customHeight="1" x14ac:dyDescent="0.25">
      <c r="A1189" s="486" t="s">
        <v>2852</v>
      </c>
      <c r="B1189" s="487"/>
      <c r="C1189" s="487"/>
      <c r="D1189" s="487"/>
      <c r="E1189" s="487"/>
      <c r="F1189" s="487"/>
      <c r="G1189" s="487"/>
      <c r="H1189" s="487"/>
      <c r="I1189" s="487"/>
      <c r="J1189" s="487"/>
      <c r="K1189" s="487"/>
      <c r="L1189" s="513"/>
    </row>
    <row r="1190" spans="1:12" ht="15" customHeight="1" x14ac:dyDescent="0.25">
      <c r="A1190" s="474" t="s">
        <v>2443</v>
      </c>
      <c r="B1190" s="475"/>
      <c r="C1190" s="475"/>
      <c r="D1190" s="476" t="s">
        <v>42</v>
      </c>
      <c r="E1190" s="476"/>
      <c r="F1190" s="476"/>
      <c r="G1190" s="230" t="s">
        <v>44</v>
      </c>
      <c r="H1190" s="476" t="s">
        <v>1813</v>
      </c>
      <c r="I1190" s="476"/>
      <c r="J1190" s="476" t="s">
        <v>1814</v>
      </c>
      <c r="K1190" s="476"/>
      <c r="L1190" s="366" t="s">
        <v>1802</v>
      </c>
    </row>
    <row r="1191" spans="1:12" ht="38.1" customHeight="1" x14ac:dyDescent="0.25">
      <c r="A1191" s="181" t="s">
        <v>2853</v>
      </c>
      <c r="B1191" s="509" t="s">
        <v>2854</v>
      </c>
      <c r="C1191" s="509"/>
      <c r="D1191" s="481" t="s">
        <v>82</v>
      </c>
      <c r="E1191" s="481"/>
      <c r="F1191" s="481"/>
      <c r="G1191" s="231" t="s">
        <v>226</v>
      </c>
      <c r="H1191" s="510">
        <v>3.43E-5</v>
      </c>
      <c r="I1191" s="510"/>
      <c r="J1191" s="511">
        <v>591575.65</v>
      </c>
      <c r="K1191" s="511"/>
      <c r="L1191" s="367">
        <f>TRUNC(TRUNC(H1191,8)*J1191,2)</f>
        <v>20.29</v>
      </c>
    </row>
    <row r="1192" spans="1:12" ht="45.95" customHeight="1" x14ac:dyDescent="0.25">
      <c r="A1192" s="181" t="s">
        <v>2855</v>
      </c>
      <c r="B1192" s="509" t="s">
        <v>2856</v>
      </c>
      <c r="C1192" s="509"/>
      <c r="D1192" s="481" t="s">
        <v>82</v>
      </c>
      <c r="E1192" s="481"/>
      <c r="F1192" s="481"/>
      <c r="G1192" s="231" t="s">
        <v>226</v>
      </c>
      <c r="H1192" s="510">
        <v>5.5099999999999998E-5</v>
      </c>
      <c r="I1192" s="510"/>
      <c r="J1192" s="511">
        <v>143750</v>
      </c>
      <c r="K1192" s="511"/>
      <c r="L1192" s="367">
        <f>TRUNC(TRUNC(H1192,8)*J1192,2)</f>
        <v>7.92</v>
      </c>
    </row>
    <row r="1193" spans="1:12" ht="15" customHeight="1" x14ac:dyDescent="0.25">
      <c r="A1193" s="182"/>
      <c r="B1193" s="183"/>
      <c r="C1193" s="183"/>
      <c r="D1193" s="183"/>
      <c r="E1193" s="183"/>
      <c r="F1193" s="183"/>
      <c r="G1193" s="183"/>
      <c r="H1193" s="477" t="s">
        <v>2446</v>
      </c>
      <c r="I1193" s="477"/>
      <c r="J1193" s="477"/>
      <c r="K1193" s="477"/>
      <c r="L1193" s="368">
        <f>SUM(L1191:L1192)</f>
        <v>28.21</v>
      </c>
    </row>
    <row r="1194" spans="1:12" ht="15" customHeight="1" x14ac:dyDescent="0.25">
      <c r="A1194" s="182"/>
      <c r="B1194" s="183"/>
      <c r="C1194" s="183"/>
      <c r="D1194" s="183"/>
      <c r="E1194" s="183"/>
      <c r="F1194" s="183"/>
      <c r="G1194" s="183"/>
      <c r="H1194" s="482" t="s">
        <v>1834</v>
      </c>
      <c r="I1194" s="482"/>
      <c r="J1194" s="482"/>
      <c r="K1194" s="482"/>
      <c r="L1194" s="369">
        <f>ROUND(SUM(L1193),2)</f>
        <v>28.21</v>
      </c>
    </row>
    <row r="1195" spans="1:12" ht="9.9499999999999993" customHeight="1" x14ac:dyDescent="0.25">
      <c r="A1195" s="182"/>
      <c r="B1195" s="183"/>
      <c r="C1195" s="183"/>
      <c r="D1195" s="183"/>
      <c r="E1195" s="183"/>
      <c r="F1195" s="183"/>
      <c r="G1195" s="183"/>
      <c r="H1195" s="485"/>
      <c r="I1195" s="485"/>
      <c r="J1195" s="485"/>
      <c r="K1195" s="485"/>
      <c r="L1195" s="512"/>
    </row>
    <row r="1196" spans="1:12" ht="20.100000000000001" customHeight="1" x14ac:dyDescent="0.25">
      <c r="A1196" s="486" t="s">
        <v>2857</v>
      </c>
      <c r="B1196" s="487"/>
      <c r="C1196" s="487"/>
      <c r="D1196" s="487"/>
      <c r="E1196" s="487"/>
      <c r="F1196" s="487"/>
      <c r="G1196" s="487"/>
      <c r="H1196" s="487"/>
      <c r="I1196" s="487"/>
      <c r="J1196" s="487"/>
      <c r="K1196" s="487"/>
      <c r="L1196" s="513"/>
    </row>
    <row r="1197" spans="1:12" ht="15" customHeight="1" x14ac:dyDescent="0.25">
      <c r="A1197" s="474" t="s">
        <v>2443</v>
      </c>
      <c r="B1197" s="475"/>
      <c r="C1197" s="475"/>
      <c r="D1197" s="476" t="s">
        <v>42</v>
      </c>
      <c r="E1197" s="476"/>
      <c r="F1197" s="476"/>
      <c r="G1197" s="230" t="s">
        <v>44</v>
      </c>
      <c r="H1197" s="476" t="s">
        <v>1813</v>
      </c>
      <c r="I1197" s="476"/>
      <c r="J1197" s="476" t="s">
        <v>1814</v>
      </c>
      <c r="K1197" s="476"/>
      <c r="L1197" s="366" t="s">
        <v>1802</v>
      </c>
    </row>
    <row r="1198" spans="1:12" ht="38.1" customHeight="1" x14ac:dyDescent="0.25">
      <c r="A1198" s="181" t="s">
        <v>2853</v>
      </c>
      <c r="B1198" s="509" t="s">
        <v>2854</v>
      </c>
      <c r="C1198" s="509"/>
      <c r="D1198" s="481" t="s">
        <v>82</v>
      </c>
      <c r="E1198" s="481"/>
      <c r="F1198" s="481"/>
      <c r="G1198" s="231" t="s">
        <v>226</v>
      </c>
      <c r="H1198" s="510">
        <v>5.6999999999999996E-6</v>
      </c>
      <c r="I1198" s="510"/>
      <c r="J1198" s="511">
        <v>591575.65</v>
      </c>
      <c r="K1198" s="511"/>
      <c r="L1198" s="367">
        <f>TRUNC(TRUNC(H1198,8)*J1198,2)</f>
        <v>3.37</v>
      </c>
    </row>
    <row r="1199" spans="1:12" ht="45.95" customHeight="1" x14ac:dyDescent="0.25">
      <c r="A1199" s="181" t="s">
        <v>2855</v>
      </c>
      <c r="B1199" s="509" t="s">
        <v>2856</v>
      </c>
      <c r="C1199" s="509"/>
      <c r="D1199" s="481" t="s">
        <v>82</v>
      </c>
      <c r="E1199" s="481"/>
      <c r="F1199" s="481"/>
      <c r="G1199" s="231" t="s">
        <v>226</v>
      </c>
      <c r="H1199" s="510">
        <v>5.8000000000000004E-6</v>
      </c>
      <c r="I1199" s="510"/>
      <c r="J1199" s="511">
        <v>143750</v>
      </c>
      <c r="K1199" s="511"/>
      <c r="L1199" s="367">
        <f>TRUNC(TRUNC(H1199,8)*J1199,2)</f>
        <v>0.83</v>
      </c>
    </row>
    <row r="1200" spans="1:12" ht="15" customHeight="1" x14ac:dyDescent="0.25">
      <c r="A1200" s="182"/>
      <c r="B1200" s="183"/>
      <c r="C1200" s="183"/>
      <c r="D1200" s="183"/>
      <c r="E1200" s="183"/>
      <c r="F1200" s="183"/>
      <c r="G1200" s="183"/>
      <c r="H1200" s="477" t="s">
        <v>2446</v>
      </c>
      <c r="I1200" s="477"/>
      <c r="J1200" s="477"/>
      <c r="K1200" s="477"/>
      <c r="L1200" s="368">
        <f>SUM(L1198:L1199)</f>
        <v>4.2</v>
      </c>
    </row>
    <row r="1201" spans="1:12" ht="15" customHeight="1" x14ac:dyDescent="0.25">
      <c r="A1201" s="182"/>
      <c r="B1201" s="183"/>
      <c r="C1201" s="183"/>
      <c r="D1201" s="183"/>
      <c r="E1201" s="183"/>
      <c r="F1201" s="183"/>
      <c r="G1201" s="183"/>
      <c r="H1201" s="482" t="s">
        <v>1834</v>
      </c>
      <c r="I1201" s="482"/>
      <c r="J1201" s="482"/>
      <c r="K1201" s="482"/>
      <c r="L1201" s="369">
        <f>ROUND(SUM(L1200),2)</f>
        <v>4.2</v>
      </c>
    </row>
    <row r="1202" spans="1:12" ht="9.9499999999999993" customHeight="1" x14ac:dyDescent="0.25">
      <c r="A1202" s="182"/>
      <c r="B1202" s="183"/>
      <c r="C1202" s="183"/>
      <c r="D1202" s="183"/>
      <c r="E1202" s="183"/>
      <c r="F1202" s="183"/>
      <c r="G1202" s="183"/>
      <c r="H1202" s="485"/>
      <c r="I1202" s="485"/>
      <c r="J1202" s="485"/>
      <c r="K1202" s="485"/>
      <c r="L1202" s="512"/>
    </row>
    <row r="1203" spans="1:12" ht="20.100000000000001" customHeight="1" x14ac:dyDescent="0.25">
      <c r="A1203" s="486" t="s">
        <v>2858</v>
      </c>
      <c r="B1203" s="487"/>
      <c r="C1203" s="487"/>
      <c r="D1203" s="487"/>
      <c r="E1203" s="487"/>
      <c r="F1203" s="487"/>
      <c r="G1203" s="487"/>
      <c r="H1203" s="487"/>
      <c r="I1203" s="487"/>
      <c r="J1203" s="487"/>
      <c r="K1203" s="487"/>
      <c r="L1203" s="513"/>
    </row>
    <row r="1204" spans="1:12" ht="15" customHeight="1" x14ac:dyDescent="0.25">
      <c r="A1204" s="474" t="s">
        <v>2443</v>
      </c>
      <c r="B1204" s="475"/>
      <c r="C1204" s="475"/>
      <c r="D1204" s="476" t="s">
        <v>42</v>
      </c>
      <c r="E1204" s="476"/>
      <c r="F1204" s="476"/>
      <c r="G1204" s="230" t="s">
        <v>44</v>
      </c>
      <c r="H1204" s="476" t="s">
        <v>1813</v>
      </c>
      <c r="I1204" s="476"/>
      <c r="J1204" s="476" t="s">
        <v>1814</v>
      </c>
      <c r="K1204" s="476"/>
      <c r="L1204" s="366" t="s">
        <v>1802</v>
      </c>
    </row>
    <row r="1205" spans="1:12" ht="38.1" customHeight="1" x14ac:dyDescent="0.25">
      <c r="A1205" s="181" t="s">
        <v>2853</v>
      </c>
      <c r="B1205" s="509" t="s">
        <v>2854</v>
      </c>
      <c r="C1205" s="509"/>
      <c r="D1205" s="481" t="s">
        <v>82</v>
      </c>
      <c r="E1205" s="481"/>
      <c r="F1205" s="481"/>
      <c r="G1205" s="231" t="s">
        <v>226</v>
      </c>
      <c r="H1205" s="510">
        <v>1.4100000000000001E-5</v>
      </c>
      <c r="I1205" s="510"/>
      <c r="J1205" s="511">
        <v>591575.65</v>
      </c>
      <c r="K1205" s="511"/>
      <c r="L1205" s="367">
        <f>TRUNC(TRUNC(H1205,8)*J1205,2)</f>
        <v>8.34</v>
      </c>
    </row>
    <row r="1206" spans="1:12" ht="45.95" customHeight="1" x14ac:dyDescent="0.25">
      <c r="A1206" s="181" t="s">
        <v>2855</v>
      </c>
      <c r="B1206" s="509" t="s">
        <v>2856</v>
      </c>
      <c r="C1206" s="509"/>
      <c r="D1206" s="481" t="s">
        <v>82</v>
      </c>
      <c r="E1206" s="481"/>
      <c r="F1206" s="481"/>
      <c r="G1206" s="231" t="s">
        <v>226</v>
      </c>
      <c r="H1206" s="510">
        <v>1.4399999999999999E-5</v>
      </c>
      <c r="I1206" s="510"/>
      <c r="J1206" s="511">
        <v>143750</v>
      </c>
      <c r="K1206" s="511"/>
      <c r="L1206" s="367">
        <f>TRUNC(TRUNC(H1206,8)*J1206,2)</f>
        <v>2.0699999999999998</v>
      </c>
    </row>
    <row r="1207" spans="1:12" ht="15" customHeight="1" x14ac:dyDescent="0.25">
      <c r="A1207" s="182"/>
      <c r="B1207" s="183"/>
      <c r="C1207" s="183"/>
      <c r="D1207" s="183"/>
      <c r="E1207" s="183"/>
      <c r="F1207" s="183"/>
      <c r="G1207" s="183"/>
      <c r="H1207" s="477" t="s">
        <v>2446</v>
      </c>
      <c r="I1207" s="477"/>
      <c r="J1207" s="477"/>
      <c r="K1207" s="477"/>
      <c r="L1207" s="368">
        <f>SUM(L1205:L1206)</f>
        <v>10.41</v>
      </c>
    </row>
    <row r="1208" spans="1:12" ht="15" customHeight="1" x14ac:dyDescent="0.25">
      <c r="A1208" s="182"/>
      <c r="B1208" s="183"/>
      <c r="C1208" s="183"/>
      <c r="D1208" s="183"/>
      <c r="E1208" s="183"/>
      <c r="F1208" s="183"/>
      <c r="G1208" s="183"/>
      <c r="H1208" s="482" t="s">
        <v>1834</v>
      </c>
      <c r="I1208" s="482"/>
      <c r="J1208" s="482"/>
      <c r="K1208" s="482"/>
      <c r="L1208" s="369">
        <f>ROUND(SUM(L1207),2)</f>
        <v>10.41</v>
      </c>
    </row>
    <row r="1209" spans="1:12" ht="9.9499999999999993" customHeight="1" x14ac:dyDescent="0.25">
      <c r="A1209" s="182"/>
      <c r="B1209" s="183"/>
      <c r="C1209" s="183"/>
      <c r="D1209" s="183"/>
      <c r="E1209" s="183"/>
      <c r="F1209" s="183"/>
      <c r="G1209" s="183"/>
      <c r="H1209" s="485"/>
      <c r="I1209" s="485"/>
      <c r="J1209" s="485"/>
      <c r="K1209" s="485"/>
      <c r="L1209" s="512"/>
    </row>
    <row r="1210" spans="1:12" ht="20.100000000000001" customHeight="1" x14ac:dyDescent="0.25">
      <c r="A1210" s="486" t="s">
        <v>2859</v>
      </c>
      <c r="B1210" s="487"/>
      <c r="C1210" s="487"/>
      <c r="D1210" s="487"/>
      <c r="E1210" s="487"/>
      <c r="F1210" s="487"/>
      <c r="G1210" s="487"/>
      <c r="H1210" s="487"/>
      <c r="I1210" s="487"/>
      <c r="J1210" s="487"/>
      <c r="K1210" s="487"/>
      <c r="L1210" s="513"/>
    </row>
    <row r="1211" spans="1:12" ht="15" customHeight="1" x14ac:dyDescent="0.25">
      <c r="A1211" s="474" t="s">
        <v>2443</v>
      </c>
      <c r="B1211" s="475"/>
      <c r="C1211" s="475"/>
      <c r="D1211" s="476" t="s">
        <v>42</v>
      </c>
      <c r="E1211" s="476"/>
      <c r="F1211" s="476"/>
      <c r="G1211" s="230" t="s">
        <v>44</v>
      </c>
      <c r="H1211" s="476" t="s">
        <v>1813</v>
      </c>
      <c r="I1211" s="476"/>
      <c r="J1211" s="476" t="s">
        <v>1814</v>
      </c>
      <c r="K1211" s="476"/>
      <c r="L1211" s="366" t="s">
        <v>1802</v>
      </c>
    </row>
    <row r="1212" spans="1:12" ht="38.1" customHeight="1" x14ac:dyDescent="0.25">
      <c r="A1212" s="181" t="s">
        <v>2853</v>
      </c>
      <c r="B1212" s="509" t="s">
        <v>2854</v>
      </c>
      <c r="C1212" s="509"/>
      <c r="D1212" s="481" t="s">
        <v>82</v>
      </c>
      <c r="E1212" s="481"/>
      <c r="F1212" s="481"/>
      <c r="G1212" s="231" t="s">
        <v>226</v>
      </c>
      <c r="H1212" s="510">
        <v>6.4300000000000004E-5</v>
      </c>
      <c r="I1212" s="510"/>
      <c r="J1212" s="511">
        <v>591575.65</v>
      </c>
      <c r="K1212" s="511"/>
      <c r="L1212" s="367">
        <f>TRUNC(TRUNC(H1212,8)*J1212,2)</f>
        <v>38.03</v>
      </c>
    </row>
    <row r="1213" spans="1:12" ht="45.95" customHeight="1" x14ac:dyDescent="0.25">
      <c r="A1213" s="181" t="s">
        <v>2855</v>
      </c>
      <c r="B1213" s="509" t="s">
        <v>2856</v>
      </c>
      <c r="C1213" s="509"/>
      <c r="D1213" s="481" t="s">
        <v>82</v>
      </c>
      <c r="E1213" s="481"/>
      <c r="F1213" s="481"/>
      <c r="G1213" s="231" t="s">
        <v>226</v>
      </c>
      <c r="H1213" s="510">
        <v>6.8899999999999994E-5</v>
      </c>
      <c r="I1213" s="510"/>
      <c r="J1213" s="511">
        <v>143750</v>
      </c>
      <c r="K1213" s="511"/>
      <c r="L1213" s="367">
        <f>TRUNC(TRUNC(H1213,8)*J1213,2)</f>
        <v>9.9</v>
      </c>
    </row>
    <row r="1214" spans="1:12" ht="15" customHeight="1" x14ac:dyDescent="0.25">
      <c r="A1214" s="182"/>
      <c r="B1214" s="183"/>
      <c r="C1214" s="183"/>
      <c r="D1214" s="183"/>
      <c r="E1214" s="183"/>
      <c r="F1214" s="183"/>
      <c r="G1214" s="183"/>
      <c r="H1214" s="477" t="s">
        <v>2446</v>
      </c>
      <c r="I1214" s="477"/>
      <c r="J1214" s="477"/>
      <c r="K1214" s="477"/>
      <c r="L1214" s="368">
        <f>SUM(L1212:L1213)</f>
        <v>47.93</v>
      </c>
    </row>
    <row r="1215" spans="1:12" ht="15" customHeight="1" x14ac:dyDescent="0.25">
      <c r="A1215" s="182"/>
      <c r="B1215" s="183"/>
      <c r="C1215" s="183"/>
      <c r="D1215" s="183"/>
      <c r="E1215" s="183"/>
      <c r="F1215" s="183"/>
      <c r="G1215" s="183"/>
      <c r="H1215" s="482" t="s">
        <v>1834</v>
      </c>
      <c r="I1215" s="482"/>
      <c r="J1215" s="482"/>
      <c r="K1215" s="482"/>
      <c r="L1215" s="369">
        <f>ROUND(SUM(L1214),2)</f>
        <v>47.93</v>
      </c>
    </row>
    <row r="1216" spans="1:12" ht="9.9499999999999993" customHeight="1" x14ac:dyDescent="0.25">
      <c r="A1216" s="182"/>
      <c r="B1216" s="183"/>
      <c r="C1216" s="183"/>
      <c r="D1216" s="183"/>
      <c r="E1216" s="183"/>
      <c r="F1216" s="183"/>
      <c r="G1216" s="183"/>
      <c r="H1216" s="485"/>
      <c r="I1216" s="485"/>
      <c r="J1216" s="485"/>
      <c r="K1216" s="485"/>
      <c r="L1216" s="512"/>
    </row>
    <row r="1217" spans="1:12" ht="20.100000000000001" customHeight="1" x14ac:dyDescent="0.25">
      <c r="A1217" s="486" t="s">
        <v>2860</v>
      </c>
      <c r="B1217" s="487"/>
      <c r="C1217" s="487"/>
      <c r="D1217" s="487"/>
      <c r="E1217" s="487"/>
      <c r="F1217" s="487"/>
      <c r="G1217" s="487"/>
      <c r="H1217" s="487"/>
      <c r="I1217" s="487"/>
      <c r="J1217" s="487"/>
      <c r="K1217" s="487"/>
      <c r="L1217" s="513"/>
    </row>
    <row r="1218" spans="1:12" ht="15" customHeight="1" x14ac:dyDescent="0.25">
      <c r="A1218" s="474" t="s">
        <v>1812</v>
      </c>
      <c r="B1218" s="475"/>
      <c r="C1218" s="475"/>
      <c r="D1218" s="476" t="s">
        <v>42</v>
      </c>
      <c r="E1218" s="476"/>
      <c r="F1218" s="476"/>
      <c r="G1218" s="230" t="s">
        <v>44</v>
      </c>
      <c r="H1218" s="476" t="s">
        <v>1813</v>
      </c>
      <c r="I1218" s="476"/>
      <c r="J1218" s="476" t="s">
        <v>1814</v>
      </c>
      <c r="K1218" s="476"/>
      <c r="L1218" s="366" t="s">
        <v>1802</v>
      </c>
    </row>
    <row r="1219" spans="1:12" ht="21" customHeight="1" x14ac:dyDescent="0.25">
      <c r="A1219" s="181" t="s">
        <v>2498</v>
      </c>
      <c r="B1219" s="509" t="s">
        <v>2499</v>
      </c>
      <c r="C1219" s="509"/>
      <c r="D1219" s="481" t="s">
        <v>82</v>
      </c>
      <c r="E1219" s="481"/>
      <c r="F1219" s="481"/>
      <c r="G1219" s="231" t="s">
        <v>1006</v>
      </c>
      <c r="H1219" s="510">
        <v>26.43</v>
      </c>
      <c r="I1219" s="510"/>
      <c r="J1219" s="511">
        <v>6.89</v>
      </c>
      <c r="K1219" s="511"/>
      <c r="L1219" s="367">
        <f>TRUNC(TRUNC(H1219,8)*J1219,2)</f>
        <v>182.1</v>
      </c>
    </row>
    <row r="1220" spans="1:12" ht="15" customHeight="1" x14ac:dyDescent="0.25">
      <c r="A1220" s="182"/>
      <c r="B1220" s="183"/>
      <c r="C1220" s="183"/>
      <c r="D1220" s="183"/>
      <c r="E1220" s="183"/>
      <c r="F1220" s="183"/>
      <c r="G1220" s="183"/>
      <c r="H1220" s="477" t="s">
        <v>1826</v>
      </c>
      <c r="I1220" s="477"/>
      <c r="J1220" s="477"/>
      <c r="K1220" s="477"/>
      <c r="L1220" s="368">
        <f>SUM(L1219:L1219)</f>
        <v>182.1</v>
      </c>
    </row>
    <row r="1221" spans="1:12" ht="15" customHeight="1" x14ac:dyDescent="0.25">
      <c r="A1221" s="182"/>
      <c r="B1221" s="183"/>
      <c r="C1221" s="183"/>
      <c r="D1221" s="183"/>
      <c r="E1221" s="183"/>
      <c r="F1221" s="183"/>
      <c r="G1221" s="183"/>
      <c r="H1221" s="482" t="s">
        <v>1834</v>
      </c>
      <c r="I1221" s="482"/>
      <c r="J1221" s="482"/>
      <c r="K1221" s="482"/>
      <c r="L1221" s="369">
        <f>ROUND(SUM(L1220),2)</f>
        <v>182.1</v>
      </c>
    </row>
    <row r="1222" spans="1:12" ht="9.9499999999999993" customHeight="1" x14ac:dyDescent="0.25">
      <c r="A1222" s="182"/>
      <c r="B1222" s="183"/>
      <c r="C1222" s="183"/>
      <c r="D1222" s="183"/>
      <c r="E1222" s="183"/>
      <c r="F1222" s="183"/>
      <c r="G1222" s="183"/>
      <c r="H1222" s="485"/>
      <c r="I1222" s="485"/>
      <c r="J1222" s="485"/>
      <c r="K1222" s="485"/>
      <c r="L1222" s="512"/>
    </row>
    <row r="1223" spans="1:12" ht="20.100000000000001" customHeight="1" x14ac:dyDescent="0.25">
      <c r="A1223" s="486" t="s">
        <v>2861</v>
      </c>
      <c r="B1223" s="487"/>
      <c r="C1223" s="487"/>
      <c r="D1223" s="487"/>
      <c r="E1223" s="487"/>
      <c r="F1223" s="487"/>
      <c r="G1223" s="487"/>
      <c r="H1223" s="487"/>
      <c r="I1223" s="487"/>
      <c r="J1223" s="487"/>
      <c r="K1223" s="487"/>
      <c r="L1223" s="513"/>
    </row>
    <row r="1224" spans="1:12" ht="15" customHeight="1" x14ac:dyDescent="0.25">
      <c r="A1224" s="474" t="s">
        <v>2190</v>
      </c>
      <c r="B1224" s="475"/>
      <c r="C1224" s="475"/>
      <c r="D1224" s="476" t="s">
        <v>42</v>
      </c>
      <c r="E1224" s="476"/>
      <c r="F1224" s="476"/>
      <c r="G1224" s="230" t="s">
        <v>44</v>
      </c>
      <c r="H1224" s="476" t="s">
        <v>1813</v>
      </c>
      <c r="I1224" s="476"/>
      <c r="J1224" s="476" t="s">
        <v>1814</v>
      </c>
      <c r="K1224" s="476"/>
      <c r="L1224" s="366" t="s">
        <v>1802</v>
      </c>
    </row>
    <row r="1225" spans="1:12" ht="21" customHeight="1" x14ac:dyDescent="0.25">
      <c r="A1225" s="181" t="s">
        <v>2839</v>
      </c>
      <c r="B1225" s="509" t="s">
        <v>2840</v>
      </c>
      <c r="C1225" s="509"/>
      <c r="D1225" s="481" t="s">
        <v>82</v>
      </c>
      <c r="E1225" s="481"/>
      <c r="F1225" s="481"/>
      <c r="G1225" s="231" t="s">
        <v>1024</v>
      </c>
      <c r="H1225" s="510">
        <v>1</v>
      </c>
      <c r="I1225" s="510"/>
      <c r="J1225" s="511">
        <v>38.54</v>
      </c>
      <c r="K1225" s="511"/>
      <c r="L1225" s="367">
        <f>TRUNC(TRUNC(H1225,8)*J1225,2)</f>
        <v>38.54</v>
      </c>
    </row>
    <row r="1226" spans="1:12" ht="18" customHeight="1" x14ac:dyDescent="0.25">
      <c r="A1226" s="182"/>
      <c r="B1226" s="183"/>
      <c r="C1226" s="183"/>
      <c r="D1226" s="183"/>
      <c r="E1226" s="183"/>
      <c r="F1226" s="183"/>
      <c r="G1226" s="183"/>
      <c r="H1226" s="477" t="s">
        <v>2195</v>
      </c>
      <c r="I1226" s="477"/>
      <c r="J1226" s="477"/>
      <c r="K1226" s="477"/>
      <c r="L1226" s="368">
        <f>SUM(L1225:L1225)</f>
        <v>38.54</v>
      </c>
    </row>
    <row r="1227" spans="1:12" ht="15" customHeight="1" x14ac:dyDescent="0.25">
      <c r="A1227" s="474" t="s">
        <v>1912</v>
      </c>
      <c r="B1227" s="475"/>
      <c r="C1227" s="475"/>
      <c r="D1227" s="476" t="s">
        <v>42</v>
      </c>
      <c r="E1227" s="476"/>
      <c r="F1227" s="476"/>
      <c r="G1227" s="230" t="s">
        <v>44</v>
      </c>
      <c r="H1227" s="476" t="s">
        <v>1813</v>
      </c>
      <c r="I1227" s="476"/>
      <c r="J1227" s="476" t="s">
        <v>1814</v>
      </c>
      <c r="K1227" s="476"/>
      <c r="L1227" s="366" t="s">
        <v>1802</v>
      </c>
    </row>
    <row r="1228" spans="1:12" ht="45.95" customHeight="1" x14ac:dyDescent="0.25">
      <c r="A1228" s="181" t="s">
        <v>2862</v>
      </c>
      <c r="B1228" s="509" t="s">
        <v>2863</v>
      </c>
      <c r="C1228" s="509"/>
      <c r="D1228" s="481" t="s">
        <v>82</v>
      </c>
      <c r="E1228" s="481"/>
      <c r="F1228" s="481"/>
      <c r="G1228" s="231" t="s">
        <v>1024</v>
      </c>
      <c r="H1228" s="510">
        <v>1</v>
      </c>
      <c r="I1228" s="510"/>
      <c r="J1228" s="511">
        <v>22.37</v>
      </c>
      <c r="K1228" s="511"/>
      <c r="L1228" s="367">
        <f>TRUNC(TRUNC(H1228,8)*J1228,2)</f>
        <v>22.37</v>
      </c>
    </row>
    <row r="1229" spans="1:12" ht="45.95" customHeight="1" x14ac:dyDescent="0.25">
      <c r="A1229" s="181" t="s">
        <v>2864</v>
      </c>
      <c r="B1229" s="509" t="s">
        <v>2865</v>
      </c>
      <c r="C1229" s="509"/>
      <c r="D1229" s="481" t="s">
        <v>82</v>
      </c>
      <c r="E1229" s="481"/>
      <c r="F1229" s="481"/>
      <c r="G1229" s="231" t="s">
        <v>1024</v>
      </c>
      <c r="H1229" s="510">
        <v>1</v>
      </c>
      <c r="I1229" s="510"/>
      <c r="J1229" s="511">
        <v>3.37</v>
      </c>
      <c r="K1229" s="511"/>
      <c r="L1229" s="367">
        <f>TRUNC(TRUNC(H1229,8)*J1229,2)</f>
        <v>3.37</v>
      </c>
    </row>
    <row r="1230" spans="1:12" ht="38.1" customHeight="1" x14ac:dyDescent="0.25">
      <c r="A1230" s="181" t="s">
        <v>2866</v>
      </c>
      <c r="B1230" s="509" t="s">
        <v>2867</v>
      </c>
      <c r="C1230" s="509"/>
      <c r="D1230" s="481" t="s">
        <v>82</v>
      </c>
      <c r="E1230" s="481"/>
      <c r="F1230" s="481"/>
      <c r="G1230" s="231" t="s">
        <v>1024</v>
      </c>
      <c r="H1230" s="510">
        <v>1</v>
      </c>
      <c r="I1230" s="510"/>
      <c r="J1230" s="511">
        <v>8.35</v>
      </c>
      <c r="K1230" s="511"/>
      <c r="L1230" s="367">
        <f>TRUNC(TRUNC(H1230,8)*J1230,2)</f>
        <v>8.35</v>
      </c>
    </row>
    <row r="1231" spans="1:12" ht="15" customHeight="1" x14ac:dyDescent="0.25">
      <c r="A1231" s="182"/>
      <c r="B1231" s="183"/>
      <c r="C1231" s="183"/>
      <c r="D1231" s="183"/>
      <c r="E1231" s="183"/>
      <c r="F1231" s="183"/>
      <c r="G1231" s="183"/>
      <c r="H1231" s="477" t="s">
        <v>1915</v>
      </c>
      <c r="I1231" s="477"/>
      <c r="J1231" s="477"/>
      <c r="K1231" s="477"/>
      <c r="L1231" s="368">
        <f>SUM(L1228:L1230)</f>
        <v>34.090000000000003</v>
      </c>
    </row>
    <row r="1232" spans="1:12" ht="15" customHeight="1" x14ac:dyDescent="0.25">
      <c r="A1232" s="182"/>
      <c r="B1232" s="183"/>
      <c r="C1232" s="183"/>
      <c r="D1232" s="183"/>
      <c r="E1232" s="183"/>
      <c r="F1232" s="183"/>
      <c r="G1232" s="183"/>
      <c r="H1232" s="482" t="s">
        <v>1834</v>
      </c>
      <c r="I1232" s="482"/>
      <c r="J1232" s="482"/>
      <c r="K1232" s="482"/>
      <c r="L1232" s="369">
        <f>ROUND(SUM(L1226,L1231),2)</f>
        <v>72.63</v>
      </c>
    </row>
    <row r="1233" spans="1:12" ht="9.9499999999999993" customHeight="1" x14ac:dyDescent="0.25">
      <c r="A1233" s="182"/>
      <c r="B1233" s="183"/>
      <c r="C1233" s="183"/>
      <c r="D1233" s="183"/>
      <c r="E1233" s="183"/>
      <c r="F1233" s="183"/>
      <c r="G1233" s="183"/>
      <c r="H1233" s="485"/>
      <c r="I1233" s="485"/>
      <c r="J1233" s="485"/>
      <c r="K1233" s="485"/>
      <c r="L1233" s="512"/>
    </row>
    <row r="1234" spans="1:12" ht="20.100000000000001" customHeight="1" x14ac:dyDescent="0.25">
      <c r="A1234" s="486" t="s">
        <v>2868</v>
      </c>
      <c r="B1234" s="487"/>
      <c r="C1234" s="487"/>
      <c r="D1234" s="487"/>
      <c r="E1234" s="487"/>
      <c r="F1234" s="487"/>
      <c r="G1234" s="487"/>
      <c r="H1234" s="487"/>
      <c r="I1234" s="487"/>
      <c r="J1234" s="487"/>
      <c r="K1234" s="487"/>
      <c r="L1234" s="513"/>
    </row>
    <row r="1235" spans="1:12" ht="15" customHeight="1" x14ac:dyDescent="0.25">
      <c r="A1235" s="474" t="s">
        <v>2190</v>
      </c>
      <c r="B1235" s="475"/>
      <c r="C1235" s="475"/>
      <c r="D1235" s="476" t="s">
        <v>42</v>
      </c>
      <c r="E1235" s="476"/>
      <c r="F1235" s="476"/>
      <c r="G1235" s="230" t="s">
        <v>44</v>
      </c>
      <c r="H1235" s="476" t="s">
        <v>1813</v>
      </c>
      <c r="I1235" s="476"/>
      <c r="J1235" s="476" t="s">
        <v>1814</v>
      </c>
      <c r="K1235" s="476"/>
      <c r="L1235" s="366" t="s">
        <v>1802</v>
      </c>
    </row>
    <row r="1236" spans="1:12" ht="21" customHeight="1" x14ac:dyDescent="0.25">
      <c r="A1236" s="181" t="s">
        <v>2839</v>
      </c>
      <c r="B1236" s="509" t="s">
        <v>2840</v>
      </c>
      <c r="C1236" s="509"/>
      <c r="D1236" s="481" t="s">
        <v>82</v>
      </c>
      <c r="E1236" s="481"/>
      <c r="F1236" s="481"/>
      <c r="G1236" s="231" t="s">
        <v>1024</v>
      </c>
      <c r="H1236" s="510">
        <v>1</v>
      </c>
      <c r="I1236" s="510"/>
      <c r="J1236" s="511">
        <v>38.54</v>
      </c>
      <c r="K1236" s="511"/>
      <c r="L1236" s="367">
        <f>TRUNC(TRUNC(H1236,8)*J1236,2)</f>
        <v>38.54</v>
      </c>
    </row>
    <row r="1237" spans="1:12" ht="18" customHeight="1" x14ac:dyDescent="0.25">
      <c r="A1237" s="182"/>
      <c r="B1237" s="183"/>
      <c r="C1237" s="183"/>
      <c r="D1237" s="183"/>
      <c r="E1237" s="183"/>
      <c r="F1237" s="183"/>
      <c r="G1237" s="183"/>
      <c r="H1237" s="477" t="s">
        <v>2195</v>
      </c>
      <c r="I1237" s="477"/>
      <c r="J1237" s="477"/>
      <c r="K1237" s="477"/>
      <c r="L1237" s="368">
        <f>SUM(L1236:L1236)</f>
        <v>38.54</v>
      </c>
    </row>
    <row r="1238" spans="1:12" ht="15" customHeight="1" x14ac:dyDescent="0.25">
      <c r="A1238" s="474" t="s">
        <v>1912</v>
      </c>
      <c r="B1238" s="475"/>
      <c r="C1238" s="475"/>
      <c r="D1238" s="476" t="s">
        <v>42</v>
      </c>
      <c r="E1238" s="476"/>
      <c r="F1238" s="476"/>
      <c r="G1238" s="230" t="s">
        <v>44</v>
      </c>
      <c r="H1238" s="476" t="s">
        <v>1813</v>
      </c>
      <c r="I1238" s="476"/>
      <c r="J1238" s="476" t="s">
        <v>1814</v>
      </c>
      <c r="K1238" s="476"/>
      <c r="L1238" s="366" t="s">
        <v>1802</v>
      </c>
    </row>
    <row r="1239" spans="1:12" ht="45.95" customHeight="1" x14ac:dyDescent="0.25">
      <c r="A1239" s="181" t="s">
        <v>2862</v>
      </c>
      <c r="B1239" s="509" t="s">
        <v>2863</v>
      </c>
      <c r="C1239" s="509"/>
      <c r="D1239" s="481" t="s">
        <v>82</v>
      </c>
      <c r="E1239" s="481"/>
      <c r="F1239" s="481"/>
      <c r="G1239" s="231" t="s">
        <v>1024</v>
      </c>
      <c r="H1239" s="510">
        <v>1</v>
      </c>
      <c r="I1239" s="510"/>
      <c r="J1239" s="511">
        <v>22.37</v>
      </c>
      <c r="K1239" s="511"/>
      <c r="L1239" s="367">
        <f>TRUNC(TRUNC(H1239,8)*J1239,2)</f>
        <v>22.37</v>
      </c>
    </row>
    <row r="1240" spans="1:12" ht="45.95" customHeight="1" x14ac:dyDescent="0.25">
      <c r="A1240" s="181" t="s">
        <v>2864</v>
      </c>
      <c r="B1240" s="509" t="s">
        <v>2865</v>
      </c>
      <c r="C1240" s="509"/>
      <c r="D1240" s="481" t="s">
        <v>82</v>
      </c>
      <c r="E1240" s="481"/>
      <c r="F1240" s="481"/>
      <c r="G1240" s="231" t="s">
        <v>1024</v>
      </c>
      <c r="H1240" s="510">
        <v>1</v>
      </c>
      <c r="I1240" s="510"/>
      <c r="J1240" s="511">
        <v>3.37</v>
      </c>
      <c r="K1240" s="511"/>
      <c r="L1240" s="367">
        <f>TRUNC(TRUNC(H1240,8)*J1240,2)</f>
        <v>3.37</v>
      </c>
    </row>
    <row r="1241" spans="1:12" ht="38.1" customHeight="1" x14ac:dyDescent="0.25">
      <c r="A1241" s="181" t="s">
        <v>2866</v>
      </c>
      <c r="B1241" s="509" t="s">
        <v>2867</v>
      </c>
      <c r="C1241" s="509"/>
      <c r="D1241" s="481" t="s">
        <v>82</v>
      </c>
      <c r="E1241" s="481"/>
      <c r="F1241" s="481"/>
      <c r="G1241" s="231" t="s">
        <v>1024</v>
      </c>
      <c r="H1241" s="510">
        <v>1</v>
      </c>
      <c r="I1241" s="510"/>
      <c r="J1241" s="511">
        <v>8.35</v>
      </c>
      <c r="K1241" s="511"/>
      <c r="L1241" s="367">
        <f>TRUNC(TRUNC(H1241,8)*J1241,2)</f>
        <v>8.35</v>
      </c>
    </row>
    <row r="1242" spans="1:12" ht="45.95" customHeight="1" x14ac:dyDescent="0.25">
      <c r="A1242" s="181" t="s">
        <v>2869</v>
      </c>
      <c r="B1242" s="509" t="s">
        <v>2870</v>
      </c>
      <c r="C1242" s="509"/>
      <c r="D1242" s="481" t="s">
        <v>82</v>
      </c>
      <c r="E1242" s="481"/>
      <c r="F1242" s="481"/>
      <c r="G1242" s="231" t="s">
        <v>1024</v>
      </c>
      <c r="H1242" s="510">
        <v>1</v>
      </c>
      <c r="I1242" s="510"/>
      <c r="J1242" s="511">
        <v>38.43</v>
      </c>
      <c r="K1242" s="511"/>
      <c r="L1242" s="367">
        <f>TRUNC(TRUNC(H1242,8)*J1242,2)</f>
        <v>38.43</v>
      </c>
    </row>
    <row r="1243" spans="1:12" ht="45.95" customHeight="1" x14ac:dyDescent="0.25">
      <c r="A1243" s="181" t="s">
        <v>2871</v>
      </c>
      <c r="B1243" s="509" t="s">
        <v>2872</v>
      </c>
      <c r="C1243" s="509"/>
      <c r="D1243" s="481" t="s">
        <v>82</v>
      </c>
      <c r="E1243" s="481"/>
      <c r="F1243" s="481"/>
      <c r="G1243" s="231" t="s">
        <v>1024</v>
      </c>
      <c r="H1243" s="510">
        <v>1</v>
      </c>
      <c r="I1243" s="510"/>
      <c r="J1243" s="511">
        <v>154.12</v>
      </c>
      <c r="K1243" s="511"/>
      <c r="L1243" s="367">
        <f>TRUNC(TRUNC(H1243,8)*J1243,2)</f>
        <v>154.12</v>
      </c>
    </row>
    <row r="1244" spans="1:12" ht="15" customHeight="1" x14ac:dyDescent="0.25">
      <c r="A1244" s="182"/>
      <c r="B1244" s="183"/>
      <c r="C1244" s="183"/>
      <c r="D1244" s="183"/>
      <c r="E1244" s="183"/>
      <c r="F1244" s="183"/>
      <c r="G1244" s="183"/>
      <c r="H1244" s="477" t="s">
        <v>1915</v>
      </c>
      <c r="I1244" s="477"/>
      <c r="J1244" s="477"/>
      <c r="K1244" s="477"/>
      <c r="L1244" s="368">
        <f>SUM(L1239:L1243)</f>
        <v>226.64000000000001</v>
      </c>
    </row>
    <row r="1245" spans="1:12" ht="15" customHeight="1" x14ac:dyDescent="0.25">
      <c r="A1245" s="182"/>
      <c r="B1245" s="183"/>
      <c r="C1245" s="183"/>
      <c r="D1245" s="183"/>
      <c r="E1245" s="183"/>
      <c r="F1245" s="183"/>
      <c r="G1245" s="183"/>
      <c r="H1245" s="482" t="s">
        <v>1834</v>
      </c>
      <c r="I1245" s="482"/>
      <c r="J1245" s="482"/>
      <c r="K1245" s="482"/>
      <c r="L1245" s="369">
        <f>ROUND(SUM(L1237,L1244),2)</f>
        <v>265.18</v>
      </c>
    </row>
    <row r="1246" spans="1:12" ht="9.9499999999999993" customHeight="1" x14ac:dyDescent="0.25">
      <c r="A1246" s="182"/>
      <c r="B1246" s="183"/>
      <c r="C1246" s="183"/>
      <c r="D1246" s="183"/>
      <c r="E1246" s="183"/>
      <c r="F1246" s="183"/>
      <c r="G1246" s="183"/>
      <c r="H1246" s="485"/>
      <c r="I1246" s="485"/>
      <c r="J1246" s="485"/>
      <c r="K1246" s="485"/>
      <c r="L1246" s="512"/>
    </row>
    <row r="1247" spans="1:12" ht="20.100000000000001" customHeight="1" x14ac:dyDescent="0.25">
      <c r="A1247" s="486" t="s">
        <v>2873</v>
      </c>
      <c r="B1247" s="487"/>
      <c r="C1247" s="487"/>
      <c r="D1247" s="487"/>
      <c r="E1247" s="487"/>
      <c r="F1247" s="487"/>
      <c r="G1247" s="487"/>
      <c r="H1247" s="487"/>
      <c r="I1247" s="487"/>
      <c r="J1247" s="487"/>
      <c r="K1247" s="487"/>
      <c r="L1247" s="513"/>
    </row>
    <row r="1248" spans="1:12" ht="15" customHeight="1" x14ac:dyDescent="0.25">
      <c r="A1248" s="474" t="s">
        <v>2443</v>
      </c>
      <c r="B1248" s="475"/>
      <c r="C1248" s="475"/>
      <c r="D1248" s="476" t="s">
        <v>42</v>
      </c>
      <c r="E1248" s="476"/>
      <c r="F1248" s="476"/>
      <c r="G1248" s="230" t="s">
        <v>44</v>
      </c>
      <c r="H1248" s="476" t="s">
        <v>1813</v>
      </c>
      <c r="I1248" s="476"/>
      <c r="J1248" s="476" t="s">
        <v>1814</v>
      </c>
      <c r="K1248" s="476"/>
      <c r="L1248" s="366" t="s">
        <v>1802</v>
      </c>
    </row>
    <row r="1249" spans="1:12" ht="38.1" customHeight="1" x14ac:dyDescent="0.25">
      <c r="A1249" s="181" t="s">
        <v>2874</v>
      </c>
      <c r="B1249" s="509" t="s">
        <v>2875</v>
      </c>
      <c r="C1249" s="509"/>
      <c r="D1249" s="481" t="s">
        <v>82</v>
      </c>
      <c r="E1249" s="481"/>
      <c r="F1249" s="481"/>
      <c r="G1249" s="231" t="s">
        <v>226</v>
      </c>
      <c r="H1249" s="510">
        <v>3.43E-5</v>
      </c>
      <c r="I1249" s="510"/>
      <c r="J1249" s="511">
        <v>488284.66</v>
      </c>
      <c r="K1249" s="511"/>
      <c r="L1249" s="367">
        <f>TRUNC(TRUNC(H1249,8)*J1249,2)</f>
        <v>16.739999999999998</v>
      </c>
    </row>
    <row r="1250" spans="1:12" ht="45.95" customHeight="1" x14ac:dyDescent="0.25">
      <c r="A1250" s="181" t="s">
        <v>2876</v>
      </c>
      <c r="B1250" s="509" t="s">
        <v>2877</v>
      </c>
      <c r="C1250" s="509"/>
      <c r="D1250" s="481" t="s">
        <v>82</v>
      </c>
      <c r="E1250" s="481"/>
      <c r="F1250" s="481"/>
      <c r="G1250" s="231" t="s">
        <v>226</v>
      </c>
      <c r="H1250" s="510">
        <v>5.5099999999999998E-5</v>
      </c>
      <c r="I1250" s="510"/>
      <c r="J1250" s="511">
        <v>102197.26</v>
      </c>
      <c r="K1250" s="511"/>
      <c r="L1250" s="367">
        <f>TRUNC(TRUNC(H1250,8)*J1250,2)</f>
        <v>5.63</v>
      </c>
    </row>
    <row r="1251" spans="1:12" ht="15" customHeight="1" x14ac:dyDescent="0.25">
      <c r="A1251" s="182"/>
      <c r="B1251" s="183"/>
      <c r="C1251" s="183"/>
      <c r="D1251" s="183"/>
      <c r="E1251" s="183"/>
      <c r="F1251" s="183"/>
      <c r="G1251" s="183"/>
      <c r="H1251" s="477" t="s">
        <v>2446</v>
      </c>
      <c r="I1251" s="477"/>
      <c r="J1251" s="477"/>
      <c r="K1251" s="477"/>
      <c r="L1251" s="368">
        <f>SUM(L1249:L1250)</f>
        <v>22.369999999999997</v>
      </c>
    </row>
    <row r="1252" spans="1:12" ht="15" customHeight="1" x14ac:dyDescent="0.25">
      <c r="A1252" s="182"/>
      <c r="B1252" s="183"/>
      <c r="C1252" s="183"/>
      <c r="D1252" s="183"/>
      <c r="E1252" s="183"/>
      <c r="F1252" s="183"/>
      <c r="G1252" s="183"/>
      <c r="H1252" s="482" t="s">
        <v>1834</v>
      </c>
      <c r="I1252" s="482"/>
      <c r="J1252" s="482"/>
      <c r="K1252" s="482"/>
      <c r="L1252" s="369">
        <f>ROUND(SUM(L1251),2)</f>
        <v>22.37</v>
      </c>
    </row>
    <row r="1253" spans="1:12" ht="9.9499999999999993" customHeight="1" x14ac:dyDescent="0.25">
      <c r="A1253" s="182"/>
      <c r="B1253" s="183"/>
      <c r="C1253" s="183"/>
      <c r="D1253" s="183"/>
      <c r="E1253" s="183"/>
      <c r="F1253" s="183"/>
      <c r="G1253" s="183"/>
      <c r="H1253" s="485"/>
      <c r="I1253" s="485"/>
      <c r="J1253" s="485"/>
      <c r="K1253" s="485"/>
      <c r="L1253" s="512"/>
    </row>
    <row r="1254" spans="1:12" ht="20.100000000000001" customHeight="1" x14ac:dyDescent="0.25">
      <c r="A1254" s="486" t="s">
        <v>2878</v>
      </c>
      <c r="B1254" s="487"/>
      <c r="C1254" s="487"/>
      <c r="D1254" s="487"/>
      <c r="E1254" s="487"/>
      <c r="F1254" s="487"/>
      <c r="G1254" s="487"/>
      <c r="H1254" s="487"/>
      <c r="I1254" s="487"/>
      <c r="J1254" s="487"/>
      <c r="K1254" s="487"/>
      <c r="L1254" s="513"/>
    </row>
    <row r="1255" spans="1:12" ht="15" customHeight="1" x14ac:dyDescent="0.25">
      <c r="A1255" s="474" t="s">
        <v>2443</v>
      </c>
      <c r="B1255" s="475"/>
      <c r="C1255" s="475"/>
      <c r="D1255" s="476" t="s">
        <v>42</v>
      </c>
      <c r="E1255" s="476"/>
      <c r="F1255" s="476"/>
      <c r="G1255" s="230" t="s">
        <v>44</v>
      </c>
      <c r="H1255" s="476" t="s">
        <v>1813</v>
      </c>
      <c r="I1255" s="476"/>
      <c r="J1255" s="476" t="s">
        <v>1814</v>
      </c>
      <c r="K1255" s="476"/>
      <c r="L1255" s="366" t="s">
        <v>1802</v>
      </c>
    </row>
    <row r="1256" spans="1:12" ht="38.1" customHeight="1" x14ac:dyDescent="0.25">
      <c r="A1256" s="181" t="s">
        <v>2874</v>
      </c>
      <c r="B1256" s="509" t="s">
        <v>2875</v>
      </c>
      <c r="C1256" s="509"/>
      <c r="D1256" s="481" t="s">
        <v>82</v>
      </c>
      <c r="E1256" s="481"/>
      <c r="F1256" s="481"/>
      <c r="G1256" s="231" t="s">
        <v>226</v>
      </c>
      <c r="H1256" s="510">
        <v>5.6999999999999996E-6</v>
      </c>
      <c r="I1256" s="510"/>
      <c r="J1256" s="511">
        <v>488284.66</v>
      </c>
      <c r="K1256" s="511"/>
      <c r="L1256" s="367">
        <f>TRUNC(TRUNC(H1256,8)*J1256,2)</f>
        <v>2.78</v>
      </c>
    </row>
    <row r="1257" spans="1:12" ht="45.95" customHeight="1" x14ac:dyDescent="0.25">
      <c r="A1257" s="181" t="s">
        <v>2876</v>
      </c>
      <c r="B1257" s="509" t="s">
        <v>2877</v>
      </c>
      <c r="C1257" s="509"/>
      <c r="D1257" s="481" t="s">
        <v>82</v>
      </c>
      <c r="E1257" s="481"/>
      <c r="F1257" s="481"/>
      <c r="G1257" s="231" t="s">
        <v>226</v>
      </c>
      <c r="H1257" s="510">
        <v>5.8000000000000004E-6</v>
      </c>
      <c r="I1257" s="510"/>
      <c r="J1257" s="511">
        <v>102197.26</v>
      </c>
      <c r="K1257" s="511"/>
      <c r="L1257" s="367">
        <f>TRUNC(TRUNC(H1257,8)*J1257,2)</f>
        <v>0.59</v>
      </c>
    </row>
    <row r="1258" spans="1:12" ht="15" customHeight="1" x14ac:dyDescent="0.25">
      <c r="A1258" s="182"/>
      <c r="B1258" s="183"/>
      <c r="C1258" s="183"/>
      <c r="D1258" s="183"/>
      <c r="E1258" s="183"/>
      <c r="F1258" s="183"/>
      <c r="G1258" s="183"/>
      <c r="H1258" s="477" t="s">
        <v>2446</v>
      </c>
      <c r="I1258" s="477"/>
      <c r="J1258" s="477"/>
      <c r="K1258" s="477"/>
      <c r="L1258" s="368">
        <f>SUM(L1256:L1257)</f>
        <v>3.3699999999999997</v>
      </c>
    </row>
    <row r="1259" spans="1:12" ht="15" customHeight="1" x14ac:dyDescent="0.25">
      <c r="A1259" s="182"/>
      <c r="B1259" s="183"/>
      <c r="C1259" s="183"/>
      <c r="D1259" s="183"/>
      <c r="E1259" s="183"/>
      <c r="F1259" s="183"/>
      <c r="G1259" s="183"/>
      <c r="H1259" s="482" t="s">
        <v>1834</v>
      </c>
      <c r="I1259" s="482"/>
      <c r="J1259" s="482"/>
      <c r="K1259" s="482"/>
      <c r="L1259" s="369">
        <f>ROUND(SUM(L1258),2)</f>
        <v>3.37</v>
      </c>
    </row>
    <row r="1260" spans="1:12" ht="9.9499999999999993" customHeight="1" x14ac:dyDescent="0.25">
      <c r="A1260" s="182"/>
      <c r="B1260" s="183"/>
      <c r="C1260" s="183"/>
      <c r="D1260" s="183"/>
      <c r="E1260" s="183"/>
      <c r="F1260" s="183"/>
      <c r="G1260" s="183"/>
      <c r="H1260" s="485"/>
      <c r="I1260" s="485"/>
      <c r="J1260" s="485"/>
      <c r="K1260" s="485"/>
      <c r="L1260" s="512"/>
    </row>
    <row r="1261" spans="1:12" ht="20.100000000000001" customHeight="1" x14ac:dyDescent="0.25">
      <c r="A1261" s="486" t="s">
        <v>2879</v>
      </c>
      <c r="B1261" s="487"/>
      <c r="C1261" s="487"/>
      <c r="D1261" s="487"/>
      <c r="E1261" s="487"/>
      <c r="F1261" s="487"/>
      <c r="G1261" s="487"/>
      <c r="H1261" s="487"/>
      <c r="I1261" s="487"/>
      <c r="J1261" s="487"/>
      <c r="K1261" s="487"/>
      <c r="L1261" s="513"/>
    </row>
    <row r="1262" spans="1:12" ht="15" customHeight="1" x14ac:dyDescent="0.25">
      <c r="A1262" s="474" t="s">
        <v>2443</v>
      </c>
      <c r="B1262" s="475"/>
      <c r="C1262" s="475"/>
      <c r="D1262" s="476" t="s">
        <v>42</v>
      </c>
      <c r="E1262" s="476"/>
      <c r="F1262" s="476"/>
      <c r="G1262" s="230" t="s">
        <v>44</v>
      </c>
      <c r="H1262" s="476" t="s">
        <v>1813</v>
      </c>
      <c r="I1262" s="476"/>
      <c r="J1262" s="476" t="s">
        <v>1814</v>
      </c>
      <c r="K1262" s="476"/>
      <c r="L1262" s="366" t="s">
        <v>1802</v>
      </c>
    </row>
    <row r="1263" spans="1:12" ht="38.1" customHeight="1" x14ac:dyDescent="0.25">
      <c r="A1263" s="181" t="s">
        <v>2874</v>
      </c>
      <c r="B1263" s="509" t="s">
        <v>2875</v>
      </c>
      <c r="C1263" s="509"/>
      <c r="D1263" s="481" t="s">
        <v>82</v>
      </c>
      <c r="E1263" s="481"/>
      <c r="F1263" s="481"/>
      <c r="G1263" s="231" t="s">
        <v>226</v>
      </c>
      <c r="H1263" s="510">
        <v>1.4100000000000001E-5</v>
      </c>
      <c r="I1263" s="510"/>
      <c r="J1263" s="511">
        <v>488284.66</v>
      </c>
      <c r="K1263" s="511"/>
      <c r="L1263" s="367">
        <f>TRUNC(TRUNC(H1263,8)*J1263,2)</f>
        <v>6.88</v>
      </c>
    </row>
    <row r="1264" spans="1:12" ht="45.95" customHeight="1" x14ac:dyDescent="0.25">
      <c r="A1264" s="181" t="s">
        <v>2876</v>
      </c>
      <c r="B1264" s="509" t="s">
        <v>2877</v>
      </c>
      <c r="C1264" s="509"/>
      <c r="D1264" s="481" t="s">
        <v>82</v>
      </c>
      <c r="E1264" s="481"/>
      <c r="F1264" s="481"/>
      <c r="G1264" s="231" t="s">
        <v>226</v>
      </c>
      <c r="H1264" s="510">
        <v>1.4399999999999999E-5</v>
      </c>
      <c r="I1264" s="510"/>
      <c r="J1264" s="511">
        <v>102197.26</v>
      </c>
      <c r="K1264" s="511"/>
      <c r="L1264" s="367">
        <f>TRUNC(TRUNC(H1264,8)*J1264,2)</f>
        <v>1.47</v>
      </c>
    </row>
    <row r="1265" spans="1:12" ht="15" customHeight="1" x14ac:dyDescent="0.25">
      <c r="A1265" s="182"/>
      <c r="B1265" s="183"/>
      <c r="C1265" s="183"/>
      <c r="D1265" s="183"/>
      <c r="E1265" s="183"/>
      <c r="F1265" s="183"/>
      <c r="G1265" s="183"/>
      <c r="H1265" s="477" t="s">
        <v>2446</v>
      </c>
      <c r="I1265" s="477"/>
      <c r="J1265" s="477"/>
      <c r="K1265" s="477"/>
      <c r="L1265" s="368">
        <f>SUM(L1263:L1264)</f>
        <v>8.35</v>
      </c>
    </row>
    <row r="1266" spans="1:12" ht="15" customHeight="1" x14ac:dyDescent="0.25">
      <c r="A1266" s="182"/>
      <c r="B1266" s="183"/>
      <c r="C1266" s="183"/>
      <c r="D1266" s="183"/>
      <c r="E1266" s="183"/>
      <c r="F1266" s="183"/>
      <c r="G1266" s="183"/>
      <c r="H1266" s="482" t="s">
        <v>1834</v>
      </c>
      <c r="I1266" s="482"/>
      <c r="J1266" s="482"/>
      <c r="K1266" s="482"/>
      <c r="L1266" s="369">
        <f>ROUND(SUM(L1265),2)</f>
        <v>8.35</v>
      </c>
    </row>
    <row r="1267" spans="1:12" ht="9.9499999999999993" customHeight="1" x14ac:dyDescent="0.25">
      <c r="A1267" s="182"/>
      <c r="B1267" s="183"/>
      <c r="C1267" s="183"/>
      <c r="D1267" s="183"/>
      <c r="E1267" s="183"/>
      <c r="F1267" s="183"/>
      <c r="G1267" s="183"/>
      <c r="H1267" s="485"/>
      <c r="I1267" s="485"/>
      <c r="J1267" s="485"/>
      <c r="K1267" s="485"/>
      <c r="L1267" s="512"/>
    </row>
    <row r="1268" spans="1:12" ht="20.100000000000001" customHeight="1" x14ac:dyDescent="0.25">
      <c r="A1268" s="486" t="s">
        <v>2880</v>
      </c>
      <c r="B1268" s="487"/>
      <c r="C1268" s="487"/>
      <c r="D1268" s="487"/>
      <c r="E1268" s="487"/>
      <c r="F1268" s="487"/>
      <c r="G1268" s="487"/>
      <c r="H1268" s="487"/>
      <c r="I1268" s="487"/>
      <c r="J1268" s="487"/>
      <c r="K1268" s="487"/>
      <c r="L1268" s="513"/>
    </row>
    <row r="1269" spans="1:12" ht="15" customHeight="1" x14ac:dyDescent="0.25">
      <c r="A1269" s="474" t="s">
        <v>2443</v>
      </c>
      <c r="B1269" s="475"/>
      <c r="C1269" s="475"/>
      <c r="D1269" s="476" t="s">
        <v>42</v>
      </c>
      <c r="E1269" s="476"/>
      <c r="F1269" s="476"/>
      <c r="G1269" s="230" t="s">
        <v>44</v>
      </c>
      <c r="H1269" s="476" t="s">
        <v>1813</v>
      </c>
      <c r="I1269" s="476"/>
      <c r="J1269" s="476" t="s">
        <v>1814</v>
      </c>
      <c r="K1269" s="476"/>
      <c r="L1269" s="366" t="s">
        <v>1802</v>
      </c>
    </row>
    <row r="1270" spans="1:12" ht="38.1" customHeight="1" x14ac:dyDescent="0.25">
      <c r="A1270" s="181" t="s">
        <v>2874</v>
      </c>
      <c r="B1270" s="509" t="s">
        <v>2875</v>
      </c>
      <c r="C1270" s="509"/>
      <c r="D1270" s="481" t="s">
        <v>82</v>
      </c>
      <c r="E1270" s="481"/>
      <c r="F1270" s="481"/>
      <c r="G1270" s="231" t="s">
        <v>226</v>
      </c>
      <c r="H1270" s="510">
        <v>6.4300000000000004E-5</v>
      </c>
      <c r="I1270" s="510"/>
      <c r="J1270" s="511">
        <v>488284.66</v>
      </c>
      <c r="K1270" s="511"/>
      <c r="L1270" s="367">
        <f>TRUNC(TRUNC(H1270,8)*J1270,2)</f>
        <v>31.39</v>
      </c>
    </row>
    <row r="1271" spans="1:12" ht="45.95" customHeight="1" x14ac:dyDescent="0.25">
      <c r="A1271" s="181" t="s">
        <v>2876</v>
      </c>
      <c r="B1271" s="509" t="s">
        <v>2877</v>
      </c>
      <c r="C1271" s="509"/>
      <c r="D1271" s="481" t="s">
        <v>82</v>
      </c>
      <c r="E1271" s="481"/>
      <c r="F1271" s="481"/>
      <c r="G1271" s="231" t="s">
        <v>226</v>
      </c>
      <c r="H1271" s="510">
        <v>6.8899999999999994E-5</v>
      </c>
      <c r="I1271" s="510"/>
      <c r="J1271" s="511">
        <v>102197.26</v>
      </c>
      <c r="K1271" s="511"/>
      <c r="L1271" s="367">
        <f>TRUNC(TRUNC(H1271,8)*J1271,2)</f>
        <v>7.04</v>
      </c>
    </row>
    <row r="1272" spans="1:12" ht="15" customHeight="1" x14ac:dyDescent="0.25">
      <c r="A1272" s="182"/>
      <c r="B1272" s="183"/>
      <c r="C1272" s="183"/>
      <c r="D1272" s="183"/>
      <c r="E1272" s="183"/>
      <c r="F1272" s="183"/>
      <c r="G1272" s="183"/>
      <c r="H1272" s="477" t="s">
        <v>2446</v>
      </c>
      <c r="I1272" s="477"/>
      <c r="J1272" s="477"/>
      <c r="K1272" s="477"/>
      <c r="L1272" s="368">
        <f>SUM(L1270:L1271)</f>
        <v>38.43</v>
      </c>
    </row>
    <row r="1273" spans="1:12" ht="15" customHeight="1" x14ac:dyDescent="0.25">
      <c r="A1273" s="182"/>
      <c r="B1273" s="183"/>
      <c r="C1273" s="183"/>
      <c r="D1273" s="183"/>
      <c r="E1273" s="183"/>
      <c r="F1273" s="183"/>
      <c r="G1273" s="183"/>
      <c r="H1273" s="482" t="s">
        <v>1834</v>
      </c>
      <c r="I1273" s="482"/>
      <c r="J1273" s="482"/>
      <c r="K1273" s="482"/>
      <c r="L1273" s="369">
        <f>ROUND(SUM(L1272),2)</f>
        <v>38.43</v>
      </c>
    </row>
    <row r="1274" spans="1:12" ht="9.9499999999999993" customHeight="1" x14ac:dyDescent="0.25">
      <c r="A1274" s="182"/>
      <c r="B1274" s="183"/>
      <c r="C1274" s="183"/>
      <c r="D1274" s="183"/>
      <c r="E1274" s="183"/>
      <c r="F1274" s="183"/>
      <c r="G1274" s="183"/>
      <c r="H1274" s="485"/>
      <c r="I1274" s="485"/>
      <c r="J1274" s="485"/>
      <c r="K1274" s="485"/>
      <c r="L1274" s="512"/>
    </row>
    <row r="1275" spans="1:12" ht="20.100000000000001" customHeight="1" x14ac:dyDescent="0.25">
      <c r="A1275" s="486" t="s">
        <v>2881</v>
      </c>
      <c r="B1275" s="487"/>
      <c r="C1275" s="487"/>
      <c r="D1275" s="487"/>
      <c r="E1275" s="487"/>
      <c r="F1275" s="487"/>
      <c r="G1275" s="487"/>
      <c r="H1275" s="487"/>
      <c r="I1275" s="487"/>
      <c r="J1275" s="487"/>
      <c r="K1275" s="487"/>
      <c r="L1275" s="513"/>
    </row>
    <row r="1276" spans="1:12" ht="15" customHeight="1" x14ac:dyDescent="0.25">
      <c r="A1276" s="474" t="s">
        <v>1812</v>
      </c>
      <c r="B1276" s="475"/>
      <c r="C1276" s="475"/>
      <c r="D1276" s="476" t="s">
        <v>42</v>
      </c>
      <c r="E1276" s="476"/>
      <c r="F1276" s="476"/>
      <c r="G1276" s="230" t="s">
        <v>44</v>
      </c>
      <c r="H1276" s="476" t="s">
        <v>1813</v>
      </c>
      <c r="I1276" s="476"/>
      <c r="J1276" s="476" t="s">
        <v>1814</v>
      </c>
      <c r="K1276" s="476"/>
      <c r="L1276" s="366" t="s">
        <v>1802</v>
      </c>
    </row>
    <row r="1277" spans="1:12" ht="21" customHeight="1" x14ac:dyDescent="0.25">
      <c r="A1277" s="181" t="s">
        <v>2498</v>
      </c>
      <c r="B1277" s="509" t="s">
        <v>2499</v>
      </c>
      <c r="C1277" s="509"/>
      <c r="D1277" s="481" t="s">
        <v>82</v>
      </c>
      <c r="E1277" s="481"/>
      <c r="F1277" s="481"/>
      <c r="G1277" s="231" t="s">
        <v>1006</v>
      </c>
      <c r="H1277" s="510">
        <v>22.37</v>
      </c>
      <c r="I1277" s="510"/>
      <c r="J1277" s="511">
        <v>6.89</v>
      </c>
      <c r="K1277" s="511"/>
      <c r="L1277" s="367">
        <f>TRUNC(TRUNC(H1277,8)*J1277,2)</f>
        <v>154.12</v>
      </c>
    </row>
    <row r="1278" spans="1:12" ht="15" customHeight="1" x14ac:dyDescent="0.25">
      <c r="A1278" s="182"/>
      <c r="B1278" s="183"/>
      <c r="C1278" s="183"/>
      <c r="D1278" s="183"/>
      <c r="E1278" s="183"/>
      <c r="F1278" s="183"/>
      <c r="G1278" s="183"/>
      <c r="H1278" s="477" t="s">
        <v>1826</v>
      </c>
      <c r="I1278" s="477"/>
      <c r="J1278" s="477"/>
      <c r="K1278" s="477"/>
      <c r="L1278" s="368">
        <f>SUM(L1277:L1277)</f>
        <v>154.12</v>
      </c>
    </row>
    <row r="1279" spans="1:12" ht="15" customHeight="1" x14ac:dyDescent="0.25">
      <c r="A1279" s="182"/>
      <c r="B1279" s="183"/>
      <c r="C1279" s="183"/>
      <c r="D1279" s="183"/>
      <c r="E1279" s="183"/>
      <c r="F1279" s="183"/>
      <c r="G1279" s="183"/>
      <c r="H1279" s="482" t="s">
        <v>1834</v>
      </c>
      <c r="I1279" s="482"/>
      <c r="J1279" s="482"/>
      <c r="K1279" s="482"/>
      <c r="L1279" s="369">
        <f>ROUND(SUM(L1278),2)</f>
        <v>154.12</v>
      </c>
    </row>
    <row r="1280" spans="1:12" ht="9.9499999999999993" customHeight="1" x14ac:dyDescent="0.25">
      <c r="A1280" s="182"/>
      <c r="B1280" s="183"/>
      <c r="C1280" s="183"/>
      <c r="D1280" s="183"/>
      <c r="E1280" s="183"/>
      <c r="F1280" s="183"/>
      <c r="G1280" s="183"/>
      <c r="H1280" s="485"/>
      <c r="I1280" s="485"/>
      <c r="J1280" s="485"/>
      <c r="K1280" s="485"/>
      <c r="L1280" s="512"/>
    </row>
    <row r="1281" spans="1:12" ht="20.100000000000001" customHeight="1" x14ac:dyDescent="0.25">
      <c r="A1281" s="486" t="s">
        <v>2882</v>
      </c>
      <c r="B1281" s="487"/>
      <c r="C1281" s="487"/>
      <c r="D1281" s="487"/>
      <c r="E1281" s="487"/>
      <c r="F1281" s="487"/>
      <c r="G1281" s="487"/>
      <c r="H1281" s="487"/>
      <c r="I1281" s="487"/>
      <c r="J1281" s="487"/>
      <c r="K1281" s="487"/>
      <c r="L1281" s="513"/>
    </row>
    <row r="1282" spans="1:12" ht="15" customHeight="1" x14ac:dyDescent="0.25">
      <c r="A1282" s="474" t="s">
        <v>1812</v>
      </c>
      <c r="B1282" s="475"/>
      <c r="C1282" s="475"/>
      <c r="D1282" s="476" t="s">
        <v>42</v>
      </c>
      <c r="E1282" s="476"/>
      <c r="F1282" s="476"/>
      <c r="G1282" s="230" t="s">
        <v>44</v>
      </c>
      <c r="H1282" s="476" t="s">
        <v>1813</v>
      </c>
      <c r="I1282" s="476"/>
      <c r="J1282" s="476" t="s">
        <v>1814</v>
      </c>
      <c r="K1282" s="476"/>
      <c r="L1282" s="366" t="s">
        <v>1802</v>
      </c>
    </row>
    <row r="1283" spans="1:12" ht="29.1" customHeight="1" x14ac:dyDescent="0.25">
      <c r="A1283" s="181" t="s">
        <v>2883</v>
      </c>
      <c r="B1283" s="509" t="s">
        <v>2884</v>
      </c>
      <c r="C1283" s="509"/>
      <c r="D1283" s="481" t="s">
        <v>82</v>
      </c>
      <c r="E1283" s="481"/>
      <c r="F1283" s="481"/>
      <c r="G1283" s="231" t="s">
        <v>226</v>
      </c>
      <c r="H1283" s="510">
        <v>1</v>
      </c>
      <c r="I1283" s="510"/>
      <c r="J1283" s="511">
        <v>96.17</v>
      </c>
      <c r="K1283" s="511"/>
      <c r="L1283" s="367">
        <f>TRUNC(TRUNC(H1283,8)*J1283,2)</f>
        <v>96.17</v>
      </c>
    </row>
    <row r="1284" spans="1:12" ht="15" customHeight="1" x14ac:dyDescent="0.25">
      <c r="A1284" s="182"/>
      <c r="B1284" s="183"/>
      <c r="C1284" s="183"/>
      <c r="D1284" s="183"/>
      <c r="E1284" s="183"/>
      <c r="F1284" s="183"/>
      <c r="G1284" s="183"/>
      <c r="H1284" s="477" t="s">
        <v>1826</v>
      </c>
      <c r="I1284" s="477"/>
      <c r="J1284" s="477"/>
      <c r="K1284" s="477"/>
      <c r="L1284" s="368">
        <f>SUM(L1283:L1283)</f>
        <v>96.17</v>
      </c>
    </row>
    <row r="1285" spans="1:12" ht="15" customHeight="1" x14ac:dyDescent="0.25">
      <c r="A1285" s="474" t="s">
        <v>2190</v>
      </c>
      <c r="B1285" s="475"/>
      <c r="C1285" s="475"/>
      <c r="D1285" s="476" t="s">
        <v>42</v>
      </c>
      <c r="E1285" s="476"/>
      <c r="F1285" s="476"/>
      <c r="G1285" s="230" t="s">
        <v>44</v>
      </c>
      <c r="H1285" s="476" t="s">
        <v>1813</v>
      </c>
      <c r="I1285" s="476"/>
      <c r="J1285" s="476" t="s">
        <v>1814</v>
      </c>
      <c r="K1285" s="476"/>
      <c r="L1285" s="366" t="s">
        <v>1802</v>
      </c>
    </row>
    <row r="1286" spans="1:12" ht="21" customHeight="1" x14ac:dyDescent="0.25">
      <c r="A1286" s="181" t="s">
        <v>2191</v>
      </c>
      <c r="B1286" s="509" t="s">
        <v>2192</v>
      </c>
      <c r="C1286" s="509"/>
      <c r="D1286" s="481" t="s">
        <v>82</v>
      </c>
      <c r="E1286" s="481"/>
      <c r="F1286" s="481"/>
      <c r="G1286" s="231" t="s">
        <v>1024</v>
      </c>
      <c r="H1286" s="510">
        <v>0.38819999999999999</v>
      </c>
      <c r="I1286" s="510"/>
      <c r="J1286" s="511">
        <v>31.67</v>
      </c>
      <c r="K1286" s="511"/>
      <c r="L1286" s="367">
        <f>TRUNC(TRUNC(H1286,8)*J1286,2)</f>
        <v>12.29</v>
      </c>
    </row>
    <row r="1287" spans="1:12" ht="15" customHeight="1" x14ac:dyDescent="0.25">
      <c r="A1287" s="181" t="s">
        <v>2193</v>
      </c>
      <c r="B1287" s="509" t="s">
        <v>2194</v>
      </c>
      <c r="C1287" s="509"/>
      <c r="D1287" s="481" t="s">
        <v>82</v>
      </c>
      <c r="E1287" s="481"/>
      <c r="F1287" s="481"/>
      <c r="G1287" s="231" t="s">
        <v>1024</v>
      </c>
      <c r="H1287" s="510">
        <v>0.38819999999999999</v>
      </c>
      <c r="I1287" s="510"/>
      <c r="J1287" s="511">
        <v>44.2</v>
      </c>
      <c r="K1287" s="511"/>
      <c r="L1287" s="367">
        <f>TRUNC(TRUNC(H1287,8)*J1287,2)</f>
        <v>17.149999999999999</v>
      </c>
    </row>
    <row r="1288" spans="1:12" ht="18" customHeight="1" x14ac:dyDescent="0.25">
      <c r="A1288" s="182"/>
      <c r="B1288" s="183"/>
      <c r="C1288" s="183"/>
      <c r="D1288" s="183"/>
      <c r="E1288" s="183"/>
      <c r="F1288" s="183"/>
      <c r="G1288" s="183"/>
      <c r="H1288" s="477" t="s">
        <v>2195</v>
      </c>
      <c r="I1288" s="477"/>
      <c r="J1288" s="477"/>
      <c r="K1288" s="477"/>
      <c r="L1288" s="368">
        <f>SUM(L1286:L1287)</f>
        <v>29.439999999999998</v>
      </c>
    </row>
    <row r="1289" spans="1:12" ht="15" customHeight="1" x14ac:dyDescent="0.25">
      <c r="A1289" s="182"/>
      <c r="B1289" s="183"/>
      <c r="C1289" s="183"/>
      <c r="D1289" s="183"/>
      <c r="E1289" s="183"/>
      <c r="F1289" s="183"/>
      <c r="G1289" s="183"/>
      <c r="H1289" s="482" t="s">
        <v>1834</v>
      </c>
      <c r="I1289" s="482"/>
      <c r="J1289" s="482"/>
      <c r="K1289" s="482"/>
      <c r="L1289" s="369">
        <f>ROUND(SUM(L1284,L1288),2)</f>
        <v>125.61</v>
      </c>
    </row>
    <row r="1290" spans="1:12" ht="9.9499999999999993" customHeight="1" x14ac:dyDescent="0.25">
      <c r="A1290" s="182"/>
      <c r="B1290" s="183"/>
      <c r="C1290" s="183"/>
      <c r="D1290" s="183"/>
      <c r="E1290" s="183"/>
      <c r="F1290" s="183"/>
      <c r="G1290" s="183"/>
      <c r="H1290" s="485"/>
      <c r="I1290" s="485"/>
      <c r="J1290" s="485"/>
      <c r="K1290" s="485"/>
      <c r="L1290" s="512"/>
    </row>
    <row r="1291" spans="1:12" ht="20.100000000000001" customHeight="1" x14ac:dyDescent="0.25">
      <c r="A1291" s="486" t="s">
        <v>2885</v>
      </c>
      <c r="B1291" s="487"/>
      <c r="C1291" s="487"/>
      <c r="D1291" s="487"/>
      <c r="E1291" s="487"/>
      <c r="F1291" s="487"/>
      <c r="G1291" s="487"/>
      <c r="H1291" s="487"/>
      <c r="I1291" s="487"/>
      <c r="J1291" s="487"/>
      <c r="K1291" s="487"/>
      <c r="L1291" s="513"/>
    </row>
    <row r="1292" spans="1:12" ht="15" customHeight="1" x14ac:dyDescent="0.25">
      <c r="A1292" s="474" t="s">
        <v>1812</v>
      </c>
      <c r="B1292" s="475"/>
      <c r="C1292" s="475"/>
      <c r="D1292" s="476" t="s">
        <v>42</v>
      </c>
      <c r="E1292" s="476"/>
      <c r="F1292" s="476"/>
      <c r="G1292" s="230" t="s">
        <v>44</v>
      </c>
      <c r="H1292" s="476" t="s">
        <v>1813</v>
      </c>
      <c r="I1292" s="476"/>
      <c r="J1292" s="476" t="s">
        <v>1814</v>
      </c>
      <c r="K1292" s="476"/>
      <c r="L1292" s="366" t="s">
        <v>1802</v>
      </c>
    </row>
    <row r="1293" spans="1:12" ht="15" customHeight="1" x14ac:dyDescent="0.25">
      <c r="A1293" s="181" t="s">
        <v>1991</v>
      </c>
      <c r="B1293" s="509" t="s">
        <v>1992</v>
      </c>
      <c r="C1293" s="509"/>
      <c r="D1293" s="481" t="s">
        <v>82</v>
      </c>
      <c r="E1293" s="481"/>
      <c r="F1293" s="481"/>
      <c r="G1293" s="231" t="s">
        <v>1817</v>
      </c>
      <c r="H1293" s="510">
        <v>2.1000000000000001E-2</v>
      </c>
      <c r="I1293" s="510"/>
      <c r="J1293" s="511">
        <v>23.77</v>
      </c>
      <c r="K1293" s="511"/>
      <c r="L1293" s="367">
        <f>ROUND(ROUND(H1293,8)*J1293,2)</f>
        <v>0.5</v>
      </c>
    </row>
    <row r="1294" spans="1:12" ht="15" customHeight="1" x14ac:dyDescent="0.25">
      <c r="A1294" s="181" t="s">
        <v>2003</v>
      </c>
      <c r="B1294" s="509" t="s">
        <v>2004</v>
      </c>
      <c r="C1294" s="509"/>
      <c r="D1294" s="481" t="s">
        <v>82</v>
      </c>
      <c r="E1294" s="481"/>
      <c r="F1294" s="481"/>
      <c r="G1294" s="231" t="s">
        <v>226</v>
      </c>
      <c r="H1294" s="510">
        <v>0.35699999999999998</v>
      </c>
      <c r="I1294" s="510"/>
      <c r="J1294" s="511">
        <v>19.68</v>
      </c>
      <c r="K1294" s="511"/>
      <c r="L1294" s="367">
        <f>ROUND(ROUND(H1294,8)*J1294,2)</f>
        <v>7.03</v>
      </c>
    </row>
    <row r="1295" spans="1:12" ht="15" customHeight="1" x14ac:dyDescent="0.25">
      <c r="A1295" s="181" t="s">
        <v>1995</v>
      </c>
      <c r="B1295" s="509" t="s">
        <v>1996</v>
      </c>
      <c r="C1295" s="509"/>
      <c r="D1295" s="481" t="s">
        <v>82</v>
      </c>
      <c r="E1295" s="481"/>
      <c r="F1295" s="481"/>
      <c r="G1295" s="231" t="s">
        <v>122</v>
      </c>
      <c r="H1295" s="510">
        <v>1</v>
      </c>
      <c r="I1295" s="510"/>
      <c r="J1295" s="511">
        <v>294.05</v>
      </c>
      <c r="K1295" s="511"/>
      <c r="L1295" s="367">
        <f>ROUND(ROUND(H1295,8)*J1295,2)</f>
        <v>294.05</v>
      </c>
    </row>
    <row r="1296" spans="1:12" ht="15" customHeight="1" x14ac:dyDescent="0.25">
      <c r="A1296" s="182"/>
      <c r="B1296" s="183"/>
      <c r="C1296" s="183"/>
      <c r="D1296" s="183"/>
      <c r="E1296" s="183"/>
      <c r="F1296" s="183"/>
      <c r="G1296" s="183"/>
      <c r="H1296" s="477" t="s">
        <v>1826</v>
      </c>
      <c r="I1296" s="477"/>
      <c r="J1296" s="477"/>
      <c r="K1296" s="477"/>
      <c r="L1296" s="368">
        <f>SUM(L1293:L1295)</f>
        <v>301.58</v>
      </c>
    </row>
    <row r="1297" spans="1:12" ht="15" customHeight="1" x14ac:dyDescent="0.25">
      <c r="A1297" s="474" t="s">
        <v>2190</v>
      </c>
      <c r="B1297" s="475"/>
      <c r="C1297" s="475"/>
      <c r="D1297" s="476" t="s">
        <v>42</v>
      </c>
      <c r="E1297" s="476"/>
      <c r="F1297" s="476"/>
      <c r="G1297" s="230" t="s">
        <v>44</v>
      </c>
      <c r="H1297" s="476" t="s">
        <v>1813</v>
      </c>
      <c r="I1297" s="476"/>
      <c r="J1297" s="476" t="s">
        <v>1814</v>
      </c>
      <c r="K1297" s="476"/>
      <c r="L1297" s="366" t="s">
        <v>1802</v>
      </c>
    </row>
    <row r="1298" spans="1:12" ht="15" customHeight="1" x14ac:dyDescent="0.25">
      <c r="A1298" s="181" t="s">
        <v>2375</v>
      </c>
      <c r="B1298" s="509" t="s">
        <v>2376</v>
      </c>
      <c r="C1298" s="509"/>
      <c r="D1298" s="481" t="s">
        <v>82</v>
      </c>
      <c r="E1298" s="481"/>
      <c r="F1298" s="481"/>
      <c r="G1298" s="231" t="s">
        <v>1024</v>
      </c>
      <c r="H1298" s="510">
        <v>0.33214890000000002</v>
      </c>
      <c r="I1298" s="510"/>
      <c r="J1298" s="511">
        <v>28.97</v>
      </c>
      <c r="K1298" s="511"/>
      <c r="L1298" s="367">
        <f>ROUND(ROUND(H1298,8)*J1298,2)</f>
        <v>9.6199999999999992</v>
      </c>
    </row>
    <row r="1299" spans="1:12" ht="15" customHeight="1" x14ac:dyDescent="0.25">
      <c r="A1299" s="181" t="s">
        <v>2886</v>
      </c>
      <c r="B1299" s="509" t="s">
        <v>2887</v>
      </c>
      <c r="C1299" s="509"/>
      <c r="D1299" s="481" t="s">
        <v>82</v>
      </c>
      <c r="E1299" s="481"/>
      <c r="F1299" s="481"/>
      <c r="G1299" s="231" t="s">
        <v>1024</v>
      </c>
      <c r="H1299" s="510">
        <v>0.38499080000000002</v>
      </c>
      <c r="I1299" s="510"/>
      <c r="J1299" s="511">
        <v>32.04</v>
      </c>
      <c r="K1299" s="511"/>
      <c r="L1299" s="367">
        <f>ROUND(ROUND(H1299,8)*J1299,2)</f>
        <v>12.34</v>
      </c>
    </row>
    <row r="1300" spans="1:12" ht="18" customHeight="1" x14ac:dyDescent="0.25">
      <c r="A1300" s="182"/>
      <c r="B1300" s="183"/>
      <c r="C1300" s="183"/>
      <c r="D1300" s="183"/>
      <c r="E1300" s="183"/>
      <c r="F1300" s="183"/>
      <c r="G1300" s="183"/>
      <c r="H1300" s="477" t="s">
        <v>2195</v>
      </c>
      <c r="I1300" s="477"/>
      <c r="J1300" s="477"/>
      <c r="K1300" s="477"/>
      <c r="L1300" s="368">
        <f>SUM(L1298:L1299)</f>
        <v>21.96</v>
      </c>
    </row>
    <row r="1301" spans="1:12" ht="15" customHeight="1" x14ac:dyDescent="0.25">
      <c r="A1301" s="483" t="s">
        <v>2888</v>
      </c>
      <c r="B1301" s="484"/>
      <c r="C1301" s="484"/>
      <c r="D1301" s="484"/>
      <c r="E1301" s="183"/>
      <c r="F1301" s="183"/>
      <c r="G1301" s="183"/>
      <c r="H1301" s="482" t="s">
        <v>1834</v>
      </c>
      <c r="I1301" s="482"/>
      <c r="J1301" s="482"/>
      <c r="K1301" s="482"/>
      <c r="L1301" s="369">
        <v>323.54000000000002</v>
      </c>
    </row>
    <row r="1302" spans="1:12" ht="9.9499999999999993" customHeight="1" x14ac:dyDescent="0.25">
      <c r="A1302" s="182"/>
      <c r="B1302" s="183"/>
      <c r="C1302" s="183"/>
      <c r="D1302" s="183"/>
      <c r="E1302" s="183"/>
      <c r="F1302" s="183"/>
      <c r="G1302" s="183"/>
      <c r="H1302" s="485"/>
      <c r="I1302" s="485"/>
      <c r="J1302" s="485"/>
      <c r="K1302" s="485"/>
      <c r="L1302" s="512"/>
    </row>
    <row r="1303" spans="1:12" ht="20.100000000000001" customHeight="1" x14ac:dyDescent="0.25">
      <c r="A1303" s="486" t="s">
        <v>2889</v>
      </c>
      <c r="B1303" s="487"/>
      <c r="C1303" s="487"/>
      <c r="D1303" s="487"/>
      <c r="E1303" s="487"/>
      <c r="F1303" s="487"/>
      <c r="G1303" s="487"/>
      <c r="H1303" s="487"/>
      <c r="I1303" s="487"/>
      <c r="J1303" s="487"/>
      <c r="K1303" s="487"/>
      <c r="L1303" s="513"/>
    </row>
    <row r="1304" spans="1:12" ht="15" customHeight="1" x14ac:dyDescent="0.25">
      <c r="A1304" s="474" t="s">
        <v>1932</v>
      </c>
      <c r="B1304" s="475"/>
      <c r="C1304" s="475"/>
      <c r="D1304" s="476" t="s">
        <v>42</v>
      </c>
      <c r="E1304" s="476"/>
      <c r="F1304" s="476"/>
      <c r="G1304" s="230" t="s">
        <v>44</v>
      </c>
      <c r="H1304" s="476" t="s">
        <v>1813</v>
      </c>
      <c r="I1304" s="476"/>
      <c r="J1304" s="476" t="s">
        <v>1814</v>
      </c>
      <c r="K1304" s="476"/>
      <c r="L1304" s="366" t="s">
        <v>1802</v>
      </c>
    </row>
    <row r="1305" spans="1:12" ht="21" customHeight="1" x14ac:dyDescent="0.25">
      <c r="A1305" s="181" t="s">
        <v>2336</v>
      </c>
      <c r="B1305" s="509" t="s">
        <v>2337</v>
      </c>
      <c r="C1305" s="509"/>
      <c r="D1305" s="481" t="s">
        <v>82</v>
      </c>
      <c r="E1305" s="481"/>
      <c r="F1305" s="481"/>
      <c r="G1305" s="231" t="s">
        <v>1024</v>
      </c>
      <c r="H1305" s="510">
        <v>1</v>
      </c>
      <c r="I1305" s="510"/>
      <c r="J1305" s="511">
        <v>7.63</v>
      </c>
      <c r="K1305" s="511"/>
      <c r="L1305" s="367">
        <f t="shared" ref="L1305:L1310" si="17">TRUNC(TRUNC(H1305,8)*J1305,2)</f>
        <v>7.63</v>
      </c>
    </row>
    <row r="1306" spans="1:12" ht="21" customHeight="1" x14ac:dyDescent="0.25">
      <c r="A1306" s="181" t="s">
        <v>2338</v>
      </c>
      <c r="B1306" s="509" t="s">
        <v>2339</v>
      </c>
      <c r="C1306" s="509"/>
      <c r="D1306" s="481" t="s">
        <v>82</v>
      </c>
      <c r="E1306" s="481"/>
      <c r="F1306" s="481"/>
      <c r="G1306" s="231" t="s">
        <v>1024</v>
      </c>
      <c r="H1306" s="510">
        <v>1</v>
      </c>
      <c r="I1306" s="510"/>
      <c r="J1306" s="511">
        <v>1.28</v>
      </c>
      <c r="K1306" s="511"/>
      <c r="L1306" s="367">
        <f t="shared" si="17"/>
        <v>1.28</v>
      </c>
    </row>
    <row r="1307" spans="1:12" ht="21" customHeight="1" x14ac:dyDescent="0.25">
      <c r="A1307" s="181" t="s">
        <v>2340</v>
      </c>
      <c r="B1307" s="509" t="s">
        <v>2341</v>
      </c>
      <c r="C1307" s="509"/>
      <c r="D1307" s="481" t="s">
        <v>82</v>
      </c>
      <c r="E1307" s="481"/>
      <c r="F1307" s="481"/>
      <c r="G1307" s="231" t="s">
        <v>1024</v>
      </c>
      <c r="H1307" s="510">
        <v>1</v>
      </c>
      <c r="I1307" s="510"/>
      <c r="J1307" s="511">
        <v>1.62</v>
      </c>
      <c r="K1307" s="511"/>
      <c r="L1307" s="367">
        <f t="shared" si="17"/>
        <v>1.62</v>
      </c>
    </row>
    <row r="1308" spans="1:12" ht="21" customHeight="1" x14ac:dyDescent="0.25">
      <c r="A1308" s="181" t="s">
        <v>2342</v>
      </c>
      <c r="B1308" s="509" t="s">
        <v>2343</v>
      </c>
      <c r="C1308" s="509"/>
      <c r="D1308" s="481" t="s">
        <v>82</v>
      </c>
      <c r="E1308" s="481"/>
      <c r="F1308" s="481"/>
      <c r="G1308" s="231" t="s">
        <v>1024</v>
      </c>
      <c r="H1308" s="510">
        <v>1</v>
      </c>
      <c r="I1308" s="510"/>
      <c r="J1308" s="511">
        <v>0.68</v>
      </c>
      <c r="K1308" s="511"/>
      <c r="L1308" s="367">
        <f t="shared" si="17"/>
        <v>0.68</v>
      </c>
    </row>
    <row r="1309" spans="1:12" ht="21" customHeight="1" x14ac:dyDescent="0.25">
      <c r="A1309" s="181" t="s">
        <v>2344</v>
      </c>
      <c r="B1309" s="509" t="s">
        <v>2345</v>
      </c>
      <c r="C1309" s="509"/>
      <c r="D1309" s="481" t="s">
        <v>82</v>
      </c>
      <c r="E1309" s="481"/>
      <c r="F1309" s="481"/>
      <c r="G1309" s="231" t="s">
        <v>1024</v>
      </c>
      <c r="H1309" s="510">
        <v>1</v>
      </c>
      <c r="I1309" s="510"/>
      <c r="J1309" s="511">
        <v>0.11</v>
      </c>
      <c r="K1309" s="511"/>
      <c r="L1309" s="367">
        <f t="shared" si="17"/>
        <v>0.11</v>
      </c>
    </row>
    <row r="1310" spans="1:12" ht="21" customHeight="1" x14ac:dyDescent="0.25">
      <c r="A1310" s="181" t="s">
        <v>2346</v>
      </c>
      <c r="B1310" s="509" t="s">
        <v>2347</v>
      </c>
      <c r="C1310" s="509"/>
      <c r="D1310" s="481" t="s">
        <v>82</v>
      </c>
      <c r="E1310" s="481"/>
      <c r="F1310" s="481"/>
      <c r="G1310" s="231" t="s">
        <v>1024</v>
      </c>
      <c r="H1310" s="510">
        <v>1</v>
      </c>
      <c r="I1310" s="510"/>
      <c r="J1310" s="511">
        <v>0.66</v>
      </c>
      <c r="K1310" s="511"/>
      <c r="L1310" s="367">
        <f t="shared" si="17"/>
        <v>0.66</v>
      </c>
    </row>
    <row r="1311" spans="1:12" ht="15" customHeight="1" x14ac:dyDescent="0.25">
      <c r="A1311" s="182"/>
      <c r="B1311" s="183"/>
      <c r="C1311" s="183"/>
      <c r="D1311" s="183"/>
      <c r="E1311" s="183"/>
      <c r="F1311" s="183"/>
      <c r="G1311" s="183"/>
      <c r="H1311" s="477" t="s">
        <v>1938</v>
      </c>
      <c r="I1311" s="477"/>
      <c r="J1311" s="477"/>
      <c r="K1311" s="477"/>
      <c r="L1311" s="368">
        <f>SUM(L1305:L1310)</f>
        <v>11.98</v>
      </c>
    </row>
    <row r="1312" spans="1:12" ht="15" customHeight="1" x14ac:dyDescent="0.25">
      <c r="A1312" s="474" t="s">
        <v>1827</v>
      </c>
      <c r="B1312" s="475"/>
      <c r="C1312" s="475"/>
      <c r="D1312" s="476" t="s">
        <v>42</v>
      </c>
      <c r="E1312" s="476"/>
      <c r="F1312" s="476"/>
      <c r="G1312" s="230" t="s">
        <v>44</v>
      </c>
      <c r="H1312" s="476" t="s">
        <v>1813</v>
      </c>
      <c r="I1312" s="476"/>
      <c r="J1312" s="476" t="s">
        <v>1814</v>
      </c>
      <c r="K1312" s="476"/>
      <c r="L1312" s="366" t="s">
        <v>1802</v>
      </c>
    </row>
    <row r="1313" spans="1:12" ht="15" customHeight="1" x14ac:dyDescent="0.25">
      <c r="A1313" s="181" t="s">
        <v>2590</v>
      </c>
      <c r="B1313" s="509" t="s">
        <v>2591</v>
      </c>
      <c r="C1313" s="509"/>
      <c r="D1313" s="481" t="s">
        <v>82</v>
      </c>
      <c r="E1313" s="481"/>
      <c r="F1313" s="481"/>
      <c r="G1313" s="231" t="s">
        <v>1024</v>
      </c>
      <c r="H1313" s="510">
        <v>1</v>
      </c>
      <c r="I1313" s="510"/>
      <c r="J1313" s="511">
        <v>18.88</v>
      </c>
      <c r="K1313" s="511"/>
      <c r="L1313" s="367">
        <f>TRUNC(TRUNC(H1313,8)*J1313,2)</f>
        <v>18.88</v>
      </c>
    </row>
    <row r="1314" spans="1:12" ht="15" customHeight="1" x14ac:dyDescent="0.25">
      <c r="A1314" s="182"/>
      <c r="B1314" s="183"/>
      <c r="C1314" s="183"/>
      <c r="D1314" s="183"/>
      <c r="E1314" s="183"/>
      <c r="F1314" s="183"/>
      <c r="G1314" s="183"/>
      <c r="H1314" s="477" t="s">
        <v>1832</v>
      </c>
      <c r="I1314" s="477"/>
      <c r="J1314" s="477"/>
      <c r="K1314" s="477"/>
      <c r="L1314" s="368">
        <f>SUM(L1313:L1313)</f>
        <v>18.88</v>
      </c>
    </row>
    <row r="1315" spans="1:12" ht="15" customHeight="1" x14ac:dyDescent="0.25">
      <c r="A1315" s="474" t="s">
        <v>1912</v>
      </c>
      <c r="B1315" s="475"/>
      <c r="C1315" s="475"/>
      <c r="D1315" s="476" t="s">
        <v>42</v>
      </c>
      <c r="E1315" s="476"/>
      <c r="F1315" s="476"/>
      <c r="G1315" s="230" t="s">
        <v>44</v>
      </c>
      <c r="H1315" s="476" t="s">
        <v>1813</v>
      </c>
      <c r="I1315" s="476"/>
      <c r="J1315" s="476" t="s">
        <v>1814</v>
      </c>
      <c r="K1315" s="476"/>
      <c r="L1315" s="366" t="s">
        <v>1802</v>
      </c>
    </row>
    <row r="1316" spans="1:12" ht="21" customHeight="1" x14ac:dyDescent="0.25">
      <c r="A1316" s="181" t="s">
        <v>2890</v>
      </c>
      <c r="B1316" s="509" t="s">
        <v>2891</v>
      </c>
      <c r="C1316" s="509"/>
      <c r="D1316" s="481" t="s">
        <v>82</v>
      </c>
      <c r="E1316" s="481"/>
      <c r="F1316" s="481"/>
      <c r="G1316" s="231" t="s">
        <v>1024</v>
      </c>
      <c r="H1316" s="510">
        <v>1</v>
      </c>
      <c r="I1316" s="510"/>
      <c r="J1316" s="511">
        <v>0.09</v>
      </c>
      <c r="K1316" s="511"/>
      <c r="L1316" s="367">
        <f>TRUNC(TRUNC(H1316,8)*J1316,2)</f>
        <v>0.09</v>
      </c>
    </row>
    <row r="1317" spans="1:12" ht="15" customHeight="1" x14ac:dyDescent="0.25">
      <c r="A1317" s="182"/>
      <c r="B1317" s="183"/>
      <c r="C1317" s="183"/>
      <c r="D1317" s="183"/>
      <c r="E1317" s="183"/>
      <c r="F1317" s="183"/>
      <c r="G1317" s="183"/>
      <c r="H1317" s="477" t="s">
        <v>1915</v>
      </c>
      <c r="I1317" s="477"/>
      <c r="J1317" s="477"/>
      <c r="K1317" s="477"/>
      <c r="L1317" s="368">
        <f>SUM(L1316:L1316)</f>
        <v>0.09</v>
      </c>
    </row>
    <row r="1318" spans="1:12" ht="15" customHeight="1" x14ac:dyDescent="0.25">
      <c r="A1318" s="182"/>
      <c r="B1318" s="183"/>
      <c r="C1318" s="183"/>
      <c r="D1318" s="183"/>
      <c r="E1318" s="183"/>
      <c r="F1318" s="183"/>
      <c r="G1318" s="183"/>
      <c r="H1318" s="482" t="s">
        <v>1834</v>
      </c>
      <c r="I1318" s="482"/>
      <c r="J1318" s="482"/>
      <c r="K1318" s="482"/>
      <c r="L1318" s="369">
        <f>ROUND(SUM(L1311,L1314,L1317),2)</f>
        <v>30.95</v>
      </c>
    </row>
    <row r="1319" spans="1:12" ht="9.9499999999999993" customHeight="1" x14ac:dyDescent="0.25">
      <c r="A1319" s="182"/>
      <c r="B1319" s="183"/>
      <c r="C1319" s="183"/>
      <c r="D1319" s="183"/>
      <c r="E1319" s="183"/>
      <c r="F1319" s="183"/>
      <c r="G1319" s="183"/>
      <c r="H1319" s="485"/>
      <c r="I1319" s="485"/>
      <c r="J1319" s="485"/>
      <c r="K1319" s="485"/>
      <c r="L1319" s="512"/>
    </row>
    <row r="1320" spans="1:12" ht="20.100000000000001" customHeight="1" x14ac:dyDescent="0.25">
      <c r="A1320" s="486" t="s">
        <v>2892</v>
      </c>
      <c r="B1320" s="487"/>
      <c r="C1320" s="487"/>
      <c r="D1320" s="487"/>
      <c r="E1320" s="487"/>
      <c r="F1320" s="487"/>
      <c r="G1320" s="487"/>
      <c r="H1320" s="487"/>
      <c r="I1320" s="487"/>
      <c r="J1320" s="487"/>
      <c r="K1320" s="487"/>
      <c r="L1320" s="513"/>
    </row>
    <row r="1321" spans="1:12" ht="15" customHeight="1" x14ac:dyDescent="0.25">
      <c r="A1321" s="474" t="s">
        <v>1932</v>
      </c>
      <c r="B1321" s="475"/>
      <c r="C1321" s="475"/>
      <c r="D1321" s="476" t="s">
        <v>42</v>
      </c>
      <c r="E1321" s="476"/>
      <c r="F1321" s="476"/>
      <c r="G1321" s="230" t="s">
        <v>44</v>
      </c>
      <c r="H1321" s="476" t="s">
        <v>1813</v>
      </c>
      <c r="I1321" s="476"/>
      <c r="J1321" s="476" t="s">
        <v>1814</v>
      </c>
      <c r="K1321" s="476"/>
      <c r="L1321" s="366" t="s">
        <v>1802</v>
      </c>
    </row>
    <row r="1322" spans="1:12" ht="21" customHeight="1" x14ac:dyDescent="0.25">
      <c r="A1322" s="181" t="s">
        <v>2336</v>
      </c>
      <c r="B1322" s="509" t="s">
        <v>2337</v>
      </c>
      <c r="C1322" s="509"/>
      <c r="D1322" s="481" t="s">
        <v>82</v>
      </c>
      <c r="E1322" s="481"/>
      <c r="F1322" s="481"/>
      <c r="G1322" s="231" t="s">
        <v>1024</v>
      </c>
      <c r="H1322" s="510">
        <v>1</v>
      </c>
      <c r="I1322" s="510"/>
      <c r="J1322" s="511">
        <v>7.63</v>
      </c>
      <c r="K1322" s="511"/>
      <c r="L1322" s="367">
        <f t="shared" ref="L1322:L1327" si="18">TRUNC(TRUNC(H1322,8)*J1322,2)</f>
        <v>7.63</v>
      </c>
    </row>
    <row r="1323" spans="1:12" ht="21" customHeight="1" x14ac:dyDescent="0.25">
      <c r="A1323" s="181" t="s">
        <v>2338</v>
      </c>
      <c r="B1323" s="509" t="s">
        <v>2339</v>
      </c>
      <c r="C1323" s="509"/>
      <c r="D1323" s="481" t="s">
        <v>82</v>
      </c>
      <c r="E1323" s="481"/>
      <c r="F1323" s="481"/>
      <c r="G1323" s="231" t="s">
        <v>1024</v>
      </c>
      <c r="H1323" s="510">
        <v>1</v>
      </c>
      <c r="I1323" s="510"/>
      <c r="J1323" s="511">
        <v>1.28</v>
      </c>
      <c r="K1323" s="511"/>
      <c r="L1323" s="367">
        <f t="shared" si="18"/>
        <v>1.28</v>
      </c>
    </row>
    <row r="1324" spans="1:12" ht="21" customHeight="1" x14ac:dyDescent="0.25">
      <c r="A1324" s="181" t="s">
        <v>2340</v>
      </c>
      <c r="B1324" s="509" t="s">
        <v>2341</v>
      </c>
      <c r="C1324" s="509"/>
      <c r="D1324" s="481" t="s">
        <v>82</v>
      </c>
      <c r="E1324" s="481"/>
      <c r="F1324" s="481"/>
      <c r="G1324" s="231" t="s">
        <v>1024</v>
      </c>
      <c r="H1324" s="510">
        <v>1</v>
      </c>
      <c r="I1324" s="510"/>
      <c r="J1324" s="511">
        <v>1.62</v>
      </c>
      <c r="K1324" s="511"/>
      <c r="L1324" s="367">
        <f t="shared" si="18"/>
        <v>1.62</v>
      </c>
    </row>
    <row r="1325" spans="1:12" ht="21" customHeight="1" x14ac:dyDescent="0.25">
      <c r="A1325" s="181" t="s">
        <v>2342</v>
      </c>
      <c r="B1325" s="509" t="s">
        <v>2343</v>
      </c>
      <c r="C1325" s="509"/>
      <c r="D1325" s="481" t="s">
        <v>82</v>
      </c>
      <c r="E1325" s="481"/>
      <c r="F1325" s="481"/>
      <c r="G1325" s="231" t="s">
        <v>1024</v>
      </c>
      <c r="H1325" s="510">
        <v>1</v>
      </c>
      <c r="I1325" s="510"/>
      <c r="J1325" s="511">
        <v>0.68</v>
      </c>
      <c r="K1325" s="511"/>
      <c r="L1325" s="367">
        <f t="shared" si="18"/>
        <v>0.68</v>
      </c>
    </row>
    <row r="1326" spans="1:12" ht="21" customHeight="1" x14ac:dyDescent="0.25">
      <c r="A1326" s="181" t="s">
        <v>2344</v>
      </c>
      <c r="B1326" s="509" t="s">
        <v>2345</v>
      </c>
      <c r="C1326" s="509"/>
      <c r="D1326" s="481" t="s">
        <v>82</v>
      </c>
      <c r="E1326" s="481"/>
      <c r="F1326" s="481"/>
      <c r="G1326" s="231" t="s">
        <v>1024</v>
      </c>
      <c r="H1326" s="510">
        <v>1</v>
      </c>
      <c r="I1326" s="510"/>
      <c r="J1326" s="511">
        <v>0.11</v>
      </c>
      <c r="K1326" s="511"/>
      <c r="L1326" s="367">
        <f t="shared" si="18"/>
        <v>0.11</v>
      </c>
    </row>
    <row r="1327" spans="1:12" ht="21" customHeight="1" x14ac:dyDescent="0.25">
      <c r="A1327" s="181" t="s">
        <v>2346</v>
      </c>
      <c r="B1327" s="509" t="s">
        <v>2347</v>
      </c>
      <c r="C1327" s="509"/>
      <c r="D1327" s="481" t="s">
        <v>82</v>
      </c>
      <c r="E1327" s="481"/>
      <c r="F1327" s="481"/>
      <c r="G1327" s="231" t="s">
        <v>1024</v>
      </c>
      <c r="H1327" s="510">
        <v>1</v>
      </c>
      <c r="I1327" s="510"/>
      <c r="J1327" s="511">
        <v>0.66</v>
      </c>
      <c r="K1327" s="511"/>
      <c r="L1327" s="367">
        <f t="shared" si="18"/>
        <v>0.66</v>
      </c>
    </row>
    <row r="1328" spans="1:12" ht="15" customHeight="1" x14ac:dyDescent="0.25">
      <c r="A1328" s="182"/>
      <c r="B1328" s="183"/>
      <c r="C1328" s="183"/>
      <c r="D1328" s="183"/>
      <c r="E1328" s="183"/>
      <c r="F1328" s="183"/>
      <c r="G1328" s="183"/>
      <c r="H1328" s="477" t="s">
        <v>1938</v>
      </c>
      <c r="I1328" s="477"/>
      <c r="J1328" s="477"/>
      <c r="K1328" s="477"/>
      <c r="L1328" s="368">
        <f>SUM(L1322:L1327)</f>
        <v>11.98</v>
      </c>
    </row>
    <row r="1329" spans="1:12" ht="15" customHeight="1" x14ac:dyDescent="0.25">
      <c r="A1329" s="474" t="s">
        <v>1827</v>
      </c>
      <c r="B1329" s="475"/>
      <c r="C1329" s="475"/>
      <c r="D1329" s="476" t="s">
        <v>42</v>
      </c>
      <c r="E1329" s="476"/>
      <c r="F1329" s="476"/>
      <c r="G1329" s="230" t="s">
        <v>44</v>
      </c>
      <c r="H1329" s="476" t="s">
        <v>1813</v>
      </c>
      <c r="I1329" s="476"/>
      <c r="J1329" s="476" t="s">
        <v>1814</v>
      </c>
      <c r="K1329" s="476"/>
      <c r="L1329" s="366" t="s">
        <v>1802</v>
      </c>
    </row>
    <row r="1330" spans="1:12" ht="15" customHeight="1" x14ac:dyDescent="0.25">
      <c r="A1330" s="181" t="s">
        <v>2593</v>
      </c>
      <c r="B1330" s="509" t="s">
        <v>2594</v>
      </c>
      <c r="C1330" s="509"/>
      <c r="D1330" s="481" t="s">
        <v>82</v>
      </c>
      <c r="E1330" s="481"/>
      <c r="F1330" s="481"/>
      <c r="G1330" s="231" t="s">
        <v>1024</v>
      </c>
      <c r="H1330" s="510">
        <v>1</v>
      </c>
      <c r="I1330" s="510"/>
      <c r="J1330" s="511">
        <v>23.99</v>
      </c>
      <c r="K1330" s="511"/>
      <c r="L1330" s="367">
        <f>TRUNC(TRUNC(H1330,8)*J1330,2)</f>
        <v>23.99</v>
      </c>
    </row>
    <row r="1331" spans="1:12" ht="15" customHeight="1" x14ac:dyDescent="0.25">
      <c r="A1331" s="182"/>
      <c r="B1331" s="183"/>
      <c r="C1331" s="183"/>
      <c r="D1331" s="183"/>
      <c r="E1331" s="183"/>
      <c r="F1331" s="183"/>
      <c r="G1331" s="183"/>
      <c r="H1331" s="477" t="s">
        <v>1832</v>
      </c>
      <c r="I1331" s="477"/>
      <c r="J1331" s="477"/>
      <c r="K1331" s="477"/>
      <c r="L1331" s="368">
        <f>SUM(L1330:L1330)</f>
        <v>23.99</v>
      </c>
    </row>
    <row r="1332" spans="1:12" ht="15" customHeight="1" x14ac:dyDescent="0.25">
      <c r="A1332" s="474" t="s">
        <v>1912</v>
      </c>
      <c r="B1332" s="475"/>
      <c r="C1332" s="475"/>
      <c r="D1332" s="476" t="s">
        <v>42</v>
      </c>
      <c r="E1332" s="476"/>
      <c r="F1332" s="476"/>
      <c r="G1332" s="230" t="s">
        <v>44</v>
      </c>
      <c r="H1332" s="476" t="s">
        <v>1813</v>
      </c>
      <c r="I1332" s="476"/>
      <c r="J1332" s="476" t="s">
        <v>1814</v>
      </c>
      <c r="K1332" s="476"/>
      <c r="L1332" s="366" t="s">
        <v>1802</v>
      </c>
    </row>
    <row r="1333" spans="1:12" ht="21" customHeight="1" x14ac:dyDescent="0.25">
      <c r="A1333" s="181" t="s">
        <v>2893</v>
      </c>
      <c r="B1333" s="509" t="s">
        <v>2894</v>
      </c>
      <c r="C1333" s="509"/>
      <c r="D1333" s="481" t="s">
        <v>82</v>
      </c>
      <c r="E1333" s="481"/>
      <c r="F1333" s="481"/>
      <c r="G1333" s="231" t="s">
        <v>1024</v>
      </c>
      <c r="H1333" s="510">
        <v>1</v>
      </c>
      <c r="I1333" s="510"/>
      <c r="J1333" s="511">
        <v>0.35</v>
      </c>
      <c r="K1333" s="511"/>
      <c r="L1333" s="367">
        <f>TRUNC(TRUNC(H1333,8)*J1333,2)</f>
        <v>0.35</v>
      </c>
    </row>
    <row r="1334" spans="1:12" ht="15" customHeight="1" x14ac:dyDescent="0.25">
      <c r="A1334" s="182"/>
      <c r="B1334" s="183"/>
      <c r="C1334" s="183"/>
      <c r="D1334" s="183"/>
      <c r="E1334" s="183"/>
      <c r="F1334" s="183"/>
      <c r="G1334" s="183"/>
      <c r="H1334" s="477" t="s">
        <v>1915</v>
      </c>
      <c r="I1334" s="477"/>
      <c r="J1334" s="477"/>
      <c r="K1334" s="477"/>
      <c r="L1334" s="368">
        <f>SUM(L1333:L1333)</f>
        <v>0.35</v>
      </c>
    </row>
    <row r="1335" spans="1:12" ht="15" customHeight="1" x14ac:dyDescent="0.25">
      <c r="A1335" s="182"/>
      <c r="B1335" s="183"/>
      <c r="C1335" s="183"/>
      <c r="D1335" s="183"/>
      <c r="E1335" s="183"/>
      <c r="F1335" s="183"/>
      <c r="G1335" s="183"/>
      <c r="H1335" s="482" t="s">
        <v>1834</v>
      </c>
      <c r="I1335" s="482"/>
      <c r="J1335" s="482"/>
      <c r="K1335" s="482"/>
      <c r="L1335" s="369">
        <f>ROUND(SUM(L1328,L1331,L1334),2)</f>
        <v>36.32</v>
      </c>
    </row>
    <row r="1336" spans="1:12" ht="9.9499999999999993" customHeight="1" x14ac:dyDescent="0.25">
      <c r="A1336" s="182"/>
      <c r="B1336" s="183"/>
      <c r="C1336" s="183"/>
      <c r="D1336" s="183"/>
      <c r="E1336" s="183"/>
      <c r="F1336" s="183"/>
      <c r="G1336" s="183"/>
      <c r="H1336" s="485"/>
      <c r="I1336" s="485"/>
      <c r="J1336" s="485"/>
      <c r="K1336" s="485"/>
      <c r="L1336" s="512"/>
    </row>
    <row r="1337" spans="1:12" ht="20.100000000000001" customHeight="1" x14ac:dyDescent="0.25">
      <c r="A1337" s="486" t="s">
        <v>2895</v>
      </c>
      <c r="B1337" s="487"/>
      <c r="C1337" s="487"/>
      <c r="D1337" s="487"/>
      <c r="E1337" s="487"/>
      <c r="F1337" s="487"/>
      <c r="G1337" s="487"/>
      <c r="H1337" s="487"/>
      <c r="I1337" s="487"/>
      <c r="J1337" s="487"/>
      <c r="K1337" s="487"/>
      <c r="L1337" s="513"/>
    </row>
    <row r="1338" spans="1:12" ht="15" customHeight="1" x14ac:dyDescent="0.25">
      <c r="A1338" s="474" t="s">
        <v>2190</v>
      </c>
      <c r="B1338" s="475"/>
      <c r="C1338" s="475"/>
      <c r="D1338" s="476" t="s">
        <v>42</v>
      </c>
      <c r="E1338" s="476"/>
      <c r="F1338" s="476"/>
      <c r="G1338" s="230" t="s">
        <v>44</v>
      </c>
      <c r="H1338" s="476" t="s">
        <v>1813</v>
      </c>
      <c r="I1338" s="476"/>
      <c r="J1338" s="476" t="s">
        <v>1814</v>
      </c>
      <c r="K1338" s="476"/>
      <c r="L1338" s="366" t="s">
        <v>1802</v>
      </c>
    </row>
    <row r="1339" spans="1:12" ht="21" customHeight="1" x14ac:dyDescent="0.25">
      <c r="A1339" s="181" t="s">
        <v>2896</v>
      </c>
      <c r="B1339" s="509" t="s">
        <v>2897</v>
      </c>
      <c r="C1339" s="509"/>
      <c r="D1339" s="481" t="s">
        <v>82</v>
      </c>
      <c r="E1339" s="481"/>
      <c r="F1339" s="481"/>
      <c r="G1339" s="231" t="s">
        <v>1024</v>
      </c>
      <c r="H1339" s="510">
        <v>1</v>
      </c>
      <c r="I1339" s="510"/>
      <c r="J1339" s="511">
        <v>32.380000000000003</v>
      </c>
      <c r="K1339" s="511"/>
      <c r="L1339" s="367">
        <f>TRUNC(TRUNC(H1339,8)*J1339,2)</f>
        <v>32.380000000000003</v>
      </c>
    </row>
    <row r="1340" spans="1:12" ht="18" customHeight="1" x14ac:dyDescent="0.25">
      <c r="A1340" s="182"/>
      <c r="B1340" s="183"/>
      <c r="C1340" s="183"/>
      <c r="D1340" s="183"/>
      <c r="E1340" s="183"/>
      <c r="F1340" s="183"/>
      <c r="G1340" s="183"/>
      <c r="H1340" s="477" t="s">
        <v>2195</v>
      </c>
      <c r="I1340" s="477"/>
      <c r="J1340" s="477"/>
      <c r="K1340" s="477"/>
      <c r="L1340" s="368">
        <f>SUM(L1339:L1339)</f>
        <v>32.380000000000003</v>
      </c>
    </row>
    <row r="1341" spans="1:12" ht="15" customHeight="1" x14ac:dyDescent="0.25">
      <c r="A1341" s="474" t="s">
        <v>1912</v>
      </c>
      <c r="B1341" s="475"/>
      <c r="C1341" s="475"/>
      <c r="D1341" s="476" t="s">
        <v>42</v>
      </c>
      <c r="E1341" s="476"/>
      <c r="F1341" s="476"/>
      <c r="G1341" s="230" t="s">
        <v>44</v>
      </c>
      <c r="H1341" s="476" t="s">
        <v>1813</v>
      </c>
      <c r="I1341" s="476"/>
      <c r="J1341" s="476" t="s">
        <v>1814</v>
      </c>
      <c r="K1341" s="476"/>
      <c r="L1341" s="366" t="s">
        <v>1802</v>
      </c>
    </row>
    <row r="1342" spans="1:12" ht="21" customHeight="1" x14ac:dyDescent="0.25">
      <c r="A1342" s="181" t="s">
        <v>2898</v>
      </c>
      <c r="B1342" s="509" t="s">
        <v>2899</v>
      </c>
      <c r="C1342" s="509"/>
      <c r="D1342" s="481" t="s">
        <v>82</v>
      </c>
      <c r="E1342" s="481"/>
      <c r="F1342" s="481"/>
      <c r="G1342" s="231" t="s">
        <v>1024</v>
      </c>
      <c r="H1342" s="510">
        <v>1</v>
      </c>
      <c r="I1342" s="510"/>
      <c r="J1342" s="511">
        <v>0.4</v>
      </c>
      <c r="K1342" s="511"/>
      <c r="L1342" s="367">
        <f>TRUNC(TRUNC(H1342,8)*J1342,2)</f>
        <v>0.4</v>
      </c>
    </row>
    <row r="1343" spans="1:12" ht="21" customHeight="1" x14ac:dyDescent="0.25">
      <c r="A1343" s="181" t="s">
        <v>2900</v>
      </c>
      <c r="B1343" s="509" t="s">
        <v>2901</v>
      </c>
      <c r="C1343" s="509"/>
      <c r="D1343" s="481" t="s">
        <v>82</v>
      </c>
      <c r="E1343" s="481"/>
      <c r="F1343" s="481"/>
      <c r="G1343" s="231" t="s">
        <v>1024</v>
      </c>
      <c r="H1343" s="510">
        <v>1</v>
      </c>
      <c r="I1343" s="510"/>
      <c r="J1343" s="511">
        <v>0.09</v>
      </c>
      <c r="K1343" s="511"/>
      <c r="L1343" s="367">
        <f>TRUNC(TRUNC(H1343,8)*J1343,2)</f>
        <v>0.09</v>
      </c>
    </row>
    <row r="1344" spans="1:12" ht="15" customHeight="1" x14ac:dyDescent="0.25">
      <c r="A1344" s="182"/>
      <c r="B1344" s="183"/>
      <c r="C1344" s="183"/>
      <c r="D1344" s="183"/>
      <c r="E1344" s="183"/>
      <c r="F1344" s="183"/>
      <c r="G1344" s="183"/>
      <c r="H1344" s="477" t="s">
        <v>1915</v>
      </c>
      <c r="I1344" s="477"/>
      <c r="J1344" s="477"/>
      <c r="K1344" s="477"/>
      <c r="L1344" s="368">
        <f>SUM(L1342:L1343)</f>
        <v>0.49</v>
      </c>
    </row>
    <row r="1345" spans="1:12" ht="15" customHeight="1" x14ac:dyDescent="0.25">
      <c r="A1345" s="182"/>
      <c r="B1345" s="183"/>
      <c r="C1345" s="183"/>
      <c r="D1345" s="183"/>
      <c r="E1345" s="183"/>
      <c r="F1345" s="183"/>
      <c r="G1345" s="183"/>
      <c r="H1345" s="482" t="s">
        <v>1834</v>
      </c>
      <c r="I1345" s="482"/>
      <c r="J1345" s="482"/>
      <c r="K1345" s="482"/>
      <c r="L1345" s="369">
        <f>ROUND(SUM(L1340,L1344),2)</f>
        <v>32.869999999999997</v>
      </c>
    </row>
    <row r="1346" spans="1:12" ht="9.9499999999999993" customHeight="1" x14ac:dyDescent="0.25">
      <c r="A1346" s="182"/>
      <c r="B1346" s="183"/>
      <c r="C1346" s="183"/>
      <c r="D1346" s="183"/>
      <c r="E1346" s="183"/>
      <c r="F1346" s="183"/>
      <c r="G1346" s="183"/>
      <c r="H1346" s="485"/>
      <c r="I1346" s="485"/>
      <c r="J1346" s="485"/>
      <c r="K1346" s="485"/>
      <c r="L1346" s="512"/>
    </row>
    <row r="1347" spans="1:12" ht="20.100000000000001" customHeight="1" x14ac:dyDescent="0.25">
      <c r="A1347" s="486" t="s">
        <v>2902</v>
      </c>
      <c r="B1347" s="487"/>
      <c r="C1347" s="487"/>
      <c r="D1347" s="487"/>
      <c r="E1347" s="487"/>
      <c r="F1347" s="487"/>
      <c r="G1347" s="487"/>
      <c r="H1347" s="487"/>
      <c r="I1347" s="487"/>
      <c r="J1347" s="487"/>
      <c r="K1347" s="487"/>
      <c r="L1347" s="513"/>
    </row>
    <row r="1348" spans="1:12" ht="15" customHeight="1" x14ac:dyDescent="0.25">
      <c r="A1348" s="474" t="s">
        <v>2190</v>
      </c>
      <c r="B1348" s="475"/>
      <c r="C1348" s="475"/>
      <c r="D1348" s="476" t="s">
        <v>42</v>
      </c>
      <c r="E1348" s="476"/>
      <c r="F1348" s="476"/>
      <c r="G1348" s="230" t="s">
        <v>44</v>
      </c>
      <c r="H1348" s="476" t="s">
        <v>1813</v>
      </c>
      <c r="I1348" s="476"/>
      <c r="J1348" s="476" t="s">
        <v>1814</v>
      </c>
      <c r="K1348" s="476"/>
      <c r="L1348" s="366" t="s">
        <v>1802</v>
      </c>
    </row>
    <row r="1349" spans="1:12" ht="21" customHeight="1" x14ac:dyDescent="0.25">
      <c r="A1349" s="181" t="s">
        <v>2896</v>
      </c>
      <c r="B1349" s="509" t="s">
        <v>2897</v>
      </c>
      <c r="C1349" s="509"/>
      <c r="D1349" s="481" t="s">
        <v>82</v>
      </c>
      <c r="E1349" s="481"/>
      <c r="F1349" s="481"/>
      <c r="G1349" s="231" t="s">
        <v>1024</v>
      </c>
      <c r="H1349" s="510">
        <v>1</v>
      </c>
      <c r="I1349" s="510"/>
      <c r="J1349" s="511">
        <v>32.380000000000003</v>
      </c>
      <c r="K1349" s="511"/>
      <c r="L1349" s="367">
        <f>TRUNC(TRUNC(H1349,8)*J1349,2)</f>
        <v>32.380000000000003</v>
      </c>
    </row>
    <row r="1350" spans="1:12" ht="18" customHeight="1" x14ac:dyDescent="0.25">
      <c r="A1350" s="182"/>
      <c r="B1350" s="183"/>
      <c r="C1350" s="183"/>
      <c r="D1350" s="183"/>
      <c r="E1350" s="183"/>
      <c r="F1350" s="183"/>
      <c r="G1350" s="183"/>
      <c r="H1350" s="477" t="s">
        <v>2195</v>
      </c>
      <c r="I1350" s="477"/>
      <c r="J1350" s="477"/>
      <c r="K1350" s="477"/>
      <c r="L1350" s="368">
        <f>SUM(L1349:L1349)</f>
        <v>32.380000000000003</v>
      </c>
    </row>
    <row r="1351" spans="1:12" ht="15" customHeight="1" x14ac:dyDescent="0.25">
      <c r="A1351" s="474" t="s">
        <v>1912</v>
      </c>
      <c r="B1351" s="475"/>
      <c r="C1351" s="475"/>
      <c r="D1351" s="476" t="s">
        <v>42</v>
      </c>
      <c r="E1351" s="476"/>
      <c r="F1351" s="476"/>
      <c r="G1351" s="230" t="s">
        <v>44</v>
      </c>
      <c r="H1351" s="476" t="s">
        <v>1813</v>
      </c>
      <c r="I1351" s="476"/>
      <c r="J1351" s="476" t="s">
        <v>1814</v>
      </c>
      <c r="K1351" s="476"/>
      <c r="L1351" s="366" t="s">
        <v>1802</v>
      </c>
    </row>
    <row r="1352" spans="1:12" ht="21" customHeight="1" x14ac:dyDescent="0.25">
      <c r="A1352" s="181" t="s">
        <v>2898</v>
      </c>
      <c r="B1352" s="509" t="s">
        <v>2899</v>
      </c>
      <c r="C1352" s="509"/>
      <c r="D1352" s="481" t="s">
        <v>82</v>
      </c>
      <c r="E1352" s="481"/>
      <c r="F1352" s="481"/>
      <c r="G1352" s="231" t="s">
        <v>1024</v>
      </c>
      <c r="H1352" s="510">
        <v>1</v>
      </c>
      <c r="I1352" s="510"/>
      <c r="J1352" s="511">
        <v>0.4</v>
      </c>
      <c r="K1352" s="511"/>
      <c r="L1352" s="367">
        <f>TRUNC(TRUNC(H1352,8)*J1352,2)</f>
        <v>0.4</v>
      </c>
    </row>
    <row r="1353" spans="1:12" ht="21" customHeight="1" x14ac:dyDescent="0.25">
      <c r="A1353" s="181" t="s">
        <v>2900</v>
      </c>
      <c r="B1353" s="509" t="s">
        <v>2901</v>
      </c>
      <c r="C1353" s="509"/>
      <c r="D1353" s="481" t="s">
        <v>82</v>
      </c>
      <c r="E1353" s="481"/>
      <c r="F1353" s="481"/>
      <c r="G1353" s="231" t="s">
        <v>1024</v>
      </c>
      <c r="H1353" s="510">
        <v>1</v>
      </c>
      <c r="I1353" s="510"/>
      <c r="J1353" s="511">
        <v>0.09</v>
      </c>
      <c r="K1353" s="511"/>
      <c r="L1353" s="367">
        <f>TRUNC(TRUNC(H1353,8)*J1353,2)</f>
        <v>0.09</v>
      </c>
    </row>
    <row r="1354" spans="1:12" ht="21" customHeight="1" x14ac:dyDescent="0.25">
      <c r="A1354" s="181" t="s">
        <v>2903</v>
      </c>
      <c r="B1354" s="509" t="s">
        <v>2904</v>
      </c>
      <c r="C1354" s="509"/>
      <c r="D1354" s="481" t="s">
        <v>82</v>
      </c>
      <c r="E1354" s="481"/>
      <c r="F1354" s="481"/>
      <c r="G1354" s="231" t="s">
        <v>1024</v>
      </c>
      <c r="H1354" s="510">
        <v>1</v>
      </c>
      <c r="I1354" s="510"/>
      <c r="J1354" s="511">
        <v>0.5</v>
      </c>
      <c r="K1354" s="511"/>
      <c r="L1354" s="367">
        <f>TRUNC(TRUNC(H1354,8)*J1354,2)</f>
        <v>0.5</v>
      </c>
    </row>
    <row r="1355" spans="1:12" ht="15" customHeight="1" x14ac:dyDescent="0.25">
      <c r="A1355" s="182"/>
      <c r="B1355" s="183"/>
      <c r="C1355" s="183"/>
      <c r="D1355" s="183"/>
      <c r="E1355" s="183"/>
      <c r="F1355" s="183"/>
      <c r="G1355" s="183"/>
      <c r="H1355" s="477" t="s">
        <v>1915</v>
      </c>
      <c r="I1355" s="477"/>
      <c r="J1355" s="477"/>
      <c r="K1355" s="477"/>
      <c r="L1355" s="368">
        <f>SUM(L1352:L1354)</f>
        <v>0.99</v>
      </c>
    </row>
    <row r="1356" spans="1:12" ht="15" customHeight="1" x14ac:dyDescent="0.25">
      <c r="A1356" s="182"/>
      <c r="B1356" s="183"/>
      <c r="C1356" s="183"/>
      <c r="D1356" s="183"/>
      <c r="E1356" s="183"/>
      <c r="F1356" s="183"/>
      <c r="G1356" s="183"/>
      <c r="H1356" s="482" t="s">
        <v>1834</v>
      </c>
      <c r="I1356" s="482"/>
      <c r="J1356" s="482"/>
      <c r="K1356" s="482"/>
      <c r="L1356" s="369">
        <f>ROUND(SUM(L1350,L1355),2)</f>
        <v>33.369999999999997</v>
      </c>
    </row>
    <row r="1357" spans="1:12" ht="9.9499999999999993" customHeight="1" x14ac:dyDescent="0.25">
      <c r="A1357" s="182"/>
      <c r="B1357" s="183"/>
      <c r="C1357" s="183"/>
      <c r="D1357" s="183"/>
      <c r="E1357" s="183"/>
      <c r="F1357" s="183"/>
      <c r="G1357" s="183"/>
      <c r="H1357" s="485"/>
      <c r="I1357" s="485"/>
      <c r="J1357" s="485"/>
      <c r="K1357" s="485"/>
      <c r="L1357" s="512"/>
    </row>
    <row r="1358" spans="1:12" ht="20.100000000000001" customHeight="1" x14ac:dyDescent="0.25">
      <c r="A1358" s="486" t="s">
        <v>2905</v>
      </c>
      <c r="B1358" s="487"/>
      <c r="C1358" s="487"/>
      <c r="D1358" s="487"/>
      <c r="E1358" s="487"/>
      <c r="F1358" s="487"/>
      <c r="G1358" s="487"/>
      <c r="H1358" s="487"/>
      <c r="I1358" s="487"/>
      <c r="J1358" s="487"/>
      <c r="K1358" s="487"/>
      <c r="L1358" s="513"/>
    </row>
    <row r="1359" spans="1:12" ht="15" customHeight="1" x14ac:dyDescent="0.25">
      <c r="A1359" s="474" t="s">
        <v>2443</v>
      </c>
      <c r="B1359" s="475"/>
      <c r="C1359" s="475"/>
      <c r="D1359" s="476" t="s">
        <v>42</v>
      </c>
      <c r="E1359" s="476"/>
      <c r="F1359" s="476"/>
      <c r="G1359" s="230" t="s">
        <v>44</v>
      </c>
      <c r="H1359" s="476" t="s">
        <v>1813</v>
      </c>
      <c r="I1359" s="476"/>
      <c r="J1359" s="476" t="s">
        <v>1814</v>
      </c>
      <c r="K1359" s="476"/>
      <c r="L1359" s="366" t="s">
        <v>1802</v>
      </c>
    </row>
    <row r="1360" spans="1:12" ht="21" customHeight="1" x14ac:dyDescent="0.25">
      <c r="A1360" s="181" t="s">
        <v>2906</v>
      </c>
      <c r="B1360" s="509" t="s">
        <v>2907</v>
      </c>
      <c r="C1360" s="509"/>
      <c r="D1360" s="481" t="s">
        <v>82</v>
      </c>
      <c r="E1360" s="481"/>
      <c r="F1360" s="481"/>
      <c r="G1360" s="231" t="s">
        <v>226</v>
      </c>
      <c r="H1360" s="510">
        <v>6.3999999999999997E-5</v>
      </c>
      <c r="I1360" s="510"/>
      <c r="J1360" s="511">
        <v>6320.47</v>
      </c>
      <c r="K1360" s="511"/>
      <c r="L1360" s="367">
        <f>TRUNC(TRUNC(H1360,8)*J1360,2)</f>
        <v>0.4</v>
      </c>
    </row>
    <row r="1361" spans="1:12" ht="15" customHeight="1" x14ac:dyDescent="0.25">
      <c r="A1361" s="182"/>
      <c r="B1361" s="183"/>
      <c r="C1361" s="183"/>
      <c r="D1361" s="183"/>
      <c r="E1361" s="183"/>
      <c r="F1361" s="183"/>
      <c r="G1361" s="183"/>
      <c r="H1361" s="477" t="s">
        <v>2446</v>
      </c>
      <c r="I1361" s="477"/>
      <c r="J1361" s="477"/>
      <c r="K1361" s="477"/>
      <c r="L1361" s="368">
        <f>SUM(L1360:L1360)</f>
        <v>0.4</v>
      </c>
    </row>
    <row r="1362" spans="1:12" ht="15" customHeight="1" x14ac:dyDescent="0.25">
      <c r="A1362" s="182"/>
      <c r="B1362" s="183"/>
      <c r="C1362" s="183"/>
      <c r="D1362" s="183"/>
      <c r="E1362" s="183"/>
      <c r="F1362" s="183"/>
      <c r="G1362" s="183"/>
      <c r="H1362" s="482" t="s">
        <v>1834</v>
      </c>
      <c r="I1362" s="482"/>
      <c r="J1362" s="482"/>
      <c r="K1362" s="482"/>
      <c r="L1362" s="369">
        <f>ROUND(SUM(L1361),2)</f>
        <v>0.4</v>
      </c>
    </row>
    <row r="1363" spans="1:12" ht="9.9499999999999993" customHeight="1" x14ac:dyDescent="0.25">
      <c r="A1363" s="182"/>
      <c r="B1363" s="183"/>
      <c r="C1363" s="183"/>
      <c r="D1363" s="183"/>
      <c r="E1363" s="183"/>
      <c r="F1363" s="183"/>
      <c r="G1363" s="183"/>
      <c r="H1363" s="485"/>
      <c r="I1363" s="485"/>
      <c r="J1363" s="485"/>
      <c r="K1363" s="485"/>
      <c r="L1363" s="512"/>
    </row>
    <row r="1364" spans="1:12" ht="20.100000000000001" customHeight="1" x14ac:dyDescent="0.25">
      <c r="A1364" s="486" t="s">
        <v>2908</v>
      </c>
      <c r="B1364" s="487"/>
      <c r="C1364" s="487"/>
      <c r="D1364" s="487"/>
      <c r="E1364" s="487"/>
      <c r="F1364" s="487"/>
      <c r="G1364" s="487"/>
      <c r="H1364" s="487"/>
      <c r="I1364" s="487"/>
      <c r="J1364" s="487"/>
      <c r="K1364" s="487"/>
      <c r="L1364" s="513"/>
    </row>
    <row r="1365" spans="1:12" ht="15" customHeight="1" x14ac:dyDescent="0.25">
      <c r="A1365" s="474" t="s">
        <v>2443</v>
      </c>
      <c r="B1365" s="475"/>
      <c r="C1365" s="475"/>
      <c r="D1365" s="476" t="s">
        <v>42</v>
      </c>
      <c r="E1365" s="476"/>
      <c r="F1365" s="476"/>
      <c r="G1365" s="230" t="s">
        <v>44</v>
      </c>
      <c r="H1365" s="476" t="s">
        <v>1813</v>
      </c>
      <c r="I1365" s="476"/>
      <c r="J1365" s="476" t="s">
        <v>1814</v>
      </c>
      <c r="K1365" s="476"/>
      <c r="L1365" s="366" t="s">
        <v>1802</v>
      </c>
    </row>
    <row r="1366" spans="1:12" ht="21" customHeight="1" x14ac:dyDescent="0.25">
      <c r="A1366" s="181" t="s">
        <v>2906</v>
      </c>
      <c r="B1366" s="509" t="s">
        <v>2907</v>
      </c>
      <c r="C1366" s="509"/>
      <c r="D1366" s="481" t="s">
        <v>82</v>
      </c>
      <c r="E1366" s="481"/>
      <c r="F1366" s="481"/>
      <c r="G1366" s="231" t="s">
        <v>226</v>
      </c>
      <c r="H1366" s="510">
        <v>1.4800000000000001E-5</v>
      </c>
      <c r="I1366" s="510"/>
      <c r="J1366" s="511">
        <v>6320.47</v>
      </c>
      <c r="K1366" s="511"/>
      <c r="L1366" s="367">
        <f>TRUNC(TRUNC(H1366,8)*J1366,2)</f>
        <v>0.09</v>
      </c>
    </row>
    <row r="1367" spans="1:12" ht="15" customHeight="1" x14ac:dyDescent="0.25">
      <c r="A1367" s="182"/>
      <c r="B1367" s="183"/>
      <c r="C1367" s="183"/>
      <c r="D1367" s="183"/>
      <c r="E1367" s="183"/>
      <c r="F1367" s="183"/>
      <c r="G1367" s="183"/>
      <c r="H1367" s="477" t="s">
        <v>2446</v>
      </c>
      <c r="I1367" s="477"/>
      <c r="J1367" s="477"/>
      <c r="K1367" s="477"/>
      <c r="L1367" s="368">
        <f>SUM(L1366:L1366)</f>
        <v>0.09</v>
      </c>
    </row>
    <row r="1368" spans="1:12" ht="15" customHeight="1" x14ac:dyDescent="0.25">
      <c r="A1368" s="182"/>
      <c r="B1368" s="183"/>
      <c r="C1368" s="183"/>
      <c r="D1368" s="183"/>
      <c r="E1368" s="183"/>
      <c r="F1368" s="183"/>
      <c r="G1368" s="183"/>
      <c r="H1368" s="482" t="s">
        <v>1834</v>
      </c>
      <c r="I1368" s="482"/>
      <c r="J1368" s="482"/>
      <c r="K1368" s="482"/>
      <c r="L1368" s="369">
        <f>ROUND(SUM(L1367),2)</f>
        <v>0.09</v>
      </c>
    </row>
    <row r="1369" spans="1:12" ht="9.9499999999999993" customHeight="1" x14ac:dyDescent="0.25">
      <c r="A1369" s="182"/>
      <c r="B1369" s="183"/>
      <c r="C1369" s="183"/>
      <c r="D1369" s="183"/>
      <c r="E1369" s="183"/>
      <c r="F1369" s="183"/>
      <c r="G1369" s="183"/>
      <c r="H1369" s="485"/>
      <c r="I1369" s="485"/>
      <c r="J1369" s="485"/>
      <c r="K1369" s="485"/>
      <c r="L1369" s="512"/>
    </row>
    <row r="1370" spans="1:12" ht="20.100000000000001" customHeight="1" x14ac:dyDescent="0.25">
      <c r="A1370" s="486" t="s">
        <v>2909</v>
      </c>
      <c r="B1370" s="487"/>
      <c r="C1370" s="487"/>
      <c r="D1370" s="487"/>
      <c r="E1370" s="487"/>
      <c r="F1370" s="487"/>
      <c r="G1370" s="487"/>
      <c r="H1370" s="487"/>
      <c r="I1370" s="487"/>
      <c r="J1370" s="487"/>
      <c r="K1370" s="487"/>
      <c r="L1370" s="513"/>
    </row>
    <row r="1371" spans="1:12" ht="15" customHeight="1" x14ac:dyDescent="0.25">
      <c r="A1371" s="474" t="s">
        <v>2443</v>
      </c>
      <c r="B1371" s="475"/>
      <c r="C1371" s="475"/>
      <c r="D1371" s="476" t="s">
        <v>42</v>
      </c>
      <c r="E1371" s="476"/>
      <c r="F1371" s="476"/>
      <c r="G1371" s="230" t="s">
        <v>44</v>
      </c>
      <c r="H1371" s="476" t="s">
        <v>1813</v>
      </c>
      <c r="I1371" s="476"/>
      <c r="J1371" s="476" t="s">
        <v>1814</v>
      </c>
      <c r="K1371" s="476"/>
      <c r="L1371" s="366" t="s">
        <v>1802</v>
      </c>
    </row>
    <row r="1372" spans="1:12" ht="21" customHeight="1" x14ac:dyDescent="0.25">
      <c r="A1372" s="181" t="s">
        <v>2906</v>
      </c>
      <c r="B1372" s="509" t="s">
        <v>2907</v>
      </c>
      <c r="C1372" s="509"/>
      <c r="D1372" s="481" t="s">
        <v>82</v>
      </c>
      <c r="E1372" s="481"/>
      <c r="F1372" s="481"/>
      <c r="G1372" s="231" t="s">
        <v>226</v>
      </c>
      <c r="H1372" s="510">
        <v>8.0000000000000007E-5</v>
      </c>
      <c r="I1372" s="510"/>
      <c r="J1372" s="511">
        <v>6320.47</v>
      </c>
      <c r="K1372" s="511"/>
      <c r="L1372" s="367">
        <f>TRUNC(TRUNC(H1372,8)*J1372,2)</f>
        <v>0.5</v>
      </c>
    </row>
    <row r="1373" spans="1:12" ht="15" customHeight="1" x14ac:dyDescent="0.25">
      <c r="A1373" s="182"/>
      <c r="B1373" s="183"/>
      <c r="C1373" s="183"/>
      <c r="D1373" s="183"/>
      <c r="E1373" s="183"/>
      <c r="F1373" s="183"/>
      <c r="G1373" s="183"/>
      <c r="H1373" s="477" t="s">
        <v>2446</v>
      </c>
      <c r="I1373" s="477"/>
      <c r="J1373" s="477"/>
      <c r="K1373" s="477"/>
      <c r="L1373" s="368">
        <f>SUM(L1372:L1372)</f>
        <v>0.5</v>
      </c>
    </row>
    <row r="1374" spans="1:12" ht="15" customHeight="1" x14ac:dyDescent="0.25">
      <c r="A1374" s="182"/>
      <c r="B1374" s="183"/>
      <c r="C1374" s="183"/>
      <c r="D1374" s="183"/>
      <c r="E1374" s="183"/>
      <c r="F1374" s="183"/>
      <c r="G1374" s="183"/>
      <c r="H1374" s="482" t="s">
        <v>1834</v>
      </c>
      <c r="I1374" s="482"/>
      <c r="J1374" s="482"/>
      <c r="K1374" s="482"/>
      <c r="L1374" s="369">
        <f>ROUND(SUM(L1373),2)</f>
        <v>0.5</v>
      </c>
    </row>
    <row r="1375" spans="1:12" ht="9.9499999999999993" customHeight="1" x14ac:dyDescent="0.25">
      <c r="A1375" s="182"/>
      <c r="B1375" s="183"/>
      <c r="C1375" s="183"/>
      <c r="D1375" s="183"/>
      <c r="E1375" s="183"/>
      <c r="F1375" s="183"/>
      <c r="G1375" s="183"/>
      <c r="H1375" s="485"/>
      <c r="I1375" s="485"/>
      <c r="J1375" s="485"/>
      <c r="K1375" s="485"/>
      <c r="L1375" s="512"/>
    </row>
    <row r="1376" spans="1:12" ht="20.100000000000001" customHeight="1" x14ac:dyDescent="0.25">
      <c r="A1376" s="486" t="s">
        <v>2910</v>
      </c>
      <c r="B1376" s="487"/>
      <c r="C1376" s="487"/>
      <c r="D1376" s="487"/>
      <c r="E1376" s="487"/>
      <c r="F1376" s="487"/>
      <c r="G1376" s="487"/>
      <c r="H1376" s="487"/>
      <c r="I1376" s="487"/>
      <c r="J1376" s="487"/>
      <c r="K1376" s="487"/>
      <c r="L1376" s="513"/>
    </row>
    <row r="1377" spans="1:12" ht="15" customHeight="1" x14ac:dyDescent="0.25">
      <c r="A1377" s="474" t="s">
        <v>2190</v>
      </c>
      <c r="B1377" s="475"/>
      <c r="C1377" s="475"/>
      <c r="D1377" s="476" t="s">
        <v>42</v>
      </c>
      <c r="E1377" s="476"/>
      <c r="F1377" s="476"/>
      <c r="G1377" s="230" t="s">
        <v>44</v>
      </c>
      <c r="H1377" s="476" t="s">
        <v>1813</v>
      </c>
      <c r="I1377" s="476"/>
      <c r="J1377" s="476" t="s">
        <v>1814</v>
      </c>
      <c r="K1377" s="476"/>
      <c r="L1377" s="366" t="s">
        <v>1802</v>
      </c>
    </row>
    <row r="1378" spans="1:12" ht="21" customHeight="1" x14ac:dyDescent="0.25">
      <c r="A1378" s="181" t="s">
        <v>2896</v>
      </c>
      <c r="B1378" s="509" t="s">
        <v>2897</v>
      </c>
      <c r="C1378" s="509"/>
      <c r="D1378" s="481" t="s">
        <v>82</v>
      </c>
      <c r="E1378" s="481"/>
      <c r="F1378" s="481"/>
      <c r="G1378" s="231" t="s">
        <v>1024</v>
      </c>
      <c r="H1378" s="510">
        <v>1</v>
      </c>
      <c r="I1378" s="510"/>
      <c r="J1378" s="511">
        <v>32.380000000000003</v>
      </c>
      <c r="K1378" s="511"/>
      <c r="L1378" s="367">
        <f>TRUNC(TRUNC(H1378,8)*J1378,2)</f>
        <v>32.380000000000003</v>
      </c>
    </row>
    <row r="1379" spans="1:12" ht="18" customHeight="1" x14ac:dyDescent="0.25">
      <c r="A1379" s="182"/>
      <c r="B1379" s="183"/>
      <c r="C1379" s="183"/>
      <c r="D1379" s="183"/>
      <c r="E1379" s="183"/>
      <c r="F1379" s="183"/>
      <c r="G1379" s="183"/>
      <c r="H1379" s="477" t="s">
        <v>2195</v>
      </c>
      <c r="I1379" s="477"/>
      <c r="J1379" s="477"/>
      <c r="K1379" s="477"/>
      <c r="L1379" s="368">
        <f>SUM(L1378:L1378)</f>
        <v>32.380000000000003</v>
      </c>
    </row>
    <row r="1380" spans="1:12" ht="15" customHeight="1" x14ac:dyDescent="0.25">
      <c r="A1380" s="474" t="s">
        <v>1912</v>
      </c>
      <c r="B1380" s="475"/>
      <c r="C1380" s="475"/>
      <c r="D1380" s="476" t="s">
        <v>42</v>
      </c>
      <c r="E1380" s="476"/>
      <c r="F1380" s="476"/>
      <c r="G1380" s="230" t="s">
        <v>44</v>
      </c>
      <c r="H1380" s="476" t="s">
        <v>1813</v>
      </c>
      <c r="I1380" s="476"/>
      <c r="J1380" s="476" t="s">
        <v>1814</v>
      </c>
      <c r="K1380" s="476"/>
      <c r="L1380" s="366" t="s">
        <v>1802</v>
      </c>
    </row>
    <row r="1381" spans="1:12" ht="29.1" customHeight="1" x14ac:dyDescent="0.25">
      <c r="A1381" s="181" t="s">
        <v>2911</v>
      </c>
      <c r="B1381" s="509" t="s">
        <v>2912</v>
      </c>
      <c r="C1381" s="509"/>
      <c r="D1381" s="481" t="s">
        <v>82</v>
      </c>
      <c r="E1381" s="481"/>
      <c r="F1381" s="481"/>
      <c r="G1381" s="231" t="s">
        <v>1024</v>
      </c>
      <c r="H1381" s="510">
        <v>1</v>
      </c>
      <c r="I1381" s="510"/>
      <c r="J1381" s="511">
        <v>0.68</v>
      </c>
      <c r="K1381" s="511"/>
      <c r="L1381" s="367">
        <f>TRUNC(TRUNC(H1381,8)*J1381,2)</f>
        <v>0.68</v>
      </c>
    </row>
    <row r="1382" spans="1:12" ht="29.1" customHeight="1" x14ac:dyDescent="0.25">
      <c r="A1382" s="181" t="s">
        <v>2913</v>
      </c>
      <c r="B1382" s="509" t="s">
        <v>2914</v>
      </c>
      <c r="C1382" s="509"/>
      <c r="D1382" s="481" t="s">
        <v>82</v>
      </c>
      <c r="E1382" s="481"/>
      <c r="F1382" s="481"/>
      <c r="G1382" s="231" t="s">
        <v>1024</v>
      </c>
      <c r="H1382" s="510">
        <v>1</v>
      </c>
      <c r="I1382" s="510"/>
      <c r="J1382" s="511">
        <v>0.15</v>
      </c>
      <c r="K1382" s="511"/>
      <c r="L1382" s="367">
        <f>TRUNC(TRUNC(H1382,8)*J1382,2)</f>
        <v>0.15</v>
      </c>
    </row>
    <row r="1383" spans="1:12" ht="15" customHeight="1" x14ac:dyDescent="0.25">
      <c r="A1383" s="182"/>
      <c r="B1383" s="183"/>
      <c r="C1383" s="183"/>
      <c r="D1383" s="183"/>
      <c r="E1383" s="183"/>
      <c r="F1383" s="183"/>
      <c r="G1383" s="183"/>
      <c r="H1383" s="477" t="s">
        <v>1915</v>
      </c>
      <c r="I1383" s="477"/>
      <c r="J1383" s="477"/>
      <c r="K1383" s="477"/>
      <c r="L1383" s="368">
        <f>SUM(L1381:L1382)</f>
        <v>0.83000000000000007</v>
      </c>
    </row>
    <row r="1384" spans="1:12" ht="15" customHeight="1" x14ac:dyDescent="0.25">
      <c r="A1384" s="182"/>
      <c r="B1384" s="183"/>
      <c r="C1384" s="183"/>
      <c r="D1384" s="183"/>
      <c r="E1384" s="183"/>
      <c r="F1384" s="183"/>
      <c r="G1384" s="183"/>
      <c r="H1384" s="482" t="s">
        <v>1834</v>
      </c>
      <c r="I1384" s="482"/>
      <c r="J1384" s="482"/>
      <c r="K1384" s="482"/>
      <c r="L1384" s="369">
        <f>ROUND(SUM(L1379,L1383),2)</f>
        <v>33.21</v>
      </c>
    </row>
    <row r="1385" spans="1:12" ht="9.9499999999999993" customHeight="1" x14ac:dyDescent="0.25">
      <c r="A1385" s="182"/>
      <c r="B1385" s="183"/>
      <c r="C1385" s="183"/>
      <c r="D1385" s="183"/>
      <c r="E1385" s="183"/>
      <c r="F1385" s="183"/>
      <c r="G1385" s="183"/>
      <c r="H1385" s="485"/>
      <c r="I1385" s="485"/>
      <c r="J1385" s="485"/>
      <c r="K1385" s="485"/>
      <c r="L1385" s="512"/>
    </row>
    <row r="1386" spans="1:12" ht="20.100000000000001" customHeight="1" x14ac:dyDescent="0.25">
      <c r="A1386" s="486" t="s">
        <v>2915</v>
      </c>
      <c r="B1386" s="487"/>
      <c r="C1386" s="487"/>
      <c r="D1386" s="487"/>
      <c r="E1386" s="487"/>
      <c r="F1386" s="487"/>
      <c r="G1386" s="487"/>
      <c r="H1386" s="487"/>
      <c r="I1386" s="487"/>
      <c r="J1386" s="487"/>
      <c r="K1386" s="487"/>
      <c r="L1386" s="513"/>
    </row>
    <row r="1387" spans="1:12" ht="15" customHeight="1" x14ac:dyDescent="0.25">
      <c r="A1387" s="474" t="s">
        <v>2190</v>
      </c>
      <c r="B1387" s="475"/>
      <c r="C1387" s="475"/>
      <c r="D1387" s="476" t="s">
        <v>42</v>
      </c>
      <c r="E1387" s="476"/>
      <c r="F1387" s="476"/>
      <c r="G1387" s="230" t="s">
        <v>44</v>
      </c>
      <c r="H1387" s="476" t="s">
        <v>1813</v>
      </c>
      <c r="I1387" s="476"/>
      <c r="J1387" s="476" t="s">
        <v>1814</v>
      </c>
      <c r="K1387" s="476"/>
      <c r="L1387" s="366" t="s">
        <v>1802</v>
      </c>
    </row>
    <row r="1388" spans="1:12" ht="21" customHeight="1" x14ac:dyDescent="0.25">
      <c r="A1388" s="181" t="s">
        <v>2896</v>
      </c>
      <c r="B1388" s="509" t="s">
        <v>2897</v>
      </c>
      <c r="C1388" s="509"/>
      <c r="D1388" s="481" t="s">
        <v>82</v>
      </c>
      <c r="E1388" s="481"/>
      <c r="F1388" s="481"/>
      <c r="G1388" s="231" t="s">
        <v>1024</v>
      </c>
      <c r="H1388" s="510">
        <v>1</v>
      </c>
      <c r="I1388" s="510"/>
      <c r="J1388" s="511">
        <v>32.380000000000003</v>
      </c>
      <c r="K1388" s="511"/>
      <c r="L1388" s="367">
        <f>TRUNC(TRUNC(H1388,8)*J1388,2)</f>
        <v>32.380000000000003</v>
      </c>
    </row>
    <row r="1389" spans="1:12" ht="18" customHeight="1" x14ac:dyDescent="0.25">
      <c r="A1389" s="182"/>
      <c r="B1389" s="183"/>
      <c r="C1389" s="183"/>
      <c r="D1389" s="183"/>
      <c r="E1389" s="183"/>
      <c r="F1389" s="183"/>
      <c r="G1389" s="183"/>
      <c r="H1389" s="477" t="s">
        <v>2195</v>
      </c>
      <c r="I1389" s="477"/>
      <c r="J1389" s="477"/>
      <c r="K1389" s="477"/>
      <c r="L1389" s="368">
        <f>SUM(L1388:L1388)</f>
        <v>32.380000000000003</v>
      </c>
    </row>
    <row r="1390" spans="1:12" ht="15" customHeight="1" x14ac:dyDescent="0.25">
      <c r="A1390" s="474" t="s">
        <v>1912</v>
      </c>
      <c r="B1390" s="475"/>
      <c r="C1390" s="475"/>
      <c r="D1390" s="476" t="s">
        <v>42</v>
      </c>
      <c r="E1390" s="476"/>
      <c r="F1390" s="476"/>
      <c r="G1390" s="230" t="s">
        <v>44</v>
      </c>
      <c r="H1390" s="476" t="s">
        <v>1813</v>
      </c>
      <c r="I1390" s="476"/>
      <c r="J1390" s="476" t="s">
        <v>1814</v>
      </c>
      <c r="K1390" s="476"/>
      <c r="L1390" s="366" t="s">
        <v>1802</v>
      </c>
    </row>
    <row r="1391" spans="1:12" ht="29.1" customHeight="1" x14ac:dyDescent="0.25">
      <c r="A1391" s="181" t="s">
        <v>2911</v>
      </c>
      <c r="B1391" s="509" t="s">
        <v>2912</v>
      </c>
      <c r="C1391" s="509"/>
      <c r="D1391" s="481" t="s">
        <v>82</v>
      </c>
      <c r="E1391" s="481"/>
      <c r="F1391" s="481"/>
      <c r="G1391" s="231" t="s">
        <v>1024</v>
      </c>
      <c r="H1391" s="510">
        <v>1</v>
      </c>
      <c r="I1391" s="510"/>
      <c r="J1391" s="511">
        <v>0.68</v>
      </c>
      <c r="K1391" s="511"/>
      <c r="L1391" s="367">
        <f>TRUNC(TRUNC(H1391,8)*J1391,2)</f>
        <v>0.68</v>
      </c>
    </row>
    <row r="1392" spans="1:12" ht="29.1" customHeight="1" x14ac:dyDescent="0.25">
      <c r="A1392" s="181" t="s">
        <v>2913</v>
      </c>
      <c r="B1392" s="509" t="s">
        <v>2914</v>
      </c>
      <c r="C1392" s="509"/>
      <c r="D1392" s="481" t="s">
        <v>82</v>
      </c>
      <c r="E1392" s="481"/>
      <c r="F1392" s="481"/>
      <c r="G1392" s="231" t="s">
        <v>1024</v>
      </c>
      <c r="H1392" s="510">
        <v>1</v>
      </c>
      <c r="I1392" s="510"/>
      <c r="J1392" s="511">
        <v>0.15</v>
      </c>
      <c r="K1392" s="511"/>
      <c r="L1392" s="367">
        <f>TRUNC(TRUNC(H1392,8)*J1392,2)</f>
        <v>0.15</v>
      </c>
    </row>
    <row r="1393" spans="1:12" ht="29.1" customHeight="1" x14ac:dyDescent="0.25">
      <c r="A1393" s="181" t="s">
        <v>2916</v>
      </c>
      <c r="B1393" s="509" t="s">
        <v>2917</v>
      </c>
      <c r="C1393" s="509"/>
      <c r="D1393" s="481" t="s">
        <v>82</v>
      </c>
      <c r="E1393" s="481"/>
      <c r="F1393" s="481"/>
      <c r="G1393" s="231" t="s">
        <v>1024</v>
      </c>
      <c r="H1393" s="510">
        <v>1</v>
      </c>
      <c r="I1393" s="510"/>
      <c r="J1393" s="511">
        <v>0.85</v>
      </c>
      <c r="K1393" s="511"/>
      <c r="L1393" s="367">
        <f>TRUNC(TRUNC(H1393,8)*J1393,2)</f>
        <v>0.85</v>
      </c>
    </row>
    <row r="1394" spans="1:12" ht="29.1" customHeight="1" x14ac:dyDescent="0.25">
      <c r="A1394" s="181" t="s">
        <v>2918</v>
      </c>
      <c r="B1394" s="509" t="s">
        <v>2919</v>
      </c>
      <c r="C1394" s="509"/>
      <c r="D1394" s="481" t="s">
        <v>82</v>
      </c>
      <c r="E1394" s="481"/>
      <c r="F1394" s="481"/>
      <c r="G1394" s="231" t="s">
        <v>1024</v>
      </c>
      <c r="H1394" s="510">
        <v>1</v>
      </c>
      <c r="I1394" s="510"/>
      <c r="J1394" s="511">
        <v>1.63</v>
      </c>
      <c r="K1394" s="511"/>
      <c r="L1394" s="367">
        <f>TRUNC(TRUNC(H1394,8)*J1394,2)</f>
        <v>1.63</v>
      </c>
    </row>
    <row r="1395" spans="1:12" ht="15" customHeight="1" x14ac:dyDescent="0.25">
      <c r="A1395" s="182"/>
      <c r="B1395" s="183"/>
      <c r="C1395" s="183"/>
      <c r="D1395" s="183"/>
      <c r="E1395" s="183"/>
      <c r="F1395" s="183"/>
      <c r="G1395" s="183"/>
      <c r="H1395" s="477" t="s">
        <v>1915</v>
      </c>
      <c r="I1395" s="477"/>
      <c r="J1395" s="477"/>
      <c r="K1395" s="477"/>
      <c r="L1395" s="368">
        <f>SUM(L1391:L1394)</f>
        <v>3.31</v>
      </c>
    </row>
    <row r="1396" spans="1:12" ht="15" customHeight="1" x14ac:dyDescent="0.25">
      <c r="A1396" s="182"/>
      <c r="B1396" s="183"/>
      <c r="C1396" s="183"/>
      <c r="D1396" s="183"/>
      <c r="E1396" s="183"/>
      <c r="F1396" s="183"/>
      <c r="G1396" s="183"/>
      <c r="H1396" s="482" t="s">
        <v>1834</v>
      </c>
      <c r="I1396" s="482"/>
      <c r="J1396" s="482"/>
      <c r="K1396" s="482"/>
      <c r="L1396" s="369">
        <f>ROUND(SUM(L1389,L1395),2)</f>
        <v>35.69</v>
      </c>
    </row>
    <row r="1397" spans="1:12" ht="9.9499999999999993" customHeight="1" x14ac:dyDescent="0.25">
      <c r="A1397" s="182"/>
      <c r="B1397" s="183"/>
      <c r="C1397" s="183"/>
      <c r="D1397" s="183"/>
      <c r="E1397" s="183"/>
      <c r="F1397" s="183"/>
      <c r="G1397" s="183"/>
      <c r="H1397" s="485"/>
      <c r="I1397" s="485"/>
      <c r="J1397" s="485"/>
      <c r="K1397" s="485"/>
      <c r="L1397" s="512"/>
    </row>
    <row r="1398" spans="1:12" ht="20.100000000000001" customHeight="1" x14ac:dyDescent="0.25">
      <c r="A1398" s="486" t="s">
        <v>2920</v>
      </c>
      <c r="B1398" s="487"/>
      <c r="C1398" s="487"/>
      <c r="D1398" s="487"/>
      <c r="E1398" s="487"/>
      <c r="F1398" s="487"/>
      <c r="G1398" s="487"/>
      <c r="H1398" s="487"/>
      <c r="I1398" s="487"/>
      <c r="J1398" s="487"/>
      <c r="K1398" s="487"/>
      <c r="L1398" s="513"/>
    </row>
    <row r="1399" spans="1:12" ht="15" customHeight="1" x14ac:dyDescent="0.25">
      <c r="A1399" s="474" t="s">
        <v>2443</v>
      </c>
      <c r="B1399" s="475"/>
      <c r="C1399" s="475"/>
      <c r="D1399" s="476" t="s">
        <v>42</v>
      </c>
      <c r="E1399" s="476"/>
      <c r="F1399" s="476"/>
      <c r="G1399" s="230" t="s">
        <v>44</v>
      </c>
      <c r="H1399" s="476" t="s">
        <v>1813</v>
      </c>
      <c r="I1399" s="476"/>
      <c r="J1399" s="476" t="s">
        <v>1814</v>
      </c>
      <c r="K1399" s="476"/>
      <c r="L1399" s="366" t="s">
        <v>1802</v>
      </c>
    </row>
    <row r="1400" spans="1:12" ht="29.1" customHeight="1" x14ac:dyDescent="0.25">
      <c r="A1400" s="181" t="s">
        <v>2921</v>
      </c>
      <c r="B1400" s="509" t="s">
        <v>2922</v>
      </c>
      <c r="C1400" s="509"/>
      <c r="D1400" s="481" t="s">
        <v>82</v>
      </c>
      <c r="E1400" s="481"/>
      <c r="F1400" s="481"/>
      <c r="G1400" s="231" t="s">
        <v>226</v>
      </c>
      <c r="H1400" s="510">
        <v>6.3999999999999997E-5</v>
      </c>
      <c r="I1400" s="510"/>
      <c r="J1400" s="511">
        <v>10714</v>
      </c>
      <c r="K1400" s="511"/>
      <c r="L1400" s="367">
        <f>TRUNC(TRUNC(H1400,8)*J1400,2)</f>
        <v>0.68</v>
      </c>
    </row>
    <row r="1401" spans="1:12" ht="15" customHeight="1" x14ac:dyDescent="0.25">
      <c r="A1401" s="182"/>
      <c r="B1401" s="183"/>
      <c r="C1401" s="183"/>
      <c r="D1401" s="183"/>
      <c r="E1401" s="183"/>
      <c r="F1401" s="183"/>
      <c r="G1401" s="183"/>
      <c r="H1401" s="477" t="s">
        <v>2446</v>
      </c>
      <c r="I1401" s="477"/>
      <c r="J1401" s="477"/>
      <c r="K1401" s="477"/>
      <c r="L1401" s="368">
        <f>SUM(L1400:L1400)</f>
        <v>0.68</v>
      </c>
    </row>
    <row r="1402" spans="1:12" ht="15" customHeight="1" x14ac:dyDescent="0.25">
      <c r="A1402" s="182"/>
      <c r="B1402" s="183"/>
      <c r="C1402" s="183"/>
      <c r="D1402" s="183"/>
      <c r="E1402" s="183"/>
      <c r="F1402" s="183"/>
      <c r="G1402" s="183"/>
      <c r="H1402" s="482" t="s">
        <v>1834</v>
      </c>
      <c r="I1402" s="482"/>
      <c r="J1402" s="482"/>
      <c r="K1402" s="482"/>
      <c r="L1402" s="369">
        <f>ROUND(SUM(L1401),2)</f>
        <v>0.68</v>
      </c>
    </row>
    <row r="1403" spans="1:12" ht="9.9499999999999993" customHeight="1" x14ac:dyDescent="0.25">
      <c r="A1403" s="182"/>
      <c r="B1403" s="183"/>
      <c r="C1403" s="183"/>
      <c r="D1403" s="183"/>
      <c r="E1403" s="183"/>
      <c r="F1403" s="183"/>
      <c r="G1403" s="183"/>
      <c r="H1403" s="485"/>
      <c r="I1403" s="485"/>
      <c r="J1403" s="485"/>
      <c r="K1403" s="485"/>
      <c r="L1403" s="512"/>
    </row>
    <row r="1404" spans="1:12" ht="20.100000000000001" customHeight="1" x14ac:dyDescent="0.25">
      <c r="A1404" s="486" t="s">
        <v>2923</v>
      </c>
      <c r="B1404" s="487"/>
      <c r="C1404" s="487"/>
      <c r="D1404" s="487"/>
      <c r="E1404" s="487"/>
      <c r="F1404" s="487"/>
      <c r="G1404" s="487"/>
      <c r="H1404" s="487"/>
      <c r="I1404" s="487"/>
      <c r="J1404" s="487"/>
      <c r="K1404" s="487"/>
      <c r="L1404" s="513"/>
    </row>
    <row r="1405" spans="1:12" ht="15" customHeight="1" x14ac:dyDescent="0.25">
      <c r="A1405" s="474" t="s">
        <v>2443</v>
      </c>
      <c r="B1405" s="475"/>
      <c r="C1405" s="475"/>
      <c r="D1405" s="476" t="s">
        <v>42</v>
      </c>
      <c r="E1405" s="476"/>
      <c r="F1405" s="476"/>
      <c r="G1405" s="230" t="s">
        <v>44</v>
      </c>
      <c r="H1405" s="476" t="s">
        <v>1813</v>
      </c>
      <c r="I1405" s="476"/>
      <c r="J1405" s="476" t="s">
        <v>1814</v>
      </c>
      <c r="K1405" s="476"/>
      <c r="L1405" s="366" t="s">
        <v>1802</v>
      </c>
    </row>
    <row r="1406" spans="1:12" ht="29.1" customHeight="1" x14ac:dyDescent="0.25">
      <c r="A1406" s="181" t="s">
        <v>2921</v>
      </c>
      <c r="B1406" s="509" t="s">
        <v>2922</v>
      </c>
      <c r="C1406" s="509"/>
      <c r="D1406" s="481" t="s">
        <v>82</v>
      </c>
      <c r="E1406" s="481"/>
      <c r="F1406" s="481"/>
      <c r="G1406" s="231" t="s">
        <v>226</v>
      </c>
      <c r="H1406" s="510">
        <v>1.4800000000000001E-5</v>
      </c>
      <c r="I1406" s="510"/>
      <c r="J1406" s="511">
        <v>10714</v>
      </c>
      <c r="K1406" s="511"/>
      <c r="L1406" s="367">
        <f>TRUNC(TRUNC(H1406,8)*J1406,2)</f>
        <v>0.15</v>
      </c>
    </row>
    <row r="1407" spans="1:12" ht="15" customHeight="1" x14ac:dyDescent="0.25">
      <c r="A1407" s="182"/>
      <c r="B1407" s="183"/>
      <c r="C1407" s="183"/>
      <c r="D1407" s="183"/>
      <c r="E1407" s="183"/>
      <c r="F1407" s="183"/>
      <c r="G1407" s="183"/>
      <c r="H1407" s="477" t="s">
        <v>2446</v>
      </c>
      <c r="I1407" s="477"/>
      <c r="J1407" s="477"/>
      <c r="K1407" s="477"/>
      <c r="L1407" s="368">
        <f>SUM(L1406:L1406)</f>
        <v>0.15</v>
      </c>
    </row>
    <row r="1408" spans="1:12" ht="15" customHeight="1" x14ac:dyDescent="0.25">
      <c r="A1408" s="182"/>
      <c r="B1408" s="183"/>
      <c r="C1408" s="183"/>
      <c r="D1408" s="183"/>
      <c r="E1408" s="183"/>
      <c r="F1408" s="183"/>
      <c r="G1408" s="183"/>
      <c r="H1408" s="482" t="s">
        <v>1834</v>
      </c>
      <c r="I1408" s="482"/>
      <c r="J1408" s="482"/>
      <c r="K1408" s="482"/>
      <c r="L1408" s="369">
        <f>ROUND(SUM(L1407),2)</f>
        <v>0.15</v>
      </c>
    </row>
    <row r="1409" spans="1:12" ht="9.9499999999999993" customHeight="1" x14ac:dyDescent="0.25">
      <c r="A1409" s="182"/>
      <c r="B1409" s="183"/>
      <c r="C1409" s="183"/>
      <c r="D1409" s="183"/>
      <c r="E1409" s="183"/>
      <c r="F1409" s="183"/>
      <c r="G1409" s="183"/>
      <c r="H1409" s="485"/>
      <c r="I1409" s="485"/>
      <c r="J1409" s="485"/>
      <c r="K1409" s="485"/>
      <c r="L1409" s="512"/>
    </row>
    <row r="1410" spans="1:12" ht="20.100000000000001" customHeight="1" x14ac:dyDescent="0.25">
      <c r="A1410" s="486" t="s">
        <v>2924</v>
      </c>
      <c r="B1410" s="487"/>
      <c r="C1410" s="487"/>
      <c r="D1410" s="487"/>
      <c r="E1410" s="487"/>
      <c r="F1410" s="487"/>
      <c r="G1410" s="487"/>
      <c r="H1410" s="487"/>
      <c r="I1410" s="487"/>
      <c r="J1410" s="487"/>
      <c r="K1410" s="487"/>
      <c r="L1410" s="513"/>
    </row>
    <row r="1411" spans="1:12" ht="15" customHeight="1" x14ac:dyDescent="0.25">
      <c r="A1411" s="474" t="s">
        <v>2443</v>
      </c>
      <c r="B1411" s="475"/>
      <c r="C1411" s="475"/>
      <c r="D1411" s="476" t="s">
        <v>42</v>
      </c>
      <c r="E1411" s="476"/>
      <c r="F1411" s="476"/>
      <c r="G1411" s="230" t="s">
        <v>44</v>
      </c>
      <c r="H1411" s="476" t="s">
        <v>1813</v>
      </c>
      <c r="I1411" s="476"/>
      <c r="J1411" s="476" t="s">
        <v>1814</v>
      </c>
      <c r="K1411" s="476"/>
      <c r="L1411" s="366" t="s">
        <v>1802</v>
      </c>
    </row>
    <row r="1412" spans="1:12" ht="29.1" customHeight="1" x14ac:dyDescent="0.25">
      <c r="A1412" s="181" t="s">
        <v>2921</v>
      </c>
      <c r="B1412" s="509" t="s">
        <v>2922</v>
      </c>
      <c r="C1412" s="509"/>
      <c r="D1412" s="481" t="s">
        <v>82</v>
      </c>
      <c r="E1412" s="481"/>
      <c r="F1412" s="481"/>
      <c r="G1412" s="231" t="s">
        <v>226</v>
      </c>
      <c r="H1412" s="510">
        <v>8.0000000000000007E-5</v>
      </c>
      <c r="I1412" s="510"/>
      <c r="J1412" s="511">
        <v>10714</v>
      </c>
      <c r="K1412" s="511"/>
      <c r="L1412" s="367">
        <f>TRUNC(TRUNC(H1412,8)*J1412,2)</f>
        <v>0.85</v>
      </c>
    </row>
    <row r="1413" spans="1:12" ht="15" customHeight="1" x14ac:dyDescent="0.25">
      <c r="A1413" s="182"/>
      <c r="B1413" s="183"/>
      <c r="C1413" s="183"/>
      <c r="D1413" s="183"/>
      <c r="E1413" s="183"/>
      <c r="F1413" s="183"/>
      <c r="G1413" s="183"/>
      <c r="H1413" s="477" t="s">
        <v>2446</v>
      </c>
      <c r="I1413" s="477"/>
      <c r="J1413" s="477"/>
      <c r="K1413" s="477"/>
      <c r="L1413" s="368">
        <f>SUM(L1412:L1412)</f>
        <v>0.85</v>
      </c>
    </row>
    <row r="1414" spans="1:12" ht="15" customHeight="1" x14ac:dyDescent="0.25">
      <c r="A1414" s="182"/>
      <c r="B1414" s="183"/>
      <c r="C1414" s="183"/>
      <c r="D1414" s="183"/>
      <c r="E1414" s="183"/>
      <c r="F1414" s="183"/>
      <c r="G1414" s="183"/>
      <c r="H1414" s="482" t="s">
        <v>1834</v>
      </c>
      <c r="I1414" s="482"/>
      <c r="J1414" s="482"/>
      <c r="K1414" s="482"/>
      <c r="L1414" s="369">
        <f>ROUND(SUM(L1413),2)</f>
        <v>0.85</v>
      </c>
    </row>
    <row r="1415" spans="1:12" ht="9.9499999999999993" customHeight="1" x14ac:dyDescent="0.25">
      <c r="A1415" s="182"/>
      <c r="B1415" s="183"/>
      <c r="C1415" s="183"/>
      <c r="D1415" s="183"/>
      <c r="E1415" s="183"/>
      <c r="F1415" s="183"/>
      <c r="G1415" s="183"/>
      <c r="H1415" s="485"/>
      <c r="I1415" s="485"/>
      <c r="J1415" s="485"/>
      <c r="K1415" s="485"/>
      <c r="L1415" s="512"/>
    </row>
    <row r="1416" spans="1:12" ht="20.100000000000001" customHeight="1" x14ac:dyDescent="0.25">
      <c r="A1416" s="486" t="s">
        <v>2925</v>
      </c>
      <c r="B1416" s="487"/>
      <c r="C1416" s="487"/>
      <c r="D1416" s="487"/>
      <c r="E1416" s="487"/>
      <c r="F1416" s="487"/>
      <c r="G1416" s="487"/>
      <c r="H1416" s="487"/>
      <c r="I1416" s="487"/>
      <c r="J1416" s="487"/>
      <c r="K1416" s="487"/>
      <c r="L1416" s="513"/>
    </row>
    <row r="1417" spans="1:12" ht="15" customHeight="1" x14ac:dyDescent="0.25">
      <c r="A1417" s="474" t="s">
        <v>2450</v>
      </c>
      <c r="B1417" s="475"/>
      <c r="C1417" s="475"/>
      <c r="D1417" s="476" t="s">
        <v>42</v>
      </c>
      <c r="E1417" s="476"/>
      <c r="F1417" s="476"/>
      <c r="G1417" s="230" t="s">
        <v>44</v>
      </c>
      <c r="H1417" s="476" t="s">
        <v>1813</v>
      </c>
      <c r="I1417" s="476"/>
      <c r="J1417" s="476" t="s">
        <v>1814</v>
      </c>
      <c r="K1417" s="476"/>
      <c r="L1417" s="366" t="s">
        <v>1802</v>
      </c>
    </row>
    <row r="1418" spans="1:12" ht="21" customHeight="1" x14ac:dyDescent="0.25">
      <c r="A1418" s="181" t="s">
        <v>2451</v>
      </c>
      <c r="B1418" s="509" t="s">
        <v>2452</v>
      </c>
      <c r="C1418" s="509"/>
      <c r="D1418" s="481" t="s">
        <v>82</v>
      </c>
      <c r="E1418" s="481"/>
      <c r="F1418" s="481"/>
      <c r="G1418" s="231" t="s">
        <v>2453</v>
      </c>
      <c r="H1418" s="510">
        <v>1.7</v>
      </c>
      <c r="I1418" s="510"/>
      <c r="J1418" s="511">
        <v>0.96</v>
      </c>
      <c r="K1418" s="511"/>
      <c r="L1418" s="367">
        <f>TRUNC(TRUNC(H1418,8)*J1418,2)</f>
        <v>1.63</v>
      </c>
    </row>
    <row r="1419" spans="1:12" ht="15" customHeight="1" x14ac:dyDescent="0.25">
      <c r="A1419" s="182"/>
      <c r="B1419" s="183"/>
      <c r="C1419" s="183"/>
      <c r="D1419" s="183"/>
      <c r="E1419" s="183"/>
      <c r="F1419" s="183"/>
      <c r="G1419" s="183"/>
      <c r="H1419" s="477" t="s">
        <v>2454</v>
      </c>
      <c r="I1419" s="477"/>
      <c r="J1419" s="477"/>
      <c r="K1419" s="477"/>
      <c r="L1419" s="368">
        <f>SUM(L1418:L1418)</f>
        <v>1.63</v>
      </c>
    </row>
    <row r="1420" spans="1:12" ht="15" customHeight="1" x14ac:dyDescent="0.25">
      <c r="A1420" s="182"/>
      <c r="B1420" s="183"/>
      <c r="C1420" s="183"/>
      <c r="D1420" s="183"/>
      <c r="E1420" s="183"/>
      <c r="F1420" s="183"/>
      <c r="G1420" s="183"/>
      <c r="H1420" s="482" t="s">
        <v>1834</v>
      </c>
      <c r="I1420" s="482"/>
      <c r="J1420" s="482"/>
      <c r="K1420" s="482"/>
      <c r="L1420" s="369">
        <f>ROUND(SUM(L1419),2)</f>
        <v>1.63</v>
      </c>
    </row>
    <row r="1421" spans="1:12" ht="9.9499999999999993" customHeight="1" x14ac:dyDescent="0.25">
      <c r="A1421" s="182"/>
      <c r="B1421" s="183"/>
      <c r="C1421" s="183"/>
      <c r="D1421" s="183"/>
      <c r="E1421" s="183"/>
      <c r="F1421" s="183"/>
      <c r="G1421" s="183"/>
      <c r="H1421" s="485"/>
      <c r="I1421" s="485"/>
      <c r="J1421" s="485"/>
      <c r="K1421" s="485"/>
      <c r="L1421" s="512"/>
    </row>
    <row r="1422" spans="1:12" ht="20.100000000000001" customHeight="1" x14ac:dyDescent="0.25">
      <c r="A1422" s="486" t="s">
        <v>2926</v>
      </c>
      <c r="B1422" s="487"/>
      <c r="C1422" s="487"/>
      <c r="D1422" s="487"/>
      <c r="E1422" s="487"/>
      <c r="F1422" s="487"/>
      <c r="G1422" s="487"/>
      <c r="H1422" s="487"/>
      <c r="I1422" s="487"/>
      <c r="J1422" s="487"/>
      <c r="K1422" s="487"/>
      <c r="L1422" s="513"/>
    </row>
    <row r="1423" spans="1:12" ht="15" customHeight="1" x14ac:dyDescent="0.25">
      <c r="A1423" s="474" t="s">
        <v>1932</v>
      </c>
      <c r="B1423" s="475"/>
      <c r="C1423" s="475"/>
      <c r="D1423" s="476" t="s">
        <v>42</v>
      </c>
      <c r="E1423" s="476"/>
      <c r="F1423" s="476"/>
      <c r="G1423" s="230" t="s">
        <v>44</v>
      </c>
      <c r="H1423" s="476" t="s">
        <v>1813</v>
      </c>
      <c r="I1423" s="476"/>
      <c r="J1423" s="476" t="s">
        <v>1814</v>
      </c>
      <c r="K1423" s="476"/>
      <c r="L1423" s="366" t="s">
        <v>1802</v>
      </c>
    </row>
    <row r="1424" spans="1:12" ht="21" customHeight="1" x14ac:dyDescent="0.25">
      <c r="A1424" s="181" t="s">
        <v>2336</v>
      </c>
      <c r="B1424" s="509" t="s">
        <v>2337</v>
      </c>
      <c r="C1424" s="509"/>
      <c r="D1424" s="481" t="s">
        <v>82</v>
      </c>
      <c r="E1424" s="481"/>
      <c r="F1424" s="481"/>
      <c r="G1424" s="231" t="s">
        <v>1024</v>
      </c>
      <c r="H1424" s="510">
        <v>1</v>
      </c>
      <c r="I1424" s="510"/>
      <c r="J1424" s="511">
        <v>7.63</v>
      </c>
      <c r="K1424" s="511"/>
      <c r="L1424" s="367">
        <f t="shared" ref="L1424:L1429" si="19">TRUNC(TRUNC(H1424,8)*J1424,2)</f>
        <v>7.63</v>
      </c>
    </row>
    <row r="1425" spans="1:12" ht="21" customHeight="1" x14ac:dyDescent="0.25">
      <c r="A1425" s="181" t="s">
        <v>2400</v>
      </c>
      <c r="B1425" s="509" t="s">
        <v>2401</v>
      </c>
      <c r="C1425" s="509"/>
      <c r="D1425" s="481" t="s">
        <v>82</v>
      </c>
      <c r="E1425" s="481"/>
      <c r="F1425" s="481"/>
      <c r="G1425" s="231" t="s">
        <v>1024</v>
      </c>
      <c r="H1425" s="510">
        <v>1</v>
      </c>
      <c r="I1425" s="510"/>
      <c r="J1425" s="511">
        <v>1.2</v>
      </c>
      <c r="K1425" s="511"/>
      <c r="L1425" s="367">
        <f t="shared" si="19"/>
        <v>1.2</v>
      </c>
    </row>
    <row r="1426" spans="1:12" ht="21" customHeight="1" x14ac:dyDescent="0.25">
      <c r="A1426" s="181" t="s">
        <v>2340</v>
      </c>
      <c r="B1426" s="509" t="s">
        <v>2341</v>
      </c>
      <c r="C1426" s="509"/>
      <c r="D1426" s="481" t="s">
        <v>82</v>
      </c>
      <c r="E1426" s="481"/>
      <c r="F1426" s="481"/>
      <c r="G1426" s="231" t="s">
        <v>1024</v>
      </c>
      <c r="H1426" s="510">
        <v>1</v>
      </c>
      <c r="I1426" s="510"/>
      <c r="J1426" s="511">
        <v>1.62</v>
      </c>
      <c r="K1426" s="511"/>
      <c r="L1426" s="367">
        <f t="shared" si="19"/>
        <v>1.62</v>
      </c>
    </row>
    <row r="1427" spans="1:12" ht="21" customHeight="1" x14ac:dyDescent="0.25">
      <c r="A1427" s="181" t="s">
        <v>2402</v>
      </c>
      <c r="B1427" s="509" t="s">
        <v>2403</v>
      </c>
      <c r="C1427" s="509"/>
      <c r="D1427" s="481" t="s">
        <v>82</v>
      </c>
      <c r="E1427" s="481"/>
      <c r="F1427" s="481"/>
      <c r="G1427" s="231" t="s">
        <v>1024</v>
      </c>
      <c r="H1427" s="510">
        <v>1</v>
      </c>
      <c r="I1427" s="510"/>
      <c r="J1427" s="511">
        <v>0.81</v>
      </c>
      <c r="K1427" s="511"/>
      <c r="L1427" s="367">
        <f t="shared" si="19"/>
        <v>0.81</v>
      </c>
    </row>
    <row r="1428" spans="1:12" ht="21" customHeight="1" x14ac:dyDescent="0.25">
      <c r="A1428" s="181" t="s">
        <v>2344</v>
      </c>
      <c r="B1428" s="509" t="s">
        <v>2345</v>
      </c>
      <c r="C1428" s="509"/>
      <c r="D1428" s="481" t="s">
        <v>82</v>
      </c>
      <c r="E1428" s="481"/>
      <c r="F1428" s="481"/>
      <c r="G1428" s="231" t="s">
        <v>1024</v>
      </c>
      <c r="H1428" s="510">
        <v>1</v>
      </c>
      <c r="I1428" s="510"/>
      <c r="J1428" s="511">
        <v>0.11</v>
      </c>
      <c r="K1428" s="511"/>
      <c r="L1428" s="367">
        <f t="shared" si="19"/>
        <v>0.11</v>
      </c>
    </row>
    <row r="1429" spans="1:12" ht="21" customHeight="1" x14ac:dyDescent="0.25">
      <c r="A1429" s="181" t="s">
        <v>2346</v>
      </c>
      <c r="B1429" s="509" t="s">
        <v>2347</v>
      </c>
      <c r="C1429" s="509"/>
      <c r="D1429" s="481" t="s">
        <v>82</v>
      </c>
      <c r="E1429" s="481"/>
      <c r="F1429" s="481"/>
      <c r="G1429" s="231" t="s">
        <v>1024</v>
      </c>
      <c r="H1429" s="510">
        <v>1</v>
      </c>
      <c r="I1429" s="510"/>
      <c r="J1429" s="511">
        <v>0.66</v>
      </c>
      <c r="K1429" s="511"/>
      <c r="L1429" s="367">
        <f t="shared" si="19"/>
        <v>0.66</v>
      </c>
    </row>
    <row r="1430" spans="1:12" ht="15" customHeight="1" x14ac:dyDescent="0.25">
      <c r="A1430" s="182"/>
      <c r="B1430" s="183"/>
      <c r="C1430" s="183"/>
      <c r="D1430" s="183"/>
      <c r="E1430" s="183"/>
      <c r="F1430" s="183"/>
      <c r="G1430" s="183"/>
      <c r="H1430" s="477" t="s">
        <v>1938</v>
      </c>
      <c r="I1430" s="477"/>
      <c r="J1430" s="477"/>
      <c r="K1430" s="477"/>
      <c r="L1430" s="368">
        <f>SUM(L1424:L1429)</f>
        <v>12.03</v>
      </c>
    </row>
    <row r="1431" spans="1:12" ht="15" customHeight="1" x14ac:dyDescent="0.25">
      <c r="A1431" s="474" t="s">
        <v>1827</v>
      </c>
      <c r="B1431" s="475"/>
      <c r="C1431" s="475"/>
      <c r="D1431" s="476" t="s">
        <v>42</v>
      </c>
      <c r="E1431" s="476"/>
      <c r="F1431" s="476"/>
      <c r="G1431" s="230" t="s">
        <v>44</v>
      </c>
      <c r="H1431" s="476" t="s">
        <v>1813</v>
      </c>
      <c r="I1431" s="476"/>
      <c r="J1431" s="476" t="s">
        <v>1814</v>
      </c>
      <c r="K1431" s="476"/>
      <c r="L1431" s="366" t="s">
        <v>1802</v>
      </c>
    </row>
    <row r="1432" spans="1:12" ht="15" customHeight="1" x14ac:dyDescent="0.25">
      <c r="A1432" s="181" t="s">
        <v>2596</v>
      </c>
      <c r="B1432" s="509" t="s">
        <v>2597</v>
      </c>
      <c r="C1432" s="509"/>
      <c r="D1432" s="481" t="s">
        <v>82</v>
      </c>
      <c r="E1432" s="481"/>
      <c r="F1432" s="481"/>
      <c r="G1432" s="231" t="s">
        <v>1024</v>
      </c>
      <c r="H1432" s="510">
        <v>1</v>
      </c>
      <c r="I1432" s="510"/>
      <c r="J1432" s="511">
        <v>26.39</v>
      </c>
      <c r="K1432" s="511"/>
      <c r="L1432" s="367">
        <f>TRUNC(TRUNC(H1432,8)*J1432,2)</f>
        <v>26.39</v>
      </c>
    </row>
    <row r="1433" spans="1:12" ht="15" customHeight="1" x14ac:dyDescent="0.25">
      <c r="A1433" s="182"/>
      <c r="B1433" s="183"/>
      <c r="C1433" s="183"/>
      <c r="D1433" s="183"/>
      <c r="E1433" s="183"/>
      <c r="F1433" s="183"/>
      <c r="G1433" s="183"/>
      <c r="H1433" s="477" t="s">
        <v>1832</v>
      </c>
      <c r="I1433" s="477"/>
      <c r="J1433" s="477"/>
      <c r="K1433" s="477"/>
      <c r="L1433" s="368">
        <f>SUM(L1432:L1432)</f>
        <v>26.39</v>
      </c>
    </row>
    <row r="1434" spans="1:12" ht="15" customHeight="1" x14ac:dyDescent="0.25">
      <c r="A1434" s="474" t="s">
        <v>1912</v>
      </c>
      <c r="B1434" s="475"/>
      <c r="C1434" s="475"/>
      <c r="D1434" s="476" t="s">
        <v>42</v>
      </c>
      <c r="E1434" s="476"/>
      <c r="F1434" s="476"/>
      <c r="G1434" s="230" t="s">
        <v>44</v>
      </c>
      <c r="H1434" s="476" t="s">
        <v>1813</v>
      </c>
      <c r="I1434" s="476"/>
      <c r="J1434" s="476" t="s">
        <v>1814</v>
      </c>
      <c r="K1434" s="476"/>
      <c r="L1434" s="366" t="s">
        <v>1802</v>
      </c>
    </row>
    <row r="1435" spans="1:12" ht="21" customHeight="1" x14ac:dyDescent="0.25">
      <c r="A1435" s="181" t="s">
        <v>2927</v>
      </c>
      <c r="B1435" s="509" t="s">
        <v>2928</v>
      </c>
      <c r="C1435" s="509"/>
      <c r="D1435" s="481" t="s">
        <v>82</v>
      </c>
      <c r="E1435" s="481"/>
      <c r="F1435" s="481"/>
      <c r="G1435" s="231" t="s">
        <v>1024</v>
      </c>
      <c r="H1435" s="510">
        <v>1</v>
      </c>
      <c r="I1435" s="510"/>
      <c r="J1435" s="511">
        <v>0.72</v>
      </c>
      <c r="K1435" s="511"/>
      <c r="L1435" s="367">
        <f>TRUNC(TRUNC(H1435,8)*J1435,2)</f>
        <v>0.72</v>
      </c>
    </row>
    <row r="1436" spans="1:12" ht="15" customHeight="1" x14ac:dyDescent="0.25">
      <c r="A1436" s="182"/>
      <c r="B1436" s="183"/>
      <c r="C1436" s="183"/>
      <c r="D1436" s="183"/>
      <c r="E1436" s="183"/>
      <c r="F1436" s="183"/>
      <c r="G1436" s="183"/>
      <c r="H1436" s="477" t="s">
        <v>1915</v>
      </c>
      <c r="I1436" s="477"/>
      <c r="J1436" s="477"/>
      <c r="K1436" s="477"/>
      <c r="L1436" s="368">
        <f>SUM(L1435:L1435)</f>
        <v>0.72</v>
      </c>
    </row>
    <row r="1437" spans="1:12" ht="15" customHeight="1" x14ac:dyDescent="0.25">
      <c r="A1437" s="182"/>
      <c r="B1437" s="183"/>
      <c r="C1437" s="183"/>
      <c r="D1437" s="183"/>
      <c r="E1437" s="183"/>
      <c r="F1437" s="183"/>
      <c r="G1437" s="183"/>
      <c r="H1437" s="482" t="s">
        <v>1834</v>
      </c>
      <c r="I1437" s="482"/>
      <c r="J1437" s="482"/>
      <c r="K1437" s="482"/>
      <c r="L1437" s="369">
        <f>ROUND(SUM(L1430,L1433,L1436),2)</f>
        <v>39.14</v>
      </c>
    </row>
    <row r="1438" spans="1:12" ht="9.9499999999999993" customHeight="1" x14ac:dyDescent="0.25">
      <c r="A1438" s="182"/>
      <c r="B1438" s="183"/>
      <c r="C1438" s="183"/>
      <c r="D1438" s="183"/>
      <c r="E1438" s="183"/>
      <c r="F1438" s="183"/>
      <c r="G1438" s="183"/>
      <c r="H1438" s="485"/>
      <c r="I1438" s="485"/>
      <c r="J1438" s="485"/>
      <c r="K1438" s="485"/>
      <c r="L1438" s="512"/>
    </row>
    <row r="1439" spans="1:12" ht="20.100000000000001" customHeight="1" x14ac:dyDescent="0.25">
      <c r="A1439" s="486" t="s">
        <v>2929</v>
      </c>
      <c r="B1439" s="487"/>
      <c r="C1439" s="487"/>
      <c r="D1439" s="487"/>
      <c r="E1439" s="487"/>
      <c r="F1439" s="487"/>
      <c r="G1439" s="487"/>
      <c r="H1439" s="487"/>
      <c r="I1439" s="487"/>
      <c r="J1439" s="487"/>
      <c r="K1439" s="487"/>
      <c r="L1439" s="513"/>
    </row>
    <row r="1440" spans="1:12" ht="15" customHeight="1" x14ac:dyDescent="0.25">
      <c r="A1440" s="474" t="s">
        <v>1932</v>
      </c>
      <c r="B1440" s="475"/>
      <c r="C1440" s="475"/>
      <c r="D1440" s="476" t="s">
        <v>42</v>
      </c>
      <c r="E1440" s="476"/>
      <c r="F1440" s="476"/>
      <c r="G1440" s="230" t="s">
        <v>44</v>
      </c>
      <c r="H1440" s="476" t="s">
        <v>1813</v>
      </c>
      <c r="I1440" s="476"/>
      <c r="J1440" s="476" t="s">
        <v>1814</v>
      </c>
      <c r="K1440" s="476"/>
      <c r="L1440" s="366" t="s">
        <v>1802</v>
      </c>
    </row>
    <row r="1441" spans="1:12" ht="21" customHeight="1" x14ac:dyDescent="0.25">
      <c r="A1441" s="181" t="s">
        <v>2336</v>
      </c>
      <c r="B1441" s="509" t="s">
        <v>2337</v>
      </c>
      <c r="C1441" s="509"/>
      <c r="D1441" s="481" t="s">
        <v>82</v>
      </c>
      <c r="E1441" s="481"/>
      <c r="F1441" s="481"/>
      <c r="G1441" s="231" t="s">
        <v>1024</v>
      </c>
      <c r="H1441" s="510">
        <v>1</v>
      </c>
      <c r="I1441" s="510"/>
      <c r="J1441" s="511">
        <v>7.63</v>
      </c>
      <c r="K1441" s="511"/>
      <c r="L1441" s="367">
        <f t="shared" ref="L1441:L1446" si="20">TRUNC(TRUNC(H1441,8)*J1441,2)</f>
        <v>7.63</v>
      </c>
    </row>
    <row r="1442" spans="1:12" ht="21" customHeight="1" x14ac:dyDescent="0.25">
      <c r="A1442" s="181" t="s">
        <v>2930</v>
      </c>
      <c r="B1442" s="509" t="s">
        <v>2931</v>
      </c>
      <c r="C1442" s="509"/>
      <c r="D1442" s="481" t="s">
        <v>82</v>
      </c>
      <c r="E1442" s="481"/>
      <c r="F1442" s="481"/>
      <c r="G1442" s="231" t="s">
        <v>1024</v>
      </c>
      <c r="H1442" s="510">
        <v>1</v>
      </c>
      <c r="I1442" s="510"/>
      <c r="J1442" s="511">
        <v>0.8</v>
      </c>
      <c r="K1442" s="511"/>
      <c r="L1442" s="367">
        <f t="shared" si="20"/>
        <v>0.8</v>
      </c>
    </row>
    <row r="1443" spans="1:12" ht="21" customHeight="1" x14ac:dyDescent="0.25">
      <c r="A1443" s="181" t="s">
        <v>2340</v>
      </c>
      <c r="B1443" s="509" t="s">
        <v>2341</v>
      </c>
      <c r="C1443" s="509"/>
      <c r="D1443" s="481" t="s">
        <v>82</v>
      </c>
      <c r="E1443" s="481"/>
      <c r="F1443" s="481"/>
      <c r="G1443" s="231" t="s">
        <v>1024</v>
      </c>
      <c r="H1443" s="510">
        <v>1</v>
      </c>
      <c r="I1443" s="510"/>
      <c r="J1443" s="511">
        <v>1.62</v>
      </c>
      <c r="K1443" s="511"/>
      <c r="L1443" s="367">
        <f t="shared" si="20"/>
        <v>1.62</v>
      </c>
    </row>
    <row r="1444" spans="1:12" ht="29.1" customHeight="1" x14ac:dyDescent="0.25">
      <c r="A1444" s="181" t="s">
        <v>2932</v>
      </c>
      <c r="B1444" s="509" t="s">
        <v>2933</v>
      </c>
      <c r="C1444" s="509"/>
      <c r="D1444" s="481" t="s">
        <v>82</v>
      </c>
      <c r="E1444" s="481"/>
      <c r="F1444" s="481"/>
      <c r="G1444" s="231" t="s">
        <v>1024</v>
      </c>
      <c r="H1444" s="510">
        <v>1</v>
      </c>
      <c r="I1444" s="510"/>
      <c r="J1444" s="511">
        <v>0.02</v>
      </c>
      <c r="K1444" s="511"/>
      <c r="L1444" s="367">
        <f t="shared" si="20"/>
        <v>0.02</v>
      </c>
    </row>
    <row r="1445" spans="1:12" ht="21" customHeight="1" x14ac:dyDescent="0.25">
      <c r="A1445" s="181" t="s">
        <v>2344</v>
      </c>
      <c r="B1445" s="509" t="s">
        <v>2345</v>
      </c>
      <c r="C1445" s="509"/>
      <c r="D1445" s="481" t="s">
        <v>82</v>
      </c>
      <c r="E1445" s="481"/>
      <c r="F1445" s="481"/>
      <c r="G1445" s="231" t="s">
        <v>1024</v>
      </c>
      <c r="H1445" s="510">
        <v>1</v>
      </c>
      <c r="I1445" s="510"/>
      <c r="J1445" s="511">
        <v>0.11</v>
      </c>
      <c r="K1445" s="511"/>
      <c r="L1445" s="367">
        <f t="shared" si="20"/>
        <v>0.11</v>
      </c>
    </row>
    <row r="1446" spans="1:12" ht="21" customHeight="1" x14ac:dyDescent="0.25">
      <c r="A1446" s="181" t="s">
        <v>2346</v>
      </c>
      <c r="B1446" s="509" t="s">
        <v>2347</v>
      </c>
      <c r="C1446" s="509"/>
      <c r="D1446" s="481" t="s">
        <v>82</v>
      </c>
      <c r="E1446" s="481"/>
      <c r="F1446" s="481"/>
      <c r="G1446" s="231" t="s">
        <v>1024</v>
      </c>
      <c r="H1446" s="510">
        <v>1</v>
      </c>
      <c r="I1446" s="510"/>
      <c r="J1446" s="511">
        <v>0.66</v>
      </c>
      <c r="K1446" s="511"/>
      <c r="L1446" s="367">
        <f t="shared" si="20"/>
        <v>0.66</v>
      </c>
    </row>
    <row r="1447" spans="1:12" ht="15" customHeight="1" x14ac:dyDescent="0.25">
      <c r="A1447" s="182"/>
      <c r="B1447" s="183"/>
      <c r="C1447" s="183"/>
      <c r="D1447" s="183"/>
      <c r="E1447" s="183"/>
      <c r="F1447" s="183"/>
      <c r="G1447" s="183"/>
      <c r="H1447" s="477" t="s">
        <v>1938</v>
      </c>
      <c r="I1447" s="477"/>
      <c r="J1447" s="477"/>
      <c r="K1447" s="477"/>
      <c r="L1447" s="368">
        <f>SUM(L1441:L1446)</f>
        <v>10.84</v>
      </c>
    </row>
    <row r="1448" spans="1:12" ht="15" customHeight="1" x14ac:dyDescent="0.25">
      <c r="A1448" s="474" t="s">
        <v>1827</v>
      </c>
      <c r="B1448" s="475"/>
      <c r="C1448" s="475"/>
      <c r="D1448" s="476" t="s">
        <v>42</v>
      </c>
      <c r="E1448" s="476"/>
      <c r="F1448" s="476"/>
      <c r="G1448" s="230" t="s">
        <v>44</v>
      </c>
      <c r="H1448" s="476" t="s">
        <v>1813</v>
      </c>
      <c r="I1448" s="476"/>
      <c r="J1448" s="476" t="s">
        <v>1814</v>
      </c>
      <c r="K1448" s="476"/>
      <c r="L1448" s="366" t="s">
        <v>1802</v>
      </c>
    </row>
    <row r="1449" spans="1:12" ht="15" customHeight="1" x14ac:dyDescent="0.25">
      <c r="A1449" s="181" t="s">
        <v>2599</v>
      </c>
      <c r="B1449" s="509" t="s">
        <v>2600</v>
      </c>
      <c r="C1449" s="509"/>
      <c r="D1449" s="481" t="s">
        <v>82</v>
      </c>
      <c r="E1449" s="481"/>
      <c r="F1449" s="481"/>
      <c r="G1449" s="231" t="s">
        <v>1024</v>
      </c>
      <c r="H1449" s="510">
        <v>1</v>
      </c>
      <c r="I1449" s="510"/>
      <c r="J1449" s="511">
        <v>26.91</v>
      </c>
      <c r="K1449" s="511"/>
      <c r="L1449" s="367">
        <f>TRUNC(TRUNC(H1449,8)*J1449,2)</f>
        <v>26.91</v>
      </c>
    </row>
    <row r="1450" spans="1:12" ht="15" customHeight="1" x14ac:dyDescent="0.25">
      <c r="A1450" s="182"/>
      <c r="B1450" s="183"/>
      <c r="C1450" s="183"/>
      <c r="D1450" s="183"/>
      <c r="E1450" s="183"/>
      <c r="F1450" s="183"/>
      <c r="G1450" s="183"/>
      <c r="H1450" s="477" t="s">
        <v>1832</v>
      </c>
      <c r="I1450" s="477"/>
      <c r="J1450" s="477"/>
      <c r="K1450" s="477"/>
      <c r="L1450" s="368">
        <f>SUM(L1449:L1449)</f>
        <v>26.91</v>
      </c>
    </row>
    <row r="1451" spans="1:12" ht="15" customHeight="1" x14ac:dyDescent="0.25">
      <c r="A1451" s="474" t="s">
        <v>1912</v>
      </c>
      <c r="B1451" s="475"/>
      <c r="C1451" s="475"/>
      <c r="D1451" s="476" t="s">
        <v>42</v>
      </c>
      <c r="E1451" s="476"/>
      <c r="F1451" s="476"/>
      <c r="G1451" s="230" t="s">
        <v>44</v>
      </c>
      <c r="H1451" s="476" t="s">
        <v>1813</v>
      </c>
      <c r="I1451" s="476"/>
      <c r="J1451" s="476" t="s">
        <v>1814</v>
      </c>
      <c r="K1451" s="476"/>
      <c r="L1451" s="366" t="s">
        <v>1802</v>
      </c>
    </row>
    <row r="1452" spans="1:12" ht="21" customHeight="1" x14ac:dyDescent="0.25">
      <c r="A1452" s="181" t="s">
        <v>2934</v>
      </c>
      <c r="B1452" s="509" t="s">
        <v>2935</v>
      </c>
      <c r="C1452" s="509"/>
      <c r="D1452" s="481" t="s">
        <v>82</v>
      </c>
      <c r="E1452" s="481"/>
      <c r="F1452" s="481"/>
      <c r="G1452" s="231" t="s">
        <v>1024</v>
      </c>
      <c r="H1452" s="510">
        <v>1</v>
      </c>
      <c r="I1452" s="510"/>
      <c r="J1452" s="511">
        <v>0.31</v>
      </c>
      <c r="K1452" s="511"/>
      <c r="L1452" s="367">
        <f>TRUNC(TRUNC(H1452,8)*J1452,2)</f>
        <v>0.31</v>
      </c>
    </row>
    <row r="1453" spans="1:12" ht="15" customHeight="1" x14ac:dyDescent="0.25">
      <c r="A1453" s="182"/>
      <c r="B1453" s="183"/>
      <c r="C1453" s="183"/>
      <c r="D1453" s="183"/>
      <c r="E1453" s="183"/>
      <c r="F1453" s="183"/>
      <c r="G1453" s="183"/>
      <c r="H1453" s="477" t="s">
        <v>1915</v>
      </c>
      <c r="I1453" s="477"/>
      <c r="J1453" s="477"/>
      <c r="K1453" s="477"/>
      <c r="L1453" s="368">
        <f>SUM(L1452:L1452)</f>
        <v>0.31</v>
      </c>
    </row>
    <row r="1454" spans="1:12" ht="15" customHeight="1" x14ac:dyDescent="0.25">
      <c r="A1454" s="182"/>
      <c r="B1454" s="183"/>
      <c r="C1454" s="183"/>
      <c r="D1454" s="183"/>
      <c r="E1454" s="183"/>
      <c r="F1454" s="183"/>
      <c r="G1454" s="183"/>
      <c r="H1454" s="482" t="s">
        <v>1834</v>
      </c>
      <c r="I1454" s="482"/>
      <c r="J1454" s="482"/>
      <c r="K1454" s="482"/>
      <c r="L1454" s="369">
        <f>ROUND(SUM(L1447,L1450,L1453),2)</f>
        <v>38.06</v>
      </c>
    </row>
    <row r="1455" spans="1:12" ht="9.9499999999999993" customHeight="1" x14ac:dyDescent="0.25">
      <c r="A1455" s="182"/>
      <c r="B1455" s="183"/>
      <c r="C1455" s="183"/>
      <c r="D1455" s="183"/>
      <c r="E1455" s="183"/>
      <c r="F1455" s="183"/>
      <c r="G1455" s="183"/>
      <c r="H1455" s="485"/>
      <c r="I1455" s="485"/>
      <c r="J1455" s="485"/>
      <c r="K1455" s="485"/>
      <c r="L1455" s="512"/>
    </row>
    <row r="1456" spans="1:12" ht="20.100000000000001" customHeight="1" x14ac:dyDescent="0.25">
      <c r="A1456" s="486" t="s">
        <v>2936</v>
      </c>
      <c r="B1456" s="487"/>
      <c r="C1456" s="487"/>
      <c r="D1456" s="487"/>
      <c r="E1456" s="487"/>
      <c r="F1456" s="487"/>
      <c r="G1456" s="487"/>
      <c r="H1456" s="487"/>
      <c r="I1456" s="487"/>
      <c r="J1456" s="487"/>
      <c r="K1456" s="487"/>
      <c r="L1456" s="513"/>
    </row>
    <row r="1457" spans="1:12" ht="15" customHeight="1" x14ac:dyDescent="0.25">
      <c r="A1457" s="474" t="s">
        <v>2443</v>
      </c>
      <c r="B1457" s="475"/>
      <c r="C1457" s="475"/>
      <c r="D1457" s="476" t="s">
        <v>42</v>
      </c>
      <c r="E1457" s="476"/>
      <c r="F1457" s="476"/>
      <c r="G1457" s="230" t="s">
        <v>44</v>
      </c>
      <c r="H1457" s="476" t="s">
        <v>1813</v>
      </c>
      <c r="I1457" s="476"/>
      <c r="J1457" s="476" t="s">
        <v>1814</v>
      </c>
      <c r="K1457" s="476"/>
      <c r="L1457" s="366" t="s">
        <v>1802</v>
      </c>
    </row>
    <row r="1458" spans="1:12" ht="38.1" customHeight="1" x14ac:dyDescent="0.25">
      <c r="A1458" s="181" t="s">
        <v>2937</v>
      </c>
      <c r="B1458" s="509" t="s">
        <v>2938</v>
      </c>
      <c r="C1458" s="509"/>
      <c r="D1458" s="481" t="s">
        <v>82</v>
      </c>
      <c r="E1458" s="481"/>
      <c r="F1458" s="481"/>
      <c r="G1458" s="231" t="s">
        <v>2939</v>
      </c>
      <c r="H1458" s="510">
        <v>1.4850000000000001</v>
      </c>
      <c r="I1458" s="510"/>
      <c r="J1458" s="511">
        <v>23.96</v>
      </c>
      <c r="K1458" s="511"/>
      <c r="L1458" s="367">
        <f>TRUNC(TRUNC(H1458,8)*J1458,2)</f>
        <v>35.58</v>
      </c>
    </row>
    <row r="1459" spans="1:12" ht="15" customHeight="1" x14ac:dyDescent="0.25">
      <c r="A1459" s="182"/>
      <c r="B1459" s="183"/>
      <c r="C1459" s="183"/>
      <c r="D1459" s="183"/>
      <c r="E1459" s="183"/>
      <c r="F1459" s="183"/>
      <c r="G1459" s="183"/>
      <c r="H1459" s="477" t="s">
        <v>2446</v>
      </c>
      <c r="I1459" s="477"/>
      <c r="J1459" s="477"/>
      <c r="K1459" s="477"/>
      <c r="L1459" s="368">
        <f>SUM(L1458:L1458)</f>
        <v>35.58</v>
      </c>
    </row>
    <row r="1460" spans="1:12" ht="15" customHeight="1" x14ac:dyDescent="0.25">
      <c r="A1460" s="474" t="s">
        <v>1812</v>
      </c>
      <c r="B1460" s="475"/>
      <c r="C1460" s="475"/>
      <c r="D1460" s="476" t="s">
        <v>42</v>
      </c>
      <c r="E1460" s="476"/>
      <c r="F1460" s="476"/>
      <c r="G1460" s="230" t="s">
        <v>44</v>
      </c>
      <c r="H1460" s="476" t="s">
        <v>1813</v>
      </c>
      <c r="I1460" s="476"/>
      <c r="J1460" s="476" t="s">
        <v>1814</v>
      </c>
      <c r="K1460" s="476"/>
      <c r="L1460" s="366" t="s">
        <v>1802</v>
      </c>
    </row>
    <row r="1461" spans="1:12" ht="21" customHeight="1" x14ac:dyDescent="0.25">
      <c r="A1461" s="181" t="s">
        <v>2940</v>
      </c>
      <c r="B1461" s="509" t="s">
        <v>2941</v>
      </c>
      <c r="C1461" s="509"/>
      <c r="D1461" s="481" t="s">
        <v>82</v>
      </c>
      <c r="E1461" s="481"/>
      <c r="F1461" s="481"/>
      <c r="G1461" s="231" t="s">
        <v>1006</v>
      </c>
      <c r="H1461" s="510">
        <v>0.01</v>
      </c>
      <c r="I1461" s="510"/>
      <c r="J1461" s="511">
        <v>5.97</v>
      </c>
      <c r="K1461" s="511"/>
      <c r="L1461" s="367">
        <f>TRUNC(TRUNC(H1461,8)*J1461,2)</f>
        <v>0.05</v>
      </c>
    </row>
    <row r="1462" spans="1:12" ht="21" customHeight="1" x14ac:dyDescent="0.25">
      <c r="A1462" s="181" t="s">
        <v>2942</v>
      </c>
      <c r="B1462" s="509" t="s">
        <v>2943</v>
      </c>
      <c r="C1462" s="509"/>
      <c r="D1462" s="481" t="s">
        <v>82</v>
      </c>
      <c r="E1462" s="481"/>
      <c r="F1462" s="481"/>
      <c r="G1462" s="231" t="s">
        <v>1817</v>
      </c>
      <c r="H1462" s="510">
        <v>0.09</v>
      </c>
      <c r="I1462" s="510"/>
      <c r="J1462" s="511">
        <v>26.09</v>
      </c>
      <c r="K1462" s="511"/>
      <c r="L1462" s="367">
        <f>TRUNC(TRUNC(H1462,8)*J1462,2)</f>
        <v>2.34</v>
      </c>
    </row>
    <row r="1463" spans="1:12" ht="15" customHeight="1" x14ac:dyDescent="0.25">
      <c r="A1463" s="182"/>
      <c r="B1463" s="183"/>
      <c r="C1463" s="183"/>
      <c r="D1463" s="183"/>
      <c r="E1463" s="183"/>
      <c r="F1463" s="183"/>
      <c r="G1463" s="183"/>
      <c r="H1463" s="477" t="s">
        <v>1826</v>
      </c>
      <c r="I1463" s="477"/>
      <c r="J1463" s="477"/>
      <c r="K1463" s="477"/>
      <c r="L1463" s="368">
        <f>SUM(L1461:L1462)</f>
        <v>2.3899999999999997</v>
      </c>
    </row>
    <row r="1464" spans="1:12" ht="15" customHeight="1" x14ac:dyDescent="0.25">
      <c r="A1464" s="474" t="s">
        <v>2190</v>
      </c>
      <c r="B1464" s="475"/>
      <c r="C1464" s="475"/>
      <c r="D1464" s="476" t="s">
        <v>42</v>
      </c>
      <c r="E1464" s="476"/>
      <c r="F1464" s="476"/>
      <c r="G1464" s="230" t="s">
        <v>44</v>
      </c>
      <c r="H1464" s="476" t="s">
        <v>1813</v>
      </c>
      <c r="I1464" s="476"/>
      <c r="J1464" s="476" t="s">
        <v>1814</v>
      </c>
      <c r="K1464" s="476"/>
      <c r="L1464" s="366" t="s">
        <v>1802</v>
      </c>
    </row>
    <row r="1465" spans="1:12" ht="21" customHeight="1" x14ac:dyDescent="0.25">
      <c r="A1465" s="181" t="s">
        <v>2805</v>
      </c>
      <c r="B1465" s="509" t="s">
        <v>2806</v>
      </c>
      <c r="C1465" s="509"/>
      <c r="D1465" s="481" t="s">
        <v>82</v>
      </c>
      <c r="E1465" s="481"/>
      <c r="F1465" s="481"/>
      <c r="G1465" s="231" t="s">
        <v>1024</v>
      </c>
      <c r="H1465" s="510">
        <v>0.58099999999999996</v>
      </c>
      <c r="I1465" s="510"/>
      <c r="J1465" s="511">
        <v>30.77</v>
      </c>
      <c r="K1465" s="511"/>
      <c r="L1465" s="367">
        <f>TRUNC(TRUNC(H1465,8)*J1465,2)</f>
        <v>17.87</v>
      </c>
    </row>
    <row r="1466" spans="1:12" ht="21" customHeight="1" x14ac:dyDescent="0.25">
      <c r="A1466" s="181" t="s">
        <v>2547</v>
      </c>
      <c r="B1466" s="509" t="s">
        <v>2548</v>
      </c>
      <c r="C1466" s="509"/>
      <c r="D1466" s="481" t="s">
        <v>82</v>
      </c>
      <c r="E1466" s="481"/>
      <c r="F1466" s="481"/>
      <c r="G1466" s="231" t="s">
        <v>1024</v>
      </c>
      <c r="H1466" s="510">
        <v>3.488</v>
      </c>
      <c r="I1466" s="510"/>
      <c r="J1466" s="511">
        <v>37.880000000000003</v>
      </c>
      <c r="K1466" s="511"/>
      <c r="L1466" s="367">
        <f>TRUNC(TRUNC(H1466,8)*J1466,2)</f>
        <v>132.12</v>
      </c>
    </row>
    <row r="1467" spans="1:12" ht="18" customHeight="1" x14ac:dyDescent="0.25">
      <c r="A1467" s="182"/>
      <c r="B1467" s="183"/>
      <c r="C1467" s="183"/>
      <c r="D1467" s="183"/>
      <c r="E1467" s="183"/>
      <c r="F1467" s="183"/>
      <c r="G1467" s="183"/>
      <c r="H1467" s="477" t="s">
        <v>2195</v>
      </c>
      <c r="I1467" s="477"/>
      <c r="J1467" s="477"/>
      <c r="K1467" s="477"/>
      <c r="L1467" s="368">
        <f>SUM(L1465:L1466)</f>
        <v>149.99</v>
      </c>
    </row>
    <row r="1468" spans="1:12" ht="15" customHeight="1" x14ac:dyDescent="0.25">
      <c r="A1468" s="474" t="s">
        <v>1912</v>
      </c>
      <c r="B1468" s="475"/>
      <c r="C1468" s="475"/>
      <c r="D1468" s="476" t="s">
        <v>42</v>
      </c>
      <c r="E1468" s="476"/>
      <c r="F1468" s="476"/>
      <c r="G1468" s="230" t="s">
        <v>44</v>
      </c>
      <c r="H1468" s="476" t="s">
        <v>1813</v>
      </c>
      <c r="I1468" s="476"/>
      <c r="J1468" s="476" t="s">
        <v>1814</v>
      </c>
      <c r="K1468" s="476"/>
      <c r="L1468" s="366" t="s">
        <v>1802</v>
      </c>
    </row>
    <row r="1469" spans="1:12" ht="29.1" customHeight="1" x14ac:dyDescent="0.25">
      <c r="A1469" s="181" t="s">
        <v>2944</v>
      </c>
      <c r="B1469" s="509" t="s">
        <v>2945</v>
      </c>
      <c r="C1469" s="509"/>
      <c r="D1469" s="481" t="s">
        <v>82</v>
      </c>
      <c r="E1469" s="481"/>
      <c r="F1469" s="481"/>
      <c r="G1469" s="231" t="s">
        <v>122</v>
      </c>
      <c r="H1469" s="510">
        <v>0.84</v>
      </c>
      <c r="I1469" s="510"/>
      <c r="J1469" s="511">
        <v>185.94</v>
      </c>
      <c r="K1469" s="511"/>
      <c r="L1469" s="367">
        <f>TRUNC(TRUNC(H1469,8)*J1469,2)</f>
        <v>156.18</v>
      </c>
    </row>
    <row r="1470" spans="1:12" ht="15" customHeight="1" x14ac:dyDescent="0.25">
      <c r="A1470" s="182"/>
      <c r="B1470" s="183"/>
      <c r="C1470" s="183"/>
      <c r="D1470" s="183"/>
      <c r="E1470" s="183"/>
      <c r="F1470" s="183"/>
      <c r="G1470" s="183"/>
      <c r="H1470" s="477" t="s">
        <v>1915</v>
      </c>
      <c r="I1470" s="477"/>
      <c r="J1470" s="477"/>
      <c r="K1470" s="477"/>
      <c r="L1470" s="368">
        <f>SUM(L1469:L1469)</f>
        <v>156.18</v>
      </c>
    </row>
    <row r="1471" spans="1:12" ht="15" customHeight="1" x14ac:dyDescent="0.25">
      <c r="A1471" s="182"/>
      <c r="B1471" s="183"/>
      <c r="C1471" s="183"/>
      <c r="D1471" s="183"/>
      <c r="E1471" s="183"/>
      <c r="F1471" s="183"/>
      <c r="G1471" s="183"/>
      <c r="H1471" s="482" t="s">
        <v>1834</v>
      </c>
      <c r="I1471" s="482"/>
      <c r="J1471" s="482"/>
      <c r="K1471" s="482"/>
      <c r="L1471" s="369">
        <f>ROUND(SUM(L1459,L1463,L1467,L1470),2)</f>
        <v>344.14</v>
      </c>
    </row>
    <row r="1472" spans="1:12" ht="9.9499999999999993" customHeight="1" x14ac:dyDescent="0.25">
      <c r="A1472" s="182"/>
      <c r="B1472" s="183"/>
      <c r="C1472" s="183"/>
      <c r="D1472" s="183"/>
      <c r="E1472" s="183"/>
      <c r="F1472" s="183"/>
      <c r="G1472" s="183"/>
      <c r="H1472" s="485"/>
      <c r="I1472" s="485"/>
      <c r="J1472" s="485"/>
      <c r="K1472" s="485"/>
      <c r="L1472" s="512"/>
    </row>
    <row r="1473" spans="1:12" ht="20.100000000000001" customHeight="1" x14ac:dyDescent="0.25">
      <c r="A1473" s="486" t="s">
        <v>2946</v>
      </c>
      <c r="B1473" s="487"/>
      <c r="C1473" s="487"/>
      <c r="D1473" s="487"/>
      <c r="E1473" s="487"/>
      <c r="F1473" s="487"/>
      <c r="G1473" s="487"/>
      <c r="H1473" s="487"/>
      <c r="I1473" s="487"/>
      <c r="J1473" s="487"/>
      <c r="K1473" s="487"/>
      <c r="L1473" s="513"/>
    </row>
    <row r="1474" spans="1:12" ht="15" customHeight="1" x14ac:dyDescent="0.25">
      <c r="A1474" s="474" t="s">
        <v>1932</v>
      </c>
      <c r="B1474" s="475"/>
      <c r="C1474" s="475"/>
      <c r="D1474" s="476" t="s">
        <v>42</v>
      </c>
      <c r="E1474" s="476"/>
      <c r="F1474" s="476"/>
      <c r="G1474" s="230" t="s">
        <v>44</v>
      </c>
      <c r="H1474" s="476" t="s">
        <v>1813</v>
      </c>
      <c r="I1474" s="476"/>
      <c r="J1474" s="476" t="s">
        <v>1814</v>
      </c>
      <c r="K1474" s="476"/>
      <c r="L1474" s="366" t="s">
        <v>1802</v>
      </c>
    </row>
    <row r="1475" spans="1:12" ht="21" customHeight="1" x14ac:dyDescent="0.25">
      <c r="A1475" s="181" t="s">
        <v>2336</v>
      </c>
      <c r="B1475" s="509" t="s">
        <v>2337</v>
      </c>
      <c r="C1475" s="509"/>
      <c r="D1475" s="481" t="s">
        <v>82</v>
      </c>
      <c r="E1475" s="481"/>
      <c r="F1475" s="481"/>
      <c r="G1475" s="231" t="s">
        <v>1024</v>
      </c>
      <c r="H1475" s="510">
        <v>1</v>
      </c>
      <c r="I1475" s="510"/>
      <c r="J1475" s="511">
        <v>7.63</v>
      </c>
      <c r="K1475" s="511"/>
      <c r="L1475" s="367">
        <f t="shared" ref="L1475:L1480" si="21">TRUNC(TRUNC(H1475,8)*J1475,2)</f>
        <v>7.63</v>
      </c>
    </row>
    <row r="1476" spans="1:12" ht="21" customHeight="1" x14ac:dyDescent="0.25">
      <c r="A1476" s="181" t="s">
        <v>2930</v>
      </c>
      <c r="B1476" s="509" t="s">
        <v>2931</v>
      </c>
      <c r="C1476" s="509"/>
      <c r="D1476" s="481" t="s">
        <v>82</v>
      </c>
      <c r="E1476" s="481"/>
      <c r="F1476" s="481"/>
      <c r="G1476" s="231" t="s">
        <v>1024</v>
      </c>
      <c r="H1476" s="510">
        <v>1</v>
      </c>
      <c r="I1476" s="510"/>
      <c r="J1476" s="511">
        <v>0.8</v>
      </c>
      <c r="K1476" s="511"/>
      <c r="L1476" s="367">
        <f t="shared" si="21"/>
        <v>0.8</v>
      </c>
    </row>
    <row r="1477" spans="1:12" ht="21" customHeight="1" x14ac:dyDescent="0.25">
      <c r="A1477" s="181" t="s">
        <v>2340</v>
      </c>
      <c r="B1477" s="509" t="s">
        <v>2341</v>
      </c>
      <c r="C1477" s="509"/>
      <c r="D1477" s="481" t="s">
        <v>82</v>
      </c>
      <c r="E1477" s="481"/>
      <c r="F1477" s="481"/>
      <c r="G1477" s="231" t="s">
        <v>1024</v>
      </c>
      <c r="H1477" s="510">
        <v>1</v>
      </c>
      <c r="I1477" s="510"/>
      <c r="J1477" s="511">
        <v>1.62</v>
      </c>
      <c r="K1477" s="511"/>
      <c r="L1477" s="367">
        <f t="shared" si="21"/>
        <v>1.62</v>
      </c>
    </row>
    <row r="1478" spans="1:12" ht="29.1" customHeight="1" x14ac:dyDescent="0.25">
      <c r="A1478" s="181" t="s">
        <v>2932</v>
      </c>
      <c r="B1478" s="509" t="s">
        <v>2933</v>
      </c>
      <c r="C1478" s="509"/>
      <c r="D1478" s="481" t="s">
        <v>82</v>
      </c>
      <c r="E1478" s="481"/>
      <c r="F1478" s="481"/>
      <c r="G1478" s="231" t="s">
        <v>1024</v>
      </c>
      <c r="H1478" s="510">
        <v>1</v>
      </c>
      <c r="I1478" s="510"/>
      <c r="J1478" s="511">
        <v>0.02</v>
      </c>
      <c r="K1478" s="511"/>
      <c r="L1478" s="367">
        <f t="shared" si="21"/>
        <v>0.02</v>
      </c>
    </row>
    <row r="1479" spans="1:12" ht="21" customHeight="1" x14ac:dyDescent="0.25">
      <c r="A1479" s="181" t="s">
        <v>2344</v>
      </c>
      <c r="B1479" s="509" t="s">
        <v>2345</v>
      </c>
      <c r="C1479" s="509"/>
      <c r="D1479" s="481" t="s">
        <v>82</v>
      </c>
      <c r="E1479" s="481"/>
      <c r="F1479" s="481"/>
      <c r="G1479" s="231" t="s">
        <v>1024</v>
      </c>
      <c r="H1479" s="510">
        <v>1</v>
      </c>
      <c r="I1479" s="510"/>
      <c r="J1479" s="511">
        <v>0.11</v>
      </c>
      <c r="K1479" s="511"/>
      <c r="L1479" s="367">
        <f t="shared" si="21"/>
        <v>0.11</v>
      </c>
    </row>
    <row r="1480" spans="1:12" ht="21" customHeight="1" x14ac:dyDescent="0.25">
      <c r="A1480" s="181" t="s">
        <v>2346</v>
      </c>
      <c r="B1480" s="509" t="s">
        <v>2347</v>
      </c>
      <c r="C1480" s="509"/>
      <c r="D1480" s="481" t="s">
        <v>82</v>
      </c>
      <c r="E1480" s="481"/>
      <c r="F1480" s="481"/>
      <c r="G1480" s="231" t="s">
        <v>1024</v>
      </c>
      <c r="H1480" s="510">
        <v>1</v>
      </c>
      <c r="I1480" s="510"/>
      <c r="J1480" s="511">
        <v>0.66</v>
      </c>
      <c r="K1480" s="511"/>
      <c r="L1480" s="367">
        <f t="shared" si="21"/>
        <v>0.66</v>
      </c>
    </row>
    <row r="1481" spans="1:12" ht="15" customHeight="1" x14ac:dyDescent="0.25">
      <c r="A1481" s="182"/>
      <c r="B1481" s="183"/>
      <c r="C1481" s="183"/>
      <c r="D1481" s="183"/>
      <c r="E1481" s="183"/>
      <c r="F1481" s="183"/>
      <c r="G1481" s="183"/>
      <c r="H1481" s="477" t="s">
        <v>1938</v>
      </c>
      <c r="I1481" s="477"/>
      <c r="J1481" s="477"/>
      <c r="K1481" s="477"/>
      <c r="L1481" s="368">
        <f>SUM(L1475:L1480)</f>
        <v>10.84</v>
      </c>
    </row>
    <row r="1482" spans="1:12" ht="15" customHeight="1" x14ac:dyDescent="0.25">
      <c r="A1482" s="474" t="s">
        <v>1827</v>
      </c>
      <c r="B1482" s="475"/>
      <c r="C1482" s="475"/>
      <c r="D1482" s="476" t="s">
        <v>42</v>
      </c>
      <c r="E1482" s="476"/>
      <c r="F1482" s="476"/>
      <c r="G1482" s="230" t="s">
        <v>44</v>
      </c>
      <c r="H1482" s="476" t="s">
        <v>1813</v>
      </c>
      <c r="I1482" s="476"/>
      <c r="J1482" s="476" t="s">
        <v>1814</v>
      </c>
      <c r="K1482" s="476"/>
      <c r="L1482" s="366" t="s">
        <v>1802</v>
      </c>
    </row>
    <row r="1483" spans="1:12" ht="15" customHeight="1" x14ac:dyDescent="0.25">
      <c r="A1483" s="181" t="s">
        <v>2602</v>
      </c>
      <c r="B1483" s="509" t="s">
        <v>2603</v>
      </c>
      <c r="C1483" s="509"/>
      <c r="D1483" s="481" t="s">
        <v>82</v>
      </c>
      <c r="E1483" s="481"/>
      <c r="F1483" s="481"/>
      <c r="G1483" s="231" t="s">
        <v>1024</v>
      </c>
      <c r="H1483" s="510">
        <v>1</v>
      </c>
      <c r="I1483" s="510"/>
      <c r="J1483" s="511">
        <v>26.13</v>
      </c>
      <c r="K1483" s="511"/>
      <c r="L1483" s="367">
        <f>TRUNC(TRUNC(H1483,8)*J1483,2)</f>
        <v>26.13</v>
      </c>
    </row>
    <row r="1484" spans="1:12" ht="15" customHeight="1" x14ac:dyDescent="0.25">
      <c r="A1484" s="182"/>
      <c r="B1484" s="183"/>
      <c r="C1484" s="183"/>
      <c r="D1484" s="183"/>
      <c r="E1484" s="183"/>
      <c r="F1484" s="183"/>
      <c r="G1484" s="183"/>
      <c r="H1484" s="477" t="s">
        <v>1832</v>
      </c>
      <c r="I1484" s="477"/>
      <c r="J1484" s="477"/>
      <c r="K1484" s="477"/>
      <c r="L1484" s="368">
        <f>SUM(L1483:L1483)</f>
        <v>26.13</v>
      </c>
    </row>
    <row r="1485" spans="1:12" ht="15" customHeight="1" x14ac:dyDescent="0.25">
      <c r="A1485" s="474" t="s">
        <v>1912</v>
      </c>
      <c r="B1485" s="475"/>
      <c r="C1485" s="475"/>
      <c r="D1485" s="476" t="s">
        <v>42</v>
      </c>
      <c r="E1485" s="476"/>
      <c r="F1485" s="476"/>
      <c r="G1485" s="230" t="s">
        <v>44</v>
      </c>
      <c r="H1485" s="476" t="s">
        <v>1813</v>
      </c>
      <c r="I1485" s="476"/>
      <c r="J1485" s="476" t="s">
        <v>1814</v>
      </c>
      <c r="K1485" s="476"/>
      <c r="L1485" s="366" t="s">
        <v>1802</v>
      </c>
    </row>
    <row r="1486" spans="1:12" ht="21" customHeight="1" x14ac:dyDescent="0.25">
      <c r="A1486" s="181" t="s">
        <v>2947</v>
      </c>
      <c r="B1486" s="509" t="s">
        <v>2948</v>
      </c>
      <c r="C1486" s="509"/>
      <c r="D1486" s="481" t="s">
        <v>82</v>
      </c>
      <c r="E1486" s="481"/>
      <c r="F1486" s="481"/>
      <c r="G1486" s="231" t="s">
        <v>1024</v>
      </c>
      <c r="H1486" s="510">
        <v>1</v>
      </c>
      <c r="I1486" s="510"/>
      <c r="J1486" s="511">
        <v>0.13</v>
      </c>
      <c r="K1486" s="511"/>
      <c r="L1486" s="367">
        <f>TRUNC(TRUNC(H1486,8)*J1486,2)</f>
        <v>0.13</v>
      </c>
    </row>
    <row r="1487" spans="1:12" ht="15" customHeight="1" x14ac:dyDescent="0.25">
      <c r="A1487" s="182"/>
      <c r="B1487" s="183"/>
      <c r="C1487" s="183"/>
      <c r="D1487" s="183"/>
      <c r="E1487" s="183"/>
      <c r="F1487" s="183"/>
      <c r="G1487" s="183"/>
      <c r="H1487" s="477" t="s">
        <v>1915</v>
      </c>
      <c r="I1487" s="477"/>
      <c r="J1487" s="477"/>
      <c r="K1487" s="477"/>
      <c r="L1487" s="368">
        <f>SUM(L1486:L1486)</f>
        <v>0.13</v>
      </c>
    </row>
    <row r="1488" spans="1:12" ht="15" customHeight="1" x14ac:dyDescent="0.25">
      <c r="A1488" s="182"/>
      <c r="B1488" s="183"/>
      <c r="C1488" s="183"/>
      <c r="D1488" s="183"/>
      <c r="E1488" s="183"/>
      <c r="F1488" s="183"/>
      <c r="G1488" s="183"/>
      <c r="H1488" s="482" t="s">
        <v>1834</v>
      </c>
      <c r="I1488" s="482"/>
      <c r="J1488" s="482"/>
      <c r="K1488" s="482"/>
      <c r="L1488" s="369">
        <f>ROUND(SUM(L1481,L1484,L1487),2)</f>
        <v>37.1</v>
      </c>
    </row>
    <row r="1489" spans="1:12" ht="9.9499999999999993" customHeight="1" x14ac:dyDescent="0.25">
      <c r="A1489" s="182"/>
      <c r="B1489" s="183"/>
      <c r="C1489" s="183"/>
      <c r="D1489" s="183"/>
      <c r="E1489" s="183"/>
      <c r="F1489" s="183"/>
      <c r="G1489" s="183"/>
      <c r="H1489" s="485"/>
      <c r="I1489" s="485"/>
      <c r="J1489" s="485"/>
      <c r="K1489" s="485"/>
      <c r="L1489" s="512"/>
    </row>
    <row r="1490" spans="1:12" ht="20.100000000000001" customHeight="1" x14ac:dyDescent="0.25">
      <c r="A1490" s="486" t="s">
        <v>2949</v>
      </c>
      <c r="B1490" s="487"/>
      <c r="C1490" s="487"/>
      <c r="D1490" s="487"/>
      <c r="E1490" s="487"/>
      <c r="F1490" s="487"/>
      <c r="G1490" s="487"/>
      <c r="H1490" s="487"/>
      <c r="I1490" s="487"/>
      <c r="J1490" s="487"/>
      <c r="K1490" s="487"/>
      <c r="L1490" s="513"/>
    </row>
    <row r="1491" spans="1:12" ht="15" customHeight="1" x14ac:dyDescent="0.25">
      <c r="A1491" s="474" t="s">
        <v>1932</v>
      </c>
      <c r="B1491" s="475"/>
      <c r="C1491" s="475"/>
      <c r="D1491" s="476" t="s">
        <v>42</v>
      </c>
      <c r="E1491" s="476"/>
      <c r="F1491" s="476"/>
      <c r="G1491" s="230" t="s">
        <v>44</v>
      </c>
      <c r="H1491" s="476" t="s">
        <v>1813</v>
      </c>
      <c r="I1491" s="476"/>
      <c r="J1491" s="476" t="s">
        <v>1814</v>
      </c>
      <c r="K1491" s="476"/>
      <c r="L1491" s="366" t="s">
        <v>1802</v>
      </c>
    </row>
    <row r="1492" spans="1:12" ht="21" customHeight="1" x14ac:dyDescent="0.25">
      <c r="A1492" s="181" t="s">
        <v>2336</v>
      </c>
      <c r="B1492" s="509" t="s">
        <v>2337</v>
      </c>
      <c r="C1492" s="509"/>
      <c r="D1492" s="481" t="s">
        <v>82</v>
      </c>
      <c r="E1492" s="481"/>
      <c r="F1492" s="481"/>
      <c r="G1492" s="231" t="s">
        <v>1024</v>
      </c>
      <c r="H1492" s="510">
        <v>1</v>
      </c>
      <c r="I1492" s="510"/>
      <c r="J1492" s="511">
        <v>7.63</v>
      </c>
      <c r="K1492" s="511"/>
      <c r="L1492" s="367">
        <f t="shared" ref="L1492:L1497" si="22">TRUNC(TRUNC(H1492,8)*J1492,2)</f>
        <v>7.63</v>
      </c>
    </row>
    <row r="1493" spans="1:12" ht="21" customHeight="1" x14ac:dyDescent="0.25">
      <c r="A1493" s="181" t="s">
        <v>2930</v>
      </c>
      <c r="B1493" s="509" t="s">
        <v>2931</v>
      </c>
      <c r="C1493" s="509"/>
      <c r="D1493" s="481" t="s">
        <v>82</v>
      </c>
      <c r="E1493" s="481"/>
      <c r="F1493" s="481"/>
      <c r="G1493" s="231" t="s">
        <v>1024</v>
      </c>
      <c r="H1493" s="510">
        <v>1</v>
      </c>
      <c r="I1493" s="510"/>
      <c r="J1493" s="511">
        <v>0.8</v>
      </c>
      <c r="K1493" s="511"/>
      <c r="L1493" s="367">
        <f t="shared" si="22"/>
        <v>0.8</v>
      </c>
    </row>
    <row r="1494" spans="1:12" ht="21" customHeight="1" x14ac:dyDescent="0.25">
      <c r="A1494" s="181" t="s">
        <v>2340</v>
      </c>
      <c r="B1494" s="509" t="s">
        <v>2341</v>
      </c>
      <c r="C1494" s="509"/>
      <c r="D1494" s="481" t="s">
        <v>82</v>
      </c>
      <c r="E1494" s="481"/>
      <c r="F1494" s="481"/>
      <c r="G1494" s="231" t="s">
        <v>1024</v>
      </c>
      <c r="H1494" s="510">
        <v>1</v>
      </c>
      <c r="I1494" s="510"/>
      <c r="J1494" s="511">
        <v>1.62</v>
      </c>
      <c r="K1494" s="511"/>
      <c r="L1494" s="367">
        <f t="shared" si="22"/>
        <v>1.62</v>
      </c>
    </row>
    <row r="1495" spans="1:12" ht="29.1" customHeight="1" x14ac:dyDescent="0.25">
      <c r="A1495" s="181" t="s">
        <v>2932</v>
      </c>
      <c r="B1495" s="509" t="s">
        <v>2933</v>
      </c>
      <c r="C1495" s="509"/>
      <c r="D1495" s="481" t="s">
        <v>82</v>
      </c>
      <c r="E1495" s="481"/>
      <c r="F1495" s="481"/>
      <c r="G1495" s="231" t="s">
        <v>1024</v>
      </c>
      <c r="H1495" s="510">
        <v>1</v>
      </c>
      <c r="I1495" s="510"/>
      <c r="J1495" s="511">
        <v>0.02</v>
      </c>
      <c r="K1495" s="511"/>
      <c r="L1495" s="367">
        <f t="shared" si="22"/>
        <v>0.02</v>
      </c>
    </row>
    <row r="1496" spans="1:12" ht="21" customHeight="1" x14ac:dyDescent="0.25">
      <c r="A1496" s="181" t="s">
        <v>2344</v>
      </c>
      <c r="B1496" s="509" t="s">
        <v>2345</v>
      </c>
      <c r="C1496" s="509"/>
      <c r="D1496" s="481" t="s">
        <v>82</v>
      </c>
      <c r="E1496" s="481"/>
      <c r="F1496" s="481"/>
      <c r="G1496" s="231" t="s">
        <v>1024</v>
      </c>
      <c r="H1496" s="510">
        <v>1</v>
      </c>
      <c r="I1496" s="510"/>
      <c r="J1496" s="511">
        <v>0.11</v>
      </c>
      <c r="K1496" s="511"/>
      <c r="L1496" s="367">
        <f t="shared" si="22"/>
        <v>0.11</v>
      </c>
    </row>
    <row r="1497" spans="1:12" ht="21" customHeight="1" x14ac:dyDescent="0.25">
      <c r="A1497" s="181" t="s">
        <v>2346</v>
      </c>
      <c r="B1497" s="509" t="s">
        <v>2347</v>
      </c>
      <c r="C1497" s="509"/>
      <c r="D1497" s="481" t="s">
        <v>82</v>
      </c>
      <c r="E1497" s="481"/>
      <c r="F1497" s="481"/>
      <c r="G1497" s="231" t="s">
        <v>1024</v>
      </c>
      <c r="H1497" s="510">
        <v>1</v>
      </c>
      <c r="I1497" s="510"/>
      <c r="J1497" s="511">
        <v>0.66</v>
      </c>
      <c r="K1497" s="511"/>
      <c r="L1497" s="367">
        <f t="shared" si="22"/>
        <v>0.66</v>
      </c>
    </row>
    <row r="1498" spans="1:12" ht="15" customHeight="1" x14ac:dyDescent="0.25">
      <c r="A1498" s="182"/>
      <c r="B1498" s="183"/>
      <c r="C1498" s="183"/>
      <c r="D1498" s="183"/>
      <c r="E1498" s="183"/>
      <c r="F1498" s="183"/>
      <c r="G1498" s="183"/>
      <c r="H1498" s="477" t="s">
        <v>1938</v>
      </c>
      <c r="I1498" s="477"/>
      <c r="J1498" s="477"/>
      <c r="K1498" s="477"/>
      <c r="L1498" s="368">
        <f>SUM(L1492:L1497)</f>
        <v>10.84</v>
      </c>
    </row>
    <row r="1499" spans="1:12" ht="15" customHeight="1" x14ac:dyDescent="0.25">
      <c r="A1499" s="474" t="s">
        <v>1827</v>
      </c>
      <c r="B1499" s="475"/>
      <c r="C1499" s="475"/>
      <c r="D1499" s="476" t="s">
        <v>42</v>
      </c>
      <c r="E1499" s="476"/>
      <c r="F1499" s="476"/>
      <c r="G1499" s="230" t="s">
        <v>44</v>
      </c>
      <c r="H1499" s="476" t="s">
        <v>1813</v>
      </c>
      <c r="I1499" s="476"/>
      <c r="J1499" s="476" t="s">
        <v>1814</v>
      </c>
      <c r="K1499" s="476"/>
      <c r="L1499" s="366" t="s">
        <v>1802</v>
      </c>
    </row>
    <row r="1500" spans="1:12" ht="21" customHeight="1" x14ac:dyDescent="0.25">
      <c r="A1500" s="181" t="s">
        <v>2605</v>
      </c>
      <c r="B1500" s="509" t="s">
        <v>2606</v>
      </c>
      <c r="C1500" s="509"/>
      <c r="D1500" s="481" t="s">
        <v>82</v>
      </c>
      <c r="E1500" s="481"/>
      <c r="F1500" s="481"/>
      <c r="G1500" s="231" t="s">
        <v>1024</v>
      </c>
      <c r="H1500" s="510">
        <v>1</v>
      </c>
      <c r="I1500" s="510"/>
      <c r="J1500" s="511">
        <v>27.26</v>
      </c>
      <c r="K1500" s="511"/>
      <c r="L1500" s="367">
        <f>TRUNC(TRUNC(H1500,8)*J1500,2)</f>
        <v>27.26</v>
      </c>
    </row>
    <row r="1501" spans="1:12" ht="15" customHeight="1" x14ac:dyDescent="0.25">
      <c r="A1501" s="182"/>
      <c r="B1501" s="183"/>
      <c r="C1501" s="183"/>
      <c r="D1501" s="183"/>
      <c r="E1501" s="183"/>
      <c r="F1501" s="183"/>
      <c r="G1501" s="183"/>
      <c r="H1501" s="477" t="s">
        <v>1832</v>
      </c>
      <c r="I1501" s="477"/>
      <c r="J1501" s="477"/>
      <c r="K1501" s="477"/>
      <c r="L1501" s="368">
        <f>SUM(L1500:L1500)</f>
        <v>27.26</v>
      </c>
    </row>
    <row r="1502" spans="1:12" ht="15" customHeight="1" x14ac:dyDescent="0.25">
      <c r="A1502" s="474" t="s">
        <v>1912</v>
      </c>
      <c r="B1502" s="475"/>
      <c r="C1502" s="475"/>
      <c r="D1502" s="476" t="s">
        <v>42</v>
      </c>
      <c r="E1502" s="476"/>
      <c r="F1502" s="476"/>
      <c r="G1502" s="230" t="s">
        <v>44</v>
      </c>
      <c r="H1502" s="476" t="s">
        <v>1813</v>
      </c>
      <c r="I1502" s="476"/>
      <c r="J1502" s="476" t="s">
        <v>1814</v>
      </c>
      <c r="K1502" s="476"/>
      <c r="L1502" s="366" t="s">
        <v>1802</v>
      </c>
    </row>
    <row r="1503" spans="1:12" ht="21" customHeight="1" x14ac:dyDescent="0.25">
      <c r="A1503" s="181" t="s">
        <v>2950</v>
      </c>
      <c r="B1503" s="509" t="s">
        <v>2951</v>
      </c>
      <c r="C1503" s="509"/>
      <c r="D1503" s="481" t="s">
        <v>82</v>
      </c>
      <c r="E1503" s="481"/>
      <c r="F1503" s="481"/>
      <c r="G1503" s="231" t="s">
        <v>1024</v>
      </c>
      <c r="H1503" s="510">
        <v>1</v>
      </c>
      <c r="I1503" s="510"/>
      <c r="J1503" s="511">
        <v>0.44</v>
      </c>
      <c r="K1503" s="511"/>
      <c r="L1503" s="367">
        <f>TRUNC(TRUNC(H1503,8)*J1503,2)</f>
        <v>0.44</v>
      </c>
    </row>
    <row r="1504" spans="1:12" ht="15" customHeight="1" x14ac:dyDescent="0.25">
      <c r="A1504" s="182"/>
      <c r="B1504" s="183"/>
      <c r="C1504" s="183"/>
      <c r="D1504" s="183"/>
      <c r="E1504" s="183"/>
      <c r="F1504" s="183"/>
      <c r="G1504" s="183"/>
      <c r="H1504" s="477" t="s">
        <v>1915</v>
      </c>
      <c r="I1504" s="477"/>
      <c r="J1504" s="477"/>
      <c r="K1504" s="477"/>
      <c r="L1504" s="368">
        <f>SUM(L1503:L1503)</f>
        <v>0.44</v>
      </c>
    </row>
    <row r="1505" spans="1:12" ht="15" customHeight="1" x14ac:dyDescent="0.25">
      <c r="A1505" s="182"/>
      <c r="B1505" s="183"/>
      <c r="C1505" s="183"/>
      <c r="D1505" s="183"/>
      <c r="E1505" s="183"/>
      <c r="F1505" s="183"/>
      <c r="G1505" s="183"/>
      <c r="H1505" s="482" t="s">
        <v>1834</v>
      </c>
      <c r="I1505" s="482"/>
      <c r="J1505" s="482"/>
      <c r="K1505" s="482"/>
      <c r="L1505" s="369">
        <f>ROUND(SUM(L1498,L1501,L1504),2)</f>
        <v>38.54</v>
      </c>
    </row>
    <row r="1506" spans="1:12" ht="9.9499999999999993" customHeight="1" x14ac:dyDescent="0.25">
      <c r="A1506" s="182"/>
      <c r="B1506" s="183"/>
      <c r="C1506" s="183"/>
      <c r="D1506" s="183"/>
      <c r="E1506" s="183"/>
      <c r="F1506" s="183"/>
      <c r="G1506" s="183"/>
      <c r="H1506" s="485"/>
      <c r="I1506" s="485"/>
      <c r="J1506" s="485"/>
      <c r="K1506" s="485"/>
      <c r="L1506" s="512"/>
    </row>
    <row r="1507" spans="1:12" ht="20.100000000000001" customHeight="1" x14ac:dyDescent="0.25">
      <c r="A1507" s="486" t="s">
        <v>2952</v>
      </c>
      <c r="B1507" s="487"/>
      <c r="C1507" s="487"/>
      <c r="D1507" s="487"/>
      <c r="E1507" s="487"/>
      <c r="F1507" s="487"/>
      <c r="G1507" s="487"/>
      <c r="H1507" s="487"/>
      <c r="I1507" s="487"/>
      <c r="J1507" s="487"/>
      <c r="K1507" s="487"/>
      <c r="L1507" s="513"/>
    </row>
    <row r="1508" spans="1:12" ht="15" customHeight="1" x14ac:dyDescent="0.25">
      <c r="A1508" s="474" t="s">
        <v>1932</v>
      </c>
      <c r="B1508" s="475"/>
      <c r="C1508" s="475"/>
      <c r="D1508" s="476" t="s">
        <v>42</v>
      </c>
      <c r="E1508" s="476"/>
      <c r="F1508" s="476"/>
      <c r="G1508" s="230" t="s">
        <v>44</v>
      </c>
      <c r="H1508" s="476" t="s">
        <v>1813</v>
      </c>
      <c r="I1508" s="476"/>
      <c r="J1508" s="476" t="s">
        <v>1814</v>
      </c>
      <c r="K1508" s="476"/>
      <c r="L1508" s="366" t="s">
        <v>1802</v>
      </c>
    </row>
    <row r="1509" spans="1:12" ht="21" customHeight="1" x14ac:dyDescent="0.25">
      <c r="A1509" s="181" t="s">
        <v>2336</v>
      </c>
      <c r="B1509" s="509" t="s">
        <v>2337</v>
      </c>
      <c r="C1509" s="509"/>
      <c r="D1509" s="481" t="s">
        <v>82</v>
      </c>
      <c r="E1509" s="481"/>
      <c r="F1509" s="481"/>
      <c r="G1509" s="231" t="s">
        <v>1024</v>
      </c>
      <c r="H1509" s="510">
        <v>1</v>
      </c>
      <c r="I1509" s="510"/>
      <c r="J1509" s="511">
        <v>7.63</v>
      </c>
      <c r="K1509" s="511"/>
      <c r="L1509" s="367">
        <f t="shared" ref="L1509:L1514" si="23">TRUNC(TRUNC(H1509,8)*J1509,2)</f>
        <v>7.63</v>
      </c>
    </row>
    <row r="1510" spans="1:12" ht="21" customHeight="1" x14ac:dyDescent="0.25">
      <c r="A1510" s="181" t="s">
        <v>2930</v>
      </c>
      <c r="B1510" s="509" t="s">
        <v>2931</v>
      </c>
      <c r="C1510" s="509"/>
      <c r="D1510" s="481" t="s">
        <v>82</v>
      </c>
      <c r="E1510" s="481"/>
      <c r="F1510" s="481"/>
      <c r="G1510" s="231" t="s">
        <v>1024</v>
      </c>
      <c r="H1510" s="510">
        <v>1</v>
      </c>
      <c r="I1510" s="510"/>
      <c r="J1510" s="511">
        <v>0.8</v>
      </c>
      <c r="K1510" s="511"/>
      <c r="L1510" s="367">
        <f t="shared" si="23"/>
        <v>0.8</v>
      </c>
    </row>
    <row r="1511" spans="1:12" ht="21" customHeight="1" x14ac:dyDescent="0.25">
      <c r="A1511" s="181" t="s">
        <v>2340</v>
      </c>
      <c r="B1511" s="509" t="s">
        <v>2341</v>
      </c>
      <c r="C1511" s="509"/>
      <c r="D1511" s="481" t="s">
        <v>82</v>
      </c>
      <c r="E1511" s="481"/>
      <c r="F1511" s="481"/>
      <c r="G1511" s="231" t="s">
        <v>1024</v>
      </c>
      <c r="H1511" s="510">
        <v>1</v>
      </c>
      <c r="I1511" s="510"/>
      <c r="J1511" s="511">
        <v>1.62</v>
      </c>
      <c r="K1511" s="511"/>
      <c r="L1511" s="367">
        <f t="shared" si="23"/>
        <v>1.62</v>
      </c>
    </row>
    <row r="1512" spans="1:12" ht="29.1" customHeight="1" x14ac:dyDescent="0.25">
      <c r="A1512" s="181" t="s">
        <v>2932</v>
      </c>
      <c r="B1512" s="509" t="s">
        <v>2933</v>
      </c>
      <c r="C1512" s="509"/>
      <c r="D1512" s="481" t="s">
        <v>82</v>
      </c>
      <c r="E1512" s="481"/>
      <c r="F1512" s="481"/>
      <c r="G1512" s="231" t="s">
        <v>1024</v>
      </c>
      <c r="H1512" s="510">
        <v>1</v>
      </c>
      <c r="I1512" s="510"/>
      <c r="J1512" s="511">
        <v>0.02</v>
      </c>
      <c r="K1512" s="511"/>
      <c r="L1512" s="367">
        <f t="shared" si="23"/>
        <v>0.02</v>
      </c>
    </row>
    <row r="1513" spans="1:12" ht="21" customHeight="1" x14ac:dyDescent="0.25">
      <c r="A1513" s="181" t="s">
        <v>2344</v>
      </c>
      <c r="B1513" s="509" t="s">
        <v>2345</v>
      </c>
      <c r="C1513" s="509"/>
      <c r="D1513" s="481" t="s">
        <v>82</v>
      </c>
      <c r="E1513" s="481"/>
      <c r="F1513" s="481"/>
      <c r="G1513" s="231" t="s">
        <v>1024</v>
      </c>
      <c r="H1513" s="510">
        <v>1</v>
      </c>
      <c r="I1513" s="510"/>
      <c r="J1513" s="511">
        <v>0.11</v>
      </c>
      <c r="K1513" s="511"/>
      <c r="L1513" s="367">
        <f t="shared" si="23"/>
        <v>0.11</v>
      </c>
    </row>
    <row r="1514" spans="1:12" ht="21" customHeight="1" x14ac:dyDescent="0.25">
      <c r="A1514" s="181" t="s">
        <v>2346</v>
      </c>
      <c r="B1514" s="509" t="s">
        <v>2347</v>
      </c>
      <c r="C1514" s="509"/>
      <c r="D1514" s="481" t="s">
        <v>82</v>
      </c>
      <c r="E1514" s="481"/>
      <c r="F1514" s="481"/>
      <c r="G1514" s="231" t="s">
        <v>1024</v>
      </c>
      <c r="H1514" s="510">
        <v>1</v>
      </c>
      <c r="I1514" s="510"/>
      <c r="J1514" s="511">
        <v>0.66</v>
      </c>
      <c r="K1514" s="511"/>
      <c r="L1514" s="367">
        <f t="shared" si="23"/>
        <v>0.66</v>
      </c>
    </row>
    <row r="1515" spans="1:12" ht="15" customHeight="1" x14ac:dyDescent="0.25">
      <c r="A1515" s="182"/>
      <c r="B1515" s="183"/>
      <c r="C1515" s="183"/>
      <c r="D1515" s="183"/>
      <c r="E1515" s="183"/>
      <c r="F1515" s="183"/>
      <c r="G1515" s="183"/>
      <c r="H1515" s="477" t="s">
        <v>1938</v>
      </c>
      <c r="I1515" s="477"/>
      <c r="J1515" s="477"/>
      <c r="K1515" s="477"/>
      <c r="L1515" s="368">
        <f>SUM(L1509:L1514)</f>
        <v>10.84</v>
      </c>
    </row>
    <row r="1516" spans="1:12" ht="15" customHeight="1" x14ac:dyDescent="0.25">
      <c r="A1516" s="474" t="s">
        <v>1827</v>
      </c>
      <c r="B1516" s="475"/>
      <c r="C1516" s="475"/>
      <c r="D1516" s="476" t="s">
        <v>42</v>
      </c>
      <c r="E1516" s="476"/>
      <c r="F1516" s="476"/>
      <c r="G1516" s="230" t="s">
        <v>44</v>
      </c>
      <c r="H1516" s="476" t="s">
        <v>1813</v>
      </c>
      <c r="I1516" s="476"/>
      <c r="J1516" s="476" t="s">
        <v>1814</v>
      </c>
      <c r="K1516" s="476"/>
      <c r="L1516" s="366" t="s">
        <v>1802</v>
      </c>
    </row>
    <row r="1517" spans="1:12" ht="21" customHeight="1" x14ac:dyDescent="0.25">
      <c r="A1517" s="181" t="s">
        <v>2608</v>
      </c>
      <c r="B1517" s="509" t="s">
        <v>2609</v>
      </c>
      <c r="C1517" s="509"/>
      <c r="D1517" s="481" t="s">
        <v>82</v>
      </c>
      <c r="E1517" s="481"/>
      <c r="F1517" s="481"/>
      <c r="G1517" s="231" t="s">
        <v>1024</v>
      </c>
      <c r="H1517" s="510">
        <v>1</v>
      </c>
      <c r="I1517" s="510"/>
      <c r="J1517" s="511">
        <v>24.42</v>
      </c>
      <c r="K1517" s="511"/>
      <c r="L1517" s="367">
        <f>TRUNC(TRUNC(H1517,8)*J1517,2)</f>
        <v>24.42</v>
      </c>
    </row>
    <row r="1518" spans="1:12" ht="15" customHeight="1" x14ac:dyDescent="0.25">
      <c r="A1518" s="182"/>
      <c r="B1518" s="183"/>
      <c r="C1518" s="183"/>
      <c r="D1518" s="183"/>
      <c r="E1518" s="183"/>
      <c r="F1518" s="183"/>
      <c r="G1518" s="183"/>
      <c r="H1518" s="477" t="s">
        <v>1832</v>
      </c>
      <c r="I1518" s="477"/>
      <c r="J1518" s="477"/>
      <c r="K1518" s="477"/>
      <c r="L1518" s="368">
        <f>SUM(L1517:L1517)</f>
        <v>24.42</v>
      </c>
    </row>
    <row r="1519" spans="1:12" ht="15" customHeight="1" x14ac:dyDescent="0.25">
      <c r="A1519" s="474" t="s">
        <v>1912</v>
      </c>
      <c r="B1519" s="475"/>
      <c r="C1519" s="475"/>
      <c r="D1519" s="476" t="s">
        <v>42</v>
      </c>
      <c r="E1519" s="476"/>
      <c r="F1519" s="476"/>
      <c r="G1519" s="230" t="s">
        <v>44</v>
      </c>
      <c r="H1519" s="476" t="s">
        <v>1813</v>
      </c>
      <c r="I1519" s="476"/>
      <c r="J1519" s="476" t="s">
        <v>1814</v>
      </c>
      <c r="K1519" s="476"/>
      <c r="L1519" s="366" t="s">
        <v>1802</v>
      </c>
    </row>
    <row r="1520" spans="1:12" ht="29.1" customHeight="1" x14ac:dyDescent="0.25">
      <c r="A1520" s="181" t="s">
        <v>2953</v>
      </c>
      <c r="B1520" s="509" t="s">
        <v>2954</v>
      </c>
      <c r="C1520" s="509"/>
      <c r="D1520" s="481" t="s">
        <v>82</v>
      </c>
      <c r="E1520" s="481"/>
      <c r="F1520" s="481"/>
      <c r="G1520" s="231" t="s">
        <v>1024</v>
      </c>
      <c r="H1520" s="510">
        <v>1</v>
      </c>
      <c r="I1520" s="510"/>
      <c r="J1520" s="511">
        <v>0.2</v>
      </c>
      <c r="K1520" s="511"/>
      <c r="L1520" s="367">
        <f>TRUNC(TRUNC(H1520,8)*J1520,2)</f>
        <v>0.2</v>
      </c>
    </row>
    <row r="1521" spans="1:12" ht="15" customHeight="1" x14ac:dyDescent="0.25">
      <c r="A1521" s="182"/>
      <c r="B1521" s="183"/>
      <c r="C1521" s="183"/>
      <c r="D1521" s="183"/>
      <c r="E1521" s="183"/>
      <c r="F1521" s="183"/>
      <c r="G1521" s="183"/>
      <c r="H1521" s="477" t="s">
        <v>1915</v>
      </c>
      <c r="I1521" s="477"/>
      <c r="J1521" s="477"/>
      <c r="K1521" s="477"/>
      <c r="L1521" s="368">
        <f>SUM(L1520:L1520)</f>
        <v>0.2</v>
      </c>
    </row>
    <row r="1522" spans="1:12" ht="15" customHeight="1" x14ac:dyDescent="0.25">
      <c r="A1522" s="182"/>
      <c r="B1522" s="183"/>
      <c r="C1522" s="183"/>
      <c r="D1522" s="183"/>
      <c r="E1522" s="183"/>
      <c r="F1522" s="183"/>
      <c r="G1522" s="183"/>
      <c r="H1522" s="482" t="s">
        <v>1834</v>
      </c>
      <c r="I1522" s="482"/>
      <c r="J1522" s="482"/>
      <c r="K1522" s="482"/>
      <c r="L1522" s="369">
        <f>ROUND(SUM(L1515,L1518,L1521),2)</f>
        <v>35.46</v>
      </c>
    </row>
    <row r="1523" spans="1:12" ht="9.9499999999999993" customHeight="1" x14ac:dyDescent="0.25">
      <c r="A1523" s="182"/>
      <c r="B1523" s="183"/>
      <c r="C1523" s="183"/>
      <c r="D1523" s="183"/>
      <c r="E1523" s="183"/>
      <c r="F1523" s="183"/>
      <c r="G1523" s="183"/>
      <c r="H1523" s="485"/>
      <c r="I1523" s="485"/>
      <c r="J1523" s="485"/>
      <c r="K1523" s="485"/>
      <c r="L1523" s="512"/>
    </row>
    <row r="1524" spans="1:12" ht="20.100000000000001" customHeight="1" x14ac:dyDescent="0.25">
      <c r="A1524" s="486" t="s">
        <v>2955</v>
      </c>
      <c r="B1524" s="487"/>
      <c r="C1524" s="487"/>
      <c r="D1524" s="487"/>
      <c r="E1524" s="487"/>
      <c r="F1524" s="487"/>
      <c r="G1524" s="487"/>
      <c r="H1524" s="487"/>
      <c r="I1524" s="487"/>
      <c r="J1524" s="487"/>
      <c r="K1524" s="487"/>
      <c r="L1524" s="513"/>
    </row>
    <row r="1525" spans="1:12" ht="15" customHeight="1" x14ac:dyDescent="0.25">
      <c r="A1525" s="474" t="s">
        <v>1932</v>
      </c>
      <c r="B1525" s="475"/>
      <c r="C1525" s="475"/>
      <c r="D1525" s="476" t="s">
        <v>42</v>
      </c>
      <c r="E1525" s="476"/>
      <c r="F1525" s="476"/>
      <c r="G1525" s="230" t="s">
        <v>44</v>
      </c>
      <c r="H1525" s="476" t="s">
        <v>1813</v>
      </c>
      <c r="I1525" s="476"/>
      <c r="J1525" s="476" t="s">
        <v>1814</v>
      </c>
      <c r="K1525" s="476"/>
      <c r="L1525" s="366" t="s">
        <v>1802</v>
      </c>
    </row>
    <row r="1526" spans="1:12" ht="21" customHeight="1" x14ac:dyDescent="0.25">
      <c r="A1526" s="181" t="s">
        <v>2336</v>
      </c>
      <c r="B1526" s="509" t="s">
        <v>2337</v>
      </c>
      <c r="C1526" s="509"/>
      <c r="D1526" s="481" t="s">
        <v>82</v>
      </c>
      <c r="E1526" s="481"/>
      <c r="F1526" s="481"/>
      <c r="G1526" s="231" t="s">
        <v>1024</v>
      </c>
      <c r="H1526" s="510">
        <v>1</v>
      </c>
      <c r="I1526" s="510"/>
      <c r="J1526" s="511">
        <v>7.63</v>
      </c>
      <c r="K1526" s="511"/>
      <c r="L1526" s="367">
        <f t="shared" ref="L1526:L1531" si="24">TRUNC(TRUNC(H1526,8)*J1526,2)</f>
        <v>7.63</v>
      </c>
    </row>
    <row r="1527" spans="1:12" ht="21" customHeight="1" x14ac:dyDescent="0.25">
      <c r="A1527" s="181" t="s">
        <v>2930</v>
      </c>
      <c r="B1527" s="509" t="s">
        <v>2931</v>
      </c>
      <c r="C1527" s="509"/>
      <c r="D1527" s="481" t="s">
        <v>82</v>
      </c>
      <c r="E1527" s="481"/>
      <c r="F1527" s="481"/>
      <c r="G1527" s="231" t="s">
        <v>1024</v>
      </c>
      <c r="H1527" s="510">
        <v>1</v>
      </c>
      <c r="I1527" s="510"/>
      <c r="J1527" s="511">
        <v>0.8</v>
      </c>
      <c r="K1527" s="511"/>
      <c r="L1527" s="367">
        <f t="shared" si="24"/>
        <v>0.8</v>
      </c>
    </row>
    <row r="1528" spans="1:12" ht="21" customHeight="1" x14ac:dyDescent="0.25">
      <c r="A1528" s="181" t="s">
        <v>2340</v>
      </c>
      <c r="B1528" s="509" t="s">
        <v>2341</v>
      </c>
      <c r="C1528" s="509"/>
      <c r="D1528" s="481" t="s">
        <v>82</v>
      </c>
      <c r="E1528" s="481"/>
      <c r="F1528" s="481"/>
      <c r="G1528" s="231" t="s">
        <v>1024</v>
      </c>
      <c r="H1528" s="510">
        <v>1</v>
      </c>
      <c r="I1528" s="510"/>
      <c r="J1528" s="511">
        <v>1.62</v>
      </c>
      <c r="K1528" s="511"/>
      <c r="L1528" s="367">
        <f t="shared" si="24"/>
        <v>1.62</v>
      </c>
    </row>
    <row r="1529" spans="1:12" ht="29.1" customHeight="1" x14ac:dyDescent="0.25">
      <c r="A1529" s="181" t="s">
        <v>2932</v>
      </c>
      <c r="B1529" s="509" t="s">
        <v>2933</v>
      </c>
      <c r="C1529" s="509"/>
      <c r="D1529" s="481" t="s">
        <v>82</v>
      </c>
      <c r="E1529" s="481"/>
      <c r="F1529" s="481"/>
      <c r="G1529" s="231" t="s">
        <v>1024</v>
      </c>
      <c r="H1529" s="510">
        <v>1</v>
      </c>
      <c r="I1529" s="510"/>
      <c r="J1529" s="511">
        <v>0.02</v>
      </c>
      <c r="K1529" s="511"/>
      <c r="L1529" s="367">
        <f t="shared" si="24"/>
        <v>0.02</v>
      </c>
    </row>
    <row r="1530" spans="1:12" ht="21" customHeight="1" x14ac:dyDescent="0.25">
      <c r="A1530" s="181" t="s">
        <v>2344</v>
      </c>
      <c r="B1530" s="509" t="s">
        <v>2345</v>
      </c>
      <c r="C1530" s="509"/>
      <c r="D1530" s="481" t="s">
        <v>82</v>
      </c>
      <c r="E1530" s="481"/>
      <c r="F1530" s="481"/>
      <c r="G1530" s="231" t="s">
        <v>1024</v>
      </c>
      <c r="H1530" s="510">
        <v>1</v>
      </c>
      <c r="I1530" s="510"/>
      <c r="J1530" s="511">
        <v>0.11</v>
      </c>
      <c r="K1530" s="511"/>
      <c r="L1530" s="367">
        <f t="shared" si="24"/>
        <v>0.11</v>
      </c>
    </row>
    <row r="1531" spans="1:12" ht="21" customHeight="1" x14ac:dyDescent="0.25">
      <c r="A1531" s="181" t="s">
        <v>2346</v>
      </c>
      <c r="B1531" s="509" t="s">
        <v>2347</v>
      </c>
      <c r="C1531" s="509"/>
      <c r="D1531" s="481" t="s">
        <v>82</v>
      </c>
      <c r="E1531" s="481"/>
      <c r="F1531" s="481"/>
      <c r="G1531" s="231" t="s">
        <v>1024</v>
      </c>
      <c r="H1531" s="510">
        <v>1</v>
      </c>
      <c r="I1531" s="510"/>
      <c r="J1531" s="511">
        <v>0.66</v>
      </c>
      <c r="K1531" s="511"/>
      <c r="L1531" s="367">
        <f t="shared" si="24"/>
        <v>0.66</v>
      </c>
    </row>
    <row r="1532" spans="1:12" ht="15" customHeight="1" x14ac:dyDescent="0.25">
      <c r="A1532" s="182"/>
      <c r="B1532" s="183"/>
      <c r="C1532" s="183"/>
      <c r="D1532" s="183"/>
      <c r="E1532" s="183"/>
      <c r="F1532" s="183"/>
      <c r="G1532" s="183"/>
      <c r="H1532" s="477" t="s">
        <v>1938</v>
      </c>
      <c r="I1532" s="477"/>
      <c r="J1532" s="477"/>
      <c r="K1532" s="477"/>
      <c r="L1532" s="368">
        <f>SUM(L1526:L1531)</f>
        <v>10.84</v>
      </c>
    </row>
    <row r="1533" spans="1:12" ht="15" customHeight="1" x14ac:dyDescent="0.25">
      <c r="A1533" s="474" t="s">
        <v>1827</v>
      </c>
      <c r="B1533" s="475"/>
      <c r="C1533" s="475"/>
      <c r="D1533" s="476" t="s">
        <v>42</v>
      </c>
      <c r="E1533" s="476"/>
      <c r="F1533" s="476"/>
      <c r="G1533" s="230" t="s">
        <v>44</v>
      </c>
      <c r="H1533" s="476" t="s">
        <v>1813</v>
      </c>
      <c r="I1533" s="476"/>
      <c r="J1533" s="476" t="s">
        <v>1814</v>
      </c>
      <c r="K1533" s="476"/>
      <c r="L1533" s="366" t="s">
        <v>1802</v>
      </c>
    </row>
    <row r="1534" spans="1:12" ht="15" customHeight="1" x14ac:dyDescent="0.25">
      <c r="A1534" s="181" t="s">
        <v>2611</v>
      </c>
      <c r="B1534" s="509" t="s">
        <v>2612</v>
      </c>
      <c r="C1534" s="509"/>
      <c r="D1534" s="481" t="s">
        <v>82</v>
      </c>
      <c r="E1534" s="481"/>
      <c r="F1534" s="481"/>
      <c r="G1534" s="231" t="s">
        <v>1024</v>
      </c>
      <c r="H1534" s="510">
        <v>1</v>
      </c>
      <c r="I1534" s="510"/>
      <c r="J1534" s="511">
        <v>31.32</v>
      </c>
      <c r="K1534" s="511"/>
      <c r="L1534" s="367">
        <f>TRUNC(TRUNC(H1534,8)*J1534,2)</f>
        <v>31.32</v>
      </c>
    </row>
    <row r="1535" spans="1:12" ht="15" customHeight="1" x14ac:dyDescent="0.25">
      <c r="A1535" s="182"/>
      <c r="B1535" s="183"/>
      <c r="C1535" s="183"/>
      <c r="D1535" s="183"/>
      <c r="E1535" s="183"/>
      <c r="F1535" s="183"/>
      <c r="G1535" s="183"/>
      <c r="H1535" s="477" t="s">
        <v>1832</v>
      </c>
      <c r="I1535" s="477"/>
      <c r="J1535" s="477"/>
      <c r="K1535" s="477"/>
      <c r="L1535" s="368">
        <f>SUM(L1534:L1534)</f>
        <v>31.32</v>
      </c>
    </row>
    <row r="1536" spans="1:12" ht="15" customHeight="1" x14ac:dyDescent="0.25">
      <c r="A1536" s="474" t="s">
        <v>1912</v>
      </c>
      <c r="B1536" s="475"/>
      <c r="C1536" s="475"/>
      <c r="D1536" s="476" t="s">
        <v>42</v>
      </c>
      <c r="E1536" s="476"/>
      <c r="F1536" s="476"/>
      <c r="G1536" s="230" t="s">
        <v>44</v>
      </c>
      <c r="H1536" s="476" t="s">
        <v>1813</v>
      </c>
      <c r="I1536" s="476"/>
      <c r="J1536" s="476" t="s">
        <v>1814</v>
      </c>
      <c r="K1536" s="476"/>
      <c r="L1536" s="366" t="s">
        <v>1802</v>
      </c>
    </row>
    <row r="1537" spans="1:12" ht="21" customHeight="1" x14ac:dyDescent="0.25">
      <c r="A1537" s="181" t="s">
        <v>2956</v>
      </c>
      <c r="B1537" s="509" t="s">
        <v>2957</v>
      </c>
      <c r="C1537" s="509"/>
      <c r="D1537" s="481" t="s">
        <v>82</v>
      </c>
      <c r="E1537" s="481"/>
      <c r="F1537" s="481"/>
      <c r="G1537" s="231" t="s">
        <v>1024</v>
      </c>
      <c r="H1537" s="510">
        <v>1</v>
      </c>
      <c r="I1537" s="510"/>
      <c r="J1537" s="511">
        <v>0.36</v>
      </c>
      <c r="K1537" s="511"/>
      <c r="L1537" s="367">
        <f>TRUNC(TRUNC(H1537,8)*J1537,2)</f>
        <v>0.36</v>
      </c>
    </row>
    <row r="1538" spans="1:12" ht="15" customHeight="1" x14ac:dyDescent="0.25">
      <c r="A1538" s="182"/>
      <c r="B1538" s="183"/>
      <c r="C1538" s="183"/>
      <c r="D1538" s="183"/>
      <c r="E1538" s="183"/>
      <c r="F1538" s="183"/>
      <c r="G1538" s="183"/>
      <c r="H1538" s="477" t="s">
        <v>1915</v>
      </c>
      <c r="I1538" s="477"/>
      <c r="J1538" s="477"/>
      <c r="K1538" s="477"/>
      <c r="L1538" s="368">
        <f>SUM(L1537:L1537)</f>
        <v>0.36</v>
      </c>
    </row>
    <row r="1539" spans="1:12" ht="15" customHeight="1" x14ac:dyDescent="0.25">
      <c r="A1539" s="182"/>
      <c r="B1539" s="183"/>
      <c r="C1539" s="183"/>
      <c r="D1539" s="183"/>
      <c r="E1539" s="183"/>
      <c r="F1539" s="183"/>
      <c r="G1539" s="183"/>
      <c r="H1539" s="482" t="s">
        <v>1834</v>
      </c>
      <c r="I1539" s="482"/>
      <c r="J1539" s="482"/>
      <c r="K1539" s="482"/>
      <c r="L1539" s="369">
        <f>ROUND(SUM(L1532,L1535,L1538),2)</f>
        <v>42.52</v>
      </c>
    </row>
    <row r="1540" spans="1:12" ht="9.9499999999999993" customHeight="1" x14ac:dyDescent="0.25">
      <c r="A1540" s="182"/>
      <c r="B1540" s="183"/>
      <c r="C1540" s="183"/>
      <c r="D1540" s="183"/>
      <c r="E1540" s="183"/>
      <c r="F1540" s="183"/>
      <c r="G1540" s="183"/>
      <c r="H1540" s="485"/>
      <c r="I1540" s="485"/>
      <c r="J1540" s="485"/>
      <c r="K1540" s="485"/>
      <c r="L1540" s="512"/>
    </row>
    <row r="1541" spans="1:12" ht="20.100000000000001" customHeight="1" x14ac:dyDescent="0.25">
      <c r="A1541" s="486" t="s">
        <v>2958</v>
      </c>
      <c r="B1541" s="487"/>
      <c r="C1541" s="487"/>
      <c r="D1541" s="487"/>
      <c r="E1541" s="487"/>
      <c r="F1541" s="487"/>
      <c r="G1541" s="487"/>
      <c r="H1541" s="487"/>
      <c r="I1541" s="487"/>
      <c r="J1541" s="487"/>
      <c r="K1541" s="487"/>
      <c r="L1541" s="513"/>
    </row>
    <row r="1542" spans="1:12" ht="15" customHeight="1" x14ac:dyDescent="0.25">
      <c r="A1542" s="474" t="s">
        <v>1932</v>
      </c>
      <c r="B1542" s="475"/>
      <c r="C1542" s="475"/>
      <c r="D1542" s="476" t="s">
        <v>42</v>
      </c>
      <c r="E1542" s="476"/>
      <c r="F1542" s="476"/>
      <c r="G1542" s="230" t="s">
        <v>44</v>
      </c>
      <c r="H1542" s="476" t="s">
        <v>1813</v>
      </c>
      <c r="I1542" s="476"/>
      <c r="J1542" s="476" t="s">
        <v>1814</v>
      </c>
      <c r="K1542" s="476"/>
      <c r="L1542" s="366" t="s">
        <v>1802</v>
      </c>
    </row>
    <row r="1543" spans="1:12" ht="21" customHeight="1" x14ac:dyDescent="0.25">
      <c r="A1543" s="181" t="s">
        <v>2336</v>
      </c>
      <c r="B1543" s="509" t="s">
        <v>2337</v>
      </c>
      <c r="C1543" s="509"/>
      <c r="D1543" s="481" t="s">
        <v>82</v>
      </c>
      <c r="E1543" s="481"/>
      <c r="F1543" s="481"/>
      <c r="G1543" s="231" t="s">
        <v>1024</v>
      </c>
      <c r="H1543" s="510">
        <v>1</v>
      </c>
      <c r="I1543" s="510"/>
      <c r="J1543" s="511">
        <v>7.63</v>
      </c>
      <c r="K1543" s="511"/>
      <c r="L1543" s="367">
        <f t="shared" ref="L1543:L1548" si="25">TRUNC(TRUNC(H1543,8)*J1543,2)</f>
        <v>7.63</v>
      </c>
    </row>
    <row r="1544" spans="1:12" ht="21" customHeight="1" x14ac:dyDescent="0.25">
      <c r="A1544" s="181" t="s">
        <v>2930</v>
      </c>
      <c r="B1544" s="509" t="s">
        <v>2931</v>
      </c>
      <c r="C1544" s="509"/>
      <c r="D1544" s="481" t="s">
        <v>82</v>
      </c>
      <c r="E1544" s="481"/>
      <c r="F1544" s="481"/>
      <c r="G1544" s="231" t="s">
        <v>1024</v>
      </c>
      <c r="H1544" s="510">
        <v>1</v>
      </c>
      <c r="I1544" s="510"/>
      <c r="J1544" s="511">
        <v>0.8</v>
      </c>
      <c r="K1544" s="511"/>
      <c r="L1544" s="367">
        <f t="shared" si="25"/>
        <v>0.8</v>
      </c>
    </row>
    <row r="1545" spans="1:12" ht="21" customHeight="1" x14ac:dyDescent="0.25">
      <c r="A1545" s="181" t="s">
        <v>2340</v>
      </c>
      <c r="B1545" s="509" t="s">
        <v>2341</v>
      </c>
      <c r="C1545" s="509"/>
      <c r="D1545" s="481" t="s">
        <v>82</v>
      </c>
      <c r="E1545" s="481"/>
      <c r="F1545" s="481"/>
      <c r="G1545" s="231" t="s">
        <v>1024</v>
      </c>
      <c r="H1545" s="510">
        <v>1</v>
      </c>
      <c r="I1545" s="510"/>
      <c r="J1545" s="511">
        <v>1.62</v>
      </c>
      <c r="K1545" s="511"/>
      <c r="L1545" s="367">
        <f t="shared" si="25"/>
        <v>1.62</v>
      </c>
    </row>
    <row r="1546" spans="1:12" ht="29.1" customHeight="1" x14ac:dyDescent="0.25">
      <c r="A1546" s="181" t="s">
        <v>2932</v>
      </c>
      <c r="B1546" s="509" t="s">
        <v>2933</v>
      </c>
      <c r="C1546" s="509"/>
      <c r="D1546" s="481" t="s">
        <v>82</v>
      </c>
      <c r="E1546" s="481"/>
      <c r="F1546" s="481"/>
      <c r="G1546" s="231" t="s">
        <v>1024</v>
      </c>
      <c r="H1546" s="510">
        <v>1</v>
      </c>
      <c r="I1546" s="510"/>
      <c r="J1546" s="511">
        <v>0.02</v>
      </c>
      <c r="K1546" s="511"/>
      <c r="L1546" s="367">
        <f t="shared" si="25"/>
        <v>0.02</v>
      </c>
    </row>
    <row r="1547" spans="1:12" ht="21" customHeight="1" x14ac:dyDescent="0.25">
      <c r="A1547" s="181" t="s">
        <v>2344</v>
      </c>
      <c r="B1547" s="509" t="s">
        <v>2345</v>
      </c>
      <c r="C1547" s="509"/>
      <c r="D1547" s="481" t="s">
        <v>82</v>
      </c>
      <c r="E1547" s="481"/>
      <c r="F1547" s="481"/>
      <c r="G1547" s="231" t="s">
        <v>1024</v>
      </c>
      <c r="H1547" s="510">
        <v>1</v>
      </c>
      <c r="I1547" s="510"/>
      <c r="J1547" s="511">
        <v>0.11</v>
      </c>
      <c r="K1547" s="511"/>
      <c r="L1547" s="367">
        <f t="shared" si="25"/>
        <v>0.11</v>
      </c>
    </row>
    <row r="1548" spans="1:12" ht="21" customHeight="1" x14ac:dyDescent="0.25">
      <c r="A1548" s="181" t="s">
        <v>2346</v>
      </c>
      <c r="B1548" s="509" t="s">
        <v>2347</v>
      </c>
      <c r="C1548" s="509"/>
      <c r="D1548" s="481" t="s">
        <v>82</v>
      </c>
      <c r="E1548" s="481"/>
      <c r="F1548" s="481"/>
      <c r="G1548" s="231" t="s">
        <v>1024</v>
      </c>
      <c r="H1548" s="510">
        <v>1</v>
      </c>
      <c r="I1548" s="510"/>
      <c r="J1548" s="511">
        <v>0.66</v>
      </c>
      <c r="K1548" s="511"/>
      <c r="L1548" s="367">
        <f t="shared" si="25"/>
        <v>0.66</v>
      </c>
    </row>
    <row r="1549" spans="1:12" ht="15" customHeight="1" x14ac:dyDescent="0.25">
      <c r="A1549" s="182"/>
      <c r="B1549" s="183"/>
      <c r="C1549" s="183"/>
      <c r="D1549" s="183"/>
      <c r="E1549" s="183"/>
      <c r="F1549" s="183"/>
      <c r="G1549" s="183"/>
      <c r="H1549" s="477" t="s">
        <v>1938</v>
      </c>
      <c r="I1549" s="477"/>
      <c r="J1549" s="477"/>
      <c r="K1549" s="477"/>
      <c r="L1549" s="368">
        <f>SUM(L1543:L1548)</f>
        <v>10.84</v>
      </c>
    </row>
    <row r="1550" spans="1:12" ht="15" customHeight="1" x14ac:dyDescent="0.25">
      <c r="A1550" s="474" t="s">
        <v>1827</v>
      </c>
      <c r="B1550" s="475"/>
      <c r="C1550" s="475"/>
      <c r="D1550" s="476" t="s">
        <v>42</v>
      </c>
      <c r="E1550" s="476"/>
      <c r="F1550" s="476"/>
      <c r="G1550" s="230" t="s">
        <v>44</v>
      </c>
      <c r="H1550" s="476" t="s">
        <v>1813</v>
      </c>
      <c r="I1550" s="476"/>
      <c r="J1550" s="476" t="s">
        <v>1814</v>
      </c>
      <c r="K1550" s="476"/>
      <c r="L1550" s="366" t="s">
        <v>1802</v>
      </c>
    </row>
    <row r="1551" spans="1:12" ht="15" customHeight="1" x14ac:dyDescent="0.25">
      <c r="A1551" s="181" t="s">
        <v>2614</v>
      </c>
      <c r="B1551" s="509" t="s">
        <v>2615</v>
      </c>
      <c r="C1551" s="509"/>
      <c r="D1551" s="481" t="s">
        <v>82</v>
      </c>
      <c r="E1551" s="481"/>
      <c r="F1551" s="481"/>
      <c r="G1551" s="231" t="s">
        <v>1024</v>
      </c>
      <c r="H1551" s="510">
        <v>1</v>
      </c>
      <c r="I1551" s="510"/>
      <c r="J1551" s="511">
        <v>41.8</v>
      </c>
      <c r="K1551" s="511"/>
      <c r="L1551" s="367">
        <f>TRUNC(TRUNC(H1551,8)*J1551,2)</f>
        <v>41.8</v>
      </c>
    </row>
    <row r="1552" spans="1:12" ht="15" customHeight="1" x14ac:dyDescent="0.25">
      <c r="A1552" s="182"/>
      <c r="B1552" s="183"/>
      <c r="C1552" s="183"/>
      <c r="D1552" s="183"/>
      <c r="E1552" s="183"/>
      <c r="F1552" s="183"/>
      <c r="G1552" s="183"/>
      <c r="H1552" s="477" t="s">
        <v>1832</v>
      </c>
      <c r="I1552" s="477"/>
      <c r="J1552" s="477"/>
      <c r="K1552" s="477"/>
      <c r="L1552" s="368">
        <f>SUM(L1551:L1551)</f>
        <v>41.8</v>
      </c>
    </row>
    <row r="1553" spans="1:12" ht="15" customHeight="1" x14ac:dyDescent="0.25">
      <c r="A1553" s="474" t="s">
        <v>1912</v>
      </c>
      <c r="B1553" s="475"/>
      <c r="C1553" s="475"/>
      <c r="D1553" s="476" t="s">
        <v>42</v>
      </c>
      <c r="E1553" s="476"/>
      <c r="F1553" s="476"/>
      <c r="G1553" s="230" t="s">
        <v>44</v>
      </c>
      <c r="H1553" s="476" t="s">
        <v>1813</v>
      </c>
      <c r="I1553" s="476"/>
      <c r="J1553" s="476" t="s">
        <v>1814</v>
      </c>
      <c r="K1553" s="476"/>
      <c r="L1553" s="366" t="s">
        <v>1802</v>
      </c>
    </row>
    <row r="1554" spans="1:12" ht="21" customHeight="1" x14ac:dyDescent="0.25">
      <c r="A1554" s="181" t="s">
        <v>2959</v>
      </c>
      <c r="B1554" s="509" t="s">
        <v>2960</v>
      </c>
      <c r="C1554" s="509"/>
      <c r="D1554" s="481" t="s">
        <v>82</v>
      </c>
      <c r="E1554" s="481"/>
      <c r="F1554" s="481"/>
      <c r="G1554" s="231" t="s">
        <v>1024</v>
      </c>
      <c r="H1554" s="510">
        <v>1</v>
      </c>
      <c r="I1554" s="510"/>
      <c r="J1554" s="511">
        <v>0.68</v>
      </c>
      <c r="K1554" s="511"/>
      <c r="L1554" s="367">
        <f>TRUNC(TRUNC(H1554,8)*J1554,2)</f>
        <v>0.68</v>
      </c>
    </row>
    <row r="1555" spans="1:12" ht="15" customHeight="1" x14ac:dyDescent="0.25">
      <c r="A1555" s="182"/>
      <c r="B1555" s="183"/>
      <c r="C1555" s="183"/>
      <c r="D1555" s="183"/>
      <c r="E1555" s="183"/>
      <c r="F1555" s="183"/>
      <c r="G1555" s="183"/>
      <c r="H1555" s="477" t="s">
        <v>1915</v>
      </c>
      <c r="I1555" s="477"/>
      <c r="J1555" s="477"/>
      <c r="K1555" s="477"/>
      <c r="L1555" s="368">
        <f>SUM(L1554:L1554)</f>
        <v>0.68</v>
      </c>
    </row>
    <row r="1556" spans="1:12" ht="15" customHeight="1" x14ac:dyDescent="0.25">
      <c r="A1556" s="182"/>
      <c r="B1556" s="183"/>
      <c r="C1556" s="183"/>
      <c r="D1556" s="183"/>
      <c r="E1556" s="183"/>
      <c r="F1556" s="183"/>
      <c r="G1556" s="183"/>
      <c r="H1556" s="482" t="s">
        <v>1834</v>
      </c>
      <c r="I1556" s="482"/>
      <c r="J1556" s="482"/>
      <c r="K1556" s="482"/>
      <c r="L1556" s="369">
        <f>ROUND(SUM(L1549,L1552,L1555),2)</f>
        <v>53.32</v>
      </c>
    </row>
    <row r="1557" spans="1:12" ht="9.9499999999999993" customHeight="1" x14ac:dyDescent="0.25">
      <c r="A1557" s="182"/>
      <c r="B1557" s="183"/>
      <c r="C1557" s="183"/>
      <c r="D1557" s="183"/>
      <c r="E1557" s="183"/>
      <c r="F1557" s="183"/>
      <c r="G1557" s="183"/>
      <c r="H1557" s="485"/>
      <c r="I1557" s="485"/>
      <c r="J1557" s="485"/>
      <c r="K1557" s="485"/>
      <c r="L1557" s="512"/>
    </row>
    <row r="1558" spans="1:12" ht="20.100000000000001" customHeight="1" x14ac:dyDescent="0.25">
      <c r="A1558" s="486" t="s">
        <v>2961</v>
      </c>
      <c r="B1558" s="487"/>
      <c r="C1558" s="487"/>
      <c r="D1558" s="487"/>
      <c r="E1558" s="487"/>
      <c r="F1558" s="487"/>
      <c r="G1558" s="487"/>
      <c r="H1558" s="487"/>
      <c r="I1558" s="487"/>
      <c r="J1558" s="487"/>
      <c r="K1558" s="487"/>
      <c r="L1558" s="513"/>
    </row>
    <row r="1559" spans="1:12" ht="15" customHeight="1" x14ac:dyDescent="0.25">
      <c r="A1559" s="474" t="s">
        <v>1932</v>
      </c>
      <c r="B1559" s="475"/>
      <c r="C1559" s="475"/>
      <c r="D1559" s="476" t="s">
        <v>42</v>
      </c>
      <c r="E1559" s="476"/>
      <c r="F1559" s="476"/>
      <c r="G1559" s="230" t="s">
        <v>44</v>
      </c>
      <c r="H1559" s="476" t="s">
        <v>1813</v>
      </c>
      <c r="I1559" s="476"/>
      <c r="J1559" s="476" t="s">
        <v>1814</v>
      </c>
      <c r="K1559" s="476"/>
      <c r="L1559" s="366" t="s">
        <v>1802</v>
      </c>
    </row>
    <row r="1560" spans="1:12" ht="21" customHeight="1" x14ac:dyDescent="0.25">
      <c r="A1560" s="181" t="s">
        <v>2336</v>
      </c>
      <c r="B1560" s="509" t="s">
        <v>2337</v>
      </c>
      <c r="C1560" s="509"/>
      <c r="D1560" s="481" t="s">
        <v>82</v>
      </c>
      <c r="E1560" s="481"/>
      <c r="F1560" s="481"/>
      <c r="G1560" s="231" t="s">
        <v>1024</v>
      </c>
      <c r="H1560" s="510">
        <v>1</v>
      </c>
      <c r="I1560" s="510"/>
      <c r="J1560" s="511">
        <v>7.63</v>
      </c>
      <c r="K1560" s="511"/>
      <c r="L1560" s="367">
        <f t="shared" ref="L1560:L1565" si="26">TRUNC(TRUNC(H1560,8)*J1560,2)</f>
        <v>7.63</v>
      </c>
    </row>
    <row r="1561" spans="1:12" ht="21" customHeight="1" x14ac:dyDescent="0.25">
      <c r="A1561" s="181" t="s">
        <v>2930</v>
      </c>
      <c r="B1561" s="509" t="s">
        <v>2931</v>
      </c>
      <c r="C1561" s="509"/>
      <c r="D1561" s="481" t="s">
        <v>82</v>
      </c>
      <c r="E1561" s="481"/>
      <c r="F1561" s="481"/>
      <c r="G1561" s="231" t="s">
        <v>1024</v>
      </c>
      <c r="H1561" s="510">
        <v>1</v>
      </c>
      <c r="I1561" s="510"/>
      <c r="J1561" s="511">
        <v>0.8</v>
      </c>
      <c r="K1561" s="511"/>
      <c r="L1561" s="367">
        <f t="shared" si="26"/>
        <v>0.8</v>
      </c>
    </row>
    <row r="1562" spans="1:12" ht="21" customHeight="1" x14ac:dyDescent="0.25">
      <c r="A1562" s="181" t="s">
        <v>2340</v>
      </c>
      <c r="B1562" s="509" t="s">
        <v>2341</v>
      </c>
      <c r="C1562" s="509"/>
      <c r="D1562" s="481" t="s">
        <v>82</v>
      </c>
      <c r="E1562" s="481"/>
      <c r="F1562" s="481"/>
      <c r="G1562" s="231" t="s">
        <v>1024</v>
      </c>
      <c r="H1562" s="510">
        <v>1</v>
      </c>
      <c r="I1562" s="510"/>
      <c r="J1562" s="511">
        <v>1.62</v>
      </c>
      <c r="K1562" s="511"/>
      <c r="L1562" s="367">
        <f t="shared" si="26"/>
        <v>1.62</v>
      </c>
    </row>
    <row r="1563" spans="1:12" ht="29.1" customHeight="1" x14ac:dyDescent="0.25">
      <c r="A1563" s="181" t="s">
        <v>2932</v>
      </c>
      <c r="B1563" s="509" t="s">
        <v>2933</v>
      </c>
      <c r="C1563" s="509"/>
      <c r="D1563" s="481" t="s">
        <v>82</v>
      </c>
      <c r="E1563" s="481"/>
      <c r="F1563" s="481"/>
      <c r="G1563" s="231" t="s">
        <v>1024</v>
      </c>
      <c r="H1563" s="510">
        <v>1</v>
      </c>
      <c r="I1563" s="510"/>
      <c r="J1563" s="511">
        <v>0.02</v>
      </c>
      <c r="K1563" s="511"/>
      <c r="L1563" s="367">
        <f t="shared" si="26"/>
        <v>0.02</v>
      </c>
    </row>
    <row r="1564" spans="1:12" ht="21" customHeight="1" x14ac:dyDescent="0.25">
      <c r="A1564" s="181" t="s">
        <v>2344</v>
      </c>
      <c r="B1564" s="509" t="s">
        <v>2345</v>
      </c>
      <c r="C1564" s="509"/>
      <c r="D1564" s="481" t="s">
        <v>82</v>
      </c>
      <c r="E1564" s="481"/>
      <c r="F1564" s="481"/>
      <c r="G1564" s="231" t="s">
        <v>1024</v>
      </c>
      <c r="H1564" s="510">
        <v>1</v>
      </c>
      <c r="I1564" s="510"/>
      <c r="J1564" s="511">
        <v>0.11</v>
      </c>
      <c r="K1564" s="511"/>
      <c r="L1564" s="367">
        <f t="shared" si="26"/>
        <v>0.11</v>
      </c>
    </row>
    <row r="1565" spans="1:12" ht="21" customHeight="1" x14ac:dyDescent="0.25">
      <c r="A1565" s="181" t="s">
        <v>2346</v>
      </c>
      <c r="B1565" s="509" t="s">
        <v>2347</v>
      </c>
      <c r="C1565" s="509"/>
      <c r="D1565" s="481" t="s">
        <v>82</v>
      </c>
      <c r="E1565" s="481"/>
      <c r="F1565" s="481"/>
      <c r="G1565" s="231" t="s">
        <v>1024</v>
      </c>
      <c r="H1565" s="510">
        <v>1</v>
      </c>
      <c r="I1565" s="510"/>
      <c r="J1565" s="511">
        <v>0.66</v>
      </c>
      <c r="K1565" s="511"/>
      <c r="L1565" s="367">
        <f t="shared" si="26"/>
        <v>0.66</v>
      </c>
    </row>
    <row r="1566" spans="1:12" ht="15" customHeight="1" x14ac:dyDescent="0.25">
      <c r="A1566" s="182"/>
      <c r="B1566" s="183"/>
      <c r="C1566" s="183"/>
      <c r="D1566" s="183"/>
      <c r="E1566" s="183"/>
      <c r="F1566" s="183"/>
      <c r="G1566" s="183"/>
      <c r="H1566" s="477" t="s">
        <v>1938</v>
      </c>
      <c r="I1566" s="477"/>
      <c r="J1566" s="477"/>
      <c r="K1566" s="477"/>
      <c r="L1566" s="368">
        <f>SUM(L1560:L1565)</f>
        <v>10.84</v>
      </c>
    </row>
    <row r="1567" spans="1:12" ht="15" customHeight="1" x14ac:dyDescent="0.25">
      <c r="A1567" s="474" t="s">
        <v>1827</v>
      </c>
      <c r="B1567" s="475"/>
      <c r="C1567" s="475"/>
      <c r="D1567" s="476" t="s">
        <v>42</v>
      </c>
      <c r="E1567" s="476"/>
      <c r="F1567" s="476"/>
      <c r="G1567" s="230" t="s">
        <v>44</v>
      </c>
      <c r="H1567" s="476" t="s">
        <v>1813</v>
      </c>
      <c r="I1567" s="476"/>
      <c r="J1567" s="476" t="s">
        <v>1814</v>
      </c>
      <c r="K1567" s="476"/>
      <c r="L1567" s="366" t="s">
        <v>1802</v>
      </c>
    </row>
    <row r="1568" spans="1:12" ht="15" customHeight="1" x14ac:dyDescent="0.25">
      <c r="A1568" s="181" t="s">
        <v>2617</v>
      </c>
      <c r="B1568" s="509" t="s">
        <v>2618</v>
      </c>
      <c r="C1568" s="509"/>
      <c r="D1568" s="481" t="s">
        <v>82</v>
      </c>
      <c r="E1568" s="481"/>
      <c r="F1568" s="481"/>
      <c r="G1568" s="231" t="s">
        <v>1024</v>
      </c>
      <c r="H1568" s="510">
        <v>1</v>
      </c>
      <c r="I1568" s="510"/>
      <c r="J1568" s="511">
        <v>21.37</v>
      </c>
      <c r="K1568" s="511"/>
      <c r="L1568" s="367">
        <f>TRUNC(TRUNC(H1568,8)*J1568,2)</f>
        <v>21.37</v>
      </c>
    </row>
    <row r="1569" spans="1:12" ht="15" customHeight="1" x14ac:dyDescent="0.25">
      <c r="A1569" s="182"/>
      <c r="B1569" s="183"/>
      <c r="C1569" s="183"/>
      <c r="D1569" s="183"/>
      <c r="E1569" s="183"/>
      <c r="F1569" s="183"/>
      <c r="G1569" s="183"/>
      <c r="H1569" s="477" t="s">
        <v>1832</v>
      </c>
      <c r="I1569" s="477"/>
      <c r="J1569" s="477"/>
      <c r="K1569" s="477"/>
      <c r="L1569" s="368">
        <f>SUM(L1568:L1568)</f>
        <v>21.37</v>
      </c>
    </row>
    <row r="1570" spans="1:12" ht="15" customHeight="1" x14ac:dyDescent="0.25">
      <c r="A1570" s="474" t="s">
        <v>1912</v>
      </c>
      <c r="B1570" s="475"/>
      <c r="C1570" s="475"/>
      <c r="D1570" s="476" t="s">
        <v>42</v>
      </c>
      <c r="E1570" s="476"/>
      <c r="F1570" s="476"/>
      <c r="G1570" s="230" t="s">
        <v>44</v>
      </c>
      <c r="H1570" s="476" t="s">
        <v>1813</v>
      </c>
      <c r="I1570" s="476"/>
      <c r="J1570" s="476" t="s">
        <v>1814</v>
      </c>
      <c r="K1570" s="476"/>
      <c r="L1570" s="366" t="s">
        <v>1802</v>
      </c>
    </row>
    <row r="1571" spans="1:12" ht="29.1" customHeight="1" x14ac:dyDescent="0.25">
      <c r="A1571" s="181" t="s">
        <v>2962</v>
      </c>
      <c r="B1571" s="509" t="s">
        <v>2963</v>
      </c>
      <c r="C1571" s="509"/>
      <c r="D1571" s="481" t="s">
        <v>82</v>
      </c>
      <c r="E1571" s="481"/>
      <c r="F1571" s="481"/>
      <c r="G1571" s="231" t="s">
        <v>1024</v>
      </c>
      <c r="H1571" s="510">
        <v>1</v>
      </c>
      <c r="I1571" s="510"/>
      <c r="J1571" s="511">
        <v>0.17</v>
      </c>
      <c r="K1571" s="511"/>
      <c r="L1571" s="367">
        <f>TRUNC(TRUNC(H1571,8)*J1571,2)</f>
        <v>0.17</v>
      </c>
    </row>
    <row r="1572" spans="1:12" ht="15" customHeight="1" x14ac:dyDescent="0.25">
      <c r="A1572" s="182"/>
      <c r="B1572" s="183"/>
      <c r="C1572" s="183"/>
      <c r="D1572" s="183"/>
      <c r="E1572" s="183"/>
      <c r="F1572" s="183"/>
      <c r="G1572" s="183"/>
      <c r="H1572" s="477" t="s">
        <v>1915</v>
      </c>
      <c r="I1572" s="477"/>
      <c r="J1572" s="477"/>
      <c r="K1572" s="477"/>
      <c r="L1572" s="368">
        <f>SUM(L1571:L1571)</f>
        <v>0.17</v>
      </c>
    </row>
    <row r="1573" spans="1:12" ht="15" customHeight="1" x14ac:dyDescent="0.25">
      <c r="A1573" s="182"/>
      <c r="B1573" s="183"/>
      <c r="C1573" s="183"/>
      <c r="D1573" s="183"/>
      <c r="E1573" s="183"/>
      <c r="F1573" s="183"/>
      <c r="G1573" s="183"/>
      <c r="H1573" s="482" t="s">
        <v>1834</v>
      </c>
      <c r="I1573" s="482"/>
      <c r="J1573" s="482"/>
      <c r="K1573" s="482"/>
      <c r="L1573" s="369">
        <f>ROUND(SUM(L1566,L1569,L1572),2)</f>
        <v>32.380000000000003</v>
      </c>
    </row>
    <row r="1574" spans="1:12" ht="9.9499999999999993" customHeight="1" x14ac:dyDescent="0.25">
      <c r="A1574" s="182"/>
      <c r="B1574" s="183"/>
      <c r="C1574" s="183"/>
      <c r="D1574" s="183"/>
      <c r="E1574" s="183"/>
      <c r="F1574" s="183"/>
      <c r="G1574" s="183"/>
      <c r="H1574" s="485"/>
      <c r="I1574" s="485"/>
      <c r="J1574" s="485"/>
      <c r="K1574" s="485"/>
      <c r="L1574" s="512"/>
    </row>
    <row r="1575" spans="1:12" ht="20.100000000000001" customHeight="1" x14ac:dyDescent="0.25">
      <c r="A1575" s="486" t="s">
        <v>2964</v>
      </c>
      <c r="B1575" s="487"/>
      <c r="C1575" s="487"/>
      <c r="D1575" s="487"/>
      <c r="E1575" s="487"/>
      <c r="F1575" s="487"/>
      <c r="G1575" s="487"/>
      <c r="H1575" s="487"/>
      <c r="I1575" s="487"/>
      <c r="J1575" s="487"/>
      <c r="K1575" s="487"/>
      <c r="L1575" s="513"/>
    </row>
    <row r="1576" spans="1:12" ht="15" customHeight="1" x14ac:dyDescent="0.25">
      <c r="A1576" s="474" t="s">
        <v>1932</v>
      </c>
      <c r="B1576" s="475"/>
      <c r="C1576" s="475"/>
      <c r="D1576" s="476" t="s">
        <v>42</v>
      </c>
      <c r="E1576" s="476"/>
      <c r="F1576" s="476"/>
      <c r="G1576" s="230" t="s">
        <v>44</v>
      </c>
      <c r="H1576" s="476" t="s">
        <v>1813</v>
      </c>
      <c r="I1576" s="476"/>
      <c r="J1576" s="476" t="s">
        <v>1814</v>
      </c>
      <c r="K1576" s="476"/>
      <c r="L1576" s="366" t="s">
        <v>1802</v>
      </c>
    </row>
    <row r="1577" spans="1:12" ht="21" customHeight="1" x14ac:dyDescent="0.25">
      <c r="A1577" s="181" t="s">
        <v>2336</v>
      </c>
      <c r="B1577" s="509" t="s">
        <v>2337</v>
      </c>
      <c r="C1577" s="509"/>
      <c r="D1577" s="481" t="s">
        <v>82</v>
      </c>
      <c r="E1577" s="481"/>
      <c r="F1577" s="481"/>
      <c r="G1577" s="231" t="s">
        <v>1024</v>
      </c>
      <c r="H1577" s="510">
        <v>1</v>
      </c>
      <c r="I1577" s="510"/>
      <c r="J1577" s="511">
        <v>7.63</v>
      </c>
      <c r="K1577" s="511"/>
      <c r="L1577" s="367">
        <f t="shared" ref="L1577:L1582" si="27">TRUNC(TRUNC(H1577,8)*J1577,2)</f>
        <v>7.63</v>
      </c>
    </row>
    <row r="1578" spans="1:12" ht="21" customHeight="1" x14ac:dyDescent="0.25">
      <c r="A1578" s="181" t="s">
        <v>2930</v>
      </c>
      <c r="B1578" s="509" t="s">
        <v>2931</v>
      </c>
      <c r="C1578" s="509"/>
      <c r="D1578" s="481" t="s">
        <v>82</v>
      </c>
      <c r="E1578" s="481"/>
      <c r="F1578" s="481"/>
      <c r="G1578" s="231" t="s">
        <v>1024</v>
      </c>
      <c r="H1578" s="510">
        <v>1</v>
      </c>
      <c r="I1578" s="510"/>
      <c r="J1578" s="511">
        <v>0.8</v>
      </c>
      <c r="K1578" s="511"/>
      <c r="L1578" s="367">
        <f t="shared" si="27"/>
        <v>0.8</v>
      </c>
    </row>
    <row r="1579" spans="1:12" ht="21" customHeight="1" x14ac:dyDescent="0.25">
      <c r="A1579" s="181" t="s">
        <v>2340</v>
      </c>
      <c r="B1579" s="509" t="s">
        <v>2341</v>
      </c>
      <c r="C1579" s="509"/>
      <c r="D1579" s="481" t="s">
        <v>82</v>
      </c>
      <c r="E1579" s="481"/>
      <c r="F1579" s="481"/>
      <c r="G1579" s="231" t="s">
        <v>1024</v>
      </c>
      <c r="H1579" s="510">
        <v>1</v>
      </c>
      <c r="I1579" s="510"/>
      <c r="J1579" s="511">
        <v>1.62</v>
      </c>
      <c r="K1579" s="511"/>
      <c r="L1579" s="367">
        <f t="shared" si="27"/>
        <v>1.62</v>
      </c>
    </row>
    <row r="1580" spans="1:12" ht="29.1" customHeight="1" x14ac:dyDescent="0.25">
      <c r="A1580" s="181" t="s">
        <v>2932</v>
      </c>
      <c r="B1580" s="509" t="s">
        <v>2933</v>
      </c>
      <c r="C1580" s="509"/>
      <c r="D1580" s="481" t="s">
        <v>82</v>
      </c>
      <c r="E1580" s="481"/>
      <c r="F1580" s="481"/>
      <c r="G1580" s="231" t="s">
        <v>1024</v>
      </c>
      <c r="H1580" s="510">
        <v>1</v>
      </c>
      <c r="I1580" s="510"/>
      <c r="J1580" s="511">
        <v>0.02</v>
      </c>
      <c r="K1580" s="511"/>
      <c r="L1580" s="367">
        <f t="shared" si="27"/>
        <v>0.02</v>
      </c>
    </row>
    <row r="1581" spans="1:12" ht="21" customHeight="1" x14ac:dyDescent="0.25">
      <c r="A1581" s="181" t="s">
        <v>2344</v>
      </c>
      <c r="B1581" s="509" t="s">
        <v>2345</v>
      </c>
      <c r="C1581" s="509"/>
      <c r="D1581" s="481" t="s">
        <v>82</v>
      </c>
      <c r="E1581" s="481"/>
      <c r="F1581" s="481"/>
      <c r="G1581" s="231" t="s">
        <v>1024</v>
      </c>
      <c r="H1581" s="510">
        <v>1</v>
      </c>
      <c r="I1581" s="510"/>
      <c r="J1581" s="511">
        <v>0.11</v>
      </c>
      <c r="K1581" s="511"/>
      <c r="L1581" s="367">
        <f t="shared" si="27"/>
        <v>0.11</v>
      </c>
    </row>
    <row r="1582" spans="1:12" ht="21" customHeight="1" x14ac:dyDescent="0.25">
      <c r="A1582" s="181" t="s">
        <v>2346</v>
      </c>
      <c r="B1582" s="509" t="s">
        <v>2347</v>
      </c>
      <c r="C1582" s="509"/>
      <c r="D1582" s="481" t="s">
        <v>82</v>
      </c>
      <c r="E1582" s="481"/>
      <c r="F1582" s="481"/>
      <c r="G1582" s="231" t="s">
        <v>1024</v>
      </c>
      <c r="H1582" s="510">
        <v>1</v>
      </c>
      <c r="I1582" s="510"/>
      <c r="J1582" s="511">
        <v>0.66</v>
      </c>
      <c r="K1582" s="511"/>
      <c r="L1582" s="367">
        <f t="shared" si="27"/>
        <v>0.66</v>
      </c>
    </row>
    <row r="1583" spans="1:12" ht="15" customHeight="1" x14ac:dyDescent="0.25">
      <c r="A1583" s="182"/>
      <c r="B1583" s="183"/>
      <c r="C1583" s="183"/>
      <c r="D1583" s="183"/>
      <c r="E1583" s="183"/>
      <c r="F1583" s="183"/>
      <c r="G1583" s="183"/>
      <c r="H1583" s="477" t="s">
        <v>1938</v>
      </c>
      <c r="I1583" s="477"/>
      <c r="J1583" s="477"/>
      <c r="K1583" s="477"/>
      <c r="L1583" s="368">
        <f>SUM(L1577:L1582)</f>
        <v>10.84</v>
      </c>
    </row>
    <row r="1584" spans="1:12" ht="15" customHeight="1" x14ac:dyDescent="0.25">
      <c r="A1584" s="474" t="s">
        <v>1827</v>
      </c>
      <c r="B1584" s="475"/>
      <c r="C1584" s="475"/>
      <c r="D1584" s="476" t="s">
        <v>42</v>
      </c>
      <c r="E1584" s="476"/>
      <c r="F1584" s="476"/>
      <c r="G1584" s="230" t="s">
        <v>44</v>
      </c>
      <c r="H1584" s="476" t="s">
        <v>1813</v>
      </c>
      <c r="I1584" s="476"/>
      <c r="J1584" s="476" t="s">
        <v>1814</v>
      </c>
      <c r="K1584" s="476"/>
      <c r="L1584" s="366" t="s">
        <v>1802</v>
      </c>
    </row>
    <row r="1585" spans="1:12" ht="21" customHeight="1" x14ac:dyDescent="0.25">
      <c r="A1585" s="181" t="s">
        <v>2620</v>
      </c>
      <c r="B1585" s="509" t="s">
        <v>2621</v>
      </c>
      <c r="C1585" s="509"/>
      <c r="D1585" s="481" t="s">
        <v>82</v>
      </c>
      <c r="E1585" s="481"/>
      <c r="F1585" s="481"/>
      <c r="G1585" s="231" t="s">
        <v>1024</v>
      </c>
      <c r="H1585" s="510">
        <v>1</v>
      </c>
      <c r="I1585" s="510"/>
      <c r="J1585" s="511">
        <v>32.65</v>
      </c>
      <c r="K1585" s="511"/>
      <c r="L1585" s="367">
        <f>TRUNC(TRUNC(H1585,8)*J1585,2)</f>
        <v>32.65</v>
      </c>
    </row>
    <row r="1586" spans="1:12" ht="15" customHeight="1" x14ac:dyDescent="0.25">
      <c r="A1586" s="182"/>
      <c r="B1586" s="183"/>
      <c r="C1586" s="183"/>
      <c r="D1586" s="183"/>
      <c r="E1586" s="183"/>
      <c r="F1586" s="183"/>
      <c r="G1586" s="183"/>
      <c r="H1586" s="477" t="s">
        <v>1832</v>
      </c>
      <c r="I1586" s="477"/>
      <c r="J1586" s="477"/>
      <c r="K1586" s="477"/>
      <c r="L1586" s="368">
        <f>SUM(L1585:L1585)</f>
        <v>32.65</v>
      </c>
    </row>
    <row r="1587" spans="1:12" ht="15" customHeight="1" x14ac:dyDescent="0.25">
      <c r="A1587" s="474" t="s">
        <v>1912</v>
      </c>
      <c r="B1587" s="475"/>
      <c r="C1587" s="475"/>
      <c r="D1587" s="476" t="s">
        <v>42</v>
      </c>
      <c r="E1587" s="476"/>
      <c r="F1587" s="476"/>
      <c r="G1587" s="230" t="s">
        <v>44</v>
      </c>
      <c r="H1587" s="476" t="s">
        <v>1813</v>
      </c>
      <c r="I1587" s="476"/>
      <c r="J1587" s="476" t="s">
        <v>1814</v>
      </c>
      <c r="K1587" s="476"/>
      <c r="L1587" s="366" t="s">
        <v>1802</v>
      </c>
    </row>
    <row r="1588" spans="1:12" ht="29.1" customHeight="1" x14ac:dyDescent="0.25">
      <c r="A1588" s="181" t="s">
        <v>2965</v>
      </c>
      <c r="B1588" s="509" t="s">
        <v>2966</v>
      </c>
      <c r="C1588" s="509"/>
      <c r="D1588" s="481" t="s">
        <v>82</v>
      </c>
      <c r="E1588" s="481"/>
      <c r="F1588" s="481"/>
      <c r="G1588" s="231" t="s">
        <v>1024</v>
      </c>
      <c r="H1588" s="510">
        <v>1</v>
      </c>
      <c r="I1588" s="510"/>
      <c r="J1588" s="511">
        <v>0.37</v>
      </c>
      <c r="K1588" s="511"/>
      <c r="L1588" s="367">
        <f>TRUNC(TRUNC(H1588,8)*J1588,2)</f>
        <v>0.37</v>
      </c>
    </row>
    <row r="1589" spans="1:12" ht="15" customHeight="1" x14ac:dyDescent="0.25">
      <c r="A1589" s="182"/>
      <c r="B1589" s="183"/>
      <c r="C1589" s="183"/>
      <c r="D1589" s="183"/>
      <c r="E1589" s="183"/>
      <c r="F1589" s="183"/>
      <c r="G1589" s="183"/>
      <c r="H1589" s="477" t="s">
        <v>1915</v>
      </c>
      <c r="I1589" s="477"/>
      <c r="J1589" s="477"/>
      <c r="K1589" s="477"/>
      <c r="L1589" s="368">
        <f>SUM(L1588:L1588)</f>
        <v>0.37</v>
      </c>
    </row>
    <row r="1590" spans="1:12" ht="15" customHeight="1" x14ac:dyDescent="0.25">
      <c r="A1590" s="182"/>
      <c r="B1590" s="183"/>
      <c r="C1590" s="183"/>
      <c r="D1590" s="183"/>
      <c r="E1590" s="183"/>
      <c r="F1590" s="183"/>
      <c r="G1590" s="183"/>
      <c r="H1590" s="482" t="s">
        <v>1834</v>
      </c>
      <c r="I1590" s="482"/>
      <c r="J1590" s="482"/>
      <c r="K1590" s="482"/>
      <c r="L1590" s="369">
        <f>ROUND(SUM(L1583,L1586,L1589),2)</f>
        <v>43.86</v>
      </c>
    </row>
    <row r="1591" spans="1:12" ht="9.9499999999999993" customHeight="1" x14ac:dyDescent="0.25">
      <c r="A1591" s="182"/>
      <c r="B1591" s="183"/>
      <c r="C1591" s="183"/>
      <c r="D1591" s="183"/>
      <c r="E1591" s="183"/>
      <c r="F1591" s="183"/>
      <c r="G1591" s="183"/>
      <c r="H1591" s="485"/>
      <c r="I1591" s="485"/>
      <c r="J1591" s="485"/>
      <c r="K1591" s="485"/>
      <c r="L1591" s="512"/>
    </row>
    <row r="1592" spans="1:12" ht="20.100000000000001" customHeight="1" x14ac:dyDescent="0.25">
      <c r="A1592" s="486" t="s">
        <v>2967</v>
      </c>
      <c r="B1592" s="487"/>
      <c r="C1592" s="487"/>
      <c r="D1592" s="487"/>
      <c r="E1592" s="487"/>
      <c r="F1592" s="487"/>
      <c r="G1592" s="487"/>
      <c r="H1592" s="487"/>
      <c r="I1592" s="487"/>
      <c r="J1592" s="487"/>
      <c r="K1592" s="487"/>
      <c r="L1592" s="513"/>
    </row>
    <row r="1593" spans="1:12" ht="15" customHeight="1" x14ac:dyDescent="0.25">
      <c r="A1593" s="474" t="s">
        <v>1932</v>
      </c>
      <c r="B1593" s="475"/>
      <c r="C1593" s="475"/>
      <c r="D1593" s="476" t="s">
        <v>42</v>
      </c>
      <c r="E1593" s="476"/>
      <c r="F1593" s="476"/>
      <c r="G1593" s="230" t="s">
        <v>44</v>
      </c>
      <c r="H1593" s="476" t="s">
        <v>1813</v>
      </c>
      <c r="I1593" s="476"/>
      <c r="J1593" s="476" t="s">
        <v>1814</v>
      </c>
      <c r="K1593" s="476"/>
      <c r="L1593" s="366" t="s">
        <v>1802</v>
      </c>
    </row>
    <row r="1594" spans="1:12" ht="21" customHeight="1" x14ac:dyDescent="0.25">
      <c r="A1594" s="181" t="s">
        <v>2336</v>
      </c>
      <c r="B1594" s="509" t="s">
        <v>2337</v>
      </c>
      <c r="C1594" s="509"/>
      <c r="D1594" s="481" t="s">
        <v>82</v>
      </c>
      <c r="E1594" s="481"/>
      <c r="F1594" s="481"/>
      <c r="G1594" s="231" t="s">
        <v>1024</v>
      </c>
      <c r="H1594" s="510">
        <v>1</v>
      </c>
      <c r="I1594" s="510"/>
      <c r="J1594" s="511">
        <v>7.63</v>
      </c>
      <c r="K1594" s="511"/>
      <c r="L1594" s="367">
        <f t="shared" ref="L1594:L1599" si="28">TRUNC(TRUNC(H1594,8)*J1594,2)</f>
        <v>7.63</v>
      </c>
    </row>
    <row r="1595" spans="1:12" ht="21" customHeight="1" x14ac:dyDescent="0.25">
      <c r="A1595" s="181" t="s">
        <v>2930</v>
      </c>
      <c r="B1595" s="509" t="s">
        <v>2931</v>
      </c>
      <c r="C1595" s="509"/>
      <c r="D1595" s="481" t="s">
        <v>82</v>
      </c>
      <c r="E1595" s="481"/>
      <c r="F1595" s="481"/>
      <c r="G1595" s="231" t="s">
        <v>1024</v>
      </c>
      <c r="H1595" s="510">
        <v>1</v>
      </c>
      <c r="I1595" s="510"/>
      <c r="J1595" s="511">
        <v>0.8</v>
      </c>
      <c r="K1595" s="511"/>
      <c r="L1595" s="367">
        <f t="shared" si="28"/>
        <v>0.8</v>
      </c>
    </row>
    <row r="1596" spans="1:12" ht="21" customHeight="1" x14ac:dyDescent="0.25">
      <c r="A1596" s="181" t="s">
        <v>2340</v>
      </c>
      <c r="B1596" s="509" t="s">
        <v>2341</v>
      </c>
      <c r="C1596" s="509"/>
      <c r="D1596" s="481" t="s">
        <v>82</v>
      </c>
      <c r="E1596" s="481"/>
      <c r="F1596" s="481"/>
      <c r="G1596" s="231" t="s">
        <v>1024</v>
      </c>
      <c r="H1596" s="510">
        <v>1</v>
      </c>
      <c r="I1596" s="510"/>
      <c r="J1596" s="511">
        <v>1.62</v>
      </c>
      <c r="K1596" s="511"/>
      <c r="L1596" s="367">
        <f t="shared" si="28"/>
        <v>1.62</v>
      </c>
    </row>
    <row r="1597" spans="1:12" ht="29.1" customHeight="1" x14ac:dyDescent="0.25">
      <c r="A1597" s="181" t="s">
        <v>2932</v>
      </c>
      <c r="B1597" s="509" t="s">
        <v>2933</v>
      </c>
      <c r="C1597" s="509"/>
      <c r="D1597" s="481" t="s">
        <v>82</v>
      </c>
      <c r="E1597" s="481"/>
      <c r="F1597" s="481"/>
      <c r="G1597" s="231" t="s">
        <v>1024</v>
      </c>
      <c r="H1597" s="510">
        <v>1</v>
      </c>
      <c r="I1597" s="510"/>
      <c r="J1597" s="511">
        <v>0.02</v>
      </c>
      <c r="K1597" s="511"/>
      <c r="L1597" s="367">
        <f t="shared" si="28"/>
        <v>0.02</v>
      </c>
    </row>
    <row r="1598" spans="1:12" ht="21" customHeight="1" x14ac:dyDescent="0.25">
      <c r="A1598" s="181" t="s">
        <v>2344</v>
      </c>
      <c r="B1598" s="509" t="s">
        <v>2345</v>
      </c>
      <c r="C1598" s="509"/>
      <c r="D1598" s="481" t="s">
        <v>82</v>
      </c>
      <c r="E1598" s="481"/>
      <c r="F1598" s="481"/>
      <c r="G1598" s="231" t="s">
        <v>1024</v>
      </c>
      <c r="H1598" s="510">
        <v>1</v>
      </c>
      <c r="I1598" s="510"/>
      <c r="J1598" s="511">
        <v>0.11</v>
      </c>
      <c r="K1598" s="511"/>
      <c r="L1598" s="367">
        <f t="shared" si="28"/>
        <v>0.11</v>
      </c>
    </row>
    <row r="1599" spans="1:12" ht="21" customHeight="1" x14ac:dyDescent="0.25">
      <c r="A1599" s="181" t="s">
        <v>2346</v>
      </c>
      <c r="B1599" s="509" t="s">
        <v>2347</v>
      </c>
      <c r="C1599" s="509"/>
      <c r="D1599" s="481" t="s">
        <v>82</v>
      </c>
      <c r="E1599" s="481"/>
      <c r="F1599" s="481"/>
      <c r="G1599" s="231" t="s">
        <v>1024</v>
      </c>
      <c r="H1599" s="510">
        <v>1</v>
      </c>
      <c r="I1599" s="510"/>
      <c r="J1599" s="511">
        <v>0.66</v>
      </c>
      <c r="K1599" s="511"/>
      <c r="L1599" s="367">
        <f t="shared" si="28"/>
        <v>0.66</v>
      </c>
    </row>
    <row r="1600" spans="1:12" ht="15" customHeight="1" x14ac:dyDescent="0.25">
      <c r="A1600" s="182"/>
      <c r="B1600" s="183"/>
      <c r="C1600" s="183"/>
      <c r="D1600" s="183"/>
      <c r="E1600" s="183"/>
      <c r="F1600" s="183"/>
      <c r="G1600" s="183"/>
      <c r="H1600" s="477" t="s">
        <v>1938</v>
      </c>
      <c r="I1600" s="477"/>
      <c r="J1600" s="477"/>
      <c r="K1600" s="477"/>
      <c r="L1600" s="368">
        <f>SUM(L1594:L1599)</f>
        <v>10.84</v>
      </c>
    </row>
    <row r="1601" spans="1:12" ht="15" customHeight="1" x14ac:dyDescent="0.25">
      <c r="A1601" s="474" t="s">
        <v>1827</v>
      </c>
      <c r="B1601" s="475"/>
      <c r="C1601" s="475"/>
      <c r="D1601" s="476" t="s">
        <v>42</v>
      </c>
      <c r="E1601" s="476"/>
      <c r="F1601" s="476"/>
      <c r="G1601" s="230" t="s">
        <v>44</v>
      </c>
      <c r="H1601" s="476" t="s">
        <v>1813</v>
      </c>
      <c r="I1601" s="476"/>
      <c r="J1601" s="476" t="s">
        <v>1814</v>
      </c>
      <c r="K1601" s="476"/>
      <c r="L1601" s="366" t="s">
        <v>1802</v>
      </c>
    </row>
    <row r="1602" spans="1:12" ht="15" customHeight="1" x14ac:dyDescent="0.25">
      <c r="A1602" s="181" t="s">
        <v>2623</v>
      </c>
      <c r="B1602" s="509" t="s">
        <v>2624</v>
      </c>
      <c r="C1602" s="509"/>
      <c r="D1602" s="481" t="s">
        <v>82</v>
      </c>
      <c r="E1602" s="481"/>
      <c r="F1602" s="481"/>
      <c r="G1602" s="231" t="s">
        <v>1024</v>
      </c>
      <c r="H1602" s="510">
        <v>1</v>
      </c>
      <c r="I1602" s="510"/>
      <c r="J1602" s="511">
        <v>28.57</v>
      </c>
      <c r="K1602" s="511"/>
      <c r="L1602" s="367">
        <f>TRUNC(TRUNC(H1602,8)*J1602,2)</f>
        <v>28.57</v>
      </c>
    </row>
    <row r="1603" spans="1:12" ht="15" customHeight="1" x14ac:dyDescent="0.25">
      <c r="A1603" s="182"/>
      <c r="B1603" s="183"/>
      <c r="C1603" s="183"/>
      <c r="D1603" s="183"/>
      <c r="E1603" s="183"/>
      <c r="F1603" s="183"/>
      <c r="G1603" s="183"/>
      <c r="H1603" s="477" t="s">
        <v>1832</v>
      </c>
      <c r="I1603" s="477"/>
      <c r="J1603" s="477"/>
      <c r="K1603" s="477"/>
      <c r="L1603" s="368">
        <f>SUM(L1602:L1602)</f>
        <v>28.57</v>
      </c>
    </row>
    <row r="1604" spans="1:12" ht="15" customHeight="1" x14ac:dyDescent="0.25">
      <c r="A1604" s="474" t="s">
        <v>1912</v>
      </c>
      <c r="B1604" s="475"/>
      <c r="C1604" s="475"/>
      <c r="D1604" s="476" t="s">
        <v>42</v>
      </c>
      <c r="E1604" s="476"/>
      <c r="F1604" s="476"/>
      <c r="G1604" s="230" t="s">
        <v>44</v>
      </c>
      <c r="H1604" s="476" t="s">
        <v>1813</v>
      </c>
      <c r="I1604" s="476"/>
      <c r="J1604" s="476" t="s">
        <v>1814</v>
      </c>
      <c r="K1604" s="476"/>
      <c r="L1604" s="366" t="s">
        <v>1802</v>
      </c>
    </row>
    <row r="1605" spans="1:12" ht="21" customHeight="1" x14ac:dyDescent="0.25">
      <c r="A1605" s="181" t="s">
        <v>2968</v>
      </c>
      <c r="B1605" s="509" t="s">
        <v>2969</v>
      </c>
      <c r="C1605" s="509"/>
      <c r="D1605" s="481" t="s">
        <v>82</v>
      </c>
      <c r="E1605" s="481"/>
      <c r="F1605" s="481"/>
      <c r="G1605" s="231" t="s">
        <v>1024</v>
      </c>
      <c r="H1605" s="510">
        <v>1</v>
      </c>
      <c r="I1605" s="510"/>
      <c r="J1605" s="511">
        <v>0.23</v>
      </c>
      <c r="K1605" s="511"/>
      <c r="L1605" s="367">
        <f>TRUNC(TRUNC(H1605,8)*J1605,2)</f>
        <v>0.23</v>
      </c>
    </row>
    <row r="1606" spans="1:12" ht="15" customHeight="1" x14ac:dyDescent="0.25">
      <c r="A1606" s="182"/>
      <c r="B1606" s="183"/>
      <c r="C1606" s="183"/>
      <c r="D1606" s="183"/>
      <c r="E1606" s="183"/>
      <c r="F1606" s="183"/>
      <c r="G1606" s="183"/>
      <c r="H1606" s="477" t="s">
        <v>1915</v>
      </c>
      <c r="I1606" s="477"/>
      <c r="J1606" s="477"/>
      <c r="K1606" s="477"/>
      <c r="L1606" s="368">
        <f>SUM(L1605:L1605)</f>
        <v>0.23</v>
      </c>
    </row>
    <row r="1607" spans="1:12" ht="15" customHeight="1" x14ac:dyDescent="0.25">
      <c r="A1607" s="182"/>
      <c r="B1607" s="183"/>
      <c r="C1607" s="183"/>
      <c r="D1607" s="183"/>
      <c r="E1607" s="183"/>
      <c r="F1607" s="183"/>
      <c r="G1607" s="183"/>
      <c r="H1607" s="482" t="s">
        <v>1834</v>
      </c>
      <c r="I1607" s="482"/>
      <c r="J1607" s="482"/>
      <c r="K1607" s="482"/>
      <c r="L1607" s="369">
        <f>ROUND(SUM(L1600,L1603,L1606),2)</f>
        <v>39.64</v>
      </c>
    </row>
    <row r="1608" spans="1:12" ht="9.9499999999999993" customHeight="1" x14ac:dyDescent="0.25">
      <c r="A1608" s="182"/>
      <c r="B1608" s="183"/>
      <c r="C1608" s="183"/>
      <c r="D1608" s="183"/>
      <c r="E1608" s="183"/>
      <c r="F1608" s="183"/>
      <c r="G1608" s="183"/>
      <c r="H1608" s="485"/>
      <c r="I1608" s="485"/>
      <c r="J1608" s="485"/>
      <c r="K1608" s="485"/>
      <c r="L1608" s="512"/>
    </row>
    <row r="1609" spans="1:12" ht="20.100000000000001" customHeight="1" x14ac:dyDescent="0.25">
      <c r="A1609" s="486" t="s">
        <v>2970</v>
      </c>
      <c r="B1609" s="487"/>
      <c r="C1609" s="487"/>
      <c r="D1609" s="487"/>
      <c r="E1609" s="487"/>
      <c r="F1609" s="487"/>
      <c r="G1609" s="487"/>
      <c r="H1609" s="487"/>
      <c r="I1609" s="487"/>
      <c r="J1609" s="487"/>
      <c r="K1609" s="487"/>
      <c r="L1609" s="513"/>
    </row>
    <row r="1610" spans="1:12" ht="15" customHeight="1" x14ac:dyDescent="0.25">
      <c r="A1610" s="474" t="s">
        <v>1932</v>
      </c>
      <c r="B1610" s="475"/>
      <c r="C1610" s="475"/>
      <c r="D1610" s="476" t="s">
        <v>42</v>
      </c>
      <c r="E1610" s="476"/>
      <c r="F1610" s="476"/>
      <c r="G1610" s="230" t="s">
        <v>44</v>
      </c>
      <c r="H1610" s="476" t="s">
        <v>1813</v>
      </c>
      <c r="I1610" s="476"/>
      <c r="J1610" s="476" t="s">
        <v>1814</v>
      </c>
      <c r="K1610" s="476"/>
      <c r="L1610" s="366" t="s">
        <v>1802</v>
      </c>
    </row>
    <row r="1611" spans="1:12" ht="21" customHeight="1" x14ac:dyDescent="0.25">
      <c r="A1611" s="181" t="s">
        <v>2336</v>
      </c>
      <c r="B1611" s="509" t="s">
        <v>2337</v>
      </c>
      <c r="C1611" s="509"/>
      <c r="D1611" s="481" t="s">
        <v>82</v>
      </c>
      <c r="E1611" s="481"/>
      <c r="F1611" s="481"/>
      <c r="G1611" s="231" t="s">
        <v>1024</v>
      </c>
      <c r="H1611" s="510">
        <v>1</v>
      </c>
      <c r="I1611" s="510"/>
      <c r="J1611" s="511">
        <v>7.63</v>
      </c>
      <c r="K1611" s="511"/>
      <c r="L1611" s="367">
        <f t="shared" ref="L1611:L1616" si="29">TRUNC(TRUNC(H1611,8)*J1611,2)</f>
        <v>7.63</v>
      </c>
    </row>
    <row r="1612" spans="1:12" ht="21" customHeight="1" x14ac:dyDescent="0.25">
      <c r="A1612" s="181" t="s">
        <v>2338</v>
      </c>
      <c r="B1612" s="509" t="s">
        <v>2339</v>
      </c>
      <c r="C1612" s="509"/>
      <c r="D1612" s="481" t="s">
        <v>82</v>
      </c>
      <c r="E1612" s="481"/>
      <c r="F1612" s="481"/>
      <c r="G1612" s="231" t="s">
        <v>1024</v>
      </c>
      <c r="H1612" s="510">
        <v>1</v>
      </c>
      <c r="I1612" s="510"/>
      <c r="J1612" s="511">
        <v>1.28</v>
      </c>
      <c r="K1612" s="511"/>
      <c r="L1612" s="367">
        <f t="shared" si="29"/>
        <v>1.28</v>
      </c>
    </row>
    <row r="1613" spans="1:12" ht="21" customHeight="1" x14ac:dyDescent="0.25">
      <c r="A1613" s="181" t="s">
        <v>2340</v>
      </c>
      <c r="B1613" s="509" t="s">
        <v>2341</v>
      </c>
      <c r="C1613" s="509"/>
      <c r="D1613" s="481" t="s">
        <v>82</v>
      </c>
      <c r="E1613" s="481"/>
      <c r="F1613" s="481"/>
      <c r="G1613" s="231" t="s">
        <v>1024</v>
      </c>
      <c r="H1613" s="510">
        <v>1</v>
      </c>
      <c r="I1613" s="510"/>
      <c r="J1613" s="511">
        <v>1.62</v>
      </c>
      <c r="K1613" s="511"/>
      <c r="L1613" s="367">
        <f t="shared" si="29"/>
        <v>1.62</v>
      </c>
    </row>
    <row r="1614" spans="1:12" ht="21" customHeight="1" x14ac:dyDescent="0.25">
      <c r="A1614" s="181" t="s">
        <v>2342</v>
      </c>
      <c r="B1614" s="509" t="s">
        <v>2343</v>
      </c>
      <c r="C1614" s="509"/>
      <c r="D1614" s="481" t="s">
        <v>82</v>
      </c>
      <c r="E1614" s="481"/>
      <c r="F1614" s="481"/>
      <c r="G1614" s="231" t="s">
        <v>1024</v>
      </c>
      <c r="H1614" s="510">
        <v>1</v>
      </c>
      <c r="I1614" s="510"/>
      <c r="J1614" s="511">
        <v>0.68</v>
      </c>
      <c r="K1614" s="511"/>
      <c r="L1614" s="367">
        <f t="shared" si="29"/>
        <v>0.68</v>
      </c>
    </row>
    <row r="1615" spans="1:12" ht="21" customHeight="1" x14ac:dyDescent="0.25">
      <c r="A1615" s="181" t="s">
        <v>2344</v>
      </c>
      <c r="B1615" s="509" t="s">
        <v>2345</v>
      </c>
      <c r="C1615" s="509"/>
      <c r="D1615" s="481" t="s">
        <v>82</v>
      </c>
      <c r="E1615" s="481"/>
      <c r="F1615" s="481"/>
      <c r="G1615" s="231" t="s">
        <v>1024</v>
      </c>
      <c r="H1615" s="510">
        <v>1</v>
      </c>
      <c r="I1615" s="510"/>
      <c r="J1615" s="511">
        <v>0.11</v>
      </c>
      <c r="K1615" s="511"/>
      <c r="L1615" s="367">
        <f t="shared" si="29"/>
        <v>0.11</v>
      </c>
    </row>
    <row r="1616" spans="1:12" ht="21" customHeight="1" x14ac:dyDescent="0.25">
      <c r="A1616" s="181" t="s">
        <v>2346</v>
      </c>
      <c r="B1616" s="509" t="s">
        <v>2347</v>
      </c>
      <c r="C1616" s="509"/>
      <c r="D1616" s="481" t="s">
        <v>82</v>
      </c>
      <c r="E1616" s="481"/>
      <c r="F1616" s="481"/>
      <c r="G1616" s="231" t="s">
        <v>1024</v>
      </c>
      <c r="H1616" s="510">
        <v>1</v>
      </c>
      <c r="I1616" s="510"/>
      <c r="J1616" s="511">
        <v>0.66</v>
      </c>
      <c r="K1616" s="511"/>
      <c r="L1616" s="367">
        <f t="shared" si="29"/>
        <v>0.66</v>
      </c>
    </row>
    <row r="1617" spans="1:12" ht="15" customHeight="1" x14ac:dyDescent="0.25">
      <c r="A1617" s="182"/>
      <c r="B1617" s="183"/>
      <c r="C1617" s="183"/>
      <c r="D1617" s="183"/>
      <c r="E1617" s="183"/>
      <c r="F1617" s="183"/>
      <c r="G1617" s="183"/>
      <c r="H1617" s="477" t="s">
        <v>1938</v>
      </c>
      <c r="I1617" s="477"/>
      <c r="J1617" s="477"/>
      <c r="K1617" s="477"/>
      <c r="L1617" s="368">
        <f>SUM(L1611:L1616)</f>
        <v>11.98</v>
      </c>
    </row>
    <row r="1618" spans="1:12" ht="15" customHeight="1" x14ac:dyDescent="0.25">
      <c r="A1618" s="474" t="s">
        <v>1827</v>
      </c>
      <c r="B1618" s="475"/>
      <c r="C1618" s="475"/>
      <c r="D1618" s="476" t="s">
        <v>42</v>
      </c>
      <c r="E1618" s="476"/>
      <c r="F1618" s="476"/>
      <c r="G1618" s="230" t="s">
        <v>44</v>
      </c>
      <c r="H1618" s="476" t="s">
        <v>1813</v>
      </c>
      <c r="I1618" s="476"/>
      <c r="J1618" s="476" t="s">
        <v>1814</v>
      </c>
      <c r="K1618" s="476"/>
      <c r="L1618" s="366" t="s">
        <v>1802</v>
      </c>
    </row>
    <row r="1619" spans="1:12" ht="15" customHeight="1" x14ac:dyDescent="0.25">
      <c r="A1619" s="181" t="s">
        <v>2626</v>
      </c>
      <c r="B1619" s="509" t="s">
        <v>2627</v>
      </c>
      <c r="C1619" s="509"/>
      <c r="D1619" s="481" t="s">
        <v>82</v>
      </c>
      <c r="E1619" s="481"/>
      <c r="F1619" s="481"/>
      <c r="G1619" s="231" t="s">
        <v>1024</v>
      </c>
      <c r="H1619" s="510">
        <v>1</v>
      </c>
      <c r="I1619" s="510"/>
      <c r="J1619" s="511">
        <v>23.81</v>
      </c>
      <c r="K1619" s="511"/>
      <c r="L1619" s="367">
        <f>TRUNC(TRUNC(H1619,8)*J1619,2)</f>
        <v>23.81</v>
      </c>
    </row>
    <row r="1620" spans="1:12" ht="15" customHeight="1" x14ac:dyDescent="0.25">
      <c r="A1620" s="182"/>
      <c r="B1620" s="183"/>
      <c r="C1620" s="183"/>
      <c r="D1620" s="183"/>
      <c r="E1620" s="183"/>
      <c r="F1620" s="183"/>
      <c r="G1620" s="183"/>
      <c r="H1620" s="477" t="s">
        <v>1832</v>
      </c>
      <c r="I1620" s="477"/>
      <c r="J1620" s="477"/>
      <c r="K1620" s="477"/>
      <c r="L1620" s="368">
        <f>SUM(L1619:L1619)</f>
        <v>23.81</v>
      </c>
    </row>
    <row r="1621" spans="1:12" ht="15" customHeight="1" x14ac:dyDescent="0.25">
      <c r="A1621" s="474" t="s">
        <v>1912</v>
      </c>
      <c r="B1621" s="475"/>
      <c r="C1621" s="475"/>
      <c r="D1621" s="476" t="s">
        <v>42</v>
      </c>
      <c r="E1621" s="476"/>
      <c r="F1621" s="476"/>
      <c r="G1621" s="230" t="s">
        <v>44</v>
      </c>
      <c r="H1621" s="476" t="s">
        <v>1813</v>
      </c>
      <c r="I1621" s="476"/>
      <c r="J1621" s="476" t="s">
        <v>1814</v>
      </c>
      <c r="K1621" s="476"/>
      <c r="L1621" s="366" t="s">
        <v>1802</v>
      </c>
    </row>
    <row r="1622" spans="1:12" ht="21" customHeight="1" x14ac:dyDescent="0.25">
      <c r="A1622" s="181" t="s">
        <v>2971</v>
      </c>
      <c r="B1622" s="509" t="s">
        <v>2972</v>
      </c>
      <c r="C1622" s="509"/>
      <c r="D1622" s="481" t="s">
        <v>82</v>
      </c>
      <c r="E1622" s="481"/>
      <c r="F1622" s="481"/>
      <c r="G1622" s="231" t="s">
        <v>1024</v>
      </c>
      <c r="H1622" s="510">
        <v>1</v>
      </c>
      <c r="I1622" s="510"/>
      <c r="J1622" s="511">
        <v>0.5</v>
      </c>
      <c r="K1622" s="511"/>
      <c r="L1622" s="367">
        <f>TRUNC(TRUNC(H1622,8)*J1622,2)</f>
        <v>0.5</v>
      </c>
    </row>
    <row r="1623" spans="1:12" ht="15" customHeight="1" x14ac:dyDescent="0.25">
      <c r="A1623" s="182"/>
      <c r="B1623" s="183"/>
      <c r="C1623" s="183"/>
      <c r="D1623" s="183"/>
      <c r="E1623" s="183"/>
      <c r="F1623" s="183"/>
      <c r="G1623" s="183"/>
      <c r="H1623" s="477" t="s">
        <v>1915</v>
      </c>
      <c r="I1623" s="477"/>
      <c r="J1623" s="477"/>
      <c r="K1623" s="477"/>
      <c r="L1623" s="368">
        <f>SUM(L1622:L1622)</f>
        <v>0.5</v>
      </c>
    </row>
    <row r="1624" spans="1:12" ht="15" customHeight="1" x14ac:dyDescent="0.25">
      <c r="A1624" s="182"/>
      <c r="B1624" s="183"/>
      <c r="C1624" s="183"/>
      <c r="D1624" s="183"/>
      <c r="E1624" s="183"/>
      <c r="F1624" s="183"/>
      <c r="G1624" s="183"/>
      <c r="H1624" s="482" t="s">
        <v>1834</v>
      </c>
      <c r="I1624" s="482"/>
      <c r="J1624" s="482"/>
      <c r="K1624" s="482"/>
      <c r="L1624" s="369">
        <f>ROUND(SUM(L1617,L1620,L1623),2)</f>
        <v>36.29</v>
      </c>
    </row>
    <row r="1625" spans="1:12" ht="9.9499999999999993" customHeight="1" x14ac:dyDescent="0.25">
      <c r="A1625" s="182"/>
      <c r="B1625" s="183"/>
      <c r="C1625" s="183"/>
      <c r="D1625" s="183"/>
      <c r="E1625" s="183"/>
      <c r="F1625" s="183"/>
      <c r="G1625" s="183"/>
      <c r="H1625" s="485"/>
      <c r="I1625" s="485"/>
      <c r="J1625" s="485"/>
      <c r="K1625" s="485"/>
      <c r="L1625" s="512"/>
    </row>
    <row r="1626" spans="1:12" ht="20.100000000000001" customHeight="1" x14ac:dyDescent="0.25">
      <c r="A1626" s="486" t="s">
        <v>2973</v>
      </c>
      <c r="B1626" s="487"/>
      <c r="C1626" s="487"/>
      <c r="D1626" s="487"/>
      <c r="E1626" s="487"/>
      <c r="F1626" s="487"/>
      <c r="G1626" s="487"/>
      <c r="H1626" s="487"/>
      <c r="I1626" s="487"/>
      <c r="J1626" s="487"/>
      <c r="K1626" s="487"/>
      <c r="L1626" s="513"/>
    </row>
    <row r="1627" spans="1:12" ht="15" customHeight="1" x14ac:dyDescent="0.25">
      <c r="A1627" s="474" t="s">
        <v>1932</v>
      </c>
      <c r="B1627" s="475"/>
      <c r="C1627" s="475"/>
      <c r="D1627" s="476" t="s">
        <v>42</v>
      </c>
      <c r="E1627" s="476"/>
      <c r="F1627" s="476"/>
      <c r="G1627" s="230" t="s">
        <v>44</v>
      </c>
      <c r="H1627" s="476" t="s">
        <v>1813</v>
      </c>
      <c r="I1627" s="476"/>
      <c r="J1627" s="476" t="s">
        <v>1814</v>
      </c>
      <c r="K1627" s="476"/>
      <c r="L1627" s="366" t="s">
        <v>1802</v>
      </c>
    </row>
    <row r="1628" spans="1:12" ht="21" customHeight="1" x14ac:dyDescent="0.25">
      <c r="A1628" s="181" t="s">
        <v>2336</v>
      </c>
      <c r="B1628" s="509" t="s">
        <v>2337</v>
      </c>
      <c r="C1628" s="509"/>
      <c r="D1628" s="481" t="s">
        <v>82</v>
      </c>
      <c r="E1628" s="481"/>
      <c r="F1628" s="481"/>
      <c r="G1628" s="231" t="s">
        <v>1024</v>
      </c>
      <c r="H1628" s="510">
        <v>1</v>
      </c>
      <c r="I1628" s="510"/>
      <c r="J1628" s="511">
        <v>7.63</v>
      </c>
      <c r="K1628" s="511"/>
      <c r="L1628" s="367">
        <f t="shared" ref="L1628:L1633" si="30">TRUNC(TRUNC(H1628,8)*J1628,2)</f>
        <v>7.63</v>
      </c>
    </row>
    <row r="1629" spans="1:12" ht="21" customHeight="1" x14ac:dyDescent="0.25">
      <c r="A1629" s="181" t="s">
        <v>2974</v>
      </c>
      <c r="B1629" s="509" t="s">
        <v>2975</v>
      </c>
      <c r="C1629" s="509"/>
      <c r="D1629" s="481" t="s">
        <v>82</v>
      </c>
      <c r="E1629" s="481"/>
      <c r="F1629" s="481"/>
      <c r="G1629" s="231" t="s">
        <v>1024</v>
      </c>
      <c r="H1629" s="510">
        <v>1</v>
      </c>
      <c r="I1629" s="510"/>
      <c r="J1629" s="511">
        <v>1.63</v>
      </c>
      <c r="K1629" s="511"/>
      <c r="L1629" s="367">
        <f t="shared" si="30"/>
        <v>1.63</v>
      </c>
    </row>
    <row r="1630" spans="1:12" ht="21" customHeight="1" x14ac:dyDescent="0.25">
      <c r="A1630" s="181" t="s">
        <v>2340</v>
      </c>
      <c r="B1630" s="509" t="s">
        <v>2341</v>
      </c>
      <c r="C1630" s="509"/>
      <c r="D1630" s="481" t="s">
        <v>82</v>
      </c>
      <c r="E1630" s="481"/>
      <c r="F1630" s="481"/>
      <c r="G1630" s="231" t="s">
        <v>1024</v>
      </c>
      <c r="H1630" s="510">
        <v>1</v>
      </c>
      <c r="I1630" s="510"/>
      <c r="J1630" s="511">
        <v>1.62</v>
      </c>
      <c r="K1630" s="511"/>
      <c r="L1630" s="367">
        <f t="shared" si="30"/>
        <v>1.62</v>
      </c>
    </row>
    <row r="1631" spans="1:12" ht="21" customHeight="1" x14ac:dyDescent="0.25">
      <c r="A1631" s="181" t="s">
        <v>2976</v>
      </c>
      <c r="B1631" s="509" t="s">
        <v>2977</v>
      </c>
      <c r="C1631" s="509"/>
      <c r="D1631" s="481" t="s">
        <v>82</v>
      </c>
      <c r="E1631" s="481"/>
      <c r="F1631" s="481"/>
      <c r="G1631" s="231" t="s">
        <v>1024</v>
      </c>
      <c r="H1631" s="510">
        <v>1</v>
      </c>
      <c r="I1631" s="510"/>
      <c r="J1631" s="511">
        <v>1.95</v>
      </c>
      <c r="K1631" s="511"/>
      <c r="L1631" s="367">
        <f t="shared" si="30"/>
        <v>1.95</v>
      </c>
    </row>
    <row r="1632" spans="1:12" ht="21" customHeight="1" x14ac:dyDescent="0.25">
      <c r="A1632" s="181" t="s">
        <v>2344</v>
      </c>
      <c r="B1632" s="509" t="s">
        <v>2345</v>
      </c>
      <c r="C1632" s="509"/>
      <c r="D1632" s="481" t="s">
        <v>82</v>
      </c>
      <c r="E1632" s="481"/>
      <c r="F1632" s="481"/>
      <c r="G1632" s="231" t="s">
        <v>1024</v>
      </c>
      <c r="H1632" s="510">
        <v>1</v>
      </c>
      <c r="I1632" s="510"/>
      <c r="J1632" s="511">
        <v>0.11</v>
      </c>
      <c r="K1632" s="511"/>
      <c r="L1632" s="367">
        <f t="shared" si="30"/>
        <v>0.11</v>
      </c>
    </row>
    <row r="1633" spans="1:12" ht="21" customHeight="1" x14ac:dyDescent="0.25">
      <c r="A1633" s="181" t="s">
        <v>2346</v>
      </c>
      <c r="B1633" s="509" t="s">
        <v>2347</v>
      </c>
      <c r="C1633" s="509"/>
      <c r="D1633" s="481" t="s">
        <v>82</v>
      </c>
      <c r="E1633" s="481"/>
      <c r="F1633" s="481"/>
      <c r="G1633" s="231" t="s">
        <v>1024</v>
      </c>
      <c r="H1633" s="510">
        <v>1</v>
      </c>
      <c r="I1633" s="510"/>
      <c r="J1633" s="511">
        <v>0.66</v>
      </c>
      <c r="K1633" s="511"/>
      <c r="L1633" s="367">
        <f t="shared" si="30"/>
        <v>0.66</v>
      </c>
    </row>
    <row r="1634" spans="1:12" ht="15" customHeight="1" x14ac:dyDescent="0.25">
      <c r="A1634" s="182"/>
      <c r="B1634" s="183"/>
      <c r="C1634" s="183"/>
      <c r="D1634" s="183"/>
      <c r="E1634" s="183"/>
      <c r="F1634" s="183"/>
      <c r="G1634" s="183"/>
      <c r="H1634" s="477" t="s">
        <v>1938</v>
      </c>
      <c r="I1634" s="477"/>
      <c r="J1634" s="477"/>
      <c r="K1634" s="477"/>
      <c r="L1634" s="368">
        <f>SUM(L1628:L1633)</f>
        <v>13.599999999999998</v>
      </c>
    </row>
    <row r="1635" spans="1:12" ht="15" customHeight="1" x14ac:dyDescent="0.25">
      <c r="A1635" s="474" t="s">
        <v>1827</v>
      </c>
      <c r="B1635" s="475"/>
      <c r="C1635" s="475"/>
      <c r="D1635" s="476" t="s">
        <v>42</v>
      </c>
      <c r="E1635" s="476"/>
      <c r="F1635" s="476"/>
      <c r="G1635" s="230" t="s">
        <v>44</v>
      </c>
      <c r="H1635" s="476" t="s">
        <v>1813</v>
      </c>
      <c r="I1635" s="476"/>
      <c r="J1635" s="476" t="s">
        <v>1814</v>
      </c>
      <c r="K1635" s="476"/>
      <c r="L1635" s="366" t="s">
        <v>1802</v>
      </c>
    </row>
    <row r="1636" spans="1:12" ht="15" customHeight="1" x14ac:dyDescent="0.25">
      <c r="A1636" s="181" t="s">
        <v>2629</v>
      </c>
      <c r="B1636" s="509" t="s">
        <v>2630</v>
      </c>
      <c r="C1636" s="509"/>
      <c r="D1636" s="481" t="s">
        <v>82</v>
      </c>
      <c r="E1636" s="481"/>
      <c r="F1636" s="481"/>
      <c r="G1636" s="231" t="s">
        <v>1024</v>
      </c>
      <c r="H1636" s="510">
        <v>1</v>
      </c>
      <c r="I1636" s="510"/>
      <c r="J1636" s="511">
        <v>26.02</v>
      </c>
      <c r="K1636" s="511"/>
      <c r="L1636" s="367">
        <f>TRUNC(TRUNC(H1636,8)*J1636,2)</f>
        <v>26.02</v>
      </c>
    </row>
    <row r="1637" spans="1:12" ht="15" customHeight="1" x14ac:dyDescent="0.25">
      <c r="A1637" s="182"/>
      <c r="B1637" s="183"/>
      <c r="C1637" s="183"/>
      <c r="D1637" s="183"/>
      <c r="E1637" s="183"/>
      <c r="F1637" s="183"/>
      <c r="G1637" s="183"/>
      <c r="H1637" s="477" t="s">
        <v>1832</v>
      </c>
      <c r="I1637" s="477"/>
      <c r="J1637" s="477"/>
      <c r="K1637" s="477"/>
      <c r="L1637" s="368">
        <f>SUM(L1636:L1636)</f>
        <v>26.02</v>
      </c>
    </row>
    <row r="1638" spans="1:12" ht="15" customHeight="1" x14ac:dyDescent="0.25">
      <c r="A1638" s="474" t="s">
        <v>1912</v>
      </c>
      <c r="B1638" s="475"/>
      <c r="C1638" s="475"/>
      <c r="D1638" s="476" t="s">
        <v>42</v>
      </c>
      <c r="E1638" s="476"/>
      <c r="F1638" s="476"/>
      <c r="G1638" s="230" t="s">
        <v>44</v>
      </c>
      <c r="H1638" s="476" t="s">
        <v>1813</v>
      </c>
      <c r="I1638" s="476"/>
      <c r="J1638" s="476" t="s">
        <v>1814</v>
      </c>
      <c r="K1638" s="476"/>
      <c r="L1638" s="366" t="s">
        <v>1802</v>
      </c>
    </row>
    <row r="1639" spans="1:12" ht="21" customHeight="1" x14ac:dyDescent="0.25">
      <c r="A1639" s="181" t="s">
        <v>2978</v>
      </c>
      <c r="B1639" s="509" t="s">
        <v>2979</v>
      </c>
      <c r="C1639" s="509"/>
      <c r="D1639" s="481" t="s">
        <v>82</v>
      </c>
      <c r="E1639" s="481"/>
      <c r="F1639" s="481"/>
      <c r="G1639" s="231" t="s">
        <v>1024</v>
      </c>
      <c r="H1639" s="510">
        <v>1</v>
      </c>
      <c r="I1639" s="510"/>
      <c r="J1639" s="511">
        <v>0.38</v>
      </c>
      <c r="K1639" s="511"/>
      <c r="L1639" s="367">
        <f>TRUNC(TRUNC(H1639,8)*J1639,2)</f>
        <v>0.38</v>
      </c>
    </row>
    <row r="1640" spans="1:12" ht="15" customHeight="1" x14ac:dyDescent="0.25">
      <c r="A1640" s="182"/>
      <c r="B1640" s="183"/>
      <c r="C1640" s="183"/>
      <c r="D1640" s="183"/>
      <c r="E1640" s="183"/>
      <c r="F1640" s="183"/>
      <c r="G1640" s="183"/>
      <c r="H1640" s="477" t="s">
        <v>1915</v>
      </c>
      <c r="I1640" s="477"/>
      <c r="J1640" s="477"/>
      <c r="K1640" s="477"/>
      <c r="L1640" s="368">
        <f>SUM(L1639:L1639)</f>
        <v>0.38</v>
      </c>
    </row>
    <row r="1641" spans="1:12" ht="15" customHeight="1" x14ac:dyDescent="0.25">
      <c r="A1641" s="182"/>
      <c r="B1641" s="183"/>
      <c r="C1641" s="183"/>
      <c r="D1641" s="183"/>
      <c r="E1641" s="183"/>
      <c r="F1641" s="183"/>
      <c r="G1641" s="183"/>
      <c r="H1641" s="482" t="s">
        <v>1834</v>
      </c>
      <c r="I1641" s="482"/>
      <c r="J1641" s="482"/>
      <c r="K1641" s="482"/>
      <c r="L1641" s="369">
        <f>ROUND(SUM(L1634,L1637,L1640),2)</f>
        <v>40</v>
      </c>
    </row>
    <row r="1642" spans="1:12" ht="9.9499999999999993" customHeight="1" x14ac:dyDescent="0.25">
      <c r="A1642" s="182"/>
      <c r="B1642" s="183"/>
      <c r="C1642" s="183"/>
      <c r="D1642" s="183"/>
      <c r="E1642" s="183"/>
      <c r="F1642" s="183"/>
      <c r="G1642" s="183"/>
      <c r="H1642" s="485"/>
      <c r="I1642" s="485"/>
      <c r="J1642" s="485"/>
      <c r="K1642" s="485"/>
      <c r="L1642" s="512"/>
    </row>
    <row r="1643" spans="1:12" ht="20.100000000000001" customHeight="1" x14ac:dyDescent="0.25">
      <c r="A1643" s="486" t="s">
        <v>2980</v>
      </c>
      <c r="B1643" s="487"/>
      <c r="C1643" s="487"/>
      <c r="D1643" s="487"/>
      <c r="E1643" s="487"/>
      <c r="F1643" s="487"/>
      <c r="G1643" s="487"/>
      <c r="H1643" s="487"/>
      <c r="I1643" s="487"/>
      <c r="J1643" s="487"/>
      <c r="K1643" s="487"/>
      <c r="L1643" s="513"/>
    </row>
    <row r="1644" spans="1:12" ht="15" customHeight="1" x14ac:dyDescent="0.25">
      <c r="A1644" s="474" t="s">
        <v>1812</v>
      </c>
      <c r="B1644" s="475"/>
      <c r="C1644" s="475"/>
      <c r="D1644" s="476" t="s">
        <v>42</v>
      </c>
      <c r="E1644" s="476"/>
      <c r="F1644" s="476"/>
      <c r="G1644" s="230" t="s">
        <v>44</v>
      </c>
      <c r="H1644" s="476" t="s">
        <v>1813</v>
      </c>
      <c r="I1644" s="476"/>
      <c r="J1644" s="476" t="s">
        <v>1814</v>
      </c>
      <c r="K1644" s="476"/>
      <c r="L1644" s="366" t="s">
        <v>1802</v>
      </c>
    </row>
    <row r="1645" spans="1:12" ht="15" customHeight="1" x14ac:dyDescent="0.25">
      <c r="A1645" s="181" t="s">
        <v>2981</v>
      </c>
      <c r="B1645" s="509" t="s">
        <v>2106</v>
      </c>
      <c r="C1645" s="509"/>
      <c r="D1645" s="481" t="s">
        <v>1859</v>
      </c>
      <c r="E1645" s="481"/>
      <c r="F1645" s="481"/>
      <c r="G1645" s="231" t="s">
        <v>1817</v>
      </c>
      <c r="H1645" s="528">
        <v>1</v>
      </c>
      <c r="I1645" s="528"/>
      <c r="J1645" s="529">
        <v>15</v>
      </c>
      <c r="K1645" s="529"/>
      <c r="L1645" s="376">
        <f>TRUNC(TRUNC(H1645,7)*J1645,4)</f>
        <v>15</v>
      </c>
    </row>
    <row r="1646" spans="1:12" ht="15" customHeight="1" x14ac:dyDescent="0.25">
      <c r="A1646" s="182"/>
      <c r="B1646" s="183"/>
      <c r="C1646" s="183"/>
      <c r="D1646" s="183"/>
      <c r="E1646" s="183"/>
      <c r="F1646" s="183"/>
      <c r="G1646" s="183"/>
      <c r="H1646" s="477" t="s">
        <v>1826</v>
      </c>
      <c r="I1646" s="477"/>
      <c r="J1646" s="477"/>
      <c r="K1646" s="477"/>
      <c r="L1646" s="377">
        <f>SUM(L1645:L1645)</f>
        <v>15</v>
      </c>
    </row>
    <row r="1647" spans="1:12" ht="15" customHeight="1" x14ac:dyDescent="0.25">
      <c r="A1647" s="182"/>
      <c r="B1647" s="183"/>
      <c r="C1647" s="183"/>
      <c r="D1647" s="183"/>
      <c r="E1647" s="183"/>
      <c r="F1647" s="183"/>
      <c r="G1647" s="183"/>
      <c r="H1647" s="482" t="s">
        <v>1834</v>
      </c>
      <c r="I1647" s="482"/>
      <c r="J1647" s="482"/>
      <c r="K1647" s="482"/>
      <c r="L1647" s="369">
        <f>ROUND(SUM(L1646),2)</f>
        <v>15</v>
      </c>
    </row>
    <row r="1648" spans="1:12" ht="9.9499999999999993" customHeight="1" x14ac:dyDescent="0.25">
      <c r="A1648" s="182"/>
      <c r="B1648" s="183"/>
      <c r="C1648" s="183"/>
      <c r="D1648" s="183"/>
      <c r="E1648" s="183"/>
      <c r="F1648" s="183"/>
      <c r="G1648" s="183"/>
      <c r="H1648" s="485"/>
      <c r="I1648" s="485"/>
      <c r="J1648" s="485"/>
      <c r="K1648" s="485"/>
      <c r="L1648" s="512"/>
    </row>
    <row r="1649" spans="1:12" ht="20.100000000000001" customHeight="1" x14ac:dyDescent="0.25">
      <c r="A1649" s="486" t="s">
        <v>2982</v>
      </c>
      <c r="B1649" s="487"/>
      <c r="C1649" s="487"/>
      <c r="D1649" s="487"/>
      <c r="E1649" s="487"/>
      <c r="F1649" s="487"/>
      <c r="G1649" s="487"/>
      <c r="H1649" s="487"/>
      <c r="I1649" s="487"/>
      <c r="J1649" s="487"/>
      <c r="K1649" s="487"/>
      <c r="L1649" s="513"/>
    </row>
    <row r="1650" spans="1:12" ht="15" customHeight="1" x14ac:dyDescent="0.25">
      <c r="A1650" s="474" t="s">
        <v>1812</v>
      </c>
      <c r="B1650" s="475"/>
      <c r="C1650" s="475"/>
      <c r="D1650" s="476" t="s">
        <v>42</v>
      </c>
      <c r="E1650" s="476"/>
      <c r="F1650" s="476"/>
      <c r="G1650" s="230" t="s">
        <v>44</v>
      </c>
      <c r="H1650" s="476" t="s">
        <v>1813</v>
      </c>
      <c r="I1650" s="476"/>
      <c r="J1650" s="476" t="s">
        <v>1814</v>
      </c>
      <c r="K1650" s="476"/>
      <c r="L1650" s="366" t="s">
        <v>1802</v>
      </c>
    </row>
    <row r="1651" spans="1:12" ht="15" customHeight="1" x14ac:dyDescent="0.25">
      <c r="A1651" s="181" t="s">
        <v>2983</v>
      </c>
      <c r="B1651" s="509" t="s">
        <v>2984</v>
      </c>
      <c r="C1651" s="509"/>
      <c r="D1651" s="481" t="s">
        <v>82</v>
      </c>
      <c r="E1651" s="481"/>
      <c r="F1651" s="481"/>
      <c r="G1651" s="231" t="s">
        <v>1006</v>
      </c>
      <c r="H1651" s="510">
        <v>1.2999999999999999E-2</v>
      </c>
      <c r="I1651" s="510"/>
      <c r="J1651" s="511">
        <v>21.68</v>
      </c>
      <c r="K1651" s="511"/>
      <c r="L1651" s="367">
        <f>TRUNC(TRUNC(H1651,8)*J1651,2)</f>
        <v>0.28000000000000003</v>
      </c>
    </row>
    <row r="1652" spans="1:12" ht="15" customHeight="1" x14ac:dyDescent="0.25">
      <c r="A1652" s="181" t="s">
        <v>2985</v>
      </c>
      <c r="B1652" s="509" t="s">
        <v>2986</v>
      </c>
      <c r="C1652" s="509"/>
      <c r="D1652" s="481" t="s">
        <v>82</v>
      </c>
      <c r="E1652" s="481"/>
      <c r="F1652" s="481"/>
      <c r="G1652" s="231" t="s">
        <v>1006</v>
      </c>
      <c r="H1652" s="510">
        <v>0.13</v>
      </c>
      <c r="I1652" s="510"/>
      <c r="J1652" s="511">
        <v>46.3</v>
      </c>
      <c r="K1652" s="511"/>
      <c r="L1652" s="367">
        <f>TRUNC(TRUNC(H1652,8)*J1652,2)</f>
        <v>6.01</v>
      </c>
    </row>
    <row r="1653" spans="1:12" ht="15" customHeight="1" x14ac:dyDescent="0.25">
      <c r="A1653" s="182"/>
      <c r="B1653" s="183"/>
      <c r="C1653" s="183"/>
      <c r="D1653" s="183"/>
      <c r="E1653" s="183"/>
      <c r="F1653" s="183"/>
      <c r="G1653" s="183"/>
      <c r="H1653" s="477" t="s">
        <v>1826</v>
      </c>
      <c r="I1653" s="477"/>
      <c r="J1653" s="477"/>
      <c r="K1653" s="477"/>
      <c r="L1653" s="368">
        <f>SUM(L1651:L1652)</f>
        <v>6.29</v>
      </c>
    </row>
    <row r="1654" spans="1:12" ht="15" customHeight="1" x14ac:dyDescent="0.25">
      <c r="A1654" s="474" t="s">
        <v>2190</v>
      </c>
      <c r="B1654" s="475"/>
      <c r="C1654" s="475"/>
      <c r="D1654" s="476" t="s">
        <v>42</v>
      </c>
      <c r="E1654" s="476"/>
      <c r="F1654" s="476"/>
      <c r="G1654" s="230" t="s">
        <v>44</v>
      </c>
      <c r="H1654" s="476" t="s">
        <v>1813</v>
      </c>
      <c r="I1654" s="476"/>
      <c r="J1654" s="476" t="s">
        <v>1814</v>
      </c>
      <c r="K1654" s="476"/>
      <c r="L1654" s="366" t="s">
        <v>1802</v>
      </c>
    </row>
    <row r="1655" spans="1:12" ht="15" customHeight="1" x14ac:dyDescent="0.25">
      <c r="A1655" s="181" t="s">
        <v>2987</v>
      </c>
      <c r="B1655" s="509" t="s">
        <v>2988</v>
      </c>
      <c r="C1655" s="509"/>
      <c r="D1655" s="481" t="s">
        <v>82</v>
      </c>
      <c r="E1655" s="481"/>
      <c r="F1655" s="481"/>
      <c r="G1655" s="231" t="s">
        <v>1024</v>
      </c>
      <c r="H1655" s="510">
        <v>0.3805</v>
      </c>
      <c r="I1655" s="510"/>
      <c r="J1655" s="511">
        <v>40</v>
      </c>
      <c r="K1655" s="511"/>
      <c r="L1655" s="367">
        <f>TRUNC(TRUNC(H1655,8)*J1655,2)</f>
        <v>15.22</v>
      </c>
    </row>
    <row r="1656" spans="1:12" ht="18" customHeight="1" x14ac:dyDescent="0.25">
      <c r="A1656" s="182"/>
      <c r="B1656" s="183"/>
      <c r="C1656" s="183"/>
      <c r="D1656" s="183"/>
      <c r="E1656" s="183"/>
      <c r="F1656" s="183"/>
      <c r="G1656" s="183"/>
      <c r="H1656" s="477" t="s">
        <v>2195</v>
      </c>
      <c r="I1656" s="477"/>
      <c r="J1656" s="477"/>
      <c r="K1656" s="477"/>
      <c r="L1656" s="368">
        <f>SUM(L1655:L1655)</f>
        <v>15.22</v>
      </c>
    </row>
    <row r="1657" spans="1:12" ht="15" customHeight="1" x14ac:dyDescent="0.25">
      <c r="A1657" s="182"/>
      <c r="B1657" s="183"/>
      <c r="C1657" s="183"/>
      <c r="D1657" s="183"/>
      <c r="E1657" s="183"/>
      <c r="F1657" s="183"/>
      <c r="G1657" s="183"/>
      <c r="H1657" s="482" t="s">
        <v>1834</v>
      </c>
      <c r="I1657" s="482"/>
      <c r="J1657" s="482"/>
      <c r="K1657" s="482"/>
      <c r="L1657" s="369">
        <f>ROUND(SUM(L1653,L1656),2)</f>
        <v>21.51</v>
      </c>
    </row>
    <row r="1658" spans="1:12" ht="9.9499999999999993" customHeight="1" x14ac:dyDescent="0.25">
      <c r="A1658" s="182"/>
      <c r="B1658" s="183"/>
      <c r="C1658" s="183"/>
      <c r="D1658" s="183"/>
      <c r="E1658" s="183"/>
      <c r="F1658" s="183"/>
      <c r="G1658" s="183"/>
      <c r="H1658" s="485"/>
      <c r="I1658" s="485"/>
      <c r="J1658" s="485"/>
      <c r="K1658" s="485"/>
      <c r="L1658" s="512"/>
    </row>
    <row r="1659" spans="1:12" ht="20.100000000000001" customHeight="1" x14ac:dyDescent="0.25">
      <c r="A1659" s="486" t="s">
        <v>2989</v>
      </c>
      <c r="B1659" s="487"/>
      <c r="C1659" s="487"/>
      <c r="D1659" s="487"/>
      <c r="E1659" s="487"/>
      <c r="F1659" s="487"/>
      <c r="G1659" s="487"/>
      <c r="H1659" s="487"/>
      <c r="I1659" s="487"/>
      <c r="J1659" s="487"/>
      <c r="K1659" s="487"/>
      <c r="L1659" s="513"/>
    </row>
    <row r="1660" spans="1:12" ht="15" customHeight="1" x14ac:dyDescent="0.25">
      <c r="A1660" s="474" t="s">
        <v>1812</v>
      </c>
      <c r="B1660" s="475"/>
      <c r="C1660" s="475"/>
      <c r="D1660" s="476" t="s">
        <v>42</v>
      </c>
      <c r="E1660" s="476"/>
      <c r="F1660" s="476"/>
      <c r="G1660" s="230" t="s">
        <v>44</v>
      </c>
      <c r="H1660" s="476" t="s">
        <v>1813</v>
      </c>
      <c r="I1660" s="476"/>
      <c r="J1660" s="476" t="s">
        <v>1814</v>
      </c>
      <c r="K1660" s="476"/>
      <c r="L1660" s="366" t="s">
        <v>1802</v>
      </c>
    </row>
    <row r="1661" spans="1:12" ht="15" customHeight="1" x14ac:dyDescent="0.25">
      <c r="A1661" s="181" t="s">
        <v>2990</v>
      </c>
      <c r="B1661" s="509" t="s">
        <v>2991</v>
      </c>
      <c r="C1661" s="509"/>
      <c r="D1661" s="481" t="s">
        <v>82</v>
      </c>
      <c r="E1661" s="481"/>
      <c r="F1661" s="481"/>
      <c r="G1661" s="231" t="s">
        <v>1817</v>
      </c>
      <c r="H1661" s="510">
        <v>8.6199999999999992</v>
      </c>
      <c r="I1661" s="510"/>
      <c r="J1661" s="511">
        <v>1.34</v>
      </c>
      <c r="K1661" s="511"/>
      <c r="L1661" s="367">
        <f>TRUNC(TRUNC(H1661,8)*J1661,2)</f>
        <v>11.55</v>
      </c>
    </row>
    <row r="1662" spans="1:12" ht="29.1" customHeight="1" x14ac:dyDescent="0.25">
      <c r="A1662" s="181" t="s">
        <v>2992</v>
      </c>
      <c r="B1662" s="509" t="s">
        <v>2993</v>
      </c>
      <c r="C1662" s="509"/>
      <c r="D1662" s="481" t="s">
        <v>82</v>
      </c>
      <c r="E1662" s="481"/>
      <c r="F1662" s="481"/>
      <c r="G1662" s="231" t="s">
        <v>226</v>
      </c>
      <c r="H1662" s="510">
        <v>6.4375</v>
      </c>
      <c r="I1662" s="510"/>
      <c r="J1662" s="511">
        <v>17.100000000000001</v>
      </c>
      <c r="K1662" s="511"/>
      <c r="L1662" s="367">
        <f>TRUNC(TRUNC(H1662,8)*J1662,2)</f>
        <v>110.08</v>
      </c>
    </row>
    <row r="1663" spans="1:12" ht="15" customHeight="1" x14ac:dyDescent="0.25">
      <c r="A1663" s="181" t="s">
        <v>2994</v>
      </c>
      <c r="B1663" s="509" t="s">
        <v>2995</v>
      </c>
      <c r="C1663" s="509"/>
      <c r="D1663" s="481" t="s">
        <v>82</v>
      </c>
      <c r="E1663" s="481"/>
      <c r="F1663" s="481"/>
      <c r="G1663" s="231" t="s">
        <v>1817</v>
      </c>
      <c r="H1663" s="510">
        <v>0.24</v>
      </c>
      <c r="I1663" s="510"/>
      <c r="J1663" s="511">
        <v>4.22</v>
      </c>
      <c r="K1663" s="511"/>
      <c r="L1663" s="367">
        <f>TRUNC(TRUNC(H1663,8)*J1663,2)</f>
        <v>1.01</v>
      </c>
    </row>
    <row r="1664" spans="1:12" ht="15" customHeight="1" x14ac:dyDescent="0.25">
      <c r="A1664" s="182"/>
      <c r="B1664" s="183"/>
      <c r="C1664" s="183"/>
      <c r="D1664" s="183"/>
      <c r="E1664" s="183"/>
      <c r="F1664" s="183"/>
      <c r="G1664" s="183"/>
      <c r="H1664" s="477" t="s">
        <v>1826</v>
      </c>
      <c r="I1664" s="477"/>
      <c r="J1664" s="477"/>
      <c r="K1664" s="477"/>
      <c r="L1664" s="368">
        <f>SUM(L1661:L1663)</f>
        <v>122.64</v>
      </c>
    </row>
    <row r="1665" spans="1:12" ht="15" customHeight="1" x14ac:dyDescent="0.25">
      <c r="A1665" s="474" t="s">
        <v>2190</v>
      </c>
      <c r="B1665" s="475"/>
      <c r="C1665" s="475"/>
      <c r="D1665" s="476" t="s">
        <v>42</v>
      </c>
      <c r="E1665" s="476"/>
      <c r="F1665" s="476"/>
      <c r="G1665" s="230" t="s">
        <v>44</v>
      </c>
      <c r="H1665" s="476" t="s">
        <v>1813</v>
      </c>
      <c r="I1665" s="476"/>
      <c r="J1665" s="476" t="s">
        <v>1814</v>
      </c>
      <c r="K1665" s="476"/>
      <c r="L1665" s="366" t="s">
        <v>1802</v>
      </c>
    </row>
    <row r="1666" spans="1:12" ht="15" customHeight="1" x14ac:dyDescent="0.25">
      <c r="A1666" s="181" t="s">
        <v>2549</v>
      </c>
      <c r="B1666" s="509" t="s">
        <v>2550</v>
      </c>
      <c r="C1666" s="509"/>
      <c r="D1666" s="481" t="s">
        <v>82</v>
      </c>
      <c r="E1666" s="481"/>
      <c r="F1666" s="481"/>
      <c r="G1666" s="231" t="s">
        <v>1024</v>
      </c>
      <c r="H1666" s="510">
        <v>0.63900000000000001</v>
      </c>
      <c r="I1666" s="510"/>
      <c r="J1666" s="511">
        <v>36.29</v>
      </c>
      <c r="K1666" s="511"/>
      <c r="L1666" s="367">
        <f>TRUNC(TRUNC(H1666,8)*J1666,2)</f>
        <v>23.18</v>
      </c>
    </row>
    <row r="1667" spans="1:12" ht="15" customHeight="1" x14ac:dyDescent="0.25">
      <c r="A1667" s="181" t="s">
        <v>2375</v>
      </c>
      <c r="B1667" s="509" t="s">
        <v>2376</v>
      </c>
      <c r="C1667" s="509"/>
      <c r="D1667" s="481" t="s">
        <v>82</v>
      </c>
      <c r="E1667" s="481"/>
      <c r="F1667" s="481"/>
      <c r="G1667" s="231" t="s">
        <v>1024</v>
      </c>
      <c r="H1667" s="510">
        <v>1.2789999999999999</v>
      </c>
      <c r="I1667" s="510"/>
      <c r="J1667" s="511">
        <v>28.97</v>
      </c>
      <c r="K1667" s="511"/>
      <c r="L1667" s="367">
        <f>TRUNC(TRUNC(H1667,8)*J1667,2)</f>
        <v>37.049999999999997</v>
      </c>
    </row>
    <row r="1668" spans="1:12" ht="18" customHeight="1" x14ac:dyDescent="0.25">
      <c r="A1668" s="182"/>
      <c r="B1668" s="183"/>
      <c r="C1668" s="183"/>
      <c r="D1668" s="183"/>
      <c r="E1668" s="183"/>
      <c r="F1668" s="183"/>
      <c r="G1668" s="183"/>
      <c r="H1668" s="477" t="s">
        <v>2195</v>
      </c>
      <c r="I1668" s="477"/>
      <c r="J1668" s="477"/>
      <c r="K1668" s="477"/>
      <c r="L1668" s="368">
        <f>SUM(L1666:L1667)</f>
        <v>60.23</v>
      </c>
    </row>
    <row r="1669" spans="1:12" ht="15" customHeight="1" x14ac:dyDescent="0.25">
      <c r="A1669" s="182"/>
      <c r="B1669" s="183"/>
      <c r="C1669" s="183"/>
      <c r="D1669" s="183"/>
      <c r="E1669" s="183"/>
      <c r="F1669" s="183"/>
      <c r="G1669" s="183"/>
      <c r="H1669" s="482" t="s">
        <v>1834</v>
      </c>
      <c r="I1669" s="482"/>
      <c r="J1669" s="482"/>
      <c r="K1669" s="482"/>
      <c r="L1669" s="369">
        <f>ROUND(SUM(L1664,L1668),2)</f>
        <v>182.87</v>
      </c>
    </row>
    <row r="1670" spans="1:12" ht="9.9499999999999993" customHeight="1" x14ac:dyDescent="0.25">
      <c r="A1670" s="182"/>
      <c r="B1670" s="183"/>
      <c r="C1670" s="183"/>
      <c r="D1670" s="183"/>
      <c r="E1670" s="183"/>
      <c r="F1670" s="183"/>
      <c r="G1670" s="183"/>
      <c r="H1670" s="485"/>
      <c r="I1670" s="485"/>
      <c r="J1670" s="485"/>
      <c r="K1670" s="485"/>
      <c r="L1670" s="512"/>
    </row>
    <row r="1671" spans="1:12" ht="20.100000000000001" customHeight="1" x14ac:dyDescent="0.25">
      <c r="A1671" s="486" t="s">
        <v>2996</v>
      </c>
      <c r="B1671" s="487"/>
      <c r="C1671" s="487"/>
      <c r="D1671" s="487"/>
      <c r="E1671" s="487"/>
      <c r="F1671" s="487"/>
      <c r="G1671" s="487"/>
      <c r="H1671" s="487"/>
      <c r="I1671" s="487"/>
      <c r="J1671" s="487"/>
      <c r="K1671" s="487"/>
      <c r="L1671" s="513"/>
    </row>
    <row r="1672" spans="1:12" ht="20.100000000000001" customHeight="1" x14ac:dyDescent="0.25">
      <c r="A1672" s="488" t="s">
        <v>1836</v>
      </c>
      <c r="B1672" s="489"/>
      <c r="C1672" s="489"/>
      <c r="D1672" s="489"/>
      <c r="E1672" s="489"/>
      <c r="F1672" s="489"/>
      <c r="G1672" s="233" t="s">
        <v>44</v>
      </c>
      <c r="H1672" s="515" t="s">
        <v>1837</v>
      </c>
      <c r="I1672" s="515"/>
      <c r="J1672" s="515" t="s">
        <v>1838</v>
      </c>
      <c r="K1672" s="515"/>
      <c r="L1672" s="169" t="s">
        <v>1839</v>
      </c>
    </row>
    <row r="1673" spans="1:12" ht="15" customHeight="1" x14ac:dyDescent="0.25">
      <c r="A1673" s="170" t="s">
        <v>1840</v>
      </c>
      <c r="B1673" s="490" t="s">
        <v>1841</v>
      </c>
      <c r="C1673" s="490"/>
      <c r="D1673" s="490"/>
      <c r="E1673" s="490"/>
      <c r="F1673" s="490"/>
      <c r="G1673" s="127" t="s">
        <v>1024</v>
      </c>
      <c r="H1673" s="524">
        <v>0.35</v>
      </c>
      <c r="I1673" s="524"/>
      <c r="J1673" s="517">
        <v>21.94</v>
      </c>
      <c r="K1673" s="517"/>
      <c r="L1673" s="370">
        <f>TRUNC(TRUNC(H1673,8)*J1673,2)</f>
        <v>7.67</v>
      </c>
    </row>
    <row r="1674" spans="1:12" ht="15" customHeight="1" x14ac:dyDescent="0.25">
      <c r="A1674" s="170" t="s">
        <v>1983</v>
      </c>
      <c r="B1674" s="490" t="s">
        <v>1984</v>
      </c>
      <c r="C1674" s="490"/>
      <c r="D1674" s="490"/>
      <c r="E1674" s="490"/>
      <c r="F1674" s="490"/>
      <c r="G1674" s="127" t="s">
        <v>1024</v>
      </c>
      <c r="H1674" s="524">
        <v>0.11940000000000001</v>
      </c>
      <c r="I1674" s="524"/>
      <c r="J1674" s="517">
        <v>26.03</v>
      </c>
      <c r="K1674" s="517"/>
      <c r="L1674" s="370">
        <f>TRUNC(TRUNC(H1674,8)*J1674,2)</f>
        <v>3.1</v>
      </c>
    </row>
    <row r="1675" spans="1:12" ht="15" customHeight="1" x14ac:dyDescent="0.25">
      <c r="A1675" s="184"/>
      <c r="B1675" s="141"/>
      <c r="C1675" s="141"/>
      <c r="D1675" s="141"/>
      <c r="E1675" s="141"/>
      <c r="F1675" s="141"/>
      <c r="G1675" s="141"/>
      <c r="H1675" s="491" t="s">
        <v>1844</v>
      </c>
      <c r="I1675" s="491"/>
      <c r="J1675" s="491"/>
      <c r="K1675" s="491"/>
      <c r="L1675" s="369">
        <f>SUM(L1673:L1674)</f>
        <v>10.77</v>
      </c>
    </row>
    <row r="1676" spans="1:12" ht="15" customHeight="1" x14ac:dyDescent="0.25">
      <c r="A1676" s="182"/>
      <c r="B1676" s="183"/>
      <c r="C1676" s="183"/>
      <c r="D1676" s="183"/>
      <c r="E1676" s="183"/>
      <c r="F1676" s="183"/>
      <c r="G1676" s="183"/>
      <c r="H1676" s="482" t="s">
        <v>1845</v>
      </c>
      <c r="I1676" s="482"/>
      <c r="J1676" s="482"/>
      <c r="K1676" s="482"/>
      <c r="L1676" s="371">
        <f>SUM(L1675)</f>
        <v>10.77</v>
      </c>
    </row>
    <row r="1677" spans="1:12" ht="15" customHeight="1" x14ac:dyDescent="0.25">
      <c r="A1677" s="182"/>
      <c r="B1677" s="183"/>
      <c r="C1677" s="183"/>
      <c r="D1677" s="183"/>
      <c r="E1677" s="183"/>
      <c r="F1677" s="183"/>
      <c r="G1677" s="183"/>
      <c r="H1677" s="482" t="s">
        <v>1846</v>
      </c>
      <c r="I1677" s="482"/>
      <c r="J1677" s="482"/>
      <c r="K1677" s="482"/>
      <c r="L1677" s="374">
        <v>1</v>
      </c>
    </row>
    <row r="1678" spans="1:12" ht="15" customHeight="1" x14ac:dyDescent="0.25">
      <c r="A1678" s="182"/>
      <c r="B1678" s="183"/>
      <c r="C1678" s="183"/>
      <c r="D1678" s="183"/>
      <c r="E1678" s="183"/>
      <c r="F1678" s="183"/>
      <c r="G1678" s="183"/>
      <c r="H1678" s="482" t="s">
        <v>1847</v>
      </c>
      <c r="I1678" s="482"/>
      <c r="J1678" s="482"/>
      <c r="K1678" s="482"/>
      <c r="L1678" s="371">
        <f>TRUNC(L1676/L1677,4)</f>
        <v>10.77</v>
      </c>
    </row>
    <row r="1679" spans="1:12" ht="20.100000000000001" customHeight="1" x14ac:dyDescent="0.25">
      <c r="A1679" s="488" t="s">
        <v>1880</v>
      </c>
      <c r="B1679" s="489"/>
      <c r="C1679" s="489"/>
      <c r="D1679" s="489"/>
      <c r="E1679" s="489"/>
      <c r="F1679" s="489"/>
      <c r="G1679" s="233" t="s">
        <v>44</v>
      </c>
      <c r="H1679" s="515" t="s">
        <v>1837</v>
      </c>
      <c r="I1679" s="515"/>
      <c r="J1679" s="515" t="s">
        <v>1881</v>
      </c>
      <c r="K1679" s="515"/>
      <c r="L1679" s="169" t="s">
        <v>1882</v>
      </c>
    </row>
    <row r="1680" spans="1:12" ht="15" customHeight="1" x14ac:dyDescent="0.25">
      <c r="A1680" s="170" t="s">
        <v>2997</v>
      </c>
      <c r="B1680" s="492" t="s">
        <v>2998</v>
      </c>
      <c r="C1680" s="492"/>
      <c r="D1680" s="492"/>
      <c r="E1680" s="492"/>
      <c r="F1680" s="492"/>
      <c r="G1680" s="127" t="s">
        <v>1006</v>
      </c>
      <c r="H1680" s="524">
        <v>0.04</v>
      </c>
      <c r="I1680" s="524"/>
      <c r="J1680" s="525">
        <v>15.92</v>
      </c>
      <c r="K1680" s="525"/>
      <c r="L1680" s="171">
        <f>TRUNC(TRUNC(H1680,8)*J1680,2)</f>
        <v>0.63</v>
      </c>
    </row>
    <row r="1681" spans="1:12" ht="15" customHeight="1" x14ac:dyDescent="0.25">
      <c r="A1681" s="170" t="s">
        <v>2999</v>
      </c>
      <c r="B1681" s="492" t="s">
        <v>3000</v>
      </c>
      <c r="C1681" s="492"/>
      <c r="D1681" s="492"/>
      <c r="E1681" s="492"/>
      <c r="F1681" s="492"/>
      <c r="G1681" s="127" t="s">
        <v>1006</v>
      </c>
      <c r="H1681" s="524">
        <v>0.16</v>
      </c>
      <c r="I1681" s="524"/>
      <c r="J1681" s="525">
        <v>47.36</v>
      </c>
      <c r="K1681" s="525"/>
      <c r="L1681" s="171">
        <f>TRUNC(TRUNC(H1681,8)*J1681,2)</f>
        <v>7.57</v>
      </c>
    </row>
    <row r="1682" spans="1:12" ht="15" customHeight="1" x14ac:dyDescent="0.25">
      <c r="A1682" s="184"/>
      <c r="B1682" s="141"/>
      <c r="C1682" s="141"/>
      <c r="D1682" s="141"/>
      <c r="E1682" s="141"/>
      <c r="F1682" s="141"/>
      <c r="G1682" s="141"/>
      <c r="H1682" s="491" t="s">
        <v>1889</v>
      </c>
      <c r="I1682" s="491"/>
      <c r="J1682" s="491"/>
      <c r="K1682" s="491"/>
      <c r="L1682" s="375">
        <f>SUM(L1680:L1681)</f>
        <v>8.2000000000000011</v>
      </c>
    </row>
    <row r="1683" spans="1:12" ht="20.100000000000001" customHeight="1" x14ac:dyDescent="0.25">
      <c r="A1683" s="488" t="s">
        <v>2009</v>
      </c>
      <c r="B1683" s="489"/>
      <c r="C1683" s="489"/>
      <c r="D1683" s="489"/>
      <c r="E1683" s="489"/>
      <c r="F1683" s="489"/>
      <c r="G1683" s="233" t="s">
        <v>44</v>
      </c>
      <c r="H1683" s="515" t="s">
        <v>1837</v>
      </c>
      <c r="I1683" s="515"/>
      <c r="J1683" s="515" t="s">
        <v>1814</v>
      </c>
      <c r="K1683" s="515"/>
      <c r="L1683" s="169" t="s">
        <v>1882</v>
      </c>
    </row>
    <row r="1684" spans="1:12" ht="15.95" customHeight="1" x14ac:dyDescent="0.25">
      <c r="A1684" s="170" t="s">
        <v>2711</v>
      </c>
      <c r="B1684" s="492" t="s">
        <v>2712</v>
      </c>
      <c r="C1684" s="492"/>
      <c r="D1684" s="492"/>
      <c r="E1684" s="492"/>
      <c r="F1684" s="492"/>
      <c r="G1684" s="127" t="s">
        <v>54</v>
      </c>
      <c r="H1684" s="526">
        <v>1</v>
      </c>
      <c r="I1684" s="526"/>
      <c r="J1684" s="525">
        <v>24.83</v>
      </c>
      <c r="K1684" s="525"/>
      <c r="L1684" s="171">
        <f>TRUNC(TRUNC(H1684,8)*J1684,2)</f>
        <v>24.83</v>
      </c>
    </row>
    <row r="1685" spans="1:12" ht="15" customHeight="1" x14ac:dyDescent="0.25">
      <c r="A1685" s="184"/>
      <c r="B1685" s="141"/>
      <c r="C1685" s="141"/>
      <c r="D1685" s="141"/>
      <c r="E1685" s="141"/>
      <c r="F1685" s="141"/>
      <c r="G1685" s="141"/>
      <c r="H1685" s="491" t="s">
        <v>2014</v>
      </c>
      <c r="I1685" s="491"/>
      <c r="J1685" s="491"/>
      <c r="K1685" s="491"/>
      <c r="L1685" s="375">
        <f>SUM(L1684:L1684)</f>
        <v>24.83</v>
      </c>
    </row>
    <row r="1686" spans="1:12" ht="15" customHeight="1" x14ac:dyDescent="0.25">
      <c r="A1686" s="182"/>
      <c r="B1686" s="183"/>
      <c r="C1686" s="183"/>
      <c r="D1686" s="183"/>
      <c r="E1686" s="183"/>
      <c r="F1686" s="183"/>
      <c r="G1686" s="183"/>
      <c r="H1686" s="482" t="s">
        <v>1848</v>
      </c>
      <c r="I1686" s="482"/>
      <c r="J1686" s="482"/>
      <c r="K1686" s="482"/>
      <c r="L1686" s="371">
        <f>SUM(L1678,L1682,L1685)</f>
        <v>43.8</v>
      </c>
    </row>
    <row r="1687" spans="1:12" ht="15" customHeight="1" x14ac:dyDescent="0.25">
      <c r="A1687" s="182"/>
      <c r="B1687" s="183"/>
      <c r="C1687" s="183"/>
      <c r="D1687" s="183"/>
      <c r="E1687" s="183"/>
      <c r="F1687" s="183"/>
      <c r="G1687" s="183"/>
      <c r="H1687" s="482" t="s">
        <v>1834</v>
      </c>
      <c r="I1687" s="482"/>
      <c r="J1687" s="482"/>
      <c r="K1687" s="482"/>
      <c r="L1687" s="369">
        <f>ROUND(SUM(L1686),2)</f>
        <v>43.8</v>
      </c>
    </row>
    <row r="1688" spans="1:12" ht="9.9499999999999993" customHeight="1" x14ac:dyDescent="0.25">
      <c r="A1688" s="182"/>
      <c r="B1688" s="183"/>
      <c r="C1688" s="183"/>
      <c r="D1688" s="183"/>
      <c r="E1688" s="183"/>
      <c r="F1688" s="183"/>
      <c r="G1688" s="183"/>
      <c r="H1688" s="485"/>
      <c r="I1688" s="485"/>
      <c r="J1688" s="485"/>
      <c r="K1688" s="485"/>
      <c r="L1688" s="512"/>
    </row>
    <row r="1689" spans="1:12" ht="20.100000000000001" customHeight="1" x14ac:dyDescent="0.25">
      <c r="A1689" s="486" t="s">
        <v>3001</v>
      </c>
      <c r="B1689" s="487"/>
      <c r="C1689" s="487"/>
      <c r="D1689" s="487"/>
      <c r="E1689" s="487"/>
      <c r="F1689" s="487"/>
      <c r="G1689" s="487"/>
      <c r="H1689" s="487"/>
      <c r="I1689" s="487"/>
      <c r="J1689" s="487"/>
      <c r="K1689" s="487"/>
      <c r="L1689" s="513"/>
    </row>
    <row r="1690" spans="1:12" ht="20.100000000000001" customHeight="1" x14ac:dyDescent="0.25">
      <c r="A1690" s="488" t="s">
        <v>1836</v>
      </c>
      <c r="B1690" s="489"/>
      <c r="C1690" s="489"/>
      <c r="D1690" s="489"/>
      <c r="E1690" s="489"/>
      <c r="F1690" s="489"/>
      <c r="G1690" s="233" t="s">
        <v>44</v>
      </c>
      <c r="H1690" s="515" t="s">
        <v>1837</v>
      </c>
      <c r="I1690" s="515"/>
      <c r="J1690" s="515" t="s">
        <v>1838</v>
      </c>
      <c r="K1690" s="515"/>
      <c r="L1690" s="169" t="s">
        <v>1839</v>
      </c>
    </row>
    <row r="1691" spans="1:12" ht="15" customHeight="1" x14ac:dyDescent="0.25">
      <c r="A1691" s="170" t="s">
        <v>1840</v>
      </c>
      <c r="B1691" s="490" t="s">
        <v>1841</v>
      </c>
      <c r="C1691" s="490"/>
      <c r="D1691" s="490"/>
      <c r="E1691" s="490"/>
      <c r="F1691" s="490"/>
      <c r="G1691" s="127" t="s">
        <v>1024</v>
      </c>
      <c r="H1691" s="524">
        <v>0.3</v>
      </c>
      <c r="I1691" s="524"/>
      <c r="J1691" s="517">
        <v>21.94</v>
      </c>
      <c r="K1691" s="517"/>
      <c r="L1691" s="370">
        <f>TRUNC(TRUNC(H1691,8)*J1691,2)</f>
        <v>6.58</v>
      </c>
    </row>
    <row r="1692" spans="1:12" ht="15" customHeight="1" x14ac:dyDescent="0.25">
      <c r="A1692" s="170" t="s">
        <v>1983</v>
      </c>
      <c r="B1692" s="490" t="s">
        <v>1984</v>
      </c>
      <c r="C1692" s="490"/>
      <c r="D1692" s="490"/>
      <c r="E1692" s="490"/>
      <c r="F1692" s="490"/>
      <c r="G1692" s="127" t="s">
        <v>1024</v>
      </c>
      <c r="H1692" s="524">
        <v>0.4</v>
      </c>
      <c r="I1692" s="524"/>
      <c r="J1692" s="517">
        <v>26.03</v>
      </c>
      <c r="K1692" s="517"/>
      <c r="L1692" s="370">
        <f>TRUNC(TRUNC(H1692,8)*J1692,2)</f>
        <v>10.41</v>
      </c>
    </row>
    <row r="1693" spans="1:12" ht="15" customHeight="1" x14ac:dyDescent="0.25">
      <c r="A1693" s="184"/>
      <c r="B1693" s="141"/>
      <c r="C1693" s="141"/>
      <c r="D1693" s="141"/>
      <c r="E1693" s="141"/>
      <c r="F1693" s="141"/>
      <c r="G1693" s="141"/>
      <c r="H1693" s="491" t="s">
        <v>1844</v>
      </c>
      <c r="I1693" s="491"/>
      <c r="J1693" s="491"/>
      <c r="K1693" s="491"/>
      <c r="L1693" s="369">
        <f>SUM(L1691:L1692)</f>
        <v>16.990000000000002</v>
      </c>
    </row>
    <row r="1694" spans="1:12" ht="15" customHeight="1" x14ac:dyDescent="0.25">
      <c r="A1694" s="182"/>
      <c r="B1694" s="183"/>
      <c r="C1694" s="183"/>
      <c r="D1694" s="183"/>
      <c r="E1694" s="183"/>
      <c r="F1694" s="183"/>
      <c r="G1694" s="183"/>
      <c r="H1694" s="482" t="s">
        <v>1845</v>
      </c>
      <c r="I1694" s="482"/>
      <c r="J1694" s="482"/>
      <c r="K1694" s="482"/>
      <c r="L1694" s="371">
        <f>SUM(L1693)</f>
        <v>16.990000000000002</v>
      </c>
    </row>
    <row r="1695" spans="1:12" ht="15" customHeight="1" x14ac:dyDescent="0.25">
      <c r="A1695" s="182"/>
      <c r="B1695" s="183"/>
      <c r="C1695" s="183"/>
      <c r="D1695" s="183"/>
      <c r="E1695" s="183"/>
      <c r="F1695" s="183"/>
      <c r="G1695" s="183"/>
      <c r="H1695" s="482" t="s">
        <v>1846</v>
      </c>
      <c r="I1695" s="482"/>
      <c r="J1695" s="482"/>
      <c r="K1695" s="482"/>
      <c r="L1695" s="374">
        <v>1</v>
      </c>
    </row>
    <row r="1696" spans="1:12" ht="15" customHeight="1" x14ac:dyDescent="0.25">
      <c r="A1696" s="182"/>
      <c r="B1696" s="183"/>
      <c r="C1696" s="183"/>
      <c r="D1696" s="183"/>
      <c r="E1696" s="183"/>
      <c r="F1696" s="183"/>
      <c r="G1696" s="183"/>
      <c r="H1696" s="482" t="s">
        <v>1847</v>
      </c>
      <c r="I1696" s="482"/>
      <c r="J1696" s="482"/>
      <c r="K1696" s="482"/>
      <c r="L1696" s="371">
        <f>TRUNC(L1694/L1695,4)</f>
        <v>16.989999999999998</v>
      </c>
    </row>
    <row r="1697" spans="1:12" ht="20.100000000000001" customHeight="1" x14ac:dyDescent="0.25">
      <c r="A1697" s="488" t="s">
        <v>1880</v>
      </c>
      <c r="B1697" s="489"/>
      <c r="C1697" s="489"/>
      <c r="D1697" s="489"/>
      <c r="E1697" s="489"/>
      <c r="F1697" s="489"/>
      <c r="G1697" s="233" t="s">
        <v>44</v>
      </c>
      <c r="H1697" s="515" t="s">
        <v>1837</v>
      </c>
      <c r="I1697" s="515"/>
      <c r="J1697" s="515" t="s">
        <v>1881</v>
      </c>
      <c r="K1697" s="515"/>
      <c r="L1697" s="169" t="s">
        <v>1882</v>
      </c>
    </row>
    <row r="1698" spans="1:12" ht="15" customHeight="1" x14ac:dyDescent="0.25">
      <c r="A1698" s="170" t="s">
        <v>2997</v>
      </c>
      <c r="B1698" s="492" t="s">
        <v>2998</v>
      </c>
      <c r="C1698" s="492"/>
      <c r="D1698" s="492"/>
      <c r="E1698" s="492"/>
      <c r="F1698" s="492"/>
      <c r="G1698" s="127" t="s">
        <v>1006</v>
      </c>
      <c r="H1698" s="524">
        <v>1.9900000000000001E-2</v>
      </c>
      <c r="I1698" s="524"/>
      <c r="J1698" s="525">
        <v>15.92</v>
      </c>
      <c r="K1698" s="525"/>
      <c r="L1698" s="171">
        <f>TRUNC(TRUNC(H1698,8)*J1698,2)</f>
        <v>0.31</v>
      </c>
    </row>
    <row r="1699" spans="1:12" ht="15" customHeight="1" x14ac:dyDescent="0.25">
      <c r="A1699" s="170" t="s">
        <v>2707</v>
      </c>
      <c r="B1699" s="492" t="s">
        <v>2708</v>
      </c>
      <c r="C1699" s="492"/>
      <c r="D1699" s="492"/>
      <c r="E1699" s="492"/>
      <c r="F1699" s="492"/>
      <c r="G1699" s="127" t="s">
        <v>226</v>
      </c>
      <c r="H1699" s="524">
        <v>1</v>
      </c>
      <c r="I1699" s="524"/>
      <c r="J1699" s="525">
        <v>1.0900000000000001</v>
      </c>
      <c r="K1699" s="525"/>
      <c r="L1699" s="171">
        <f>TRUNC(TRUNC(H1699,8)*J1699,2)</f>
        <v>1.0900000000000001</v>
      </c>
    </row>
    <row r="1700" spans="1:12" ht="15" customHeight="1" x14ac:dyDescent="0.25">
      <c r="A1700" s="170" t="s">
        <v>3002</v>
      </c>
      <c r="B1700" s="492" t="s">
        <v>3003</v>
      </c>
      <c r="C1700" s="492"/>
      <c r="D1700" s="492"/>
      <c r="E1700" s="492"/>
      <c r="F1700" s="492"/>
      <c r="G1700" s="127" t="s">
        <v>1006</v>
      </c>
      <c r="H1700" s="524">
        <v>0.19919999999999999</v>
      </c>
      <c r="I1700" s="524"/>
      <c r="J1700" s="525">
        <v>51.91</v>
      </c>
      <c r="K1700" s="525"/>
      <c r="L1700" s="171">
        <f>TRUNC(TRUNC(H1700,8)*J1700,2)</f>
        <v>10.34</v>
      </c>
    </row>
    <row r="1701" spans="1:12" ht="15" customHeight="1" x14ac:dyDescent="0.25">
      <c r="A1701" s="184"/>
      <c r="B1701" s="141"/>
      <c r="C1701" s="141"/>
      <c r="D1701" s="141"/>
      <c r="E1701" s="141"/>
      <c r="F1701" s="141"/>
      <c r="G1701" s="141"/>
      <c r="H1701" s="491" t="s">
        <v>1889</v>
      </c>
      <c r="I1701" s="491"/>
      <c r="J1701" s="491"/>
      <c r="K1701" s="491"/>
      <c r="L1701" s="375">
        <f>SUM(L1698:L1700)</f>
        <v>11.74</v>
      </c>
    </row>
    <row r="1702" spans="1:12" ht="15" customHeight="1" x14ac:dyDescent="0.25">
      <c r="A1702" s="182"/>
      <c r="B1702" s="183"/>
      <c r="C1702" s="183"/>
      <c r="D1702" s="183"/>
      <c r="E1702" s="183"/>
      <c r="F1702" s="183"/>
      <c r="G1702" s="183"/>
      <c r="H1702" s="482" t="s">
        <v>1848</v>
      </c>
      <c r="I1702" s="482"/>
      <c r="J1702" s="482"/>
      <c r="K1702" s="482"/>
      <c r="L1702" s="371">
        <f>SUM(L1696,L1701)</f>
        <v>28.729999999999997</v>
      </c>
    </row>
    <row r="1703" spans="1:12" ht="15" customHeight="1" x14ac:dyDescent="0.25">
      <c r="A1703" s="182"/>
      <c r="B1703" s="183"/>
      <c r="C1703" s="183"/>
      <c r="D1703" s="183"/>
      <c r="E1703" s="183"/>
      <c r="F1703" s="183"/>
      <c r="G1703" s="183"/>
      <c r="H1703" s="482" t="s">
        <v>1834</v>
      </c>
      <c r="I1703" s="482"/>
      <c r="J1703" s="482"/>
      <c r="K1703" s="482"/>
      <c r="L1703" s="369">
        <f>ROUND(SUM(L1702),2)</f>
        <v>28.73</v>
      </c>
    </row>
    <row r="1704" spans="1:12" ht="9.9499999999999993" customHeight="1" x14ac:dyDescent="0.25">
      <c r="A1704" s="182"/>
      <c r="B1704" s="183"/>
      <c r="C1704" s="183"/>
      <c r="D1704" s="183"/>
      <c r="E1704" s="183"/>
      <c r="F1704" s="183"/>
      <c r="G1704" s="183"/>
      <c r="H1704" s="485"/>
      <c r="I1704" s="485"/>
      <c r="J1704" s="485"/>
      <c r="K1704" s="485"/>
      <c r="L1704" s="512"/>
    </row>
    <row r="1705" spans="1:12" ht="20.100000000000001" customHeight="1" x14ac:dyDescent="0.25">
      <c r="A1705" s="486" t="s">
        <v>3004</v>
      </c>
      <c r="B1705" s="487"/>
      <c r="C1705" s="487"/>
      <c r="D1705" s="487"/>
      <c r="E1705" s="487"/>
      <c r="F1705" s="487"/>
      <c r="G1705" s="487"/>
      <c r="H1705" s="487"/>
      <c r="I1705" s="487"/>
      <c r="J1705" s="487"/>
      <c r="K1705" s="487"/>
      <c r="L1705" s="513"/>
    </row>
    <row r="1706" spans="1:12" ht="20.100000000000001" customHeight="1" x14ac:dyDescent="0.25">
      <c r="A1706" s="488" t="s">
        <v>1836</v>
      </c>
      <c r="B1706" s="489"/>
      <c r="C1706" s="489"/>
      <c r="D1706" s="489"/>
      <c r="E1706" s="489"/>
      <c r="F1706" s="489"/>
      <c r="G1706" s="233" t="s">
        <v>44</v>
      </c>
      <c r="H1706" s="515" t="s">
        <v>1837</v>
      </c>
      <c r="I1706" s="515"/>
      <c r="J1706" s="515" t="s">
        <v>1838</v>
      </c>
      <c r="K1706" s="515"/>
      <c r="L1706" s="169" t="s">
        <v>1839</v>
      </c>
    </row>
    <row r="1707" spans="1:12" ht="15" customHeight="1" x14ac:dyDescent="0.25">
      <c r="A1707" s="170" t="s">
        <v>1983</v>
      </c>
      <c r="B1707" s="490" t="s">
        <v>1984</v>
      </c>
      <c r="C1707" s="490"/>
      <c r="D1707" s="490"/>
      <c r="E1707" s="490"/>
      <c r="F1707" s="490"/>
      <c r="G1707" s="127" t="s">
        <v>1024</v>
      </c>
      <c r="H1707" s="524">
        <v>0.28060000000000002</v>
      </c>
      <c r="I1707" s="524"/>
      <c r="J1707" s="517">
        <v>26.03</v>
      </c>
      <c r="K1707" s="517"/>
      <c r="L1707" s="370">
        <f>TRUNC(TRUNC(H1707,8)*J1707,2)</f>
        <v>7.3</v>
      </c>
    </row>
    <row r="1708" spans="1:12" ht="15" customHeight="1" x14ac:dyDescent="0.25">
      <c r="A1708" s="184"/>
      <c r="B1708" s="141"/>
      <c r="C1708" s="141"/>
      <c r="D1708" s="141"/>
      <c r="E1708" s="141"/>
      <c r="F1708" s="141"/>
      <c r="G1708" s="141"/>
      <c r="H1708" s="491" t="s">
        <v>1844</v>
      </c>
      <c r="I1708" s="491"/>
      <c r="J1708" s="491"/>
      <c r="K1708" s="491"/>
      <c r="L1708" s="369">
        <f>SUM(L1707:L1707)</f>
        <v>7.3</v>
      </c>
    </row>
    <row r="1709" spans="1:12" ht="15" customHeight="1" x14ac:dyDescent="0.25">
      <c r="A1709" s="182"/>
      <c r="B1709" s="183"/>
      <c r="C1709" s="183"/>
      <c r="D1709" s="183"/>
      <c r="E1709" s="183"/>
      <c r="F1709" s="183"/>
      <c r="G1709" s="183"/>
      <c r="H1709" s="482" t="s">
        <v>1845</v>
      </c>
      <c r="I1709" s="482"/>
      <c r="J1709" s="482"/>
      <c r="K1709" s="482"/>
      <c r="L1709" s="371">
        <f>SUM(L1708)</f>
        <v>7.3</v>
      </c>
    </row>
    <row r="1710" spans="1:12" ht="15" customHeight="1" x14ac:dyDescent="0.25">
      <c r="A1710" s="182"/>
      <c r="B1710" s="183"/>
      <c r="C1710" s="183"/>
      <c r="D1710" s="183"/>
      <c r="E1710" s="183"/>
      <c r="F1710" s="183"/>
      <c r="G1710" s="183"/>
      <c r="H1710" s="482" t="s">
        <v>1846</v>
      </c>
      <c r="I1710" s="482"/>
      <c r="J1710" s="482"/>
      <c r="K1710" s="482"/>
      <c r="L1710" s="374">
        <v>1</v>
      </c>
    </row>
    <row r="1711" spans="1:12" ht="15" customHeight="1" x14ac:dyDescent="0.25">
      <c r="A1711" s="182"/>
      <c r="B1711" s="183"/>
      <c r="C1711" s="183"/>
      <c r="D1711" s="183"/>
      <c r="E1711" s="183"/>
      <c r="F1711" s="183"/>
      <c r="G1711" s="183"/>
      <c r="H1711" s="482" t="s">
        <v>1847</v>
      </c>
      <c r="I1711" s="482"/>
      <c r="J1711" s="482"/>
      <c r="K1711" s="482"/>
      <c r="L1711" s="371">
        <f>TRUNC(L1709/L1710,4)</f>
        <v>7.3</v>
      </c>
    </row>
    <row r="1712" spans="1:12" ht="20.100000000000001" customHeight="1" x14ac:dyDescent="0.25">
      <c r="A1712" s="488" t="s">
        <v>1880</v>
      </c>
      <c r="B1712" s="489"/>
      <c r="C1712" s="489"/>
      <c r="D1712" s="489"/>
      <c r="E1712" s="489"/>
      <c r="F1712" s="489"/>
      <c r="G1712" s="233" t="s">
        <v>44</v>
      </c>
      <c r="H1712" s="515" t="s">
        <v>1837</v>
      </c>
      <c r="I1712" s="515"/>
      <c r="J1712" s="515" t="s">
        <v>1881</v>
      </c>
      <c r="K1712" s="515"/>
      <c r="L1712" s="169" t="s">
        <v>1882</v>
      </c>
    </row>
    <row r="1713" spans="1:12" ht="15" customHeight="1" x14ac:dyDescent="0.25">
      <c r="A1713" s="170" t="s">
        <v>2997</v>
      </c>
      <c r="B1713" s="492" t="s">
        <v>2998</v>
      </c>
      <c r="C1713" s="492"/>
      <c r="D1713" s="492"/>
      <c r="E1713" s="492"/>
      <c r="F1713" s="492"/>
      <c r="G1713" s="127" t="s">
        <v>1006</v>
      </c>
      <c r="H1713" s="524">
        <v>2.76E-2</v>
      </c>
      <c r="I1713" s="524"/>
      <c r="J1713" s="525">
        <v>15.92</v>
      </c>
      <c r="K1713" s="525"/>
      <c r="L1713" s="171">
        <f>TRUNC(TRUNC(H1713,8)*J1713,2)</f>
        <v>0.43</v>
      </c>
    </row>
    <row r="1714" spans="1:12" ht="15" customHeight="1" x14ac:dyDescent="0.25">
      <c r="A1714" s="170" t="s">
        <v>3005</v>
      </c>
      <c r="B1714" s="492" t="s">
        <v>3006</v>
      </c>
      <c r="C1714" s="492"/>
      <c r="D1714" s="492"/>
      <c r="E1714" s="492"/>
      <c r="F1714" s="492"/>
      <c r="G1714" s="127" t="s">
        <v>1006</v>
      </c>
      <c r="H1714" s="524">
        <v>0.49608000000000002</v>
      </c>
      <c r="I1714" s="524"/>
      <c r="J1714" s="525">
        <v>33.61</v>
      </c>
      <c r="K1714" s="525"/>
      <c r="L1714" s="171">
        <f>TRUNC(TRUNC(H1714,8)*J1714,2)</f>
        <v>16.670000000000002</v>
      </c>
    </row>
    <row r="1715" spans="1:12" ht="15" customHeight="1" x14ac:dyDescent="0.25">
      <c r="A1715" s="170" t="s">
        <v>2707</v>
      </c>
      <c r="B1715" s="492" t="s">
        <v>2708</v>
      </c>
      <c r="C1715" s="492"/>
      <c r="D1715" s="492"/>
      <c r="E1715" s="492"/>
      <c r="F1715" s="492"/>
      <c r="G1715" s="127" t="s">
        <v>226</v>
      </c>
      <c r="H1715" s="524">
        <v>0.4</v>
      </c>
      <c r="I1715" s="524"/>
      <c r="J1715" s="525">
        <v>1.0900000000000001</v>
      </c>
      <c r="K1715" s="525"/>
      <c r="L1715" s="171">
        <f>TRUNC(TRUNC(H1715,8)*J1715,2)</f>
        <v>0.43</v>
      </c>
    </row>
    <row r="1716" spans="1:12" ht="15" customHeight="1" x14ac:dyDescent="0.25">
      <c r="A1716" s="184"/>
      <c r="B1716" s="141"/>
      <c r="C1716" s="141"/>
      <c r="D1716" s="141"/>
      <c r="E1716" s="141"/>
      <c r="F1716" s="141"/>
      <c r="G1716" s="141"/>
      <c r="H1716" s="491" t="s">
        <v>1889</v>
      </c>
      <c r="I1716" s="491"/>
      <c r="J1716" s="491"/>
      <c r="K1716" s="491"/>
      <c r="L1716" s="375">
        <f>SUM(L1713:L1715)</f>
        <v>17.53</v>
      </c>
    </row>
    <row r="1717" spans="1:12" ht="15" customHeight="1" x14ac:dyDescent="0.25">
      <c r="A1717" s="182"/>
      <c r="B1717" s="183"/>
      <c r="C1717" s="183"/>
      <c r="D1717" s="183"/>
      <c r="E1717" s="183"/>
      <c r="F1717" s="183"/>
      <c r="G1717" s="183"/>
      <c r="H1717" s="482" t="s">
        <v>1848</v>
      </c>
      <c r="I1717" s="482"/>
      <c r="J1717" s="482"/>
      <c r="K1717" s="482"/>
      <c r="L1717" s="371">
        <f>SUM(L1711,L1716)</f>
        <v>24.830000000000002</v>
      </c>
    </row>
    <row r="1718" spans="1:12" ht="15" customHeight="1" x14ac:dyDescent="0.25">
      <c r="A1718" s="182"/>
      <c r="B1718" s="183"/>
      <c r="C1718" s="183"/>
      <c r="D1718" s="183"/>
      <c r="E1718" s="183"/>
      <c r="F1718" s="183"/>
      <c r="G1718" s="183"/>
      <c r="H1718" s="482" t="s">
        <v>1834</v>
      </c>
      <c r="I1718" s="482"/>
      <c r="J1718" s="482"/>
      <c r="K1718" s="482"/>
      <c r="L1718" s="369">
        <f>ROUND(SUM(L1717),2)</f>
        <v>24.83</v>
      </c>
    </row>
    <row r="1719" spans="1:12" ht="9.9499999999999993" customHeight="1" x14ac:dyDescent="0.25">
      <c r="A1719" s="182"/>
      <c r="B1719" s="183"/>
      <c r="C1719" s="183"/>
      <c r="D1719" s="183"/>
      <c r="E1719" s="183"/>
      <c r="F1719" s="183"/>
      <c r="G1719" s="183"/>
      <c r="H1719" s="485"/>
      <c r="I1719" s="485"/>
      <c r="J1719" s="485"/>
      <c r="K1719" s="485"/>
      <c r="L1719" s="512"/>
    </row>
    <row r="1720" spans="1:12" ht="20.100000000000001" customHeight="1" x14ac:dyDescent="0.25">
      <c r="A1720" s="486" t="s">
        <v>3007</v>
      </c>
      <c r="B1720" s="487"/>
      <c r="C1720" s="487"/>
      <c r="D1720" s="487"/>
      <c r="E1720" s="487"/>
      <c r="F1720" s="487"/>
      <c r="G1720" s="487"/>
      <c r="H1720" s="487"/>
      <c r="I1720" s="487"/>
      <c r="J1720" s="487"/>
      <c r="K1720" s="487"/>
      <c r="L1720" s="513"/>
    </row>
    <row r="1721" spans="1:12" ht="20.100000000000001" customHeight="1" x14ac:dyDescent="0.25">
      <c r="A1721" s="488" t="s">
        <v>1836</v>
      </c>
      <c r="B1721" s="489"/>
      <c r="C1721" s="489"/>
      <c r="D1721" s="489"/>
      <c r="E1721" s="489"/>
      <c r="F1721" s="489"/>
      <c r="G1721" s="233" t="s">
        <v>44</v>
      </c>
      <c r="H1721" s="515" t="s">
        <v>1837</v>
      </c>
      <c r="I1721" s="515"/>
      <c r="J1721" s="515" t="s">
        <v>1838</v>
      </c>
      <c r="K1721" s="515"/>
      <c r="L1721" s="169" t="s">
        <v>1839</v>
      </c>
    </row>
    <row r="1722" spans="1:12" ht="15" customHeight="1" x14ac:dyDescent="0.25">
      <c r="A1722" s="170" t="s">
        <v>1840</v>
      </c>
      <c r="B1722" s="490" t="s">
        <v>1841</v>
      </c>
      <c r="C1722" s="490"/>
      <c r="D1722" s="490"/>
      <c r="E1722" s="490"/>
      <c r="F1722" s="490"/>
      <c r="G1722" s="127" t="s">
        <v>1024</v>
      </c>
      <c r="H1722" s="524">
        <v>1.9E-2</v>
      </c>
      <c r="I1722" s="524"/>
      <c r="J1722" s="517">
        <v>21.94</v>
      </c>
      <c r="K1722" s="517"/>
      <c r="L1722" s="370">
        <f>TRUNC(TRUNC(H1722,8)*J1722,2)</f>
        <v>0.41</v>
      </c>
    </row>
    <row r="1723" spans="1:12" ht="15" customHeight="1" x14ac:dyDescent="0.25">
      <c r="A1723" s="170" t="s">
        <v>1983</v>
      </c>
      <c r="B1723" s="490" t="s">
        <v>1984</v>
      </c>
      <c r="C1723" s="490"/>
      <c r="D1723" s="490"/>
      <c r="E1723" s="490"/>
      <c r="F1723" s="490"/>
      <c r="G1723" s="127" t="s">
        <v>1024</v>
      </c>
      <c r="H1723" s="524">
        <v>5.0999999999999997E-2</v>
      </c>
      <c r="I1723" s="524"/>
      <c r="J1723" s="517">
        <v>26.03</v>
      </c>
      <c r="K1723" s="517"/>
      <c r="L1723" s="370">
        <f>TRUNC(TRUNC(H1723,8)*J1723,2)</f>
        <v>1.32</v>
      </c>
    </row>
    <row r="1724" spans="1:12" ht="15" customHeight="1" x14ac:dyDescent="0.25">
      <c r="A1724" s="184"/>
      <c r="B1724" s="141"/>
      <c r="C1724" s="141"/>
      <c r="D1724" s="141"/>
      <c r="E1724" s="141"/>
      <c r="F1724" s="141"/>
      <c r="G1724" s="141"/>
      <c r="H1724" s="491" t="s">
        <v>1844</v>
      </c>
      <c r="I1724" s="491"/>
      <c r="J1724" s="491"/>
      <c r="K1724" s="491"/>
      <c r="L1724" s="369">
        <f>SUM(L1722:L1723)</f>
        <v>1.73</v>
      </c>
    </row>
    <row r="1725" spans="1:12" ht="15" customHeight="1" x14ac:dyDescent="0.25">
      <c r="A1725" s="182"/>
      <c r="B1725" s="183"/>
      <c r="C1725" s="183"/>
      <c r="D1725" s="183"/>
      <c r="E1725" s="183"/>
      <c r="F1725" s="183"/>
      <c r="G1725" s="183"/>
      <c r="H1725" s="482" t="s">
        <v>1845</v>
      </c>
      <c r="I1725" s="482"/>
      <c r="J1725" s="482"/>
      <c r="K1725" s="482"/>
      <c r="L1725" s="371">
        <f>SUM(L1724)</f>
        <v>1.73</v>
      </c>
    </row>
    <row r="1726" spans="1:12" ht="15" customHeight="1" x14ac:dyDescent="0.25">
      <c r="A1726" s="182"/>
      <c r="B1726" s="183"/>
      <c r="C1726" s="183"/>
      <c r="D1726" s="183"/>
      <c r="E1726" s="183"/>
      <c r="F1726" s="183"/>
      <c r="G1726" s="183"/>
      <c r="H1726" s="482" t="s">
        <v>1846</v>
      </c>
      <c r="I1726" s="482"/>
      <c r="J1726" s="482"/>
      <c r="K1726" s="482"/>
      <c r="L1726" s="374">
        <v>1</v>
      </c>
    </row>
    <row r="1727" spans="1:12" ht="15" customHeight="1" x14ac:dyDescent="0.25">
      <c r="A1727" s="182"/>
      <c r="B1727" s="183"/>
      <c r="C1727" s="183"/>
      <c r="D1727" s="183"/>
      <c r="E1727" s="183"/>
      <c r="F1727" s="183"/>
      <c r="G1727" s="183"/>
      <c r="H1727" s="482" t="s">
        <v>1847</v>
      </c>
      <c r="I1727" s="482"/>
      <c r="J1727" s="482"/>
      <c r="K1727" s="482"/>
      <c r="L1727" s="371">
        <f>TRUNC(L1725/L1726,4)</f>
        <v>1.73</v>
      </c>
    </row>
    <row r="1728" spans="1:12" ht="20.100000000000001" customHeight="1" x14ac:dyDescent="0.25">
      <c r="A1728" s="488" t="s">
        <v>1880</v>
      </c>
      <c r="B1728" s="489"/>
      <c r="C1728" s="489"/>
      <c r="D1728" s="489"/>
      <c r="E1728" s="489"/>
      <c r="F1728" s="489"/>
      <c r="G1728" s="233" t="s">
        <v>44</v>
      </c>
      <c r="H1728" s="515" t="s">
        <v>1837</v>
      </c>
      <c r="I1728" s="515"/>
      <c r="J1728" s="515" t="s">
        <v>1881</v>
      </c>
      <c r="K1728" s="515"/>
      <c r="L1728" s="169" t="s">
        <v>1882</v>
      </c>
    </row>
    <row r="1729" spans="1:12" ht="15" customHeight="1" x14ac:dyDescent="0.25">
      <c r="A1729" s="170" t="s">
        <v>3008</v>
      </c>
      <c r="B1729" s="492" t="s">
        <v>3009</v>
      </c>
      <c r="C1729" s="492"/>
      <c r="D1729" s="492"/>
      <c r="E1729" s="492"/>
      <c r="F1729" s="492"/>
      <c r="G1729" s="127" t="s">
        <v>1006</v>
      </c>
      <c r="H1729" s="524">
        <v>0.12</v>
      </c>
      <c r="I1729" s="524"/>
      <c r="J1729" s="525">
        <v>13.72</v>
      </c>
      <c r="K1729" s="525"/>
      <c r="L1729" s="171">
        <f>TRUNC(TRUNC(H1729,8)*J1729,2)</f>
        <v>1.64</v>
      </c>
    </row>
    <row r="1730" spans="1:12" ht="15" customHeight="1" x14ac:dyDescent="0.25">
      <c r="A1730" s="184"/>
      <c r="B1730" s="141"/>
      <c r="C1730" s="141"/>
      <c r="D1730" s="141"/>
      <c r="E1730" s="141"/>
      <c r="F1730" s="141"/>
      <c r="G1730" s="141"/>
      <c r="H1730" s="491" t="s">
        <v>1889</v>
      </c>
      <c r="I1730" s="491"/>
      <c r="J1730" s="491"/>
      <c r="K1730" s="491"/>
      <c r="L1730" s="375">
        <f>SUM(L1729:L1729)</f>
        <v>1.64</v>
      </c>
    </row>
    <row r="1731" spans="1:12" ht="15" customHeight="1" x14ac:dyDescent="0.25">
      <c r="A1731" s="182"/>
      <c r="B1731" s="183"/>
      <c r="C1731" s="183"/>
      <c r="D1731" s="183"/>
      <c r="E1731" s="183"/>
      <c r="F1731" s="183"/>
      <c r="G1731" s="183"/>
      <c r="H1731" s="482" t="s">
        <v>1848</v>
      </c>
      <c r="I1731" s="482"/>
      <c r="J1731" s="482"/>
      <c r="K1731" s="482"/>
      <c r="L1731" s="371">
        <f>SUM(L1727,L1730)</f>
        <v>3.37</v>
      </c>
    </row>
    <row r="1732" spans="1:12" ht="15" customHeight="1" x14ac:dyDescent="0.25">
      <c r="A1732" s="182"/>
      <c r="B1732" s="183"/>
      <c r="C1732" s="183"/>
      <c r="D1732" s="183"/>
      <c r="E1732" s="183"/>
      <c r="F1732" s="183"/>
      <c r="G1732" s="183"/>
      <c r="H1732" s="482" t="s">
        <v>1834</v>
      </c>
      <c r="I1732" s="482"/>
      <c r="J1732" s="482"/>
      <c r="K1732" s="482"/>
      <c r="L1732" s="369">
        <f>ROUND(SUM(L1731),2)</f>
        <v>3.37</v>
      </c>
    </row>
    <row r="1733" spans="1:12" ht="9.9499999999999993" customHeight="1" x14ac:dyDescent="0.25">
      <c r="A1733" s="182"/>
      <c r="B1733" s="183"/>
      <c r="C1733" s="183"/>
      <c r="D1733" s="183"/>
      <c r="E1733" s="183"/>
      <c r="F1733" s="183"/>
      <c r="G1733" s="183"/>
      <c r="H1733" s="485"/>
      <c r="I1733" s="485"/>
      <c r="J1733" s="485"/>
      <c r="K1733" s="485"/>
      <c r="L1733" s="512"/>
    </row>
    <row r="1734" spans="1:12" ht="20.100000000000001" customHeight="1" x14ac:dyDescent="0.25">
      <c r="A1734" s="486" t="s">
        <v>3010</v>
      </c>
      <c r="B1734" s="487"/>
      <c r="C1734" s="487"/>
      <c r="D1734" s="487"/>
      <c r="E1734" s="487"/>
      <c r="F1734" s="487"/>
      <c r="G1734" s="487"/>
      <c r="H1734" s="487"/>
      <c r="I1734" s="487"/>
      <c r="J1734" s="487"/>
      <c r="K1734" s="487"/>
      <c r="L1734" s="513"/>
    </row>
    <row r="1735" spans="1:12" ht="15" customHeight="1" x14ac:dyDescent="0.25">
      <c r="A1735" s="474" t="s">
        <v>2190</v>
      </c>
      <c r="B1735" s="475"/>
      <c r="C1735" s="475"/>
      <c r="D1735" s="476" t="s">
        <v>42</v>
      </c>
      <c r="E1735" s="476"/>
      <c r="F1735" s="476"/>
      <c r="G1735" s="230" t="s">
        <v>44</v>
      </c>
      <c r="H1735" s="476" t="s">
        <v>1813</v>
      </c>
      <c r="I1735" s="476"/>
      <c r="J1735" s="476" t="s">
        <v>1814</v>
      </c>
      <c r="K1735" s="476"/>
      <c r="L1735" s="366" t="s">
        <v>1802</v>
      </c>
    </row>
    <row r="1736" spans="1:12" ht="21" customHeight="1" x14ac:dyDescent="0.25">
      <c r="A1736" s="181" t="s">
        <v>3011</v>
      </c>
      <c r="B1736" s="509" t="s">
        <v>3012</v>
      </c>
      <c r="C1736" s="509"/>
      <c r="D1736" s="481" t="s">
        <v>82</v>
      </c>
      <c r="E1736" s="481"/>
      <c r="F1736" s="481"/>
      <c r="G1736" s="231" t="s">
        <v>1024</v>
      </c>
      <c r="H1736" s="510">
        <v>1</v>
      </c>
      <c r="I1736" s="510"/>
      <c r="J1736" s="511">
        <v>39.64</v>
      </c>
      <c r="K1736" s="511"/>
      <c r="L1736" s="367">
        <f>TRUNC(TRUNC(H1736,8)*J1736,2)</f>
        <v>39.64</v>
      </c>
    </row>
    <row r="1737" spans="1:12" ht="18" customHeight="1" x14ac:dyDescent="0.25">
      <c r="A1737" s="182"/>
      <c r="B1737" s="183"/>
      <c r="C1737" s="183"/>
      <c r="D1737" s="183"/>
      <c r="E1737" s="183"/>
      <c r="F1737" s="183"/>
      <c r="G1737" s="183"/>
      <c r="H1737" s="477" t="s">
        <v>2195</v>
      </c>
      <c r="I1737" s="477"/>
      <c r="J1737" s="477"/>
      <c r="K1737" s="477"/>
      <c r="L1737" s="368">
        <f>SUM(L1736:L1736)</f>
        <v>39.64</v>
      </c>
    </row>
    <row r="1738" spans="1:12" ht="15" customHeight="1" x14ac:dyDescent="0.25">
      <c r="A1738" s="474" t="s">
        <v>1912</v>
      </c>
      <c r="B1738" s="475"/>
      <c r="C1738" s="475"/>
      <c r="D1738" s="476" t="s">
        <v>42</v>
      </c>
      <c r="E1738" s="476"/>
      <c r="F1738" s="476"/>
      <c r="G1738" s="230" t="s">
        <v>44</v>
      </c>
      <c r="H1738" s="476" t="s">
        <v>1813</v>
      </c>
      <c r="I1738" s="476"/>
      <c r="J1738" s="476" t="s">
        <v>1814</v>
      </c>
      <c r="K1738" s="476"/>
      <c r="L1738" s="366" t="s">
        <v>1802</v>
      </c>
    </row>
    <row r="1739" spans="1:12" ht="29.1" customHeight="1" x14ac:dyDescent="0.25">
      <c r="A1739" s="181" t="s">
        <v>3013</v>
      </c>
      <c r="B1739" s="509" t="s">
        <v>3014</v>
      </c>
      <c r="C1739" s="509"/>
      <c r="D1739" s="481" t="s">
        <v>82</v>
      </c>
      <c r="E1739" s="481"/>
      <c r="F1739" s="481"/>
      <c r="G1739" s="231" t="s">
        <v>1024</v>
      </c>
      <c r="H1739" s="510">
        <v>1</v>
      </c>
      <c r="I1739" s="510"/>
      <c r="J1739" s="511">
        <v>39.69</v>
      </c>
      <c r="K1739" s="511"/>
      <c r="L1739" s="367">
        <f>TRUNC(TRUNC(H1739,8)*J1739,2)</f>
        <v>39.69</v>
      </c>
    </row>
    <row r="1740" spans="1:12" ht="29.1" customHeight="1" x14ac:dyDescent="0.25">
      <c r="A1740" s="181" t="s">
        <v>3015</v>
      </c>
      <c r="B1740" s="509" t="s">
        <v>3016</v>
      </c>
      <c r="C1740" s="509"/>
      <c r="D1740" s="481" t="s">
        <v>82</v>
      </c>
      <c r="E1740" s="481"/>
      <c r="F1740" s="481"/>
      <c r="G1740" s="231" t="s">
        <v>1024</v>
      </c>
      <c r="H1740" s="510">
        <v>1</v>
      </c>
      <c r="I1740" s="510"/>
      <c r="J1740" s="511">
        <v>10.48</v>
      </c>
      <c r="K1740" s="511"/>
      <c r="L1740" s="367">
        <f>TRUNC(TRUNC(H1740,8)*J1740,2)</f>
        <v>10.48</v>
      </c>
    </row>
    <row r="1741" spans="1:12" ht="15" customHeight="1" x14ac:dyDescent="0.25">
      <c r="A1741" s="182"/>
      <c r="B1741" s="183"/>
      <c r="C1741" s="183"/>
      <c r="D1741" s="183"/>
      <c r="E1741" s="183"/>
      <c r="F1741" s="183"/>
      <c r="G1741" s="183"/>
      <c r="H1741" s="477" t="s">
        <v>1915</v>
      </c>
      <c r="I1741" s="477"/>
      <c r="J1741" s="477"/>
      <c r="K1741" s="477"/>
      <c r="L1741" s="368">
        <f>SUM(L1739:L1740)</f>
        <v>50.17</v>
      </c>
    </row>
    <row r="1742" spans="1:12" ht="15" customHeight="1" x14ac:dyDescent="0.25">
      <c r="A1742" s="182"/>
      <c r="B1742" s="183"/>
      <c r="C1742" s="183"/>
      <c r="D1742" s="183"/>
      <c r="E1742" s="183"/>
      <c r="F1742" s="183"/>
      <c r="G1742" s="183"/>
      <c r="H1742" s="482" t="s">
        <v>1834</v>
      </c>
      <c r="I1742" s="482"/>
      <c r="J1742" s="482"/>
      <c r="K1742" s="482"/>
      <c r="L1742" s="369">
        <f>ROUND(SUM(L1737,L1741),2)</f>
        <v>89.81</v>
      </c>
    </row>
    <row r="1743" spans="1:12" ht="9.9499999999999993" customHeight="1" x14ac:dyDescent="0.25">
      <c r="A1743" s="182"/>
      <c r="B1743" s="183"/>
      <c r="C1743" s="183"/>
      <c r="D1743" s="183"/>
      <c r="E1743" s="183"/>
      <c r="F1743" s="183"/>
      <c r="G1743" s="183"/>
      <c r="H1743" s="485"/>
      <c r="I1743" s="485"/>
      <c r="J1743" s="485"/>
      <c r="K1743" s="485"/>
      <c r="L1743" s="512"/>
    </row>
    <row r="1744" spans="1:12" ht="20.100000000000001" customHeight="1" x14ac:dyDescent="0.25">
      <c r="A1744" s="486" t="s">
        <v>3017</v>
      </c>
      <c r="B1744" s="487"/>
      <c r="C1744" s="487"/>
      <c r="D1744" s="487"/>
      <c r="E1744" s="487"/>
      <c r="F1744" s="487"/>
      <c r="G1744" s="487"/>
      <c r="H1744" s="487"/>
      <c r="I1744" s="487"/>
      <c r="J1744" s="487"/>
      <c r="K1744" s="487"/>
      <c r="L1744" s="513"/>
    </row>
    <row r="1745" spans="1:12" ht="15" customHeight="1" x14ac:dyDescent="0.25">
      <c r="A1745" s="474" t="s">
        <v>2190</v>
      </c>
      <c r="B1745" s="475"/>
      <c r="C1745" s="475"/>
      <c r="D1745" s="476" t="s">
        <v>42</v>
      </c>
      <c r="E1745" s="476"/>
      <c r="F1745" s="476"/>
      <c r="G1745" s="230" t="s">
        <v>44</v>
      </c>
      <c r="H1745" s="476" t="s">
        <v>1813</v>
      </c>
      <c r="I1745" s="476"/>
      <c r="J1745" s="476" t="s">
        <v>1814</v>
      </c>
      <c r="K1745" s="476"/>
      <c r="L1745" s="366" t="s">
        <v>1802</v>
      </c>
    </row>
    <row r="1746" spans="1:12" ht="21" customHeight="1" x14ac:dyDescent="0.25">
      <c r="A1746" s="181" t="s">
        <v>3011</v>
      </c>
      <c r="B1746" s="509" t="s">
        <v>3012</v>
      </c>
      <c r="C1746" s="509"/>
      <c r="D1746" s="481" t="s">
        <v>82</v>
      </c>
      <c r="E1746" s="481"/>
      <c r="F1746" s="481"/>
      <c r="G1746" s="231" t="s">
        <v>1024</v>
      </c>
      <c r="H1746" s="510">
        <v>1</v>
      </c>
      <c r="I1746" s="510"/>
      <c r="J1746" s="511">
        <v>39.64</v>
      </c>
      <c r="K1746" s="511"/>
      <c r="L1746" s="367">
        <f>TRUNC(TRUNC(H1746,8)*J1746,2)</f>
        <v>39.64</v>
      </c>
    </row>
    <row r="1747" spans="1:12" ht="18" customHeight="1" x14ac:dyDescent="0.25">
      <c r="A1747" s="182"/>
      <c r="B1747" s="183"/>
      <c r="C1747" s="183"/>
      <c r="D1747" s="183"/>
      <c r="E1747" s="183"/>
      <c r="F1747" s="183"/>
      <c r="G1747" s="183"/>
      <c r="H1747" s="477" t="s">
        <v>2195</v>
      </c>
      <c r="I1747" s="477"/>
      <c r="J1747" s="477"/>
      <c r="K1747" s="477"/>
      <c r="L1747" s="368">
        <f>SUM(L1746:L1746)</f>
        <v>39.64</v>
      </c>
    </row>
    <row r="1748" spans="1:12" ht="15" customHeight="1" x14ac:dyDescent="0.25">
      <c r="A1748" s="474" t="s">
        <v>1912</v>
      </c>
      <c r="B1748" s="475"/>
      <c r="C1748" s="475"/>
      <c r="D1748" s="476" t="s">
        <v>42</v>
      </c>
      <c r="E1748" s="476"/>
      <c r="F1748" s="476"/>
      <c r="G1748" s="230" t="s">
        <v>44</v>
      </c>
      <c r="H1748" s="476" t="s">
        <v>1813</v>
      </c>
      <c r="I1748" s="476"/>
      <c r="J1748" s="476" t="s">
        <v>1814</v>
      </c>
      <c r="K1748" s="476"/>
      <c r="L1748" s="366" t="s">
        <v>1802</v>
      </c>
    </row>
    <row r="1749" spans="1:12" ht="29.1" customHeight="1" x14ac:dyDescent="0.25">
      <c r="A1749" s="181" t="s">
        <v>3013</v>
      </c>
      <c r="B1749" s="509" t="s">
        <v>3014</v>
      </c>
      <c r="C1749" s="509"/>
      <c r="D1749" s="481" t="s">
        <v>82</v>
      </c>
      <c r="E1749" s="481"/>
      <c r="F1749" s="481"/>
      <c r="G1749" s="231" t="s">
        <v>1024</v>
      </c>
      <c r="H1749" s="510">
        <v>1</v>
      </c>
      <c r="I1749" s="510"/>
      <c r="J1749" s="511">
        <v>39.69</v>
      </c>
      <c r="K1749" s="511"/>
      <c r="L1749" s="367">
        <f>TRUNC(TRUNC(H1749,8)*J1749,2)</f>
        <v>39.69</v>
      </c>
    </row>
    <row r="1750" spans="1:12" ht="29.1" customHeight="1" x14ac:dyDescent="0.25">
      <c r="A1750" s="181" t="s">
        <v>3015</v>
      </c>
      <c r="B1750" s="509" t="s">
        <v>3016</v>
      </c>
      <c r="C1750" s="509"/>
      <c r="D1750" s="481" t="s">
        <v>82</v>
      </c>
      <c r="E1750" s="481"/>
      <c r="F1750" s="481"/>
      <c r="G1750" s="231" t="s">
        <v>1024</v>
      </c>
      <c r="H1750" s="510">
        <v>1</v>
      </c>
      <c r="I1750" s="510"/>
      <c r="J1750" s="511">
        <v>10.48</v>
      </c>
      <c r="K1750" s="511"/>
      <c r="L1750" s="367">
        <f>TRUNC(TRUNC(H1750,8)*J1750,2)</f>
        <v>10.48</v>
      </c>
    </row>
    <row r="1751" spans="1:12" ht="29.1" customHeight="1" x14ac:dyDescent="0.25">
      <c r="A1751" s="181" t="s">
        <v>3018</v>
      </c>
      <c r="B1751" s="509" t="s">
        <v>3019</v>
      </c>
      <c r="C1751" s="509"/>
      <c r="D1751" s="481" t="s">
        <v>82</v>
      </c>
      <c r="E1751" s="481"/>
      <c r="F1751" s="481"/>
      <c r="G1751" s="231" t="s">
        <v>1024</v>
      </c>
      <c r="H1751" s="510">
        <v>1</v>
      </c>
      <c r="I1751" s="510"/>
      <c r="J1751" s="511">
        <v>49.61</v>
      </c>
      <c r="K1751" s="511"/>
      <c r="L1751" s="367">
        <f>TRUNC(TRUNC(H1751,8)*J1751,2)</f>
        <v>49.61</v>
      </c>
    </row>
    <row r="1752" spans="1:12" ht="38.1" customHeight="1" x14ac:dyDescent="0.25">
      <c r="A1752" s="181" t="s">
        <v>3020</v>
      </c>
      <c r="B1752" s="509" t="s">
        <v>3021</v>
      </c>
      <c r="C1752" s="509"/>
      <c r="D1752" s="481" t="s">
        <v>82</v>
      </c>
      <c r="E1752" s="481"/>
      <c r="F1752" s="481"/>
      <c r="G1752" s="231" t="s">
        <v>1024</v>
      </c>
      <c r="H1752" s="510">
        <v>1</v>
      </c>
      <c r="I1752" s="510"/>
      <c r="J1752" s="511">
        <v>52.63</v>
      </c>
      <c r="K1752" s="511"/>
      <c r="L1752" s="367">
        <f>TRUNC(TRUNC(H1752,8)*J1752,2)</f>
        <v>52.63</v>
      </c>
    </row>
    <row r="1753" spans="1:12" ht="15" customHeight="1" x14ac:dyDescent="0.25">
      <c r="A1753" s="182"/>
      <c r="B1753" s="183"/>
      <c r="C1753" s="183"/>
      <c r="D1753" s="183"/>
      <c r="E1753" s="183"/>
      <c r="F1753" s="183"/>
      <c r="G1753" s="183"/>
      <c r="H1753" s="477" t="s">
        <v>1915</v>
      </c>
      <c r="I1753" s="477"/>
      <c r="J1753" s="477"/>
      <c r="K1753" s="477"/>
      <c r="L1753" s="368">
        <f>SUM(L1749:L1752)</f>
        <v>152.41</v>
      </c>
    </row>
    <row r="1754" spans="1:12" ht="15" customHeight="1" x14ac:dyDescent="0.25">
      <c r="A1754" s="182"/>
      <c r="B1754" s="183"/>
      <c r="C1754" s="183"/>
      <c r="D1754" s="183"/>
      <c r="E1754" s="183"/>
      <c r="F1754" s="183"/>
      <c r="G1754" s="183"/>
      <c r="H1754" s="482" t="s">
        <v>1834</v>
      </c>
      <c r="I1754" s="482"/>
      <c r="J1754" s="482"/>
      <c r="K1754" s="482"/>
      <c r="L1754" s="369">
        <f>ROUND(SUM(L1747,L1753),2)</f>
        <v>192.05</v>
      </c>
    </row>
    <row r="1755" spans="1:12" ht="9.9499999999999993" customHeight="1" x14ac:dyDescent="0.25">
      <c r="A1755" s="182"/>
      <c r="B1755" s="183"/>
      <c r="C1755" s="183"/>
      <c r="D1755" s="183"/>
      <c r="E1755" s="183"/>
      <c r="F1755" s="183"/>
      <c r="G1755" s="183"/>
      <c r="H1755" s="485"/>
      <c r="I1755" s="485"/>
      <c r="J1755" s="485"/>
      <c r="K1755" s="485"/>
      <c r="L1755" s="512"/>
    </row>
    <row r="1756" spans="1:12" ht="20.100000000000001" customHeight="1" x14ac:dyDescent="0.25">
      <c r="A1756" s="486" t="s">
        <v>3022</v>
      </c>
      <c r="B1756" s="487"/>
      <c r="C1756" s="487"/>
      <c r="D1756" s="487"/>
      <c r="E1756" s="487"/>
      <c r="F1756" s="487"/>
      <c r="G1756" s="487"/>
      <c r="H1756" s="487"/>
      <c r="I1756" s="487"/>
      <c r="J1756" s="487"/>
      <c r="K1756" s="487"/>
      <c r="L1756" s="513"/>
    </row>
    <row r="1757" spans="1:12" ht="15" customHeight="1" x14ac:dyDescent="0.25">
      <c r="A1757" s="474" t="s">
        <v>2443</v>
      </c>
      <c r="B1757" s="475"/>
      <c r="C1757" s="475"/>
      <c r="D1757" s="476" t="s">
        <v>42</v>
      </c>
      <c r="E1757" s="476"/>
      <c r="F1757" s="476"/>
      <c r="G1757" s="230" t="s">
        <v>44</v>
      </c>
      <c r="H1757" s="476" t="s">
        <v>1813</v>
      </c>
      <c r="I1757" s="476"/>
      <c r="J1757" s="476" t="s">
        <v>1814</v>
      </c>
      <c r="K1757" s="476"/>
      <c r="L1757" s="366" t="s">
        <v>1802</v>
      </c>
    </row>
    <row r="1758" spans="1:12" ht="29.1" customHeight="1" x14ac:dyDescent="0.25">
      <c r="A1758" s="181" t="s">
        <v>3023</v>
      </c>
      <c r="B1758" s="509" t="s">
        <v>3024</v>
      </c>
      <c r="C1758" s="509"/>
      <c r="D1758" s="481" t="s">
        <v>82</v>
      </c>
      <c r="E1758" s="481"/>
      <c r="F1758" s="481"/>
      <c r="G1758" s="231" t="s">
        <v>226</v>
      </c>
      <c r="H1758" s="510">
        <v>5.5999999999999999E-5</v>
      </c>
      <c r="I1758" s="510"/>
      <c r="J1758" s="511">
        <v>708750</v>
      </c>
      <c r="K1758" s="511"/>
      <c r="L1758" s="367">
        <f>TRUNC(TRUNC(H1758,8)*J1758,2)</f>
        <v>39.69</v>
      </c>
    </row>
    <row r="1759" spans="1:12" ht="15" customHeight="1" x14ac:dyDescent="0.25">
      <c r="A1759" s="182"/>
      <c r="B1759" s="183"/>
      <c r="C1759" s="183"/>
      <c r="D1759" s="183"/>
      <c r="E1759" s="183"/>
      <c r="F1759" s="183"/>
      <c r="G1759" s="183"/>
      <c r="H1759" s="477" t="s">
        <v>2446</v>
      </c>
      <c r="I1759" s="477"/>
      <c r="J1759" s="477"/>
      <c r="K1759" s="477"/>
      <c r="L1759" s="368">
        <f>SUM(L1758:L1758)</f>
        <v>39.69</v>
      </c>
    </row>
    <row r="1760" spans="1:12" ht="15" customHeight="1" x14ac:dyDescent="0.25">
      <c r="A1760" s="182"/>
      <c r="B1760" s="183"/>
      <c r="C1760" s="183"/>
      <c r="D1760" s="183"/>
      <c r="E1760" s="183"/>
      <c r="F1760" s="183"/>
      <c r="G1760" s="183"/>
      <c r="H1760" s="482" t="s">
        <v>1834</v>
      </c>
      <c r="I1760" s="482"/>
      <c r="J1760" s="482"/>
      <c r="K1760" s="482"/>
      <c r="L1760" s="369">
        <f>ROUND(SUM(L1759),2)</f>
        <v>39.69</v>
      </c>
    </row>
    <row r="1761" spans="1:12" ht="9.9499999999999993" customHeight="1" x14ac:dyDescent="0.25">
      <c r="A1761" s="182"/>
      <c r="B1761" s="183"/>
      <c r="C1761" s="183"/>
      <c r="D1761" s="183"/>
      <c r="E1761" s="183"/>
      <c r="F1761" s="183"/>
      <c r="G1761" s="183"/>
      <c r="H1761" s="485"/>
      <c r="I1761" s="485"/>
      <c r="J1761" s="485"/>
      <c r="K1761" s="485"/>
      <c r="L1761" s="512"/>
    </row>
    <row r="1762" spans="1:12" ht="20.100000000000001" customHeight="1" x14ac:dyDescent="0.25">
      <c r="A1762" s="486" t="s">
        <v>3025</v>
      </c>
      <c r="B1762" s="487"/>
      <c r="C1762" s="487"/>
      <c r="D1762" s="487"/>
      <c r="E1762" s="487"/>
      <c r="F1762" s="487"/>
      <c r="G1762" s="487"/>
      <c r="H1762" s="487"/>
      <c r="I1762" s="487"/>
      <c r="J1762" s="487"/>
      <c r="K1762" s="487"/>
      <c r="L1762" s="513"/>
    </row>
    <row r="1763" spans="1:12" ht="15" customHeight="1" x14ac:dyDescent="0.25">
      <c r="A1763" s="474" t="s">
        <v>2443</v>
      </c>
      <c r="B1763" s="475"/>
      <c r="C1763" s="475"/>
      <c r="D1763" s="476" t="s">
        <v>42</v>
      </c>
      <c r="E1763" s="476"/>
      <c r="F1763" s="476"/>
      <c r="G1763" s="230" t="s">
        <v>44</v>
      </c>
      <c r="H1763" s="476" t="s">
        <v>1813</v>
      </c>
      <c r="I1763" s="476"/>
      <c r="J1763" s="476" t="s">
        <v>1814</v>
      </c>
      <c r="K1763" s="476"/>
      <c r="L1763" s="366" t="s">
        <v>1802</v>
      </c>
    </row>
    <row r="1764" spans="1:12" ht="29.1" customHeight="1" x14ac:dyDescent="0.25">
      <c r="A1764" s="181" t="s">
        <v>3023</v>
      </c>
      <c r="B1764" s="509" t="s">
        <v>3024</v>
      </c>
      <c r="C1764" s="509"/>
      <c r="D1764" s="481" t="s">
        <v>82</v>
      </c>
      <c r="E1764" s="481"/>
      <c r="F1764" s="481"/>
      <c r="G1764" s="231" t="s">
        <v>226</v>
      </c>
      <c r="H1764" s="510">
        <v>1.4800000000000001E-5</v>
      </c>
      <c r="I1764" s="510"/>
      <c r="J1764" s="511">
        <v>708750</v>
      </c>
      <c r="K1764" s="511"/>
      <c r="L1764" s="367">
        <f>TRUNC(TRUNC(H1764,8)*J1764,2)</f>
        <v>10.48</v>
      </c>
    </row>
    <row r="1765" spans="1:12" ht="15" customHeight="1" x14ac:dyDescent="0.25">
      <c r="A1765" s="182"/>
      <c r="B1765" s="183"/>
      <c r="C1765" s="183"/>
      <c r="D1765" s="183"/>
      <c r="E1765" s="183"/>
      <c r="F1765" s="183"/>
      <c r="G1765" s="183"/>
      <c r="H1765" s="477" t="s">
        <v>2446</v>
      </c>
      <c r="I1765" s="477"/>
      <c r="J1765" s="477"/>
      <c r="K1765" s="477"/>
      <c r="L1765" s="368">
        <f>SUM(L1764:L1764)</f>
        <v>10.48</v>
      </c>
    </row>
    <row r="1766" spans="1:12" ht="15" customHeight="1" x14ac:dyDescent="0.25">
      <c r="A1766" s="182"/>
      <c r="B1766" s="183"/>
      <c r="C1766" s="183"/>
      <c r="D1766" s="183"/>
      <c r="E1766" s="183"/>
      <c r="F1766" s="183"/>
      <c r="G1766" s="183"/>
      <c r="H1766" s="482" t="s">
        <v>1834</v>
      </c>
      <c r="I1766" s="482"/>
      <c r="J1766" s="482"/>
      <c r="K1766" s="482"/>
      <c r="L1766" s="369">
        <f>ROUND(SUM(L1765),2)</f>
        <v>10.48</v>
      </c>
    </row>
    <row r="1767" spans="1:12" ht="9.9499999999999993" customHeight="1" x14ac:dyDescent="0.25">
      <c r="A1767" s="182"/>
      <c r="B1767" s="183"/>
      <c r="C1767" s="183"/>
      <c r="D1767" s="183"/>
      <c r="E1767" s="183"/>
      <c r="F1767" s="183"/>
      <c r="G1767" s="183"/>
      <c r="H1767" s="485"/>
      <c r="I1767" s="485"/>
      <c r="J1767" s="485"/>
      <c r="K1767" s="485"/>
      <c r="L1767" s="512"/>
    </row>
    <row r="1768" spans="1:12" ht="20.100000000000001" customHeight="1" x14ac:dyDescent="0.25">
      <c r="A1768" s="486" t="s">
        <v>3026</v>
      </c>
      <c r="B1768" s="487"/>
      <c r="C1768" s="487"/>
      <c r="D1768" s="487"/>
      <c r="E1768" s="487"/>
      <c r="F1768" s="487"/>
      <c r="G1768" s="487"/>
      <c r="H1768" s="487"/>
      <c r="I1768" s="487"/>
      <c r="J1768" s="487"/>
      <c r="K1768" s="487"/>
      <c r="L1768" s="513"/>
    </row>
    <row r="1769" spans="1:12" ht="15" customHeight="1" x14ac:dyDescent="0.25">
      <c r="A1769" s="474" t="s">
        <v>2443</v>
      </c>
      <c r="B1769" s="475"/>
      <c r="C1769" s="475"/>
      <c r="D1769" s="476" t="s">
        <v>42</v>
      </c>
      <c r="E1769" s="476"/>
      <c r="F1769" s="476"/>
      <c r="G1769" s="230" t="s">
        <v>44</v>
      </c>
      <c r="H1769" s="476" t="s">
        <v>1813</v>
      </c>
      <c r="I1769" s="476"/>
      <c r="J1769" s="476" t="s">
        <v>1814</v>
      </c>
      <c r="K1769" s="476"/>
      <c r="L1769" s="366" t="s">
        <v>1802</v>
      </c>
    </row>
    <row r="1770" spans="1:12" ht="29.1" customHeight="1" x14ac:dyDescent="0.25">
      <c r="A1770" s="181" t="s">
        <v>3023</v>
      </c>
      <c r="B1770" s="509" t="s">
        <v>3024</v>
      </c>
      <c r="C1770" s="509"/>
      <c r="D1770" s="481" t="s">
        <v>82</v>
      </c>
      <c r="E1770" s="481"/>
      <c r="F1770" s="481"/>
      <c r="G1770" s="231" t="s">
        <v>226</v>
      </c>
      <c r="H1770" s="510">
        <v>6.9999999999999994E-5</v>
      </c>
      <c r="I1770" s="510"/>
      <c r="J1770" s="511">
        <v>708750</v>
      </c>
      <c r="K1770" s="511"/>
      <c r="L1770" s="367">
        <f>TRUNC(TRUNC(H1770,8)*J1770,2)</f>
        <v>49.61</v>
      </c>
    </row>
    <row r="1771" spans="1:12" ht="15" customHeight="1" x14ac:dyDescent="0.25">
      <c r="A1771" s="182"/>
      <c r="B1771" s="183"/>
      <c r="C1771" s="183"/>
      <c r="D1771" s="183"/>
      <c r="E1771" s="183"/>
      <c r="F1771" s="183"/>
      <c r="G1771" s="183"/>
      <c r="H1771" s="477" t="s">
        <v>2446</v>
      </c>
      <c r="I1771" s="477"/>
      <c r="J1771" s="477"/>
      <c r="K1771" s="477"/>
      <c r="L1771" s="368">
        <f>SUM(L1770:L1770)</f>
        <v>49.61</v>
      </c>
    </row>
    <row r="1772" spans="1:12" ht="15" customHeight="1" x14ac:dyDescent="0.25">
      <c r="A1772" s="182"/>
      <c r="B1772" s="183"/>
      <c r="C1772" s="183"/>
      <c r="D1772" s="183"/>
      <c r="E1772" s="183"/>
      <c r="F1772" s="183"/>
      <c r="G1772" s="183"/>
      <c r="H1772" s="482" t="s">
        <v>1834</v>
      </c>
      <c r="I1772" s="482"/>
      <c r="J1772" s="482"/>
      <c r="K1772" s="482"/>
      <c r="L1772" s="369">
        <f>ROUND(SUM(L1771),2)</f>
        <v>49.61</v>
      </c>
    </row>
    <row r="1773" spans="1:12" ht="9.9499999999999993" customHeight="1" x14ac:dyDescent="0.25">
      <c r="A1773" s="182"/>
      <c r="B1773" s="183"/>
      <c r="C1773" s="183"/>
      <c r="D1773" s="183"/>
      <c r="E1773" s="183"/>
      <c r="F1773" s="183"/>
      <c r="G1773" s="183"/>
      <c r="H1773" s="485"/>
      <c r="I1773" s="485"/>
      <c r="J1773" s="485"/>
      <c r="K1773" s="485"/>
      <c r="L1773" s="512"/>
    </row>
    <row r="1774" spans="1:12" ht="20.100000000000001" customHeight="1" x14ac:dyDescent="0.25">
      <c r="A1774" s="486" t="s">
        <v>3027</v>
      </c>
      <c r="B1774" s="487"/>
      <c r="C1774" s="487"/>
      <c r="D1774" s="487"/>
      <c r="E1774" s="487"/>
      <c r="F1774" s="487"/>
      <c r="G1774" s="487"/>
      <c r="H1774" s="487"/>
      <c r="I1774" s="487"/>
      <c r="J1774" s="487"/>
      <c r="K1774" s="487"/>
      <c r="L1774" s="513"/>
    </row>
    <row r="1775" spans="1:12" ht="15" customHeight="1" x14ac:dyDescent="0.25">
      <c r="A1775" s="474" t="s">
        <v>1812</v>
      </c>
      <c r="B1775" s="475"/>
      <c r="C1775" s="475"/>
      <c r="D1775" s="476" t="s">
        <v>42</v>
      </c>
      <c r="E1775" s="476"/>
      <c r="F1775" s="476"/>
      <c r="G1775" s="230" t="s">
        <v>44</v>
      </c>
      <c r="H1775" s="476" t="s">
        <v>1813</v>
      </c>
      <c r="I1775" s="476"/>
      <c r="J1775" s="476" t="s">
        <v>1814</v>
      </c>
      <c r="K1775" s="476"/>
      <c r="L1775" s="366" t="s">
        <v>1802</v>
      </c>
    </row>
    <row r="1776" spans="1:12" ht="21" customHeight="1" x14ac:dyDescent="0.25">
      <c r="A1776" s="181" t="s">
        <v>2498</v>
      </c>
      <c r="B1776" s="509" t="s">
        <v>2499</v>
      </c>
      <c r="C1776" s="509"/>
      <c r="D1776" s="481" t="s">
        <v>82</v>
      </c>
      <c r="E1776" s="481"/>
      <c r="F1776" s="481"/>
      <c r="G1776" s="231" t="s">
        <v>1006</v>
      </c>
      <c r="H1776" s="510">
        <v>7.64</v>
      </c>
      <c r="I1776" s="510"/>
      <c r="J1776" s="511">
        <v>6.89</v>
      </c>
      <c r="K1776" s="511"/>
      <c r="L1776" s="367">
        <f>TRUNC(TRUNC(H1776,8)*J1776,2)</f>
        <v>52.63</v>
      </c>
    </row>
    <row r="1777" spans="1:12" ht="15" customHeight="1" x14ac:dyDescent="0.25">
      <c r="A1777" s="182"/>
      <c r="B1777" s="183"/>
      <c r="C1777" s="183"/>
      <c r="D1777" s="183"/>
      <c r="E1777" s="183"/>
      <c r="F1777" s="183"/>
      <c r="G1777" s="183"/>
      <c r="H1777" s="477" t="s">
        <v>1826</v>
      </c>
      <c r="I1777" s="477"/>
      <c r="J1777" s="477"/>
      <c r="K1777" s="477"/>
      <c r="L1777" s="368">
        <f>SUM(L1776:L1776)</f>
        <v>52.63</v>
      </c>
    </row>
    <row r="1778" spans="1:12" ht="15" customHeight="1" x14ac:dyDescent="0.25">
      <c r="A1778" s="182"/>
      <c r="B1778" s="183"/>
      <c r="C1778" s="183"/>
      <c r="D1778" s="183"/>
      <c r="E1778" s="183"/>
      <c r="F1778" s="183"/>
      <c r="G1778" s="183"/>
      <c r="H1778" s="482" t="s">
        <v>1834</v>
      </c>
      <c r="I1778" s="482"/>
      <c r="J1778" s="482"/>
      <c r="K1778" s="482"/>
      <c r="L1778" s="369">
        <f>ROUND(SUM(L1777),2)</f>
        <v>52.63</v>
      </c>
    </row>
    <row r="1779" spans="1:12" ht="9.9499999999999993" customHeight="1" x14ac:dyDescent="0.25">
      <c r="A1779" s="182"/>
      <c r="B1779" s="183"/>
      <c r="C1779" s="183"/>
      <c r="D1779" s="183"/>
      <c r="E1779" s="183"/>
      <c r="F1779" s="183"/>
      <c r="G1779" s="183"/>
      <c r="H1779" s="485"/>
      <c r="I1779" s="485"/>
      <c r="J1779" s="485"/>
      <c r="K1779" s="485"/>
      <c r="L1779" s="512"/>
    </row>
    <row r="1780" spans="1:12" ht="20.100000000000001" customHeight="1" x14ac:dyDescent="0.25">
      <c r="A1780" s="486" t="s">
        <v>3028</v>
      </c>
      <c r="B1780" s="487"/>
      <c r="C1780" s="487"/>
      <c r="D1780" s="487"/>
      <c r="E1780" s="487"/>
      <c r="F1780" s="487"/>
      <c r="G1780" s="487"/>
      <c r="H1780" s="487"/>
      <c r="I1780" s="487"/>
      <c r="J1780" s="487"/>
      <c r="K1780" s="487"/>
      <c r="L1780" s="513"/>
    </row>
    <row r="1781" spans="1:12" ht="20.100000000000001" customHeight="1" x14ac:dyDescent="0.25">
      <c r="A1781" s="488" t="s">
        <v>1836</v>
      </c>
      <c r="B1781" s="489"/>
      <c r="C1781" s="489"/>
      <c r="D1781" s="489"/>
      <c r="E1781" s="489"/>
      <c r="F1781" s="489"/>
      <c r="G1781" s="233" t="s">
        <v>44</v>
      </c>
      <c r="H1781" s="515" t="s">
        <v>1837</v>
      </c>
      <c r="I1781" s="515"/>
      <c r="J1781" s="515" t="s">
        <v>1838</v>
      </c>
      <c r="K1781" s="515"/>
      <c r="L1781" s="169" t="s">
        <v>1839</v>
      </c>
    </row>
    <row r="1782" spans="1:12" ht="15" customHeight="1" x14ac:dyDescent="0.25">
      <c r="A1782" s="170" t="s">
        <v>1830</v>
      </c>
      <c r="B1782" s="490" t="s">
        <v>1831</v>
      </c>
      <c r="C1782" s="490"/>
      <c r="D1782" s="490"/>
      <c r="E1782" s="490"/>
      <c r="F1782" s="490"/>
      <c r="G1782" s="127" t="s">
        <v>1024</v>
      </c>
      <c r="H1782" s="524">
        <v>3.5</v>
      </c>
      <c r="I1782" s="524"/>
      <c r="J1782" s="517">
        <v>19.68</v>
      </c>
      <c r="K1782" s="517"/>
      <c r="L1782" s="370">
        <f>TRUNC(TRUNC(H1782,8)*J1782,2)</f>
        <v>68.88</v>
      </c>
    </row>
    <row r="1783" spans="1:12" ht="15" customHeight="1" x14ac:dyDescent="0.25">
      <c r="A1783" s="184"/>
      <c r="B1783" s="141"/>
      <c r="C1783" s="141"/>
      <c r="D1783" s="141"/>
      <c r="E1783" s="141"/>
      <c r="F1783" s="141"/>
      <c r="G1783" s="141"/>
      <c r="H1783" s="491" t="s">
        <v>1844</v>
      </c>
      <c r="I1783" s="491"/>
      <c r="J1783" s="491"/>
      <c r="K1783" s="491"/>
      <c r="L1783" s="369">
        <f>SUM(L1782:L1782)</f>
        <v>68.88</v>
      </c>
    </row>
    <row r="1784" spans="1:12" ht="15" customHeight="1" x14ac:dyDescent="0.25">
      <c r="A1784" s="182"/>
      <c r="B1784" s="183"/>
      <c r="C1784" s="183"/>
      <c r="D1784" s="183"/>
      <c r="E1784" s="183"/>
      <c r="F1784" s="183"/>
      <c r="G1784" s="183"/>
      <c r="H1784" s="482" t="s">
        <v>1845</v>
      </c>
      <c r="I1784" s="482"/>
      <c r="J1784" s="482"/>
      <c r="K1784" s="482"/>
      <c r="L1784" s="371">
        <f>SUM(L1783)</f>
        <v>68.88</v>
      </c>
    </row>
    <row r="1785" spans="1:12" ht="15" customHeight="1" x14ac:dyDescent="0.25">
      <c r="A1785" s="182"/>
      <c r="B1785" s="183"/>
      <c r="C1785" s="183"/>
      <c r="D1785" s="183"/>
      <c r="E1785" s="183"/>
      <c r="F1785" s="183"/>
      <c r="G1785" s="183"/>
      <c r="H1785" s="482" t="s">
        <v>1846</v>
      </c>
      <c r="I1785" s="482"/>
      <c r="J1785" s="482"/>
      <c r="K1785" s="482"/>
      <c r="L1785" s="374">
        <v>1</v>
      </c>
    </row>
    <row r="1786" spans="1:12" ht="15" customHeight="1" x14ac:dyDescent="0.25">
      <c r="A1786" s="182"/>
      <c r="B1786" s="183"/>
      <c r="C1786" s="183"/>
      <c r="D1786" s="183"/>
      <c r="E1786" s="183"/>
      <c r="F1786" s="183"/>
      <c r="G1786" s="183"/>
      <c r="H1786" s="482" t="s">
        <v>1847</v>
      </c>
      <c r="I1786" s="482"/>
      <c r="J1786" s="482"/>
      <c r="K1786" s="482"/>
      <c r="L1786" s="371">
        <f>TRUNC(L1784/L1785,4)</f>
        <v>68.88</v>
      </c>
    </row>
    <row r="1787" spans="1:12" ht="15" customHeight="1" x14ac:dyDescent="0.25">
      <c r="A1787" s="182"/>
      <c r="B1787" s="183"/>
      <c r="C1787" s="183"/>
      <c r="D1787" s="183"/>
      <c r="E1787" s="183"/>
      <c r="F1787" s="183"/>
      <c r="G1787" s="183"/>
      <c r="H1787" s="482" t="s">
        <v>1848</v>
      </c>
      <c r="I1787" s="482"/>
      <c r="J1787" s="482"/>
      <c r="K1787" s="482"/>
      <c r="L1787" s="371">
        <f>SUM(L1786)</f>
        <v>68.88</v>
      </c>
    </row>
    <row r="1788" spans="1:12" ht="15" customHeight="1" x14ac:dyDescent="0.25">
      <c r="A1788" s="182"/>
      <c r="B1788" s="183"/>
      <c r="C1788" s="183"/>
      <c r="D1788" s="183"/>
      <c r="E1788" s="183"/>
      <c r="F1788" s="183"/>
      <c r="G1788" s="183"/>
      <c r="H1788" s="482" t="s">
        <v>1834</v>
      </c>
      <c r="I1788" s="482"/>
      <c r="J1788" s="482"/>
      <c r="K1788" s="482"/>
      <c r="L1788" s="369">
        <f>ROUND(SUM(L1787),2)</f>
        <v>68.88</v>
      </c>
    </row>
    <row r="1789" spans="1:12" ht="9.9499999999999993" customHeight="1" x14ac:dyDescent="0.25">
      <c r="A1789" s="182"/>
      <c r="B1789" s="183"/>
      <c r="C1789" s="183"/>
      <c r="D1789" s="183"/>
      <c r="E1789" s="183"/>
      <c r="F1789" s="183"/>
      <c r="G1789" s="183"/>
      <c r="H1789" s="485"/>
      <c r="I1789" s="485"/>
      <c r="J1789" s="485"/>
      <c r="K1789" s="485"/>
      <c r="L1789" s="512"/>
    </row>
    <row r="1790" spans="1:12" ht="20.100000000000001" customHeight="1" x14ac:dyDescent="0.25">
      <c r="A1790" s="486" t="s">
        <v>3029</v>
      </c>
      <c r="B1790" s="487"/>
      <c r="C1790" s="487"/>
      <c r="D1790" s="487"/>
      <c r="E1790" s="487"/>
      <c r="F1790" s="487"/>
      <c r="G1790" s="487"/>
      <c r="H1790" s="487"/>
      <c r="I1790" s="487"/>
      <c r="J1790" s="487"/>
      <c r="K1790" s="487"/>
      <c r="L1790" s="513"/>
    </row>
    <row r="1791" spans="1:12" ht="15" customHeight="1" x14ac:dyDescent="0.25">
      <c r="A1791" s="474" t="s">
        <v>1932</v>
      </c>
      <c r="B1791" s="475"/>
      <c r="C1791" s="475"/>
      <c r="D1791" s="476" t="s">
        <v>42</v>
      </c>
      <c r="E1791" s="476"/>
      <c r="F1791" s="476"/>
      <c r="G1791" s="230" t="s">
        <v>44</v>
      </c>
      <c r="H1791" s="476" t="s">
        <v>1813</v>
      </c>
      <c r="I1791" s="476"/>
      <c r="J1791" s="476" t="s">
        <v>1814</v>
      </c>
      <c r="K1791" s="476"/>
      <c r="L1791" s="366" t="s">
        <v>1802</v>
      </c>
    </row>
    <row r="1792" spans="1:12" ht="15" customHeight="1" x14ac:dyDescent="0.25">
      <c r="A1792" s="181" t="s">
        <v>3030</v>
      </c>
      <c r="B1792" s="509" t="s">
        <v>3031</v>
      </c>
      <c r="C1792" s="509"/>
      <c r="D1792" s="481" t="s">
        <v>341</v>
      </c>
      <c r="E1792" s="481"/>
      <c r="F1792" s="481"/>
      <c r="G1792" s="231" t="s">
        <v>1935</v>
      </c>
      <c r="H1792" s="510">
        <v>0.6</v>
      </c>
      <c r="I1792" s="510"/>
      <c r="J1792" s="511">
        <v>3.86</v>
      </c>
      <c r="K1792" s="511"/>
      <c r="L1792" s="367">
        <f>TRUNC(TRUNC(H1792,8)*J1792,2)</f>
        <v>2.31</v>
      </c>
    </row>
    <row r="1793" spans="1:12" ht="15" customHeight="1" x14ac:dyDescent="0.25">
      <c r="A1793" s="181" t="s">
        <v>2421</v>
      </c>
      <c r="B1793" s="509" t="s">
        <v>2422</v>
      </c>
      <c r="C1793" s="509"/>
      <c r="D1793" s="481" t="s">
        <v>341</v>
      </c>
      <c r="E1793" s="481"/>
      <c r="F1793" s="481"/>
      <c r="G1793" s="231" t="s">
        <v>1935</v>
      </c>
      <c r="H1793" s="510">
        <v>0.6</v>
      </c>
      <c r="I1793" s="510"/>
      <c r="J1793" s="511">
        <v>3.96</v>
      </c>
      <c r="K1793" s="511"/>
      <c r="L1793" s="367">
        <f>TRUNC(TRUNC(H1793,8)*J1793,2)</f>
        <v>2.37</v>
      </c>
    </row>
    <row r="1794" spans="1:12" ht="15" customHeight="1" x14ac:dyDescent="0.25">
      <c r="A1794" s="182"/>
      <c r="B1794" s="183"/>
      <c r="C1794" s="183"/>
      <c r="D1794" s="183"/>
      <c r="E1794" s="183"/>
      <c r="F1794" s="183"/>
      <c r="G1794" s="183"/>
      <c r="H1794" s="477" t="s">
        <v>1938</v>
      </c>
      <c r="I1794" s="477"/>
      <c r="J1794" s="477"/>
      <c r="K1794" s="477"/>
      <c r="L1794" s="368">
        <f>SUM(L1792:L1793)</f>
        <v>4.68</v>
      </c>
    </row>
    <row r="1795" spans="1:12" ht="15" customHeight="1" x14ac:dyDescent="0.25">
      <c r="A1795" s="474" t="s">
        <v>1827</v>
      </c>
      <c r="B1795" s="475"/>
      <c r="C1795" s="475"/>
      <c r="D1795" s="476" t="s">
        <v>42</v>
      </c>
      <c r="E1795" s="476"/>
      <c r="F1795" s="476"/>
      <c r="G1795" s="230" t="s">
        <v>44</v>
      </c>
      <c r="H1795" s="476" t="s">
        <v>1813</v>
      </c>
      <c r="I1795" s="476"/>
      <c r="J1795" s="476" t="s">
        <v>1814</v>
      </c>
      <c r="K1795" s="476"/>
      <c r="L1795" s="366" t="s">
        <v>1802</v>
      </c>
    </row>
    <row r="1796" spans="1:12" ht="15" customHeight="1" x14ac:dyDescent="0.25">
      <c r="A1796" s="181" t="s">
        <v>3032</v>
      </c>
      <c r="B1796" s="509" t="s">
        <v>3033</v>
      </c>
      <c r="C1796" s="509"/>
      <c r="D1796" s="481" t="s">
        <v>341</v>
      </c>
      <c r="E1796" s="481"/>
      <c r="F1796" s="481"/>
      <c r="G1796" s="231" t="s">
        <v>1935</v>
      </c>
      <c r="H1796" s="510">
        <v>0.6</v>
      </c>
      <c r="I1796" s="510"/>
      <c r="J1796" s="511">
        <v>20.45</v>
      </c>
      <c r="K1796" s="511"/>
      <c r="L1796" s="367">
        <f>TRUNC(TRUNC(H1796,8)*J1796,2)</f>
        <v>12.27</v>
      </c>
    </row>
    <row r="1797" spans="1:12" ht="15" customHeight="1" x14ac:dyDescent="0.25">
      <c r="A1797" s="181" t="s">
        <v>2427</v>
      </c>
      <c r="B1797" s="509" t="s">
        <v>2428</v>
      </c>
      <c r="C1797" s="509"/>
      <c r="D1797" s="481" t="s">
        <v>341</v>
      </c>
      <c r="E1797" s="481"/>
      <c r="F1797" s="481"/>
      <c r="G1797" s="231" t="s">
        <v>1935</v>
      </c>
      <c r="H1797" s="510">
        <v>0.6</v>
      </c>
      <c r="I1797" s="510"/>
      <c r="J1797" s="511">
        <v>15.59</v>
      </c>
      <c r="K1797" s="511"/>
      <c r="L1797" s="367">
        <f>TRUNC(TRUNC(H1797,8)*J1797,2)</f>
        <v>9.35</v>
      </c>
    </row>
    <row r="1798" spans="1:12" ht="15" customHeight="1" x14ac:dyDescent="0.25">
      <c r="A1798" s="182"/>
      <c r="B1798" s="183"/>
      <c r="C1798" s="183"/>
      <c r="D1798" s="183"/>
      <c r="E1798" s="183"/>
      <c r="F1798" s="183"/>
      <c r="G1798" s="183"/>
      <c r="H1798" s="477" t="s">
        <v>1832</v>
      </c>
      <c r="I1798" s="477"/>
      <c r="J1798" s="477"/>
      <c r="K1798" s="477"/>
      <c r="L1798" s="368">
        <f>SUM(L1796:L1797)</f>
        <v>21.619999999999997</v>
      </c>
    </row>
    <row r="1799" spans="1:12" ht="15" customHeight="1" x14ac:dyDescent="0.25">
      <c r="A1799" s="474" t="s">
        <v>1912</v>
      </c>
      <c r="B1799" s="475"/>
      <c r="C1799" s="475"/>
      <c r="D1799" s="476" t="s">
        <v>42</v>
      </c>
      <c r="E1799" s="476"/>
      <c r="F1799" s="476"/>
      <c r="G1799" s="230" t="s">
        <v>44</v>
      </c>
      <c r="H1799" s="476" t="s">
        <v>1813</v>
      </c>
      <c r="I1799" s="476"/>
      <c r="J1799" s="476" t="s">
        <v>1814</v>
      </c>
      <c r="K1799" s="476"/>
      <c r="L1799" s="366" t="s">
        <v>1802</v>
      </c>
    </row>
    <row r="1800" spans="1:12" ht="21" customHeight="1" x14ac:dyDescent="0.25">
      <c r="A1800" s="181" t="s">
        <v>2146</v>
      </c>
      <c r="B1800" s="509" t="s">
        <v>2147</v>
      </c>
      <c r="C1800" s="509"/>
      <c r="D1800" s="481" t="s">
        <v>341</v>
      </c>
      <c r="E1800" s="481"/>
      <c r="F1800" s="481"/>
      <c r="G1800" s="231" t="s">
        <v>89</v>
      </c>
      <c r="H1800" s="510">
        <v>2.5000000000000001E-2</v>
      </c>
      <c r="I1800" s="510"/>
      <c r="J1800" s="511">
        <v>454.58</v>
      </c>
      <c r="K1800" s="511"/>
      <c r="L1800" s="367">
        <f>TRUNC(TRUNC(H1800,8)*J1800,2)</f>
        <v>11.36</v>
      </c>
    </row>
    <row r="1801" spans="1:12" ht="15" customHeight="1" x14ac:dyDescent="0.25">
      <c r="A1801" s="182"/>
      <c r="B1801" s="183"/>
      <c r="C1801" s="183"/>
      <c r="D1801" s="183"/>
      <c r="E1801" s="183"/>
      <c r="F1801" s="183"/>
      <c r="G1801" s="183"/>
      <c r="H1801" s="477" t="s">
        <v>1915</v>
      </c>
      <c r="I1801" s="477"/>
      <c r="J1801" s="477"/>
      <c r="K1801" s="477"/>
      <c r="L1801" s="368">
        <f>SUM(L1800:L1800)</f>
        <v>11.36</v>
      </c>
    </row>
    <row r="1802" spans="1:12" ht="15" customHeight="1" x14ac:dyDescent="0.25">
      <c r="A1802" s="182"/>
      <c r="B1802" s="183"/>
      <c r="C1802" s="183"/>
      <c r="D1802" s="183"/>
      <c r="E1802" s="183"/>
      <c r="F1802" s="183"/>
      <c r="G1802" s="183"/>
      <c r="H1802" s="482" t="s">
        <v>1834</v>
      </c>
      <c r="I1802" s="482"/>
      <c r="J1802" s="482"/>
      <c r="K1802" s="482"/>
      <c r="L1802" s="369">
        <f>ROUND(SUM(L1794,L1798,L1801),2)</f>
        <v>37.659999999999997</v>
      </c>
    </row>
    <row r="1803" spans="1:12" ht="9.9499999999999993" customHeight="1" x14ac:dyDescent="0.25">
      <c r="A1803" s="182"/>
      <c r="B1803" s="183"/>
      <c r="C1803" s="183"/>
      <c r="D1803" s="183"/>
      <c r="E1803" s="183"/>
      <c r="F1803" s="183"/>
      <c r="G1803" s="183"/>
      <c r="H1803" s="485"/>
      <c r="I1803" s="485"/>
      <c r="J1803" s="485"/>
      <c r="K1803" s="485"/>
      <c r="L1803" s="512"/>
    </row>
    <row r="1804" spans="1:12" ht="20.100000000000001" customHeight="1" x14ac:dyDescent="0.25">
      <c r="A1804" s="486" t="s">
        <v>3034</v>
      </c>
      <c r="B1804" s="487"/>
      <c r="C1804" s="487"/>
      <c r="D1804" s="487"/>
      <c r="E1804" s="487"/>
      <c r="F1804" s="487"/>
      <c r="G1804" s="487"/>
      <c r="H1804" s="487"/>
      <c r="I1804" s="487"/>
      <c r="J1804" s="487"/>
      <c r="K1804" s="487"/>
      <c r="L1804" s="513"/>
    </row>
    <row r="1805" spans="1:12" ht="15" customHeight="1" x14ac:dyDescent="0.25">
      <c r="A1805" s="474" t="s">
        <v>1812</v>
      </c>
      <c r="B1805" s="475"/>
      <c r="C1805" s="475"/>
      <c r="D1805" s="476" t="s">
        <v>42</v>
      </c>
      <c r="E1805" s="476"/>
      <c r="F1805" s="476"/>
      <c r="G1805" s="230" t="s">
        <v>44</v>
      </c>
      <c r="H1805" s="476" t="s">
        <v>1813</v>
      </c>
      <c r="I1805" s="476"/>
      <c r="J1805" s="476" t="s">
        <v>1814</v>
      </c>
      <c r="K1805" s="476"/>
      <c r="L1805" s="366" t="s">
        <v>1802</v>
      </c>
    </row>
    <row r="1806" spans="1:12" ht="15" customHeight="1" x14ac:dyDescent="0.25">
      <c r="A1806" s="181" t="s">
        <v>2997</v>
      </c>
      <c r="B1806" s="509" t="s">
        <v>2998</v>
      </c>
      <c r="C1806" s="509"/>
      <c r="D1806" s="481" t="s">
        <v>51</v>
      </c>
      <c r="E1806" s="481"/>
      <c r="F1806" s="481"/>
      <c r="G1806" s="231" t="s">
        <v>1006</v>
      </c>
      <c r="H1806" s="510">
        <v>0.25</v>
      </c>
      <c r="I1806" s="510"/>
      <c r="J1806" s="511">
        <v>15.92</v>
      </c>
      <c r="K1806" s="511"/>
      <c r="L1806" s="367">
        <f>ROUND(ROUND(H1806,8)*J1806,2)</f>
        <v>3.98</v>
      </c>
    </row>
    <row r="1807" spans="1:12" ht="15" customHeight="1" x14ac:dyDescent="0.25">
      <c r="A1807" s="182"/>
      <c r="B1807" s="183"/>
      <c r="C1807" s="183"/>
      <c r="D1807" s="183"/>
      <c r="E1807" s="183"/>
      <c r="F1807" s="183"/>
      <c r="G1807" s="183"/>
      <c r="H1807" s="477" t="s">
        <v>1826</v>
      </c>
      <c r="I1807" s="477"/>
      <c r="J1807" s="477"/>
      <c r="K1807" s="477"/>
      <c r="L1807" s="368">
        <f>SUM(L1806:L1806)</f>
        <v>3.98</v>
      </c>
    </row>
    <row r="1808" spans="1:12" ht="15" customHeight="1" x14ac:dyDescent="0.25">
      <c r="A1808" s="474" t="s">
        <v>1827</v>
      </c>
      <c r="B1808" s="475"/>
      <c r="C1808" s="475"/>
      <c r="D1808" s="476" t="s">
        <v>42</v>
      </c>
      <c r="E1808" s="476"/>
      <c r="F1808" s="476"/>
      <c r="G1808" s="230" t="s">
        <v>44</v>
      </c>
      <c r="H1808" s="476" t="s">
        <v>1813</v>
      </c>
      <c r="I1808" s="476"/>
      <c r="J1808" s="476" t="s">
        <v>1814</v>
      </c>
      <c r="K1808" s="476"/>
      <c r="L1808" s="366" t="s">
        <v>1802</v>
      </c>
    </row>
    <row r="1809" spans="1:12" ht="15" customHeight="1" x14ac:dyDescent="0.25">
      <c r="A1809" s="181" t="s">
        <v>1830</v>
      </c>
      <c r="B1809" s="509" t="s">
        <v>1831</v>
      </c>
      <c r="C1809" s="509"/>
      <c r="D1809" s="481" t="s">
        <v>51</v>
      </c>
      <c r="E1809" s="481"/>
      <c r="F1809" s="481"/>
      <c r="G1809" s="231" t="s">
        <v>1024</v>
      </c>
      <c r="H1809" s="510">
        <v>2</v>
      </c>
      <c r="I1809" s="510"/>
      <c r="J1809" s="511">
        <v>19.68</v>
      </c>
      <c r="K1809" s="511"/>
      <c r="L1809" s="367">
        <f>ROUND(ROUND(H1809,8)*J1809,2)</f>
        <v>39.36</v>
      </c>
    </row>
    <row r="1810" spans="1:12" ht="15" customHeight="1" x14ac:dyDescent="0.25">
      <c r="A1810" s="182"/>
      <c r="B1810" s="183"/>
      <c r="C1810" s="183"/>
      <c r="D1810" s="183"/>
      <c r="E1810" s="183"/>
      <c r="F1810" s="183"/>
      <c r="G1810" s="183"/>
      <c r="H1810" s="477" t="s">
        <v>1832</v>
      </c>
      <c r="I1810" s="477"/>
      <c r="J1810" s="477"/>
      <c r="K1810" s="477"/>
      <c r="L1810" s="368">
        <f>SUM(L1809:L1809)</f>
        <v>39.36</v>
      </c>
    </row>
    <row r="1811" spans="1:12" ht="15" customHeight="1" x14ac:dyDescent="0.25">
      <c r="A1811" s="483" t="s">
        <v>3035</v>
      </c>
      <c r="B1811" s="484"/>
      <c r="C1811" s="484"/>
      <c r="D1811" s="484"/>
      <c r="E1811" s="183"/>
      <c r="F1811" s="183"/>
      <c r="G1811" s="183"/>
      <c r="H1811" s="482" t="s">
        <v>1834</v>
      </c>
      <c r="I1811" s="482"/>
      <c r="J1811" s="482"/>
      <c r="K1811" s="482"/>
      <c r="L1811" s="369">
        <v>43.34</v>
      </c>
    </row>
    <row r="1812" spans="1:12" ht="9.9499999999999993" customHeight="1" x14ac:dyDescent="0.25">
      <c r="A1812" s="182"/>
      <c r="B1812" s="183"/>
      <c r="C1812" s="183"/>
      <c r="D1812" s="183"/>
      <c r="E1812" s="183"/>
      <c r="F1812" s="183"/>
      <c r="G1812" s="183"/>
      <c r="H1812" s="485"/>
      <c r="I1812" s="485"/>
      <c r="J1812" s="485"/>
      <c r="K1812" s="485"/>
      <c r="L1812" s="512"/>
    </row>
    <row r="1813" spans="1:12" ht="20.100000000000001" customHeight="1" x14ac:dyDescent="0.25">
      <c r="A1813" s="486" t="s">
        <v>3036</v>
      </c>
      <c r="B1813" s="487"/>
      <c r="C1813" s="487"/>
      <c r="D1813" s="487"/>
      <c r="E1813" s="487"/>
      <c r="F1813" s="487"/>
      <c r="G1813" s="487"/>
      <c r="H1813" s="487"/>
      <c r="I1813" s="487"/>
      <c r="J1813" s="487"/>
      <c r="K1813" s="487"/>
      <c r="L1813" s="513"/>
    </row>
    <row r="1814" spans="1:12" ht="15" customHeight="1" x14ac:dyDescent="0.25">
      <c r="A1814" s="474" t="s">
        <v>2190</v>
      </c>
      <c r="B1814" s="475"/>
      <c r="C1814" s="475"/>
      <c r="D1814" s="476" t="s">
        <v>42</v>
      </c>
      <c r="E1814" s="476"/>
      <c r="F1814" s="476"/>
      <c r="G1814" s="230" t="s">
        <v>44</v>
      </c>
      <c r="H1814" s="476" t="s">
        <v>1813</v>
      </c>
      <c r="I1814" s="476"/>
      <c r="J1814" s="476" t="s">
        <v>1814</v>
      </c>
      <c r="K1814" s="476"/>
      <c r="L1814" s="366" t="s">
        <v>1802</v>
      </c>
    </row>
    <row r="1815" spans="1:12" ht="21" customHeight="1" x14ac:dyDescent="0.25">
      <c r="A1815" s="181" t="s">
        <v>2506</v>
      </c>
      <c r="B1815" s="509" t="s">
        <v>2507</v>
      </c>
      <c r="C1815" s="509"/>
      <c r="D1815" s="481" t="s">
        <v>82</v>
      </c>
      <c r="E1815" s="481"/>
      <c r="F1815" s="481"/>
      <c r="G1815" s="231" t="s">
        <v>1024</v>
      </c>
      <c r="H1815" s="510">
        <v>1</v>
      </c>
      <c r="I1815" s="510"/>
      <c r="J1815" s="511">
        <v>43.86</v>
      </c>
      <c r="K1815" s="511"/>
      <c r="L1815" s="367">
        <f>TRUNC(TRUNC(H1815,8)*J1815,2)</f>
        <v>43.86</v>
      </c>
    </row>
    <row r="1816" spans="1:12" ht="18" customHeight="1" x14ac:dyDescent="0.25">
      <c r="A1816" s="182"/>
      <c r="B1816" s="183"/>
      <c r="C1816" s="183"/>
      <c r="D1816" s="183"/>
      <c r="E1816" s="183"/>
      <c r="F1816" s="183"/>
      <c r="G1816" s="183"/>
      <c r="H1816" s="477" t="s">
        <v>2195</v>
      </c>
      <c r="I1816" s="477"/>
      <c r="J1816" s="477"/>
      <c r="K1816" s="477"/>
      <c r="L1816" s="368">
        <f>SUM(L1815:L1815)</f>
        <v>43.86</v>
      </c>
    </row>
    <row r="1817" spans="1:12" ht="15" customHeight="1" x14ac:dyDescent="0.25">
      <c r="A1817" s="474" t="s">
        <v>1912</v>
      </c>
      <c r="B1817" s="475"/>
      <c r="C1817" s="475"/>
      <c r="D1817" s="476" t="s">
        <v>42</v>
      </c>
      <c r="E1817" s="476"/>
      <c r="F1817" s="476"/>
      <c r="G1817" s="230" t="s">
        <v>44</v>
      </c>
      <c r="H1817" s="476" t="s">
        <v>1813</v>
      </c>
      <c r="I1817" s="476"/>
      <c r="J1817" s="476" t="s">
        <v>1814</v>
      </c>
      <c r="K1817" s="476"/>
      <c r="L1817" s="366" t="s">
        <v>1802</v>
      </c>
    </row>
    <row r="1818" spans="1:12" ht="29.1" customHeight="1" x14ac:dyDescent="0.25">
      <c r="A1818" s="181" t="s">
        <v>3037</v>
      </c>
      <c r="B1818" s="509" t="s">
        <v>3038</v>
      </c>
      <c r="C1818" s="509"/>
      <c r="D1818" s="481" t="s">
        <v>82</v>
      </c>
      <c r="E1818" s="481"/>
      <c r="F1818" s="481"/>
      <c r="G1818" s="231" t="s">
        <v>1024</v>
      </c>
      <c r="H1818" s="510">
        <v>1</v>
      </c>
      <c r="I1818" s="510"/>
      <c r="J1818" s="511">
        <v>0.09</v>
      </c>
      <c r="K1818" s="511"/>
      <c r="L1818" s="367">
        <f>TRUNC(TRUNC(H1818,8)*J1818,2)</f>
        <v>0.09</v>
      </c>
    </row>
    <row r="1819" spans="1:12" ht="29.1" customHeight="1" x14ac:dyDescent="0.25">
      <c r="A1819" s="181" t="s">
        <v>3039</v>
      </c>
      <c r="B1819" s="509" t="s">
        <v>3040</v>
      </c>
      <c r="C1819" s="509"/>
      <c r="D1819" s="481" t="s">
        <v>82</v>
      </c>
      <c r="E1819" s="481"/>
      <c r="F1819" s="481"/>
      <c r="G1819" s="231" t="s">
        <v>1024</v>
      </c>
      <c r="H1819" s="510">
        <v>1</v>
      </c>
      <c r="I1819" s="510"/>
      <c r="J1819" s="511">
        <v>0.01</v>
      </c>
      <c r="K1819" s="511"/>
      <c r="L1819" s="367">
        <f>TRUNC(TRUNC(H1819,8)*J1819,2)</f>
        <v>0.01</v>
      </c>
    </row>
    <row r="1820" spans="1:12" ht="15" customHeight="1" x14ac:dyDescent="0.25">
      <c r="A1820" s="182"/>
      <c r="B1820" s="183"/>
      <c r="C1820" s="183"/>
      <c r="D1820" s="183"/>
      <c r="E1820" s="183"/>
      <c r="F1820" s="183"/>
      <c r="G1820" s="183"/>
      <c r="H1820" s="477" t="s">
        <v>1915</v>
      </c>
      <c r="I1820" s="477"/>
      <c r="J1820" s="477"/>
      <c r="K1820" s="477"/>
      <c r="L1820" s="368">
        <f>SUM(L1818:L1819)</f>
        <v>9.9999999999999992E-2</v>
      </c>
    </row>
    <row r="1821" spans="1:12" ht="15" customHeight="1" x14ac:dyDescent="0.25">
      <c r="A1821" s="182"/>
      <c r="B1821" s="183"/>
      <c r="C1821" s="183"/>
      <c r="D1821" s="183"/>
      <c r="E1821" s="183"/>
      <c r="F1821" s="183"/>
      <c r="G1821" s="183"/>
      <c r="H1821" s="482" t="s">
        <v>1834</v>
      </c>
      <c r="I1821" s="482"/>
      <c r="J1821" s="482"/>
      <c r="K1821" s="482"/>
      <c r="L1821" s="369">
        <f>ROUND(SUM(L1816,L1820),2)</f>
        <v>43.96</v>
      </c>
    </row>
    <row r="1822" spans="1:12" ht="9.9499999999999993" customHeight="1" x14ac:dyDescent="0.25">
      <c r="A1822" s="182"/>
      <c r="B1822" s="183"/>
      <c r="C1822" s="183"/>
      <c r="D1822" s="183"/>
      <c r="E1822" s="183"/>
      <c r="F1822" s="183"/>
      <c r="G1822" s="183"/>
      <c r="H1822" s="485"/>
      <c r="I1822" s="485"/>
      <c r="J1822" s="485"/>
      <c r="K1822" s="485"/>
      <c r="L1822" s="512"/>
    </row>
    <row r="1823" spans="1:12" ht="20.100000000000001" customHeight="1" x14ac:dyDescent="0.25">
      <c r="A1823" s="486" t="s">
        <v>3041</v>
      </c>
      <c r="B1823" s="487"/>
      <c r="C1823" s="487"/>
      <c r="D1823" s="487"/>
      <c r="E1823" s="487"/>
      <c r="F1823" s="487"/>
      <c r="G1823" s="487"/>
      <c r="H1823" s="487"/>
      <c r="I1823" s="487"/>
      <c r="J1823" s="487"/>
      <c r="K1823" s="487"/>
      <c r="L1823" s="513"/>
    </row>
    <row r="1824" spans="1:12" ht="15" customHeight="1" x14ac:dyDescent="0.25">
      <c r="A1824" s="474" t="s">
        <v>2190</v>
      </c>
      <c r="B1824" s="475"/>
      <c r="C1824" s="475"/>
      <c r="D1824" s="476" t="s">
        <v>42</v>
      </c>
      <c r="E1824" s="476"/>
      <c r="F1824" s="476"/>
      <c r="G1824" s="230" t="s">
        <v>44</v>
      </c>
      <c r="H1824" s="476" t="s">
        <v>1813</v>
      </c>
      <c r="I1824" s="476"/>
      <c r="J1824" s="476" t="s">
        <v>1814</v>
      </c>
      <c r="K1824" s="476"/>
      <c r="L1824" s="366" t="s">
        <v>1802</v>
      </c>
    </row>
    <row r="1825" spans="1:12" ht="21" customHeight="1" x14ac:dyDescent="0.25">
      <c r="A1825" s="181" t="s">
        <v>2506</v>
      </c>
      <c r="B1825" s="509" t="s">
        <v>2507</v>
      </c>
      <c r="C1825" s="509"/>
      <c r="D1825" s="481" t="s">
        <v>82</v>
      </c>
      <c r="E1825" s="481"/>
      <c r="F1825" s="481"/>
      <c r="G1825" s="231" t="s">
        <v>1024</v>
      </c>
      <c r="H1825" s="510">
        <v>1</v>
      </c>
      <c r="I1825" s="510"/>
      <c r="J1825" s="511">
        <v>43.86</v>
      </c>
      <c r="K1825" s="511"/>
      <c r="L1825" s="367">
        <f>TRUNC(TRUNC(H1825,8)*J1825,2)</f>
        <v>43.86</v>
      </c>
    </row>
    <row r="1826" spans="1:12" ht="18" customHeight="1" x14ac:dyDescent="0.25">
      <c r="A1826" s="182"/>
      <c r="B1826" s="183"/>
      <c r="C1826" s="183"/>
      <c r="D1826" s="183"/>
      <c r="E1826" s="183"/>
      <c r="F1826" s="183"/>
      <c r="G1826" s="183"/>
      <c r="H1826" s="477" t="s">
        <v>2195</v>
      </c>
      <c r="I1826" s="477"/>
      <c r="J1826" s="477"/>
      <c r="K1826" s="477"/>
      <c r="L1826" s="368">
        <f>SUM(L1825:L1825)</f>
        <v>43.86</v>
      </c>
    </row>
    <row r="1827" spans="1:12" ht="15" customHeight="1" x14ac:dyDescent="0.25">
      <c r="A1827" s="474" t="s">
        <v>1912</v>
      </c>
      <c r="B1827" s="475"/>
      <c r="C1827" s="475"/>
      <c r="D1827" s="476" t="s">
        <v>42</v>
      </c>
      <c r="E1827" s="476"/>
      <c r="F1827" s="476"/>
      <c r="G1827" s="230" t="s">
        <v>44</v>
      </c>
      <c r="H1827" s="476" t="s">
        <v>1813</v>
      </c>
      <c r="I1827" s="476"/>
      <c r="J1827" s="476" t="s">
        <v>1814</v>
      </c>
      <c r="K1827" s="476"/>
      <c r="L1827" s="366" t="s">
        <v>1802</v>
      </c>
    </row>
    <row r="1828" spans="1:12" ht="29.1" customHeight="1" x14ac:dyDescent="0.25">
      <c r="A1828" s="181" t="s">
        <v>3037</v>
      </c>
      <c r="B1828" s="509" t="s">
        <v>3038</v>
      </c>
      <c r="C1828" s="509"/>
      <c r="D1828" s="481" t="s">
        <v>82</v>
      </c>
      <c r="E1828" s="481"/>
      <c r="F1828" s="481"/>
      <c r="G1828" s="231" t="s">
        <v>1024</v>
      </c>
      <c r="H1828" s="510">
        <v>1</v>
      </c>
      <c r="I1828" s="510"/>
      <c r="J1828" s="511">
        <v>0.09</v>
      </c>
      <c r="K1828" s="511"/>
      <c r="L1828" s="367">
        <f>TRUNC(TRUNC(H1828,8)*J1828,2)</f>
        <v>0.09</v>
      </c>
    </row>
    <row r="1829" spans="1:12" ht="29.1" customHeight="1" x14ac:dyDescent="0.25">
      <c r="A1829" s="181" t="s">
        <v>3039</v>
      </c>
      <c r="B1829" s="509" t="s">
        <v>3040</v>
      </c>
      <c r="C1829" s="509"/>
      <c r="D1829" s="481" t="s">
        <v>82</v>
      </c>
      <c r="E1829" s="481"/>
      <c r="F1829" s="481"/>
      <c r="G1829" s="231" t="s">
        <v>1024</v>
      </c>
      <c r="H1829" s="510">
        <v>1</v>
      </c>
      <c r="I1829" s="510"/>
      <c r="J1829" s="511">
        <v>0.01</v>
      </c>
      <c r="K1829" s="511"/>
      <c r="L1829" s="367">
        <f>TRUNC(TRUNC(H1829,8)*J1829,2)</f>
        <v>0.01</v>
      </c>
    </row>
    <row r="1830" spans="1:12" ht="29.1" customHeight="1" x14ac:dyDescent="0.25">
      <c r="A1830" s="181" t="s">
        <v>3042</v>
      </c>
      <c r="B1830" s="509" t="s">
        <v>3043</v>
      </c>
      <c r="C1830" s="509"/>
      <c r="D1830" s="481" t="s">
        <v>82</v>
      </c>
      <c r="E1830" s="481"/>
      <c r="F1830" s="481"/>
      <c r="G1830" s="231" t="s">
        <v>1024</v>
      </c>
      <c r="H1830" s="510">
        <v>1</v>
      </c>
      <c r="I1830" s="510"/>
      <c r="J1830" s="511">
        <v>0.06</v>
      </c>
      <c r="K1830" s="511"/>
      <c r="L1830" s="367">
        <f>TRUNC(TRUNC(H1830,8)*J1830,2)</f>
        <v>0.06</v>
      </c>
    </row>
    <row r="1831" spans="1:12" ht="29.1" customHeight="1" x14ac:dyDescent="0.25">
      <c r="A1831" s="181" t="s">
        <v>3044</v>
      </c>
      <c r="B1831" s="509" t="s">
        <v>3045</v>
      </c>
      <c r="C1831" s="509"/>
      <c r="D1831" s="481" t="s">
        <v>82</v>
      </c>
      <c r="E1831" s="481"/>
      <c r="F1831" s="481"/>
      <c r="G1831" s="231" t="s">
        <v>1024</v>
      </c>
      <c r="H1831" s="510">
        <v>1</v>
      </c>
      <c r="I1831" s="510"/>
      <c r="J1831" s="511">
        <v>1.3</v>
      </c>
      <c r="K1831" s="511"/>
      <c r="L1831" s="367">
        <f>TRUNC(TRUNC(H1831,8)*J1831,2)</f>
        <v>1.3</v>
      </c>
    </row>
    <row r="1832" spans="1:12" ht="15" customHeight="1" x14ac:dyDescent="0.25">
      <c r="A1832" s="182"/>
      <c r="B1832" s="183"/>
      <c r="C1832" s="183"/>
      <c r="D1832" s="183"/>
      <c r="E1832" s="183"/>
      <c r="F1832" s="183"/>
      <c r="G1832" s="183"/>
      <c r="H1832" s="477" t="s">
        <v>1915</v>
      </c>
      <c r="I1832" s="477"/>
      <c r="J1832" s="477"/>
      <c r="K1832" s="477"/>
      <c r="L1832" s="368">
        <f>SUM(L1828:L1831)</f>
        <v>1.46</v>
      </c>
    </row>
    <row r="1833" spans="1:12" ht="15" customHeight="1" x14ac:dyDescent="0.25">
      <c r="A1833" s="182"/>
      <c r="B1833" s="183"/>
      <c r="C1833" s="183"/>
      <c r="D1833" s="183"/>
      <c r="E1833" s="183"/>
      <c r="F1833" s="183"/>
      <c r="G1833" s="183"/>
      <c r="H1833" s="482" t="s">
        <v>1834</v>
      </c>
      <c r="I1833" s="482"/>
      <c r="J1833" s="482"/>
      <c r="K1833" s="482"/>
      <c r="L1833" s="369">
        <f>ROUND(SUM(L1826,L1832),2)</f>
        <v>45.32</v>
      </c>
    </row>
    <row r="1834" spans="1:12" ht="9.9499999999999993" customHeight="1" x14ac:dyDescent="0.25">
      <c r="A1834" s="182"/>
      <c r="B1834" s="183"/>
      <c r="C1834" s="183"/>
      <c r="D1834" s="183"/>
      <c r="E1834" s="183"/>
      <c r="F1834" s="183"/>
      <c r="G1834" s="183"/>
      <c r="H1834" s="485"/>
      <c r="I1834" s="485"/>
      <c r="J1834" s="485"/>
      <c r="K1834" s="485"/>
      <c r="L1834" s="512"/>
    </row>
    <row r="1835" spans="1:12" ht="20.100000000000001" customHeight="1" x14ac:dyDescent="0.25">
      <c r="A1835" s="486" t="s">
        <v>3046</v>
      </c>
      <c r="B1835" s="487"/>
      <c r="C1835" s="487"/>
      <c r="D1835" s="487"/>
      <c r="E1835" s="487"/>
      <c r="F1835" s="487"/>
      <c r="G1835" s="487"/>
      <c r="H1835" s="487"/>
      <c r="I1835" s="487"/>
      <c r="J1835" s="487"/>
      <c r="K1835" s="487"/>
      <c r="L1835" s="513"/>
    </row>
    <row r="1836" spans="1:12" ht="15" customHeight="1" x14ac:dyDescent="0.25">
      <c r="A1836" s="474" t="s">
        <v>2443</v>
      </c>
      <c r="B1836" s="475"/>
      <c r="C1836" s="475"/>
      <c r="D1836" s="476" t="s">
        <v>42</v>
      </c>
      <c r="E1836" s="476"/>
      <c r="F1836" s="476"/>
      <c r="G1836" s="230" t="s">
        <v>44</v>
      </c>
      <c r="H1836" s="476" t="s">
        <v>1813</v>
      </c>
      <c r="I1836" s="476"/>
      <c r="J1836" s="476" t="s">
        <v>1814</v>
      </c>
      <c r="K1836" s="476"/>
      <c r="L1836" s="366" t="s">
        <v>1802</v>
      </c>
    </row>
    <row r="1837" spans="1:12" ht="29.1" customHeight="1" x14ac:dyDescent="0.25">
      <c r="A1837" s="181" t="s">
        <v>3047</v>
      </c>
      <c r="B1837" s="509" t="s">
        <v>3048</v>
      </c>
      <c r="C1837" s="509"/>
      <c r="D1837" s="481" t="s">
        <v>82</v>
      </c>
      <c r="E1837" s="481"/>
      <c r="F1837" s="481"/>
      <c r="G1837" s="231" t="s">
        <v>226</v>
      </c>
      <c r="H1837" s="510">
        <v>7.2000000000000002E-5</v>
      </c>
      <c r="I1837" s="510"/>
      <c r="J1837" s="511">
        <v>1284.27</v>
      </c>
      <c r="K1837" s="511"/>
      <c r="L1837" s="367">
        <f>TRUNC(TRUNC(H1837,8)*J1837,2)</f>
        <v>0.09</v>
      </c>
    </row>
    <row r="1838" spans="1:12" ht="15" customHeight="1" x14ac:dyDescent="0.25">
      <c r="A1838" s="182"/>
      <c r="B1838" s="183"/>
      <c r="C1838" s="183"/>
      <c r="D1838" s="183"/>
      <c r="E1838" s="183"/>
      <c r="F1838" s="183"/>
      <c r="G1838" s="183"/>
      <c r="H1838" s="477" t="s">
        <v>2446</v>
      </c>
      <c r="I1838" s="477"/>
      <c r="J1838" s="477"/>
      <c r="K1838" s="477"/>
      <c r="L1838" s="368">
        <f>SUM(L1837:L1837)</f>
        <v>0.09</v>
      </c>
    </row>
    <row r="1839" spans="1:12" ht="15" customHeight="1" x14ac:dyDescent="0.25">
      <c r="A1839" s="182"/>
      <c r="B1839" s="183"/>
      <c r="C1839" s="183"/>
      <c r="D1839" s="183"/>
      <c r="E1839" s="183"/>
      <c r="F1839" s="183"/>
      <c r="G1839" s="183"/>
      <c r="H1839" s="482" t="s">
        <v>1834</v>
      </c>
      <c r="I1839" s="482"/>
      <c r="J1839" s="482"/>
      <c r="K1839" s="482"/>
      <c r="L1839" s="369">
        <f>ROUND(SUM(L1838),2)</f>
        <v>0.09</v>
      </c>
    </row>
    <row r="1840" spans="1:12" ht="9.9499999999999993" customHeight="1" x14ac:dyDescent="0.25">
      <c r="A1840" s="182"/>
      <c r="B1840" s="183"/>
      <c r="C1840" s="183"/>
      <c r="D1840" s="183"/>
      <c r="E1840" s="183"/>
      <c r="F1840" s="183"/>
      <c r="G1840" s="183"/>
      <c r="H1840" s="485"/>
      <c r="I1840" s="485"/>
      <c r="J1840" s="485"/>
      <c r="K1840" s="485"/>
      <c r="L1840" s="512"/>
    </row>
    <row r="1841" spans="1:12" ht="20.100000000000001" customHeight="1" x14ac:dyDescent="0.25">
      <c r="A1841" s="486" t="s">
        <v>3049</v>
      </c>
      <c r="B1841" s="487"/>
      <c r="C1841" s="487"/>
      <c r="D1841" s="487"/>
      <c r="E1841" s="487"/>
      <c r="F1841" s="487"/>
      <c r="G1841" s="487"/>
      <c r="H1841" s="487"/>
      <c r="I1841" s="487"/>
      <c r="J1841" s="487"/>
      <c r="K1841" s="487"/>
      <c r="L1841" s="513"/>
    </row>
    <row r="1842" spans="1:12" ht="15" customHeight="1" x14ac:dyDescent="0.25">
      <c r="A1842" s="474" t="s">
        <v>2443</v>
      </c>
      <c r="B1842" s="475"/>
      <c r="C1842" s="475"/>
      <c r="D1842" s="476" t="s">
        <v>42</v>
      </c>
      <c r="E1842" s="476"/>
      <c r="F1842" s="476"/>
      <c r="G1842" s="230" t="s">
        <v>44</v>
      </c>
      <c r="H1842" s="476" t="s">
        <v>1813</v>
      </c>
      <c r="I1842" s="476"/>
      <c r="J1842" s="476" t="s">
        <v>1814</v>
      </c>
      <c r="K1842" s="476"/>
      <c r="L1842" s="366" t="s">
        <v>1802</v>
      </c>
    </row>
    <row r="1843" spans="1:12" ht="29.1" customHeight="1" x14ac:dyDescent="0.25">
      <c r="A1843" s="181" t="s">
        <v>3047</v>
      </c>
      <c r="B1843" s="509" t="s">
        <v>3048</v>
      </c>
      <c r="C1843" s="509"/>
      <c r="D1843" s="481" t="s">
        <v>82</v>
      </c>
      <c r="E1843" s="481"/>
      <c r="F1843" s="481"/>
      <c r="G1843" s="231" t="s">
        <v>226</v>
      </c>
      <c r="H1843" s="510">
        <v>1.4800000000000001E-5</v>
      </c>
      <c r="I1843" s="510"/>
      <c r="J1843" s="511">
        <v>1284.27</v>
      </c>
      <c r="K1843" s="511"/>
      <c r="L1843" s="367">
        <f>TRUNC(TRUNC(H1843,8)*J1843,2)</f>
        <v>0.01</v>
      </c>
    </row>
    <row r="1844" spans="1:12" ht="15" customHeight="1" x14ac:dyDescent="0.25">
      <c r="A1844" s="182"/>
      <c r="B1844" s="183"/>
      <c r="C1844" s="183"/>
      <c r="D1844" s="183"/>
      <c r="E1844" s="183"/>
      <c r="F1844" s="183"/>
      <c r="G1844" s="183"/>
      <c r="H1844" s="477" t="s">
        <v>2446</v>
      </c>
      <c r="I1844" s="477"/>
      <c r="J1844" s="477"/>
      <c r="K1844" s="477"/>
      <c r="L1844" s="368">
        <f>SUM(L1843:L1843)</f>
        <v>0.01</v>
      </c>
    </row>
    <row r="1845" spans="1:12" ht="15" customHeight="1" x14ac:dyDescent="0.25">
      <c r="A1845" s="182"/>
      <c r="B1845" s="183"/>
      <c r="C1845" s="183"/>
      <c r="D1845" s="183"/>
      <c r="E1845" s="183"/>
      <c r="F1845" s="183"/>
      <c r="G1845" s="183"/>
      <c r="H1845" s="482" t="s">
        <v>1834</v>
      </c>
      <c r="I1845" s="482"/>
      <c r="J1845" s="482"/>
      <c r="K1845" s="482"/>
      <c r="L1845" s="369">
        <f>ROUND(SUM(L1844),2)</f>
        <v>0.01</v>
      </c>
    </row>
    <row r="1846" spans="1:12" ht="9.9499999999999993" customHeight="1" x14ac:dyDescent="0.25">
      <c r="A1846" s="182"/>
      <c r="B1846" s="183"/>
      <c r="C1846" s="183"/>
      <c r="D1846" s="183"/>
      <c r="E1846" s="183"/>
      <c r="F1846" s="183"/>
      <c r="G1846" s="183"/>
      <c r="H1846" s="485"/>
      <c r="I1846" s="485"/>
      <c r="J1846" s="485"/>
      <c r="K1846" s="485"/>
      <c r="L1846" s="512"/>
    </row>
    <row r="1847" spans="1:12" ht="20.100000000000001" customHeight="1" x14ac:dyDescent="0.25">
      <c r="A1847" s="486" t="s">
        <v>3050</v>
      </c>
      <c r="B1847" s="487"/>
      <c r="C1847" s="487"/>
      <c r="D1847" s="487"/>
      <c r="E1847" s="487"/>
      <c r="F1847" s="487"/>
      <c r="G1847" s="487"/>
      <c r="H1847" s="487"/>
      <c r="I1847" s="487"/>
      <c r="J1847" s="487"/>
      <c r="K1847" s="487"/>
      <c r="L1847" s="513"/>
    </row>
    <row r="1848" spans="1:12" ht="15" customHeight="1" x14ac:dyDescent="0.25">
      <c r="A1848" s="474" t="s">
        <v>2443</v>
      </c>
      <c r="B1848" s="475"/>
      <c r="C1848" s="475"/>
      <c r="D1848" s="476" t="s">
        <v>42</v>
      </c>
      <c r="E1848" s="476"/>
      <c r="F1848" s="476"/>
      <c r="G1848" s="230" t="s">
        <v>44</v>
      </c>
      <c r="H1848" s="476" t="s">
        <v>1813</v>
      </c>
      <c r="I1848" s="476"/>
      <c r="J1848" s="476" t="s">
        <v>1814</v>
      </c>
      <c r="K1848" s="476"/>
      <c r="L1848" s="366" t="s">
        <v>1802</v>
      </c>
    </row>
    <row r="1849" spans="1:12" ht="29.1" customHeight="1" x14ac:dyDescent="0.25">
      <c r="A1849" s="181" t="s">
        <v>3047</v>
      </c>
      <c r="B1849" s="509" t="s">
        <v>3048</v>
      </c>
      <c r="C1849" s="509"/>
      <c r="D1849" s="481" t="s">
        <v>82</v>
      </c>
      <c r="E1849" s="481"/>
      <c r="F1849" s="481"/>
      <c r="G1849" s="231" t="s">
        <v>226</v>
      </c>
      <c r="H1849" s="510">
        <v>5.0000000000000002E-5</v>
      </c>
      <c r="I1849" s="510"/>
      <c r="J1849" s="511">
        <v>1284.27</v>
      </c>
      <c r="K1849" s="511"/>
      <c r="L1849" s="367">
        <f>TRUNC(TRUNC(H1849,8)*J1849,2)</f>
        <v>0.06</v>
      </c>
    </row>
    <row r="1850" spans="1:12" ht="15" customHeight="1" x14ac:dyDescent="0.25">
      <c r="A1850" s="182"/>
      <c r="B1850" s="183"/>
      <c r="C1850" s="183"/>
      <c r="D1850" s="183"/>
      <c r="E1850" s="183"/>
      <c r="F1850" s="183"/>
      <c r="G1850" s="183"/>
      <c r="H1850" s="477" t="s">
        <v>2446</v>
      </c>
      <c r="I1850" s="477"/>
      <c r="J1850" s="477"/>
      <c r="K1850" s="477"/>
      <c r="L1850" s="368">
        <f>SUM(L1849:L1849)</f>
        <v>0.06</v>
      </c>
    </row>
    <row r="1851" spans="1:12" ht="15" customHeight="1" x14ac:dyDescent="0.25">
      <c r="A1851" s="182"/>
      <c r="B1851" s="183"/>
      <c r="C1851" s="183"/>
      <c r="D1851" s="183"/>
      <c r="E1851" s="183"/>
      <c r="F1851" s="183"/>
      <c r="G1851" s="183"/>
      <c r="H1851" s="482" t="s">
        <v>1834</v>
      </c>
      <c r="I1851" s="482"/>
      <c r="J1851" s="482"/>
      <c r="K1851" s="482"/>
      <c r="L1851" s="369">
        <f>ROUND(SUM(L1850),2)</f>
        <v>0.06</v>
      </c>
    </row>
    <row r="1852" spans="1:12" ht="9.9499999999999993" customHeight="1" x14ac:dyDescent="0.25">
      <c r="A1852" s="182"/>
      <c r="B1852" s="183"/>
      <c r="C1852" s="183"/>
      <c r="D1852" s="183"/>
      <c r="E1852" s="183"/>
      <c r="F1852" s="183"/>
      <c r="G1852" s="183"/>
      <c r="H1852" s="485"/>
      <c r="I1852" s="485"/>
      <c r="J1852" s="485"/>
      <c r="K1852" s="485"/>
      <c r="L1852" s="512"/>
    </row>
    <row r="1853" spans="1:12" ht="20.100000000000001" customHeight="1" x14ac:dyDescent="0.25">
      <c r="A1853" s="486" t="s">
        <v>3051</v>
      </c>
      <c r="B1853" s="487"/>
      <c r="C1853" s="487"/>
      <c r="D1853" s="487"/>
      <c r="E1853" s="487"/>
      <c r="F1853" s="487"/>
      <c r="G1853" s="487"/>
      <c r="H1853" s="487"/>
      <c r="I1853" s="487"/>
      <c r="J1853" s="487"/>
      <c r="K1853" s="487"/>
      <c r="L1853" s="513"/>
    </row>
    <row r="1854" spans="1:12" ht="15" customHeight="1" x14ac:dyDescent="0.25">
      <c r="A1854" s="474" t="s">
        <v>2450</v>
      </c>
      <c r="B1854" s="475"/>
      <c r="C1854" s="475"/>
      <c r="D1854" s="476" t="s">
        <v>42</v>
      </c>
      <c r="E1854" s="476"/>
      <c r="F1854" s="476"/>
      <c r="G1854" s="230" t="s">
        <v>44</v>
      </c>
      <c r="H1854" s="476" t="s">
        <v>1813</v>
      </c>
      <c r="I1854" s="476"/>
      <c r="J1854" s="476" t="s">
        <v>1814</v>
      </c>
      <c r="K1854" s="476"/>
      <c r="L1854" s="366" t="s">
        <v>1802</v>
      </c>
    </row>
    <row r="1855" spans="1:12" ht="21" customHeight="1" x14ac:dyDescent="0.25">
      <c r="A1855" s="181" t="s">
        <v>2451</v>
      </c>
      <c r="B1855" s="509" t="s">
        <v>2452</v>
      </c>
      <c r="C1855" s="509"/>
      <c r="D1855" s="481" t="s">
        <v>82</v>
      </c>
      <c r="E1855" s="481"/>
      <c r="F1855" s="481"/>
      <c r="G1855" s="231" t="s">
        <v>2453</v>
      </c>
      <c r="H1855" s="510">
        <v>1.36</v>
      </c>
      <c r="I1855" s="510"/>
      <c r="J1855" s="511">
        <v>0.96</v>
      </c>
      <c r="K1855" s="511"/>
      <c r="L1855" s="367">
        <f>TRUNC(TRUNC(H1855,8)*J1855,2)</f>
        <v>1.3</v>
      </c>
    </row>
    <row r="1856" spans="1:12" ht="15" customHeight="1" x14ac:dyDescent="0.25">
      <c r="A1856" s="182"/>
      <c r="B1856" s="183"/>
      <c r="C1856" s="183"/>
      <c r="D1856" s="183"/>
      <c r="E1856" s="183"/>
      <c r="F1856" s="183"/>
      <c r="G1856" s="183"/>
      <c r="H1856" s="477" t="s">
        <v>2454</v>
      </c>
      <c r="I1856" s="477"/>
      <c r="J1856" s="477"/>
      <c r="K1856" s="477"/>
      <c r="L1856" s="368">
        <f>SUM(L1855:L1855)</f>
        <v>1.3</v>
      </c>
    </row>
    <row r="1857" spans="1:12" ht="15" customHeight="1" x14ac:dyDescent="0.25">
      <c r="A1857" s="182"/>
      <c r="B1857" s="183"/>
      <c r="C1857" s="183"/>
      <c r="D1857" s="183"/>
      <c r="E1857" s="183"/>
      <c r="F1857" s="183"/>
      <c r="G1857" s="183"/>
      <c r="H1857" s="482" t="s">
        <v>1834</v>
      </c>
      <c r="I1857" s="482"/>
      <c r="J1857" s="482"/>
      <c r="K1857" s="482"/>
      <c r="L1857" s="369">
        <f>ROUND(SUM(L1856),2)</f>
        <v>1.3</v>
      </c>
    </row>
    <row r="1858" spans="1:12" ht="9.9499999999999993" customHeight="1" x14ac:dyDescent="0.25">
      <c r="A1858" s="182"/>
      <c r="B1858" s="183"/>
      <c r="C1858" s="183"/>
      <c r="D1858" s="183"/>
      <c r="E1858" s="183"/>
      <c r="F1858" s="183"/>
      <c r="G1858" s="183"/>
      <c r="H1858" s="485"/>
      <c r="I1858" s="485"/>
      <c r="J1858" s="485"/>
      <c r="K1858" s="485"/>
      <c r="L1858" s="512"/>
    </row>
    <row r="1859" spans="1:12" ht="20.100000000000001" customHeight="1" x14ac:dyDescent="0.25">
      <c r="A1859" s="486" t="s">
        <v>3052</v>
      </c>
      <c r="B1859" s="487"/>
      <c r="C1859" s="487"/>
      <c r="D1859" s="487"/>
      <c r="E1859" s="487"/>
      <c r="F1859" s="487"/>
      <c r="G1859" s="487"/>
      <c r="H1859" s="487"/>
      <c r="I1859" s="487"/>
      <c r="J1859" s="487"/>
      <c r="K1859" s="487"/>
      <c r="L1859" s="513"/>
    </row>
    <row r="1860" spans="1:12" ht="15" customHeight="1" x14ac:dyDescent="0.25">
      <c r="A1860" s="474" t="s">
        <v>1932</v>
      </c>
      <c r="B1860" s="475"/>
      <c r="C1860" s="475"/>
      <c r="D1860" s="476" t="s">
        <v>42</v>
      </c>
      <c r="E1860" s="476"/>
      <c r="F1860" s="476"/>
      <c r="G1860" s="230" t="s">
        <v>44</v>
      </c>
      <c r="H1860" s="476" t="s">
        <v>1813</v>
      </c>
      <c r="I1860" s="476"/>
      <c r="J1860" s="476" t="s">
        <v>1814</v>
      </c>
      <c r="K1860" s="476"/>
      <c r="L1860" s="366" t="s">
        <v>1802</v>
      </c>
    </row>
    <row r="1861" spans="1:12" ht="21" customHeight="1" x14ac:dyDescent="0.25">
      <c r="A1861" s="181" t="s">
        <v>2336</v>
      </c>
      <c r="B1861" s="509" t="s">
        <v>2337</v>
      </c>
      <c r="C1861" s="509"/>
      <c r="D1861" s="481" t="s">
        <v>82</v>
      </c>
      <c r="E1861" s="481"/>
      <c r="F1861" s="481"/>
      <c r="G1861" s="231" t="s">
        <v>1024</v>
      </c>
      <c r="H1861" s="510">
        <v>1</v>
      </c>
      <c r="I1861" s="510"/>
      <c r="J1861" s="511">
        <v>7.63</v>
      </c>
      <c r="K1861" s="511"/>
      <c r="L1861" s="367">
        <f t="shared" ref="L1861:L1866" si="31">TRUNC(TRUNC(H1861,8)*J1861,2)</f>
        <v>7.63</v>
      </c>
    </row>
    <row r="1862" spans="1:12" ht="21" customHeight="1" x14ac:dyDescent="0.25">
      <c r="A1862" s="181" t="s">
        <v>2362</v>
      </c>
      <c r="B1862" s="509" t="s">
        <v>2363</v>
      </c>
      <c r="C1862" s="509"/>
      <c r="D1862" s="481" t="s">
        <v>82</v>
      </c>
      <c r="E1862" s="481"/>
      <c r="F1862" s="481"/>
      <c r="G1862" s="231" t="s">
        <v>1024</v>
      </c>
      <c r="H1862" s="510">
        <v>1</v>
      </c>
      <c r="I1862" s="510"/>
      <c r="J1862" s="511">
        <v>1.34</v>
      </c>
      <c r="K1862" s="511"/>
      <c r="L1862" s="367">
        <f t="shared" si="31"/>
        <v>1.34</v>
      </c>
    </row>
    <row r="1863" spans="1:12" ht="21" customHeight="1" x14ac:dyDescent="0.25">
      <c r="A1863" s="181" t="s">
        <v>2340</v>
      </c>
      <c r="B1863" s="509" t="s">
        <v>2341</v>
      </c>
      <c r="C1863" s="509"/>
      <c r="D1863" s="481" t="s">
        <v>82</v>
      </c>
      <c r="E1863" s="481"/>
      <c r="F1863" s="481"/>
      <c r="G1863" s="231" t="s">
        <v>1024</v>
      </c>
      <c r="H1863" s="510">
        <v>1</v>
      </c>
      <c r="I1863" s="510"/>
      <c r="J1863" s="511">
        <v>1.62</v>
      </c>
      <c r="K1863" s="511"/>
      <c r="L1863" s="367">
        <f t="shared" si="31"/>
        <v>1.62</v>
      </c>
    </row>
    <row r="1864" spans="1:12" ht="21" customHeight="1" x14ac:dyDescent="0.25">
      <c r="A1864" s="181" t="s">
        <v>2364</v>
      </c>
      <c r="B1864" s="509" t="s">
        <v>2365</v>
      </c>
      <c r="C1864" s="509"/>
      <c r="D1864" s="481" t="s">
        <v>82</v>
      </c>
      <c r="E1864" s="481"/>
      <c r="F1864" s="481"/>
      <c r="G1864" s="231" t="s">
        <v>1024</v>
      </c>
      <c r="H1864" s="510">
        <v>1</v>
      </c>
      <c r="I1864" s="510"/>
      <c r="J1864" s="511">
        <v>0.56999999999999995</v>
      </c>
      <c r="K1864" s="511"/>
      <c r="L1864" s="367">
        <f t="shared" si="31"/>
        <v>0.56999999999999995</v>
      </c>
    </row>
    <row r="1865" spans="1:12" ht="21" customHeight="1" x14ac:dyDescent="0.25">
      <c r="A1865" s="181" t="s">
        <v>2344</v>
      </c>
      <c r="B1865" s="509" t="s">
        <v>2345</v>
      </c>
      <c r="C1865" s="509"/>
      <c r="D1865" s="481" t="s">
        <v>82</v>
      </c>
      <c r="E1865" s="481"/>
      <c r="F1865" s="481"/>
      <c r="G1865" s="231" t="s">
        <v>1024</v>
      </c>
      <c r="H1865" s="510">
        <v>1</v>
      </c>
      <c r="I1865" s="510"/>
      <c r="J1865" s="511">
        <v>0.11</v>
      </c>
      <c r="K1865" s="511"/>
      <c r="L1865" s="367">
        <f t="shared" si="31"/>
        <v>0.11</v>
      </c>
    </row>
    <row r="1866" spans="1:12" ht="21" customHeight="1" x14ac:dyDescent="0.25">
      <c r="A1866" s="181" t="s">
        <v>2346</v>
      </c>
      <c r="B1866" s="509" t="s">
        <v>2347</v>
      </c>
      <c r="C1866" s="509"/>
      <c r="D1866" s="481" t="s">
        <v>82</v>
      </c>
      <c r="E1866" s="481"/>
      <c r="F1866" s="481"/>
      <c r="G1866" s="231" t="s">
        <v>1024</v>
      </c>
      <c r="H1866" s="510">
        <v>1</v>
      </c>
      <c r="I1866" s="510"/>
      <c r="J1866" s="511">
        <v>0.66</v>
      </c>
      <c r="K1866" s="511"/>
      <c r="L1866" s="367">
        <f t="shared" si="31"/>
        <v>0.66</v>
      </c>
    </row>
    <row r="1867" spans="1:12" ht="15" customHeight="1" x14ac:dyDescent="0.25">
      <c r="A1867" s="182"/>
      <c r="B1867" s="183"/>
      <c r="C1867" s="183"/>
      <c r="D1867" s="183"/>
      <c r="E1867" s="183"/>
      <c r="F1867" s="183"/>
      <c r="G1867" s="183"/>
      <c r="H1867" s="477" t="s">
        <v>1938</v>
      </c>
      <c r="I1867" s="477"/>
      <c r="J1867" s="477"/>
      <c r="K1867" s="477"/>
      <c r="L1867" s="368">
        <f>SUM(L1861:L1866)</f>
        <v>11.93</v>
      </c>
    </row>
    <row r="1868" spans="1:12" ht="15" customHeight="1" x14ac:dyDescent="0.25">
      <c r="A1868" s="474" t="s">
        <v>1827</v>
      </c>
      <c r="B1868" s="475"/>
      <c r="C1868" s="475"/>
      <c r="D1868" s="476" t="s">
        <v>42</v>
      </c>
      <c r="E1868" s="476"/>
      <c r="F1868" s="476"/>
      <c r="G1868" s="230" t="s">
        <v>44</v>
      </c>
      <c r="H1868" s="476" t="s">
        <v>1813</v>
      </c>
      <c r="I1868" s="476"/>
      <c r="J1868" s="476" t="s">
        <v>1814</v>
      </c>
      <c r="K1868" s="476"/>
      <c r="L1868" s="366" t="s">
        <v>1802</v>
      </c>
    </row>
    <row r="1869" spans="1:12" ht="15" customHeight="1" x14ac:dyDescent="0.25">
      <c r="A1869" s="181" t="s">
        <v>2632</v>
      </c>
      <c r="B1869" s="509" t="s">
        <v>2633</v>
      </c>
      <c r="C1869" s="509"/>
      <c r="D1869" s="481" t="s">
        <v>82</v>
      </c>
      <c r="E1869" s="481"/>
      <c r="F1869" s="481"/>
      <c r="G1869" s="231" t="s">
        <v>1024</v>
      </c>
      <c r="H1869" s="510">
        <v>1</v>
      </c>
      <c r="I1869" s="510"/>
      <c r="J1869" s="511">
        <v>16.690000000000001</v>
      </c>
      <c r="K1869" s="511"/>
      <c r="L1869" s="367">
        <f>TRUNC(TRUNC(H1869,8)*J1869,2)</f>
        <v>16.690000000000001</v>
      </c>
    </row>
    <row r="1870" spans="1:12" ht="15" customHeight="1" x14ac:dyDescent="0.25">
      <c r="A1870" s="182"/>
      <c r="B1870" s="183"/>
      <c r="C1870" s="183"/>
      <c r="D1870" s="183"/>
      <c r="E1870" s="183"/>
      <c r="F1870" s="183"/>
      <c r="G1870" s="183"/>
      <c r="H1870" s="477" t="s">
        <v>1832</v>
      </c>
      <c r="I1870" s="477"/>
      <c r="J1870" s="477"/>
      <c r="K1870" s="477"/>
      <c r="L1870" s="368">
        <f>SUM(L1869:L1869)</f>
        <v>16.690000000000001</v>
      </c>
    </row>
    <row r="1871" spans="1:12" ht="15" customHeight="1" x14ac:dyDescent="0.25">
      <c r="A1871" s="474" t="s">
        <v>1912</v>
      </c>
      <c r="B1871" s="475"/>
      <c r="C1871" s="475"/>
      <c r="D1871" s="476" t="s">
        <v>42</v>
      </c>
      <c r="E1871" s="476"/>
      <c r="F1871" s="476"/>
      <c r="G1871" s="230" t="s">
        <v>44</v>
      </c>
      <c r="H1871" s="476" t="s">
        <v>1813</v>
      </c>
      <c r="I1871" s="476"/>
      <c r="J1871" s="476" t="s">
        <v>1814</v>
      </c>
      <c r="K1871" s="476"/>
      <c r="L1871" s="366" t="s">
        <v>1802</v>
      </c>
    </row>
    <row r="1872" spans="1:12" ht="21" customHeight="1" x14ac:dyDescent="0.25">
      <c r="A1872" s="181" t="s">
        <v>3053</v>
      </c>
      <c r="B1872" s="509" t="s">
        <v>3054</v>
      </c>
      <c r="C1872" s="509"/>
      <c r="D1872" s="481" t="s">
        <v>82</v>
      </c>
      <c r="E1872" s="481"/>
      <c r="F1872" s="481"/>
      <c r="G1872" s="231" t="s">
        <v>1024</v>
      </c>
      <c r="H1872" s="510">
        <v>1</v>
      </c>
      <c r="I1872" s="510"/>
      <c r="J1872" s="511">
        <v>0.35</v>
      </c>
      <c r="K1872" s="511"/>
      <c r="L1872" s="367">
        <f>TRUNC(TRUNC(H1872,8)*J1872,2)</f>
        <v>0.35</v>
      </c>
    </row>
    <row r="1873" spans="1:12" ht="15" customHeight="1" x14ac:dyDescent="0.25">
      <c r="A1873" s="182"/>
      <c r="B1873" s="183"/>
      <c r="C1873" s="183"/>
      <c r="D1873" s="183"/>
      <c r="E1873" s="183"/>
      <c r="F1873" s="183"/>
      <c r="G1873" s="183"/>
      <c r="H1873" s="477" t="s">
        <v>1915</v>
      </c>
      <c r="I1873" s="477"/>
      <c r="J1873" s="477"/>
      <c r="K1873" s="477"/>
      <c r="L1873" s="368">
        <f>SUM(L1872:L1872)</f>
        <v>0.35</v>
      </c>
    </row>
    <row r="1874" spans="1:12" ht="15" customHeight="1" x14ac:dyDescent="0.25">
      <c r="A1874" s="182"/>
      <c r="B1874" s="183"/>
      <c r="C1874" s="183"/>
      <c r="D1874" s="183"/>
      <c r="E1874" s="183"/>
      <c r="F1874" s="183"/>
      <c r="G1874" s="183"/>
      <c r="H1874" s="482" t="s">
        <v>1834</v>
      </c>
      <c r="I1874" s="482"/>
      <c r="J1874" s="482"/>
      <c r="K1874" s="482"/>
      <c r="L1874" s="369">
        <f>ROUND(SUM(L1867,L1870,L1873),2)</f>
        <v>28.97</v>
      </c>
    </row>
    <row r="1875" spans="1:12" ht="9.9499999999999993" customHeight="1" x14ac:dyDescent="0.25">
      <c r="A1875" s="182"/>
      <c r="B1875" s="183"/>
      <c r="C1875" s="183"/>
      <c r="D1875" s="183"/>
      <c r="E1875" s="183"/>
      <c r="F1875" s="183"/>
      <c r="G1875" s="183"/>
      <c r="H1875" s="485"/>
      <c r="I1875" s="485"/>
      <c r="J1875" s="485"/>
      <c r="K1875" s="485"/>
      <c r="L1875" s="512"/>
    </row>
    <row r="1876" spans="1:12" ht="20.100000000000001" customHeight="1" x14ac:dyDescent="0.25">
      <c r="A1876" s="486" t="s">
        <v>3055</v>
      </c>
      <c r="B1876" s="487"/>
      <c r="C1876" s="487"/>
      <c r="D1876" s="487"/>
      <c r="E1876" s="487"/>
      <c r="F1876" s="487"/>
      <c r="G1876" s="487"/>
      <c r="H1876" s="487"/>
      <c r="I1876" s="487"/>
      <c r="J1876" s="487"/>
      <c r="K1876" s="487"/>
      <c r="L1876" s="513"/>
    </row>
    <row r="1877" spans="1:12" ht="20.100000000000001" customHeight="1" x14ac:dyDescent="0.25">
      <c r="A1877" s="488" t="s">
        <v>1836</v>
      </c>
      <c r="B1877" s="489"/>
      <c r="C1877" s="489"/>
      <c r="D1877" s="489"/>
      <c r="E1877" s="489"/>
      <c r="F1877" s="489"/>
      <c r="G1877" s="233" t="s">
        <v>44</v>
      </c>
      <c r="H1877" s="515" t="s">
        <v>1837</v>
      </c>
      <c r="I1877" s="515"/>
      <c r="J1877" s="515" t="s">
        <v>1838</v>
      </c>
      <c r="K1877" s="515"/>
      <c r="L1877" s="169" t="s">
        <v>1839</v>
      </c>
    </row>
    <row r="1878" spans="1:12" ht="15" customHeight="1" x14ac:dyDescent="0.25">
      <c r="A1878" s="170" t="s">
        <v>2635</v>
      </c>
      <c r="B1878" s="490" t="s">
        <v>2636</v>
      </c>
      <c r="C1878" s="490"/>
      <c r="D1878" s="490"/>
      <c r="E1878" s="490"/>
      <c r="F1878" s="490"/>
      <c r="G1878" s="127" t="s">
        <v>1935</v>
      </c>
      <c r="H1878" s="516">
        <v>1</v>
      </c>
      <c r="I1878" s="516"/>
      <c r="J1878" s="517">
        <v>25.8611</v>
      </c>
      <c r="K1878" s="517"/>
      <c r="L1878" s="370">
        <f>ROUND(ROUND(H1878,7)*J1878,4)</f>
        <v>25.8611</v>
      </c>
    </row>
    <row r="1879" spans="1:12" ht="15" customHeight="1" x14ac:dyDescent="0.25">
      <c r="A1879" s="184"/>
      <c r="B1879" s="141"/>
      <c r="C1879" s="141"/>
      <c r="D1879" s="141"/>
      <c r="E1879" s="141"/>
      <c r="F1879" s="141"/>
      <c r="G1879" s="141"/>
      <c r="H1879" s="491" t="s">
        <v>1844</v>
      </c>
      <c r="I1879" s="491"/>
      <c r="J1879" s="491"/>
      <c r="K1879" s="491"/>
      <c r="L1879" s="369">
        <f>SUM(L1878:L1878)</f>
        <v>25.8611</v>
      </c>
    </row>
    <row r="1880" spans="1:12" ht="15" customHeight="1" x14ac:dyDescent="0.25">
      <c r="A1880" s="182"/>
      <c r="B1880" s="183"/>
      <c r="C1880" s="183"/>
      <c r="D1880" s="183"/>
      <c r="E1880" s="183"/>
      <c r="F1880" s="183"/>
      <c r="G1880" s="183"/>
      <c r="H1880" s="482" t="s">
        <v>1845</v>
      </c>
      <c r="I1880" s="482"/>
      <c r="J1880" s="482"/>
      <c r="K1880" s="482"/>
      <c r="L1880" s="371">
        <f>SUM(L1879)</f>
        <v>25.8611</v>
      </c>
    </row>
    <row r="1881" spans="1:12" ht="15" customHeight="1" x14ac:dyDescent="0.25">
      <c r="A1881" s="182"/>
      <c r="B1881" s="183"/>
      <c r="C1881" s="183"/>
      <c r="D1881" s="183"/>
      <c r="E1881" s="183"/>
      <c r="F1881" s="183"/>
      <c r="G1881" s="183"/>
      <c r="H1881" s="482" t="s">
        <v>1846</v>
      </c>
      <c r="I1881" s="482"/>
      <c r="J1881" s="482"/>
      <c r="K1881" s="482"/>
      <c r="L1881" s="372">
        <v>1</v>
      </c>
    </row>
    <row r="1882" spans="1:12" ht="15" customHeight="1" x14ac:dyDescent="0.25">
      <c r="A1882" s="182"/>
      <c r="B1882" s="183"/>
      <c r="C1882" s="183"/>
      <c r="D1882" s="183"/>
      <c r="E1882" s="183"/>
      <c r="F1882" s="183"/>
      <c r="G1882" s="183"/>
      <c r="H1882" s="482" t="s">
        <v>1847</v>
      </c>
      <c r="I1882" s="482"/>
      <c r="J1882" s="482"/>
      <c r="K1882" s="482"/>
      <c r="L1882" s="371">
        <f>ROUND(L1880/L1881,4)</f>
        <v>25.8611</v>
      </c>
    </row>
    <row r="1883" spans="1:12" ht="20.100000000000001" customHeight="1" x14ac:dyDescent="0.25">
      <c r="A1883" s="488" t="s">
        <v>1880</v>
      </c>
      <c r="B1883" s="489"/>
      <c r="C1883" s="489"/>
      <c r="D1883" s="489"/>
      <c r="E1883" s="489"/>
      <c r="F1883" s="489"/>
      <c r="G1883" s="233" t="s">
        <v>44</v>
      </c>
      <c r="H1883" s="515" t="s">
        <v>1837</v>
      </c>
      <c r="I1883" s="515"/>
      <c r="J1883" s="515" t="s">
        <v>1881</v>
      </c>
      <c r="K1883" s="515"/>
      <c r="L1883" s="169" t="s">
        <v>1882</v>
      </c>
    </row>
    <row r="1884" spans="1:12" ht="15" customHeight="1" x14ac:dyDescent="0.25">
      <c r="A1884" s="170" t="s">
        <v>3056</v>
      </c>
      <c r="B1884" s="492" t="s">
        <v>3057</v>
      </c>
      <c r="C1884" s="492"/>
      <c r="D1884" s="492"/>
      <c r="E1884" s="492"/>
      <c r="F1884" s="492"/>
      <c r="G1884" s="127" t="s">
        <v>2066</v>
      </c>
      <c r="H1884" s="516">
        <v>1</v>
      </c>
      <c r="I1884" s="516"/>
      <c r="J1884" s="523">
        <v>2.41</v>
      </c>
      <c r="K1884" s="523"/>
      <c r="L1884" s="371">
        <f>ROUND(ROUND(H1884,7)*J1884,4)</f>
        <v>2.41</v>
      </c>
    </row>
    <row r="1885" spans="1:12" ht="15" customHeight="1" x14ac:dyDescent="0.25">
      <c r="A1885" s="170" t="s">
        <v>3058</v>
      </c>
      <c r="B1885" s="492" t="s">
        <v>3059</v>
      </c>
      <c r="C1885" s="492"/>
      <c r="D1885" s="492"/>
      <c r="E1885" s="492"/>
      <c r="F1885" s="492"/>
      <c r="G1885" s="127" t="s">
        <v>2066</v>
      </c>
      <c r="H1885" s="516">
        <v>1</v>
      </c>
      <c r="I1885" s="516"/>
      <c r="J1885" s="523">
        <v>1.57</v>
      </c>
      <c r="K1885" s="523"/>
      <c r="L1885" s="371">
        <f>ROUND(ROUND(H1885,7)*J1885,4)</f>
        <v>1.57</v>
      </c>
    </row>
    <row r="1886" spans="1:12" ht="15" customHeight="1" x14ac:dyDescent="0.25">
      <c r="A1886" s="170" t="s">
        <v>3060</v>
      </c>
      <c r="B1886" s="492" t="s">
        <v>3061</v>
      </c>
      <c r="C1886" s="492"/>
      <c r="D1886" s="492"/>
      <c r="E1886" s="492"/>
      <c r="F1886" s="492"/>
      <c r="G1886" s="127" t="s">
        <v>2066</v>
      </c>
      <c r="H1886" s="516">
        <v>1</v>
      </c>
      <c r="I1886" s="516"/>
      <c r="J1886" s="523">
        <v>0.11</v>
      </c>
      <c r="K1886" s="523"/>
      <c r="L1886" s="371">
        <f>ROUND(ROUND(H1886,7)*J1886,4)</f>
        <v>0.11</v>
      </c>
    </row>
    <row r="1887" spans="1:12" ht="15" customHeight="1" x14ac:dyDescent="0.25">
      <c r="A1887" s="170" t="s">
        <v>3062</v>
      </c>
      <c r="B1887" s="492" t="s">
        <v>3063</v>
      </c>
      <c r="C1887" s="492"/>
      <c r="D1887" s="492"/>
      <c r="E1887" s="492"/>
      <c r="F1887" s="492"/>
      <c r="G1887" s="127" t="s">
        <v>2066</v>
      </c>
      <c r="H1887" s="516">
        <v>1</v>
      </c>
      <c r="I1887" s="516"/>
      <c r="J1887" s="523">
        <v>0.9</v>
      </c>
      <c r="K1887" s="523"/>
      <c r="L1887" s="371">
        <f>ROUND(ROUND(H1887,7)*J1887,4)</f>
        <v>0.9</v>
      </c>
    </row>
    <row r="1888" spans="1:12" ht="15" customHeight="1" x14ac:dyDescent="0.25">
      <c r="A1888" s="184"/>
      <c r="B1888" s="141"/>
      <c r="C1888" s="141"/>
      <c r="D1888" s="141"/>
      <c r="E1888" s="141"/>
      <c r="F1888" s="141"/>
      <c r="G1888" s="141"/>
      <c r="H1888" s="491" t="s">
        <v>1889</v>
      </c>
      <c r="I1888" s="491"/>
      <c r="J1888" s="491"/>
      <c r="K1888" s="491"/>
      <c r="L1888" s="373">
        <f>SUM(L1884:L1887)</f>
        <v>4.9900000000000011</v>
      </c>
    </row>
    <row r="1889" spans="1:12" ht="20.100000000000001" customHeight="1" x14ac:dyDescent="0.25">
      <c r="A1889" s="488" t="s">
        <v>2009</v>
      </c>
      <c r="B1889" s="489"/>
      <c r="C1889" s="489"/>
      <c r="D1889" s="489"/>
      <c r="E1889" s="489"/>
      <c r="F1889" s="489"/>
      <c r="G1889" s="233" t="s">
        <v>44</v>
      </c>
      <c r="H1889" s="515" t="s">
        <v>1837</v>
      </c>
      <c r="I1889" s="515"/>
      <c r="J1889" s="515" t="s">
        <v>1814</v>
      </c>
      <c r="K1889" s="515"/>
      <c r="L1889" s="169" t="s">
        <v>1882</v>
      </c>
    </row>
    <row r="1890" spans="1:12" ht="15.95" customHeight="1" x14ac:dyDescent="0.25">
      <c r="A1890" s="170" t="s">
        <v>3064</v>
      </c>
      <c r="B1890" s="492" t="s">
        <v>3065</v>
      </c>
      <c r="C1890" s="492"/>
      <c r="D1890" s="492"/>
      <c r="E1890" s="492"/>
      <c r="F1890" s="492"/>
      <c r="G1890" s="127" t="s">
        <v>2066</v>
      </c>
      <c r="H1890" s="530">
        <v>1</v>
      </c>
      <c r="I1890" s="530"/>
      <c r="J1890" s="523">
        <v>0.3</v>
      </c>
      <c r="K1890" s="523"/>
      <c r="L1890" s="371">
        <f>ROUND(ROUND(H1890,7)*J1890,4)</f>
        <v>0.3</v>
      </c>
    </row>
    <row r="1891" spans="1:12" ht="15" customHeight="1" x14ac:dyDescent="0.25">
      <c r="A1891" s="170" t="s">
        <v>3066</v>
      </c>
      <c r="B1891" s="492" t="s">
        <v>3067</v>
      </c>
      <c r="C1891" s="492"/>
      <c r="D1891" s="492"/>
      <c r="E1891" s="492"/>
      <c r="F1891" s="492"/>
      <c r="G1891" s="127" t="s">
        <v>2066</v>
      </c>
      <c r="H1891" s="530">
        <v>1</v>
      </c>
      <c r="I1891" s="530"/>
      <c r="J1891" s="523">
        <v>1.41</v>
      </c>
      <c r="K1891" s="523"/>
      <c r="L1891" s="371">
        <f>ROUND(ROUND(H1891,7)*J1891,4)</f>
        <v>1.41</v>
      </c>
    </row>
    <row r="1892" spans="1:12" ht="15" customHeight="1" x14ac:dyDescent="0.25">
      <c r="A1892" s="170" t="s">
        <v>3068</v>
      </c>
      <c r="B1892" s="492" t="s">
        <v>3069</v>
      </c>
      <c r="C1892" s="492"/>
      <c r="D1892" s="492"/>
      <c r="E1892" s="492"/>
      <c r="F1892" s="492"/>
      <c r="G1892" s="127" t="s">
        <v>2066</v>
      </c>
      <c r="H1892" s="530">
        <v>1</v>
      </c>
      <c r="I1892" s="530"/>
      <c r="J1892" s="523">
        <v>0.34</v>
      </c>
      <c r="K1892" s="523"/>
      <c r="L1892" s="371">
        <f>ROUND(ROUND(H1892,7)*J1892,4)</f>
        <v>0.34</v>
      </c>
    </row>
    <row r="1893" spans="1:12" ht="15" customHeight="1" x14ac:dyDescent="0.25">
      <c r="A1893" s="184"/>
      <c r="B1893" s="141"/>
      <c r="C1893" s="141"/>
      <c r="D1893" s="141"/>
      <c r="E1893" s="141"/>
      <c r="F1893" s="141"/>
      <c r="G1893" s="141"/>
      <c r="H1893" s="491" t="s">
        <v>2014</v>
      </c>
      <c r="I1893" s="491"/>
      <c r="J1893" s="491"/>
      <c r="K1893" s="491"/>
      <c r="L1893" s="373">
        <f>SUM(L1890:L1892)</f>
        <v>2.0499999999999998</v>
      </c>
    </row>
    <row r="1894" spans="1:12" ht="15" customHeight="1" x14ac:dyDescent="0.25">
      <c r="A1894" s="182"/>
      <c r="B1894" s="183"/>
      <c r="C1894" s="183"/>
      <c r="D1894" s="183"/>
      <c r="E1894" s="183"/>
      <c r="F1894" s="183"/>
      <c r="G1894" s="183"/>
      <c r="H1894" s="482" t="s">
        <v>1848</v>
      </c>
      <c r="I1894" s="482"/>
      <c r="J1894" s="482"/>
      <c r="K1894" s="482"/>
      <c r="L1894" s="371">
        <f>SUM(L1882,L1888,L1893)</f>
        <v>32.9011</v>
      </c>
    </row>
    <row r="1895" spans="1:12" ht="15" customHeight="1" x14ac:dyDescent="0.25">
      <c r="A1895" s="182"/>
      <c r="B1895" s="183"/>
      <c r="C1895" s="183"/>
      <c r="D1895" s="183"/>
      <c r="E1895" s="183"/>
      <c r="F1895" s="183"/>
      <c r="G1895" s="183"/>
      <c r="H1895" s="482" t="s">
        <v>1834</v>
      </c>
      <c r="I1895" s="482"/>
      <c r="J1895" s="482"/>
      <c r="K1895" s="482"/>
      <c r="L1895" s="369">
        <f>ROUND(SUM(L1894),2)</f>
        <v>32.9</v>
      </c>
    </row>
    <row r="1896" spans="1:12" ht="9.9499999999999993" customHeight="1" x14ac:dyDescent="0.25">
      <c r="A1896" s="182"/>
      <c r="B1896" s="183"/>
      <c r="C1896" s="183"/>
      <c r="D1896" s="183"/>
      <c r="E1896" s="183"/>
      <c r="F1896" s="183"/>
      <c r="G1896" s="183"/>
      <c r="H1896" s="485"/>
      <c r="I1896" s="485"/>
      <c r="J1896" s="485"/>
      <c r="K1896" s="485"/>
      <c r="L1896" s="512"/>
    </row>
    <row r="1897" spans="1:12" ht="20.100000000000001" customHeight="1" x14ac:dyDescent="0.25">
      <c r="A1897" s="486" t="s">
        <v>3070</v>
      </c>
      <c r="B1897" s="487"/>
      <c r="C1897" s="487"/>
      <c r="D1897" s="487"/>
      <c r="E1897" s="487"/>
      <c r="F1897" s="487"/>
      <c r="G1897" s="487"/>
      <c r="H1897" s="487"/>
      <c r="I1897" s="487"/>
      <c r="J1897" s="487"/>
      <c r="K1897" s="487"/>
      <c r="L1897" s="513"/>
    </row>
    <row r="1898" spans="1:12" ht="15" customHeight="1" x14ac:dyDescent="0.25">
      <c r="A1898" s="474" t="s">
        <v>1932</v>
      </c>
      <c r="B1898" s="475"/>
      <c r="C1898" s="475"/>
      <c r="D1898" s="476" t="s">
        <v>42</v>
      </c>
      <c r="E1898" s="476"/>
      <c r="F1898" s="476"/>
      <c r="G1898" s="230" t="s">
        <v>44</v>
      </c>
      <c r="H1898" s="476" t="s">
        <v>1813</v>
      </c>
      <c r="I1898" s="476"/>
      <c r="J1898" s="476" t="s">
        <v>1814</v>
      </c>
      <c r="K1898" s="476"/>
      <c r="L1898" s="366" t="s">
        <v>1802</v>
      </c>
    </row>
    <row r="1899" spans="1:12" ht="15" customHeight="1" x14ac:dyDescent="0.25">
      <c r="A1899" s="181" t="s">
        <v>3030</v>
      </c>
      <c r="B1899" s="509" t="s">
        <v>3031</v>
      </c>
      <c r="C1899" s="509"/>
      <c r="D1899" s="481" t="s">
        <v>341</v>
      </c>
      <c r="E1899" s="481"/>
      <c r="F1899" s="481"/>
      <c r="G1899" s="231" t="s">
        <v>1935</v>
      </c>
      <c r="H1899" s="510">
        <v>0.65</v>
      </c>
      <c r="I1899" s="510"/>
      <c r="J1899" s="511">
        <v>3.86</v>
      </c>
      <c r="K1899" s="511"/>
      <c r="L1899" s="367">
        <f>TRUNC(TRUNC(H1899,8)*J1899,2)</f>
        <v>2.5</v>
      </c>
    </row>
    <row r="1900" spans="1:12" ht="15" customHeight="1" x14ac:dyDescent="0.25">
      <c r="A1900" s="181" t="s">
        <v>2421</v>
      </c>
      <c r="B1900" s="509" t="s">
        <v>2422</v>
      </c>
      <c r="C1900" s="509"/>
      <c r="D1900" s="481" t="s">
        <v>341</v>
      </c>
      <c r="E1900" s="481"/>
      <c r="F1900" s="481"/>
      <c r="G1900" s="231" t="s">
        <v>1935</v>
      </c>
      <c r="H1900" s="510">
        <v>1.1399999999999999</v>
      </c>
      <c r="I1900" s="510"/>
      <c r="J1900" s="511">
        <v>3.96</v>
      </c>
      <c r="K1900" s="511"/>
      <c r="L1900" s="367">
        <f>TRUNC(TRUNC(H1900,8)*J1900,2)</f>
        <v>4.51</v>
      </c>
    </row>
    <row r="1901" spans="1:12" ht="15" customHeight="1" x14ac:dyDescent="0.25">
      <c r="A1901" s="182"/>
      <c r="B1901" s="183"/>
      <c r="C1901" s="183"/>
      <c r="D1901" s="183"/>
      <c r="E1901" s="183"/>
      <c r="F1901" s="183"/>
      <c r="G1901" s="183"/>
      <c r="H1901" s="477" t="s">
        <v>1938</v>
      </c>
      <c r="I1901" s="477"/>
      <c r="J1901" s="477"/>
      <c r="K1901" s="477"/>
      <c r="L1901" s="368">
        <f>SUM(L1899:L1900)</f>
        <v>7.01</v>
      </c>
    </row>
    <row r="1902" spans="1:12" ht="15" customHeight="1" x14ac:dyDescent="0.25">
      <c r="A1902" s="474" t="s">
        <v>1812</v>
      </c>
      <c r="B1902" s="475"/>
      <c r="C1902" s="475"/>
      <c r="D1902" s="476" t="s">
        <v>42</v>
      </c>
      <c r="E1902" s="476"/>
      <c r="F1902" s="476"/>
      <c r="G1902" s="230" t="s">
        <v>44</v>
      </c>
      <c r="H1902" s="476" t="s">
        <v>1813</v>
      </c>
      <c r="I1902" s="476"/>
      <c r="J1902" s="476" t="s">
        <v>1814</v>
      </c>
      <c r="K1902" s="476"/>
      <c r="L1902" s="366" t="s">
        <v>1802</v>
      </c>
    </row>
    <row r="1903" spans="1:12" ht="15" customHeight="1" x14ac:dyDescent="0.25">
      <c r="A1903" s="181" t="s">
        <v>2017</v>
      </c>
      <c r="B1903" s="509" t="s">
        <v>2018</v>
      </c>
      <c r="C1903" s="509"/>
      <c r="D1903" s="481" t="s">
        <v>341</v>
      </c>
      <c r="E1903" s="481"/>
      <c r="F1903" s="481"/>
      <c r="G1903" s="231" t="s">
        <v>54</v>
      </c>
      <c r="H1903" s="510">
        <v>1</v>
      </c>
      <c r="I1903" s="510"/>
      <c r="J1903" s="511">
        <v>616.79</v>
      </c>
      <c r="K1903" s="511"/>
      <c r="L1903" s="367">
        <f>TRUNC(TRUNC(H1903,8)*J1903,2)</f>
        <v>616.79</v>
      </c>
    </row>
    <row r="1904" spans="1:12" ht="21" customHeight="1" x14ac:dyDescent="0.25">
      <c r="A1904" s="181" t="s">
        <v>3071</v>
      </c>
      <c r="B1904" s="509" t="s">
        <v>3072</v>
      </c>
      <c r="C1904" s="509"/>
      <c r="D1904" s="481" t="s">
        <v>341</v>
      </c>
      <c r="E1904" s="481"/>
      <c r="F1904" s="481"/>
      <c r="G1904" s="231" t="s">
        <v>72</v>
      </c>
      <c r="H1904" s="510">
        <v>0.6</v>
      </c>
      <c r="I1904" s="510"/>
      <c r="J1904" s="511">
        <v>20.89</v>
      </c>
      <c r="K1904" s="511"/>
      <c r="L1904" s="367">
        <f>TRUNC(TRUNC(H1904,8)*J1904,2)</f>
        <v>12.53</v>
      </c>
    </row>
    <row r="1905" spans="1:12" ht="15" customHeight="1" x14ac:dyDescent="0.25">
      <c r="A1905" s="182"/>
      <c r="B1905" s="183"/>
      <c r="C1905" s="183"/>
      <c r="D1905" s="183"/>
      <c r="E1905" s="183"/>
      <c r="F1905" s="183"/>
      <c r="G1905" s="183"/>
      <c r="H1905" s="477" t="s">
        <v>1826</v>
      </c>
      <c r="I1905" s="477"/>
      <c r="J1905" s="477"/>
      <c r="K1905" s="477"/>
      <c r="L1905" s="368">
        <f>SUM(L1903:L1904)</f>
        <v>629.31999999999994</v>
      </c>
    </row>
    <row r="1906" spans="1:12" ht="15" customHeight="1" x14ac:dyDescent="0.25">
      <c r="A1906" s="474" t="s">
        <v>1827</v>
      </c>
      <c r="B1906" s="475"/>
      <c r="C1906" s="475"/>
      <c r="D1906" s="476" t="s">
        <v>42</v>
      </c>
      <c r="E1906" s="476"/>
      <c r="F1906" s="476"/>
      <c r="G1906" s="230" t="s">
        <v>44</v>
      </c>
      <c r="H1906" s="476" t="s">
        <v>1813</v>
      </c>
      <c r="I1906" s="476"/>
      <c r="J1906" s="476" t="s">
        <v>1814</v>
      </c>
      <c r="K1906" s="476"/>
      <c r="L1906" s="366" t="s">
        <v>1802</v>
      </c>
    </row>
    <row r="1907" spans="1:12" ht="15" customHeight="1" x14ac:dyDescent="0.25">
      <c r="A1907" s="181" t="s">
        <v>3032</v>
      </c>
      <c r="B1907" s="509" t="s">
        <v>3033</v>
      </c>
      <c r="C1907" s="509"/>
      <c r="D1907" s="481" t="s">
        <v>341</v>
      </c>
      <c r="E1907" s="481"/>
      <c r="F1907" s="481"/>
      <c r="G1907" s="231" t="s">
        <v>1935</v>
      </c>
      <c r="H1907" s="510">
        <v>0.65</v>
      </c>
      <c r="I1907" s="510"/>
      <c r="J1907" s="511">
        <v>20.45</v>
      </c>
      <c r="K1907" s="511"/>
      <c r="L1907" s="367">
        <f>TRUNC(TRUNC(H1907,8)*J1907,2)</f>
        <v>13.29</v>
      </c>
    </row>
    <row r="1908" spans="1:12" ht="15" customHeight="1" x14ac:dyDescent="0.25">
      <c r="A1908" s="181" t="s">
        <v>2427</v>
      </c>
      <c r="B1908" s="509" t="s">
        <v>2428</v>
      </c>
      <c r="C1908" s="509"/>
      <c r="D1908" s="481" t="s">
        <v>341</v>
      </c>
      <c r="E1908" s="481"/>
      <c r="F1908" s="481"/>
      <c r="G1908" s="231" t="s">
        <v>1935</v>
      </c>
      <c r="H1908" s="510">
        <v>1.1399999999999999</v>
      </c>
      <c r="I1908" s="510"/>
      <c r="J1908" s="511">
        <v>15.59</v>
      </c>
      <c r="K1908" s="511"/>
      <c r="L1908" s="367">
        <f>TRUNC(TRUNC(H1908,8)*J1908,2)</f>
        <v>17.77</v>
      </c>
    </row>
    <row r="1909" spans="1:12" ht="15" customHeight="1" x14ac:dyDescent="0.25">
      <c r="A1909" s="182"/>
      <c r="B1909" s="183"/>
      <c r="C1909" s="183"/>
      <c r="D1909" s="183"/>
      <c r="E1909" s="183"/>
      <c r="F1909" s="183"/>
      <c r="G1909" s="183"/>
      <c r="H1909" s="477" t="s">
        <v>1832</v>
      </c>
      <c r="I1909" s="477"/>
      <c r="J1909" s="477"/>
      <c r="K1909" s="477"/>
      <c r="L1909" s="368">
        <f>SUM(L1907:L1908)</f>
        <v>31.06</v>
      </c>
    </row>
    <row r="1910" spans="1:12" ht="15" customHeight="1" x14ac:dyDescent="0.25">
      <c r="A1910" s="182"/>
      <c r="B1910" s="183"/>
      <c r="C1910" s="183"/>
      <c r="D1910" s="183"/>
      <c r="E1910" s="183"/>
      <c r="F1910" s="183"/>
      <c r="G1910" s="183"/>
      <c r="H1910" s="482" t="s">
        <v>1834</v>
      </c>
      <c r="I1910" s="482"/>
      <c r="J1910" s="482"/>
      <c r="K1910" s="482"/>
      <c r="L1910" s="369">
        <f>ROUND(SUM(L1901,L1905,L1909),2)</f>
        <v>667.39</v>
      </c>
    </row>
    <row r="1911" spans="1:12" ht="9.9499999999999993" customHeight="1" x14ac:dyDescent="0.25">
      <c r="A1911" s="182"/>
      <c r="B1911" s="183"/>
      <c r="C1911" s="183"/>
      <c r="D1911" s="183"/>
      <c r="E1911" s="183"/>
      <c r="F1911" s="183"/>
      <c r="G1911" s="183"/>
      <c r="H1911" s="485"/>
      <c r="I1911" s="485"/>
      <c r="J1911" s="485"/>
      <c r="K1911" s="485"/>
      <c r="L1911" s="512"/>
    </row>
    <row r="1912" spans="1:12" ht="20.100000000000001" customHeight="1" x14ac:dyDescent="0.25">
      <c r="A1912" s="486" t="s">
        <v>3073</v>
      </c>
      <c r="B1912" s="487"/>
      <c r="C1912" s="487"/>
      <c r="D1912" s="487"/>
      <c r="E1912" s="487"/>
      <c r="F1912" s="487"/>
      <c r="G1912" s="487"/>
      <c r="H1912" s="487"/>
      <c r="I1912" s="487"/>
      <c r="J1912" s="487"/>
      <c r="K1912" s="487"/>
      <c r="L1912" s="513"/>
    </row>
    <row r="1913" spans="1:12" ht="12.95" customHeight="1" x14ac:dyDescent="0.25">
      <c r="A1913" s="518" t="s">
        <v>2641</v>
      </c>
      <c r="B1913" s="519"/>
      <c r="C1913" s="519"/>
      <c r="D1913" s="520" t="s">
        <v>2642</v>
      </c>
      <c r="E1913" s="520"/>
      <c r="F1913" s="515" t="s">
        <v>2643</v>
      </c>
      <c r="G1913" s="515"/>
      <c r="H1913" s="515" t="s">
        <v>2644</v>
      </c>
      <c r="I1913" s="515"/>
      <c r="J1913" s="515"/>
      <c r="K1913" s="515"/>
      <c r="L1913" s="521" t="s">
        <v>1839</v>
      </c>
    </row>
    <row r="1914" spans="1:12" ht="12" customHeight="1" x14ac:dyDescent="0.25">
      <c r="A1914" s="518"/>
      <c r="B1914" s="519"/>
      <c r="C1914" s="519"/>
      <c r="D1914" s="520"/>
      <c r="E1914" s="520"/>
      <c r="F1914" s="230" t="s">
        <v>2645</v>
      </c>
      <c r="G1914" s="230" t="s">
        <v>2646</v>
      </c>
      <c r="H1914" s="476" t="s">
        <v>2645</v>
      </c>
      <c r="I1914" s="476"/>
      <c r="J1914" s="476" t="s">
        <v>2646</v>
      </c>
      <c r="K1914" s="476"/>
      <c r="L1914" s="521"/>
    </row>
    <row r="1915" spans="1:12" ht="15" customHeight="1" x14ac:dyDescent="0.25">
      <c r="A1915" s="170" t="s">
        <v>2647</v>
      </c>
      <c r="B1915" s="492" t="s">
        <v>2648</v>
      </c>
      <c r="C1915" s="492"/>
      <c r="D1915" s="522">
        <v>1</v>
      </c>
      <c r="E1915" s="522"/>
      <c r="F1915" s="244">
        <v>1</v>
      </c>
      <c r="G1915" s="244">
        <v>0</v>
      </c>
      <c r="H1915" s="523">
        <v>308.90640000000002</v>
      </c>
      <c r="I1915" s="523"/>
      <c r="J1915" s="523">
        <v>91.534999999999997</v>
      </c>
      <c r="K1915" s="523"/>
      <c r="L1915" s="371">
        <f>ROUND(D1915*(ROUND(F1915*H1915,4)+ROUND(G1915*J1915,4)),4)</f>
        <v>308.90640000000002</v>
      </c>
    </row>
    <row r="1916" spans="1:12" ht="15" customHeight="1" x14ac:dyDescent="0.25">
      <c r="A1916" s="184"/>
      <c r="B1916" s="141"/>
      <c r="C1916" s="141"/>
      <c r="D1916" s="141"/>
      <c r="E1916" s="141"/>
      <c r="F1916" s="141"/>
      <c r="G1916" s="141"/>
      <c r="H1916" s="491" t="s">
        <v>2649</v>
      </c>
      <c r="I1916" s="491"/>
      <c r="J1916" s="491"/>
      <c r="K1916" s="491"/>
      <c r="L1916" s="373">
        <f>SUM(L1914:L1915)</f>
        <v>308.90640000000002</v>
      </c>
    </row>
    <row r="1917" spans="1:12" ht="15" customHeight="1" x14ac:dyDescent="0.25">
      <c r="A1917" s="182"/>
      <c r="B1917" s="183"/>
      <c r="C1917" s="183"/>
      <c r="D1917" s="183"/>
      <c r="E1917" s="183"/>
      <c r="F1917" s="183"/>
      <c r="G1917" s="183"/>
      <c r="H1917" s="482" t="s">
        <v>1845</v>
      </c>
      <c r="I1917" s="482"/>
      <c r="J1917" s="482"/>
      <c r="K1917" s="482"/>
      <c r="L1917" s="371">
        <f>SUM(L1916)</f>
        <v>308.90640000000002</v>
      </c>
    </row>
    <row r="1918" spans="1:12" ht="15" customHeight="1" x14ac:dyDescent="0.25">
      <c r="A1918" s="182"/>
      <c r="B1918" s="183"/>
      <c r="C1918" s="183"/>
      <c r="D1918" s="183"/>
      <c r="E1918" s="183"/>
      <c r="F1918" s="183"/>
      <c r="G1918" s="183"/>
      <c r="H1918" s="482" t="s">
        <v>1846</v>
      </c>
      <c r="I1918" s="482"/>
      <c r="J1918" s="482"/>
      <c r="K1918" s="482"/>
      <c r="L1918" s="372">
        <v>249</v>
      </c>
    </row>
    <row r="1919" spans="1:12" ht="15" customHeight="1" x14ac:dyDescent="0.25">
      <c r="A1919" s="182"/>
      <c r="B1919" s="183"/>
      <c r="C1919" s="183"/>
      <c r="D1919" s="183"/>
      <c r="E1919" s="183"/>
      <c r="F1919" s="183"/>
      <c r="G1919" s="183"/>
      <c r="H1919" s="482" t="s">
        <v>1847</v>
      </c>
      <c r="I1919" s="482"/>
      <c r="J1919" s="482"/>
      <c r="K1919" s="482"/>
      <c r="L1919" s="371">
        <f>ROUND(L1917/L1918,4)</f>
        <v>1.2405999999999999</v>
      </c>
    </row>
    <row r="1920" spans="1:12" ht="15" customHeight="1" x14ac:dyDescent="0.25">
      <c r="A1920" s="182"/>
      <c r="B1920" s="183"/>
      <c r="C1920" s="183"/>
      <c r="D1920" s="183"/>
      <c r="E1920" s="183"/>
      <c r="F1920" s="183"/>
      <c r="G1920" s="183"/>
      <c r="H1920" s="482" t="s">
        <v>3074</v>
      </c>
      <c r="I1920" s="482"/>
      <c r="J1920" s="482"/>
      <c r="K1920" s="482"/>
      <c r="L1920" s="371">
        <f>ROUND((((D1915*J1915))/L1918)*0.02885,4)</f>
        <v>1.06E-2</v>
      </c>
    </row>
    <row r="1921" spans="1:12" ht="15" customHeight="1" x14ac:dyDescent="0.25">
      <c r="A1921" s="182"/>
      <c r="B1921" s="183"/>
      <c r="C1921" s="183"/>
      <c r="D1921" s="183"/>
      <c r="E1921" s="183"/>
      <c r="F1921" s="183"/>
      <c r="G1921" s="183"/>
      <c r="H1921" s="482" t="s">
        <v>1848</v>
      </c>
      <c r="I1921" s="482"/>
      <c r="J1921" s="482"/>
      <c r="K1921" s="482"/>
      <c r="L1921" s="371">
        <f>SUM(L1919,L1920)</f>
        <v>1.2511999999999999</v>
      </c>
    </row>
    <row r="1922" spans="1:12" ht="15" customHeight="1" x14ac:dyDescent="0.25">
      <c r="A1922" s="182"/>
      <c r="B1922" s="183"/>
      <c r="C1922" s="183"/>
      <c r="D1922" s="183"/>
      <c r="E1922" s="183"/>
      <c r="F1922" s="183"/>
      <c r="G1922" s="183"/>
      <c r="H1922" s="482" t="s">
        <v>1834</v>
      </c>
      <c r="I1922" s="482"/>
      <c r="J1922" s="482"/>
      <c r="K1922" s="482"/>
      <c r="L1922" s="369">
        <f>ROUND(SUM(L1921),2)</f>
        <v>1.25</v>
      </c>
    </row>
    <row r="1923" spans="1:12" ht="9.9499999999999993" customHeight="1" x14ac:dyDescent="0.25">
      <c r="A1923" s="182"/>
      <c r="B1923" s="183"/>
      <c r="C1923" s="183"/>
      <c r="D1923" s="183"/>
      <c r="E1923" s="183"/>
      <c r="F1923" s="183"/>
      <c r="G1923" s="183"/>
      <c r="H1923" s="485"/>
      <c r="I1923" s="485"/>
      <c r="J1923" s="485"/>
      <c r="K1923" s="485"/>
      <c r="L1923" s="512"/>
    </row>
    <row r="1924" spans="1:12" ht="20.100000000000001" customHeight="1" x14ac:dyDescent="0.25">
      <c r="A1924" s="486" t="s">
        <v>3075</v>
      </c>
      <c r="B1924" s="487"/>
      <c r="C1924" s="487"/>
      <c r="D1924" s="487"/>
      <c r="E1924" s="487"/>
      <c r="F1924" s="487"/>
      <c r="G1924" s="487"/>
      <c r="H1924" s="487"/>
      <c r="I1924" s="487"/>
      <c r="J1924" s="487"/>
      <c r="K1924" s="487"/>
      <c r="L1924" s="513"/>
    </row>
    <row r="1925" spans="1:12" ht="12.95" customHeight="1" x14ac:dyDescent="0.25">
      <c r="A1925" s="518" t="s">
        <v>2641</v>
      </c>
      <c r="B1925" s="519"/>
      <c r="C1925" s="519"/>
      <c r="D1925" s="520" t="s">
        <v>2642</v>
      </c>
      <c r="E1925" s="520"/>
      <c r="F1925" s="515" t="s">
        <v>2643</v>
      </c>
      <c r="G1925" s="515"/>
      <c r="H1925" s="515" t="s">
        <v>2644</v>
      </c>
      <c r="I1925" s="515"/>
      <c r="J1925" s="515"/>
      <c r="K1925" s="515"/>
      <c r="L1925" s="521" t="s">
        <v>1839</v>
      </c>
    </row>
    <row r="1926" spans="1:12" ht="12" customHeight="1" x14ac:dyDescent="0.25">
      <c r="A1926" s="518"/>
      <c r="B1926" s="519"/>
      <c r="C1926" s="519"/>
      <c r="D1926" s="520"/>
      <c r="E1926" s="520"/>
      <c r="F1926" s="230" t="s">
        <v>2645</v>
      </c>
      <c r="G1926" s="230" t="s">
        <v>2646</v>
      </c>
      <c r="H1926" s="476" t="s">
        <v>2645</v>
      </c>
      <c r="I1926" s="476"/>
      <c r="J1926" s="476" t="s">
        <v>2646</v>
      </c>
      <c r="K1926" s="476"/>
      <c r="L1926" s="521"/>
    </row>
    <row r="1927" spans="1:12" ht="15" customHeight="1" x14ac:dyDescent="0.25">
      <c r="A1927" s="170" t="s">
        <v>2647</v>
      </c>
      <c r="B1927" s="492" t="s">
        <v>2648</v>
      </c>
      <c r="C1927" s="492"/>
      <c r="D1927" s="522">
        <v>1</v>
      </c>
      <c r="E1927" s="522"/>
      <c r="F1927" s="244">
        <v>1</v>
      </c>
      <c r="G1927" s="244">
        <v>0</v>
      </c>
      <c r="H1927" s="523">
        <v>308.90640000000002</v>
      </c>
      <c r="I1927" s="523"/>
      <c r="J1927" s="523">
        <v>91.534999999999997</v>
      </c>
      <c r="K1927" s="523"/>
      <c r="L1927" s="371">
        <f>ROUND(D1927*(ROUND(F1927*H1927,4)+ROUND(G1927*J1927,4)),4)</f>
        <v>308.90640000000002</v>
      </c>
    </row>
    <row r="1928" spans="1:12" ht="15" customHeight="1" x14ac:dyDescent="0.25">
      <c r="A1928" s="184"/>
      <c r="B1928" s="141"/>
      <c r="C1928" s="141"/>
      <c r="D1928" s="141"/>
      <c r="E1928" s="141"/>
      <c r="F1928" s="141"/>
      <c r="G1928" s="141"/>
      <c r="H1928" s="491" t="s">
        <v>2649</v>
      </c>
      <c r="I1928" s="491"/>
      <c r="J1928" s="491"/>
      <c r="K1928" s="491"/>
      <c r="L1928" s="373">
        <f>SUM(L1926:L1927)</f>
        <v>308.90640000000002</v>
      </c>
    </row>
    <row r="1929" spans="1:12" ht="15" customHeight="1" x14ac:dyDescent="0.25">
      <c r="A1929" s="182"/>
      <c r="B1929" s="183"/>
      <c r="C1929" s="183"/>
      <c r="D1929" s="183"/>
      <c r="E1929" s="183"/>
      <c r="F1929" s="183"/>
      <c r="G1929" s="183"/>
      <c r="H1929" s="482" t="s">
        <v>1845</v>
      </c>
      <c r="I1929" s="482"/>
      <c r="J1929" s="482"/>
      <c r="K1929" s="482"/>
      <c r="L1929" s="371">
        <f>SUM(L1928)</f>
        <v>308.90640000000002</v>
      </c>
    </row>
    <row r="1930" spans="1:12" ht="15" customHeight="1" x14ac:dyDescent="0.25">
      <c r="A1930" s="182"/>
      <c r="B1930" s="183"/>
      <c r="C1930" s="183"/>
      <c r="D1930" s="183"/>
      <c r="E1930" s="183"/>
      <c r="F1930" s="183"/>
      <c r="G1930" s="183"/>
      <c r="H1930" s="482" t="s">
        <v>1846</v>
      </c>
      <c r="I1930" s="482"/>
      <c r="J1930" s="482"/>
      <c r="K1930" s="482"/>
      <c r="L1930" s="372">
        <v>311.25</v>
      </c>
    </row>
    <row r="1931" spans="1:12" ht="15" customHeight="1" x14ac:dyDescent="0.25">
      <c r="A1931" s="182"/>
      <c r="B1931" s="183"/>
      <c r="C1931" s="183"/>
      <c r="D1931" s="183"/>
      <c r="E1931" s="183"/>
      <c r="F1931" s="183"/>
      <c r="G1931" s="183"/>
      <c r="H1931" s="482" t="s">
        <v>1847</v>
      </c>
      <c r="I1931" s="482"/>
      <c r="J1931" s="482"/>
      <c r="K1931" s="482"/>
      <c r="L1931" s="371">
        <f>ROUND(L1929/L1930,4)</f>
        <v>0.99250000000000005</v>
      </c>
    </row>
    <row r="1932" spans="1:12" ht="15" customHeight="1" x14ac:dyDescent="0.25">
      <c r="A1932" s="182"/>
      <c r="B1932" s="183"/>
      <c r="C1932" s="183"/>
      <c r="D1932" s="183"/>
      <c r="E1932" s="183"/>
      <c r="F1932" s="183"/>
      <c r="G1932" s="183"/>
      <c r="H1932" s="482" t="s">
        <v>2650</v>
      </c>
      <c r="I1932" s="482"/>
      <c r="J1932" s="482"/>
      <c r="K1932" s="482"/>
      <c r="L1932" s="371">
        <f>ROUND((((D1927*J1927))/L1930)*0.03125,4)</f>
        <v>9.1999999999999998E-3</v>
      </c>
    </row>
    <row r="1933" spans="1:12" ht="15" customHeight="1" x14ac:dyDescent="0.25">
      <c r="A1933" s="182"/>
      <c r="B1933" s="183"/>
      <c r="C1933" s="183"/>
      <c r="D1933" s="183"/>
      <c r="E1933" s="183"/>
      <c r="F1933" s="183"/>
      <c r="G1933" s="183"/>
      <c r="H1933" s="482" t="s">
        <v>1848</v>
      </c>
      <c r="I1933" s="482"/>
      <c r="J1933" s="482"/>
      <c r="K1933" s="482"/>
      <c r="L1933" s="371">
        <f>SUM(L1931,L1932)</f>
        <v>1.0017</v>
      </c>
    </row>
    <row r="1934" spans="1:12" ht="15" customHeight="1" x14ac:dyDescent="0.25">
      <c r="A1934" s="182"/>
      <c r="B1934" s="183"/>
      <c r="C1934" s="183"/>
      <c r="D1934" s="183"/>
      <c r="E1934" s="183"/>
      <c r="F1934" s="183"/>
      <c r="G1934" s="183"/>
      <c r="H1934" s="482" t="s">
        <v>1834</v>
      </c>
      <c r="I1934" s="482"/>
      <c r="J1934" s="482"/>
      <c r="K1934" s="482"/>
      <c r="L1934" s="369">
        <f>ROUND(SUM(L1933),2)</f>
        <v>1</v>
      </c>
    </row>
    <row r="1935" spans="1:12" ht="9.9499999999999993" customHeight="1" x14ac:dyDescent="0.25">
      <c r="A1935" s="182"/>
      <c r="B1935" s="183"/>
      <c r="C1935" s="183"/>
      <c r="D1935" s="183"/>
      <c r="E1935" s="183"/>
      <c r="F1935" s="183"/>
      <c r="G1935" s="183"/>
      <c r="H1935" s="485"/>
      <c r="I1935" s="485"/>
      <c r="J1935" s="485"/>
      <c r="K1935" s="485"/>
      <c r="L1935" s="512"/>
    </row>
    <row r="1936" spans="1:12" ht="20.100000000000001" customHeight="1" x14ac:dyDescent="0.25">
      <c r="A1936" s="486" t="s">
        <v>3076</v>
      </c>
      <c r="B1936" s="487"/>
      <c r="C1936" s="487"/>
      <c r="D1936" s="487"/>
      <c r="E1936" s="487"/>
      <c r="F1936" s="487"/>
      <c r="G1936" s="487"/>
      <c r="H1936" s="487"/>
      <c r="I1936" s="487"/>
      <c r="J1936" s="487"/>
      <c r="K1936" s="487"/>
      <c r="L1936" s="513"/>
    </row>
    <row r="1937" spans="1:12" ht="12.95" customHeight="1" x14ac:dyDescent="0.25">
      <c r="A1937" s="518" t="s">
        <v>2641</v>
      </c>
      <c r="B1937" s="519"/>
      <c r="C1937" s="519"/>
      <c r="D1937" s="520" t="s">
        <v>2642</v>
      </c>
      <c r="E1937" s="520"/>
      <c r="F1937" s="515" t="s">
        <v>2643</v>
      </c>
      <c r="G1937" s="515"/>
      <c r="H1937" s="515" t="s">
        <v>2644</v>
      </c>
      <c r="I1937" s="515"/>
      <c r="J1937" s="515"/>
      <c r="K1937" s="515"/>
      <c r="L1937" s="521" t="s">
        <v>1839</v>
      </c>
    </row>
    <row r="1938" spans="1:12" ht="12" customHeight="1" x14ac:dyDescent="0.25">
      <c r="A1938" s="518"/>
      <c r="B1938" s="519"/>
      <c r="C1938" s="519"/>
      <c r="D1938" s="520"/>
      <c r="E1938" s="520"/>
      <c r="F1938" s="230" t="s">
        <v>2645</v>
      </c>
      <c r="G1938" s="230" t="s">
        <v>2646</v>
      </c>
      <c r="H1938" s="476" t="s">
        <v>2645</v>
      </c>
      <c r="I1938" s="476"/>
      <c r="J1938" s="476" t="s">
        <v>2646</v>
      </c>
      <c r="K1938" s="476"/>
      <c r="L1938" s="521"/>
    </row>
    <row r="1939" spans="1:12" ht="15" customHeight="1" x14ac:dyDescent="0.25">
      <c r="A1939" s="170" t="s">
        <v>2647</v>
      </c>
      <c r="B1939" s="492" t="s">
        <v>2648</v>
      </c>
      <c r="C1939" s="492"/>
      <c r="D1939" s="522">
        <v>1</v>
      </c>
      <c r="E1939" s="522"/>
      <c r="F1939" s="244">
        <v>1</v>
      </c>
      <c r="G1939" s="244">
        <v>0</v>
      </c>
      <c r="H1939" s="523">
        <v>308.90640000000002</v>
      </c>
      <c r="I1939" s="523"/>
      <c r="J1939" s="523">
        <v>91.534999999999997</v>
      </c>
      <c r="K1939" s="523"/>
      <c r="L1939" s="371">
        <f>ROUND(D1939*(ROUND(F1939*H1939,4)+ROUND(G1939*J1939,4)),4)</f>
        <v>308.90640000000002</v>
      </c>
    </row>
    <row r="1940" spans="1:12" ht="15" customHeight="1" x14ac:dyDescent="0.25">
      <c r="A1940" s="184"/>
      <c r="B1940" s="141"/>
      <c r="C1940" s="141"/>
      <c r="D1940" s="141"/>
      <c r="E1940" s="141"/>
      <c r="F1940" s="141"/>
      <c r="G1940" s="141"/>
      <c r="H1940" s="491" t="s">
        <v>2649</v>
      </c>
      <c r="I1940" s="491"/>
      <c r="J1940" s="491"/>
      <c r="K1940" s="491"/>
      <c r="L1940" s="373">
        <f>SUM(L1938:L1939)</f>
        <v>308.90640000000002</v>
      </c>
    </row>
    <row r="1941" spans="1:12" ht="15" customHeight="1" x14ac:dyDescent="0.25">
      <c r="A1941" s="182"/>
      <c r="B1941" s="183"/>
      <c r="C1941" s="183"/>
      <c r="D1941" s="183"/>
      <c r="E1941" s="183"/>
      <c r="F1941" s="183"/>
      <c r="G1941" s="183"/>
      <c r="H1941" s="482" t="s">
        <v>1845</v>
      </c>
      <c r="I1941" s="482"/>
      <c r="J1941" s="482"/>
      <c r="K1941" s="482"/>
      <c r="L1941" s="371">
        <f>SUM(L1940)</f>
        <v>308.90640000000002</v>
      </c>
    </row>
    <row r="1942" spans="1:12" ht="15" customHeight="1" x14ac:dyDescent="0.25">
      <c r="A1942" s="182"/>
      <c r="B1942" s="183"/>
      <c r="C1942" s="183"/>
      <c r="D1942" s="183"/>
      <c r="E1942" s="183"/>
      <c r="F1942" s="183"/>
      <c r="G1942" s="183"/>
      <c r="H1942" s="482" t="s">
        <v>1846</v>
      </c>
      <c r="I1942" s="482"/>
      <c r="J1942" s="482"/>
      <c r="K1942" s="482"/>
      <c r="L1942" s="372">
        <v>373.5</v>
      </c>
    </row>
    <row r="1943" spans="1:12" ht="15" customHeight="1" x14ac:dyDescent="0.25">
      <c r="A1943" s="182"/>
      <c r="B1943" s="183"/>
      <c r="C1943" s="183"/>
      <c r="D1943" s="183"/>
      <c r="E1943" s="183"/>
      <c r="F1943" s="183"/>
      <c r="G1943" s="183"/>
      <c r="H1943" s="482" t="s">
        <v>1847</v>
      </c>
      <c r="I1943" s="482"/>
      <c r="J1943" s="482"/>
      <c r="K1943" s="482"/>
      <c r="L1943" s="371">
        <f>ROUND(L1941/L1942,4)</f>
        <v>0.82709999999999995</v>
      </c>
    </row>
    <row r="1944" spans="1:12" ht="15" customHeight="1" x14ac:dyDescent="0.25">
      <c r="A1944" s="182"/>
      <c r="B1944" s="183"/>
      <c r="C1944" s="183"/>
      <c r="D1944" s="183"/>
      <c r="E1944" s="183"/>
      <c r="F1944" s="183"/>
      <c r="G1944" s="183"/>
      <c r="H1944" s="482" t="s">
        <v>1848</v>
      </c>
      <c r="I1944" s="482"/>
      <c r="J1944" s="482"/>
      <c r="K1944" s="482"/>
      <c r="L1944" s="371">
        <f>SUM(L1943)</f>
        <v>0.82709999999999995</v>
      </c>
    </row>
    <row r="1945" spans="1:12" ht="15" customHeight="1" x14ac:dyDescent="0.25">
      <c r="A1945" s="182"/>
      <c r="B1945" s="183"/>
      <c r="C1945" s="183"/>
      <c r="D1945" s="183"/>
      <c r="E1945" s="183"/>
      <c r="F1945" s="183"/>
      <c r="G1945" s="183"/>
      <c r="H1945" s="482" t="s">
        <v>1834</v>
      </c>
      <c r="I1945" s="482"/>
      <c r="J1945" s="482"/>
      <c r="K1945" s="482"/>
      <c r="L1945" s="369">
        <f>ROUND(SUM(L1944),2)</f>
        <v>0.83</v>
      </c>
    </row>
    <row r="1946" spans="1:12" ht="9.9499999999999993" customHeight="1" x14ac:dyDescent="0.25">
      <c r="A1946" s="182"/>
      <c r="B1946" s="183"/>
      <c r="C1946" s="183"/>
      <c r="D1946" s="183"/>
      <c r="E1946" s="183"/>
      <c r="F1946" s="183"/>
      <c r="G1946" s="183"/>
      <c r="H1946" s="485"/>
      <c r="I1946" s="485"/>
      <c r="J1946" s="485"/>
      <c r="K1946" s="485"/>
      <c r="L1946" s="512"/>
    </row>
    <row r="1947" spans="1:12" ht="20.100000000000001" customHeight="1" x14ac:dyDescent="0.25">
      <c r="A1947" s="486" t="s">
        <v>3077</v>
      </c>
      <c r="B1947" s="487"/>
      <c r="C1947" s="487"/>
      <c r="D1947" s="487"/>
      <c r="E1947" s="487"/>
      <c r="F1947" s="487"/>
      <c r="G1947" s="487"/>
      <c r="H1947" s="487"/>
      <c r="I1947" s="487"/>
      <c r="J1947" s="487"/>
      <c r="K1947" s="487"/>
      <c r="L1947" s="513"/>
    </row>
    <row r="1948" spans="1:12" ht="12.95" customHeight="1" x14ac:dyDescent="0.25">
      <c r="A1948" s="518" t="s">
        <v>2641</v>
      </c>
      <c r="B1948" s="519"/>
      <c r="C1948" s="519"/>
      <c r="D1948" s="520" t="s">
        <v>2642</v>
      </c>
      <c r="E1948" s="520"/>
      <c r="F1948" s="515" t="s">
        <v>2643</v>
      </c>
      <c r="G1948" s="515"/>
      <c r="H1948" s="515" t="s">
        <v>2644</v>
      </c>
      <c r="I1948" s="515"/>
      <c r="J1948" s="515"/>
      <c r="K1948" s="515"/>
      <c r="L1948" s="521" t="s">
        <v>1839</v>
      </c>
    </row>
    <row r="1949" spans="1:12" ht="12" customHeight="1" x14ac:dyDescent="0.25">
      <c r="A1949" s="518"/>
      <c r="B1949" s="519"/>
      <c r="C1949" s="519"/>
      <c r="D1949" s="520"/>
      <c r="E1949" s="520"/>
      <c r="F1949" s="230" t="s">
        <v>2645</v>
      </c>
      <c r="G1949" s="230" t="s">
        <v>2646</v>
      </c>
      <c r="H1949" s="476" t="s">
        <v>2645</v>
      </c>
      <c r="I1949" s="476"/>
      <c r="J1949" s="476" t="s">
        <v>2646</v>
      </c>
      <c r="K1949" s="476"/>
      <c r="L1949" s="521"/>
    </row>
    <row r="1950" spans="1:12" ht="15" customHeight="1" x14ac:dyDescent="0.25">
      <c r="A1950" s="170" t="s">
        <v>3078</v>
      </c>
      <c r="B1950" s="492" t="s">
        <v>3079</v>
      </c>
      <c r="C1950" s="492"/>
      <c r="D1950" s="522">
        <v>2</v>
      </c>
      <c r="E1950" s="522"/>
      <c r="F1950" s="244">
        <v>0.56999999999999995</v>
      </c>
      <c r="G1950" s="244">
        <v>0.43</v>
      </c>
      <c r="H1950" s="523">
        <v>522.58929999999998</v>
      </c>
      <c r="I1950" s="523"/>
      <c r="J1950" s="523">
        <v>257.93310000000002</v>
      </c>
      <c r="K1950" s="523"/>
      <c r="L1950" s="371">
        <f>ROUND(D1950*(ROUND(F1950*H1950,4)+ROUND(G1950*J1950,4)),4)</f>
        <v>817.57420000000002</v>
      </c>
    </row>
    <row r="1951" spans="1:12" ht="15" customHeight="1" x14ac:dyDescent="0.25">
      <c r="A1951" s="170" t="s">
        <v>3080</v>
      </c>
      <c r="B1951" s="492" t="s">
        <v>3081</v>
      </c>
      <c r="C1951" s="492"/>
      <c r="D1951" s="522">
        <v>1</v>
      </c>
      <c r="E1951" s="522"/>
      <c r="F1951" s="244">
        <v>1</v>
      </c>
      <c r="G1951" s="244">
        <v>0</v>
      </c>
      <c r="H1951" s="523">
        <v>108.8604</v>
      </c>
      <c r="I1951" s="523"/>
      <c r="J1951" s="523">
        <v>10.773199999999999</v>
      </c>
      <c r="K1951" s="523"/>
      <c r="L1951" s="371">
        <f>ROUND(D1951*(ROUND(F1951*H1951,4)+ROUND(G1951*J1951,4)),4)</f>
        <v>108.8604</v>
      </c>
    </row>
    <row r="1952" spans="1:12" ht="15" customHeight="1" x14ac:dyDescent="0.25">
      <c r="A1952" s="170" t="s">
        <v>3082</v>
      </c>
      <c r="B1952" s="492" t="s">
        <v>3083</v>
      </c>
      <c r="C1952" s="492"/>
      <c r="D1952" s="522">
        <v>1</v>
      </c>
      <c r="E1952" s="522"/>
      <c r="F1952" s="244">
        <v>1</v>
      </c>
      <c r="G1952" s="244">
        <v>0</v>
      </c>
      <c r="H1952" s="523">
        <v>376.96929999999998</v>
      </c>
      <c r="I1952" s="523"/>
      <c r="J1952" s="523">
        <v>233.27289999999999</v>
      </c>
      <c r="K1952" s="523"/>
      <c r="L1952" s="371">
        <f>ROUND(D1952*(ROUND(F1952*H1952,4)+ROUND(G1952*J1952,4)),4)</f>
        <v>376.96929999999998</v>
      </c>
    </row>
    <row r="1953" spans="1:12" ht="15" customHeight="1" x14ac:dyDescent="0.25">
      <c r="A1953" s="184"/>
      <c r="B1953" s="141"/>
      <c r="C1953" s="141"/>
      <c r="D1953" s="141"/>
      <c r="E1953" s="141"/>
      <c r="F1953" s="141"/>
      <c r="G1953" s="141"/>
      <c r="H1953" s="491" t="s">
        <v>2649</v>
      </c>
      <c r="I1953" s="491"/>
      <c r="J1953" s="491"/>
      <c r="K1953" s="491"/>
      <c r="L1953" s="373">
        <f>SUM(L1949:L1952)</f>
        <v>1303.4039</v>
      </c>
    </row>
    <row r="1954" spans="1:12" ht="20.100000000000001" customHeight="1" x14ac:dyDescent="0.25">
      <c r="A1954" s="488" t="s">
        <v>1836</v>
      </c>
      <c r="B1954" s="489"/>
      <c r="C1954" s="489"/>
      <c r="D1954" s="489"/>
      <c r="E1954" s="489"/>
      <c r="F1954" s="489"/>
      <c r="G1954" s="233" t="s">
        <v>44</v>
      </c>
      <c r="H1954" s="515" t="s">
        <v>1837</v>
      </c>
      <c r="I1954" s="515"/>
      <c r="J1954" s="515" t="s">
        <v>1838</v>
      </c>
      <c r="K1954" s="515"/>
      <c r="L1954" s="169" t="s">
        <v>1839</v>
      </c>
    </row>
    <row r="1955" spans="1:12" ht="15" customHeight="1" x14ac:dyDescent="0.25">
      <c r="A1955" s="170" t="s">
        <v>3084</v>
      </c>
      <c r="B1955" s="490" t="s">
        <v>3085</v>
      </c>
      <c r="C1955" s="490"/>
      <c r="D1955" s="490"/>
      <c r="E1955" s="490"/>
      <c r="F1955" s="490"/>
      <c r="G1955" s="127" t="s">
        <v>1935</v>
      </c>
      <c r="H1955" s="522">
        <v>3</v>
      </c>
      <c r="I1955" s="522"/>
      <c r="J1955" s="531">
        <v>23.171399999999998</v>
      </c>
      <c r="K1955" s="531"/>
      <c r="L1955" s="374">
        <f>ROUND(ROUND(H1955,5)*J1955,4)</f>
        <v>69.514200000000002</v>
      </c>
    </row>
    <row r="1956" spans="1:12" ht="15" customHeight="1" x14ac:dyDescent="0.25">
      <c r="A1956" s="184"/>
      <c r="B1956" s="141"/>
      <c r="C1956" s="141"/>
      <c r="D1956" s="141"/>
      <c r="E1956" s="141"/>
      <c r="F1956" s="141"/>
      <c r="G1956" s="141"/>
      <c r="H1956" s="491" t="s">
        <v>1844</v>
      </c>
      <c r="I1956" s="491"/>
      <c r="J1956" s="491"/>
      <c r="K1956" s="491"/>
      <c r="L1956" s="378">
        <f>SUM(L1955:L1955)</f>
        <v>69.514200000000002</v>
      </c>
    </row>
    <row r="1957" spans="1:12" ht="15" customHeight="1" x14ac:dyDescent="0.25">
      <c r="A1957" s="182"/>
      <c r="B1957" s="183"/>
      <c r="C1957" s="183"/>
      <c r="D1957" s="183"/>
      <c r="E1957" s="183"/>
      <c r="F1957" s="183"/>
      <c r="G1957" s="183"/>
      <c r="H1957" s="482" t="s">
        <v>1845</v>
      </c>
      <c r="I1957" s="482"/>
      <c r="J1957" s="482"/>
      <c r="K1957" s="482"/>
      <c r="L1957" s="371">
        <f>SUM(L1953,L1956)</f>
        <v>1372.9181000000001</v>
      </c>
    </row>
    <row r="1958" spans="1:12" ht="15" customHeight="1" x14ac:dyDescent="0.25">
      <c r="A1958" s="182"/>
      <c r="B1958" s="183"/>
      <c r="C1958" s="183"/>
      <c r="D1958" s="183"/>
      <c r="E1958" s="183"/>
      <c r="F1958" s="183"/>
      <c r="G1958" s="183"/>
      <c r="H1958" s="482" t="s">
        <v>1846</v>
      </c>
      <c r="I1958" s="482"/>
      <c r="J1958" s="482"/>
      <c r="K1958" s="482"/>
      <c r="L1958" s="372">
        <v>113.18</v>
      </c>
    </row>
    <row r="1959" spans="1:12" ht="15" customHeight="1" x14ac:dyDescent="0.25">
      <c r="A1959" s="182"/>
      <c r="B1959" s="183"/>
      <c r="C1959" s="183"/>
      <c r="D1959" s="183"/>
      <c r="E1959" s="183"/>
      <c r="F1959" s="183"/>
      <c r="G1959" s="183"/>
      <c r="H1959" s="482" t="s">
        <v>1847</v>
      </c>
      <c r="I1959" s="482"/>
      <c r="J1959" s="482"/>
      <c r="K1959" s="482"/>
      <c r="L1959" s="371">
        <f>ROUND(L1957/L1958,4)</f>
        <v>12.1304</v>
      </c>
    </row>
    <row r="1960" spans="1:12" ht="15" customHeight="1" x14ac:dyDescent="0.25">
      <c r="A1960" s="182"/>
      <c r="B1960" s="183"/>
      <c r="C1960" s="183"/>
      <c r="D1960" s="183"/>
      <c r="E1960" s="183"/>
      <c r="F1960" s="183"/>
      <c r="G1960" s="183"/>
      <c r="H1960" s="482" t="s">
        <v>3086</v>
      </c>
      <c r="I1960" s="482"/>
      <c r="J1960" s="482"/>
      <c r="K1960" s="482"/>
      <c r="L1960" s="371">
        <f>ROUND((((D1950*J1950)+(D1951*J1951)+(D1952*J1952)+L1956)/L1958)*0.11114,4)</f>
        <v>0.8145</v>
      </c>
    </row>
    <row r="1961" spans="1:12" ht="20.100000000000001" customHeight="1" x14ac:dyDescent="0.25">
      <c r="A1961" s="488" t="s">
        <v>1880</v>
      </c>
      <c r="B1961" s="489"/>
      <c r="C1961" s="489"/>
      <c r="D1961" s="489"/>
      <c r="E1961" s="489"/>
      <c r="F1961" s="489"/>
      <c r="G1961" s="233" t="s">
        <v>44</v>
      </c>
      <c r="H1961" s="515" t="s">
        <v>1837</v>
      </c>
      <c r="I1961" s="515"/>
      <c r="J1961" s="515" t="s">
        <v>1881</v>
      </c>
      <c r="K1961" s="515"/>
      <c r="L1961" s="169" t="s">
        <v>1882</v>
      </c>
    </row>
    <row r="1962" spans="1:12" ht="15" customHeight="1" x14ac:dyDescent="0.25">
      <c r="A1962" s="170" t="s">
        <v>3087</v>
      </c>
      <c r="B1962" s="492" t="s">
        <v>3088</v>
      </c>
      <c r="C1962" s="492"/>
      <c r="D1962" s="492"/>
      <c r="E1962" s="492"/>
      <c r="F1962" s="492"/>
      <c r="G1962" s="127" t="s">
        <v>694</v>
      </c>
      <c r="H1962" s="522">
        <v>0.53076000000000001</v>
      </c>
      <c r="I1962" s="522"/>
      <c r="J1962" s="523">
        <v>201.93469999999999</v>
      </c>
      <c r="K1962" s="523"/>
      <c r="L1962" s="371">
        <f>ROUND(ROUND(H1962,5)*J1962,4)</f>
        <v>107.1789</v>
      </c>
    </row>
    <row r="1963" spans="1:12" ht="15" customHeight="1" x14ac:dyDescent="0.25">
      <c r="A1963" s="170" t="s">
        <v>3089</v>
      </c>
      <c r="B1963" s="492" t="s">
        <v>3090</v>
      </c>
      <c r="C1963" s="492"/>
      <c r="D1963" s="492"/>
      <c r="E1963" s="492"/>
      <c r="F1963" s="492"/>
      <c r="G1963" s="127" t="s">
        <v>694</v>
      </c>
      <c r="H1963" s="522">
        <v>0.14699999999999999</v>
      </c>
      <c r="I1963" s="522"/>
      <c r="J1963" s="523">
        <v>167.90280000000001</v>
      </c>
      <c r="K1963" s="523"/>
      <c r="L1963" s="371">
        <f>ROUND(ROUND(H1963,5)*J1963,4)</f>
        <v>24.681699999999999</v>
      </c>
    </row>
    <row r="1964" spans="1:12" ht="15" customHeight="1" x14ac:dyDescent="0.25">
      <c r="A1964" s="170" t="s">
        <v>3091</v>
      </c>
      <c r="B1964" s="492" t="s">
        <v>3092</v>
      </c>
      <c r="C1964" s="492"/>
      <c r="D1964" s="492"/>
      <c r="E1964" s="492"/>
      <c r="F1964" s="492"/>
      <c r="G1964" s="127" t="s">
        <v>694</v>
      </c>
      <c r="H1964" s="522">
        <v>0.2606</v>
      </c>
      <c r="I1964" s="522"/>
      <c r="J1964" s="523">
        <v>164.9828</v>
      </c>
      <c r="K1964" s="523"/>
      <c r="L1964" s="371">
        <f>ROUND(ROUND(H1964,5)*J1964,4)</f>
        <v>42.994500000000002</v>
      </c>
    </row>
    <row r="1965" spans="1:12" ht="15" customHeight="1" x14ac:dyDescent="0.25">
      <c r="A1965" s="170" t="s">
        <v>3093</v>
      </c>
      <c r="B1965" s="492" t="s">
        <v>3094</v>
      </c>
      <c r="C1965" s="492"/>
      <c r="D1965" s="492"/>
      <c r="E1965" s="492"/>
      <c r="F1965" s="492"/>
      <c r="G1965" s="127" t="s">
        <v>694</v>
      </c>
      <c r="H1965" s="522">
        <v>0.52829000000000004</v>
      </c>
      <c r="I1965" s="522"/>
      <c r="J1965" s="523">
        <v>98.732799999999997</v>
      </c>
      <c r="K1965" s="523"/>
      <c r="L1965" s="371">
        <f>ROUND(ROUND(H1965,5)*J1965,4)</f>
        <v>52.159599999999998</v>
      </c>
    </row>
    <row r="1966" spans="1:12" ht="15" customHeight="1" x14ac:dyDescent="0.25">
      <c r="A1966" s="184"/>
      <c r="B1966" s="141"/>
      <c r="C1966" s="141"/>
      <c r="D1966" s="141"/>
      <c r="E1966" s="141"/>
      <c r="F1966" s="141"/>
      <c r="G1966" s="141"/>
      <c r="H1966" s="491" t="s">
        <v>1889</v>
      </c>
      <c r="I1966" s="491"/>
      <c r="J1966" s="491"/>
      <c r="K1966" s="491"/>
      <c r="L1966" s="373">
        <f>SUM(L1962:L1965)</f>
        <v>227.0147</v>
      </c>
    </row>
    <row r="1967" spans="1:12" ht="15" customHeight="1" x14ac:dyDescent="0.25">
      <c r="A1967" s="488" t="s">
        <v>3095</v>
      </c>
      <c r="B1967" s="489"/>
      <c r="C1967" s="489"/>
      <c r="D1967" s="476" t="s">
        <v>1691</v>
      </c>
      <c r="E1967" s="476"/>
      <c r="F1967" s="476" t="s">
        <v>3096</v>
      </c>
      <c r="G1967" s="476"/>
      <c r="H1967" s="476" t="s">
        <v>1837</v>
      </c>
      <c r="I1967" s="476"/>
      <c r="J1967" s="476" t="s">
        <v>1814</v>
      </c>
      <c r="K1967" s="476"/>
      <c r="L1967" s="366" t="s">
        <v>1882</v>
      </c>
    </row>
    <row r="1968" spans="1:12" ht="15" customHeight="1" x14ac:dyDescent="0.25">
      <c r="A1968" s="379" t="s">
        <v>3087</v>
      </c>
      <c r="B1968" s="532" t="s">
        <v>3097</v>
      </c>
      <c r="C1968" s="532"/>
      <c r="D1968" s="533" t="s">
        <v>3098</v>
      </c>
      <c r="E1968" s="533"/>
      <c r="F1968" s="533" t="s">
        <v>3099</v>
      </c>
      <c r="G1968" s="533"/>
      <c r="H1968" s="534">
        <v>0.79613999999999996</v>
      </c>
      <c r="I1968" s="534"/>
      <c r="J1968" s="535">
        <v>1.85</v>
      </c>
      <c r="K1968" s="535"/>
      <c r="L1968" s="380">
        <f>ROUND(ROUND(H1968,5)*J1968,4)</f>
        <v>1.4729000000000001</v>
      </c>
    </row>
    <row r="1969" spans="1:12" ht="15" customHeight="1" x14ac:dyDescent="0.25">
      <c r="A1969" s="379" t="s">
        <v>3089</v>
      </c>
      <c r="B1969" s="532" t="s">
        <v>3100</v>
      </c>
      <c r="C1969" s="532"/>
      <c r="D1969" s="533" t="s">
        <v>3098</v>
      </c>
      <c r="E1969" s="533"/>
      <c r="F1969" s="533" t="s">
        <v>3099</v>
      </c>
      <c r="G1969" s="533"/>
      <c r="H1969" s="534">
        <v>0.2205</v>
      </c>
      <c r="I1969" s="534"/>
      <c r="J1969" s="535">
        <v>1.85</v>
      </c>
      <c r="K1969" s="535"/>
      <c r="L1969" s="380">
        <f>ROUND(ROUND(H1969,5)*J1969,4)</f>
        <v>0.40789999999999998</v>
      </c>
    </row>
    <row r="1970" spans="1:12" ht="15" customHeight="1" x14ac:dyDescent="0.25">
      <c r="A1970" s="379" t="s">
        <v>3091</v>
      </c>
      <c r="B1970" s="532" t="s">
        <v>3101</v>
      </c>
      <c r="C1970" s="532"/>
      <c r="D1970" s="533" t="s">
        <v>3098</v>
      </c>
      <c r="E1970" s="533"/>
      <c r="F1970" s="533" t="s">
        <v>3099</v>
      </c>
      <c r="G1970" s="533"/>
      <c r="H1970" s="534">
        <v>0.39090000000000003</v>
      </c>
      <c r="I1970" s="534"/>
      <c r="J1970" s="535">
        <v>1.85</v>
      </c>
      <c r="K1970" s="535"/>
      <c r="L1970" s="380">
        <f>ROUND(ROUND(H1970,5)*J1970,4)</f>
        <v>0.72319999999999995</v>
      </c>
    </row>
    <row r="1971" spans="1:12" ht="20.100000000000001" customHeight="1" x14ac:dyDescent="0.25">
      <c r="A1971" s="379" t="s">
        <v>3093</v>
      </c>
      <c r="B1971" s="532" t="s">
        <v>3102</v>
      </c>
      <c r="C1971" s="532"/>
      <c r="D1971" s="533" t="s">
        <v>3098</v>
      </c>
      <c r="E1971" s="533"/>
      <c r="F1971" s="533" t="s">
        <v>3099</v>
      </c>
      <c r="G1971" s="533"/>
      <c r="H1971" s="534">
        <v>0.79244000000000003</v>
      </c>
      <c r="I1971" s="534"/>
      <c r="J1971" s="535">
        <v>1.85</v>
      </c>
      <c r="K1971" s="535"/>
      <c r="L1971" s="380">
        <f>ROUND(ROUND(H1971,5)*J1971,4)</f>
        <v>1.466</v>
      </c>
    </row>
    <row r="1972" spans="1:12" ht="15" customHeight="1" x14ac:dyDescent="0.25">
      <c r="A1972" s="184"/>
      <c r="B1972" s="141"/>
      <c r="C1972" s="141"/>
      <c r="D1972" s="141"/>
      <c r="E1972" s="141"/>
      <c r="F1972" s="141"/>
      <c r="G1972" s="141"/>
      <c r="H1972" s="491" t="s">
        <v>3103</v>
      </c>
      <c r="I1972" s="491"/>
      <c r="J1972" s="491"/>
      <c r="K1972" s="491"/>
      <c r="L1972" s="371">
        <f>SUM(L1968:L1971)</f>
        <v>4.07</v>
      </c>
    </row>
    <row r="1973" spans="1:12" ht="12.95" customHeight="1" x14ac:dyDescent="0.25">
      <c r="A1973" s="488" t="s">
        <v>3104</v>
      </c>
      <c r="B1973" s="489"/>
      <c r="C1973" s="476" t="s">
        <v>251</v>
      </c>
      <c r="D1973" s="476" t="s">
        <v>45</v>
      </c>
      <c r="E1973" s="476"/>
      <c r="F1973" s="476" t="s">
        <v>3105</v>
      </c>
      <c r="G1973" s="476"/>
      <c r="H1973" s="476" t="s">
        <v>3106</v>
      </c>
      <c r="I1973" s="476"/>
      <c r="J1973" s="476" t="s">
        <v>997</v>
      </c>
      <c r="K1973" s="476"/>
      <c r="L1973" s="536" t="s">
        <v>1882</v>
      </c>
    </row>
    <row r="1974" spans="1:12" ht="12" customHeight="1" x14ac:dyDescent="0.25">
      <c r="A1974" s="488"/>
      <c r="B1974" s="489"/>
      <c r="C1974" s="476"/>
      <c r="D1974" s="476"/>
      <c r="E1974" s="476"/>
      <c r="F1974" s="230" t="s">
        <v>3107</v>
      </c>
      <c r="G1974" s="230" t="s">
        <v>3108</v>
      </c>
      <c r="H1974" s="230" t="s">
        <v>3107</v>
      </c>
      <c r="I1974" s="230" t="s">
        <v>3108</v>
      </c>
      <c r="J1974" s="230" t="s">
        <v>3107</v>
      </c>
      <c r="K1974" s="230" t="s">
        <v>3108</v>
      </c>
      <c r="L1974" s="536"/>
    </row>
    <row r="1975" spans="1:12" ht="20.100000000000001" customHeight="1" x14ac:dyDescent="0.25">
      <c r="A1975" s="379" t="s">
        <v>3087</v>
      </c>
      <c r="B1975" s="242" t="s">
        <v>3097</v>
      </c>
      <c r="C1975" s="243" t="s">
        <v>3109</v>
      </c>
      <c r="D1975" s="534">
        <v>0.79613999999999996</v>
      </c>
      <c r="E1975" s="534"/>
      <c r="F1975" s="145">
        <v>0</v>
      </c>
      <c r="G1975" s="146">
        <v>1.25</v>
      </c>
      <c r="H1975" s="145">
        <v>0</v>
      </c>
      <c r="I1975" s="146">
        <v>1</v>
      </c>
      <c r="J1975" s="145">
        <v>0</v>
      </c>
      <c r="K1975" s="146">
        <v>0.83</v>
      </c>
      <c r="L1975" s="380">
        <f>ROUND(D1975*((ROUND(F1975*G1975,4)+ROUND(H1975*I1975,4)+ROUND(J1975*K1975,4))),4)</f>
        <v>0</v>
      </c>
    </row>
    <row r="1976" spans="1:12" ht="20.100000000000001" customHeight="1" x14ac:dyDescent="0.25">
      <c r="A1976" s="379" t="s">
        <v>3089</v>
      </c>
      <c r="B1976" s="242" t="s">
        <v>3100</v>
      </c>
      <c r="C1976" s="243" t="s">
        <v>3109</v>
      </c>
      <c r="D1976" s="534">
        <v>0.2205</v>
      </c>
      <c r="E1976" s="534"/>
      <c r="F1976" s="145">
        <v>0</v>
      </c>
      <c r="G1976" s="146">
        <v>1.25</v>
      </c>
      <c r="H1976" s="145">
        <v>0</v>
      </c>
      <c r="I1976" s="146">
        <v>1</v>
      </c>
      <c r="J1976" s="145">
        <v>0</v>
      </c>
      <c r="K1976" s="146">
        <v>0.83</v>
      </c>
      <c r="L1976" s="380">
        <f>ROUND(D1976*((ROUND(F1976*G1976,4)+ROUND(H1976*I1976,4)+ROUND(J1976*K1976,4))),4)</f>
        <v>0</v>
      </c>
    </row>
    <row r="1977" spans="1:12" ht="20.100000000000001" customHeight="1" x14ac:dyDescent="0.25">
      <c r="A1977" s="379" t="s">
        <v>3091</v>
      </c>
      <c r="B1977" s="242" t="s">
        <v>3101</v>
      </c>
      <c r="C1977" s="243" t="s">
        <v>3109</v>
      </c>
      <c r="D1977" s="534">
        <v>0.39090000000000003</v>
      </c>
      <c r="E1977" s="534"/>
      <c r="F1977" s="145">
        <v>0</v>
      </c>
      <c r="G1977" s="146">
        <v>1.25</v>
      </c>
      <c r="H1977" s="145">
        <v>0</v>
      </c>
      <c r="I1977" s="146">
        <v>1</v>
      </c>
      <c r="J1977" s="145">
        <v>0</v>
      </c>
      <c r="K1977" s="146">
        <v>0.83</v>
      </c>
      <c r="L1977" s="380">
        <f>ROUND(D1977*((ROUND(F1977*G1977,4)+ROUND(H1977*I1977,4)+ROUND(J1977*K1977,4))),4)</f>
        <v>0</v>
      </c>
    </row>
    <row r="1978" spans="1:12" ht="20.100000000000001" customHeight="1" x14ac:dyDescent="0.25">
      <c r="A1978" s="379" t="s">
        <v>3093</v>
      </c>
      <c r="B1978" s="242" t="s">
        <v>3102</v>
      </c>
      <c r="C1978" s="243" t="s">
        <v>3109</v>
      </c>
      <c r="D1978" s="534">
        <v>0.79244000000000003</v>
      </c>
      <c r="E1978" s="534"/>
      <c r="F1978" s="145">
        <v>0</v>
      </c>
      <c r="G1978" s="146">
        <v>1.25</v>
      </c>
      <c r="H1978" s="145">
        <v>0</v>
      </c>
      <c r="I1978" s="146">
        <v>1</v>
      </c>
      <c r="J1978" s="145">
        <v>0</v>
      </c>
      <c r="K1978" s="146">
        <v>0.83</v>
      </c>
      <c r="L1978" s="380">
        <f>ROUND(D1978*((ROUND(F1978*G1978,4)+ROUND(H1978*I1978,4)+ROUND(J1978*K1978,4))),4)</f>
        <v>0</v>
      </c>
    </row>
    <row r="1979" spans="1:12" ht="15" customHeight="1" x14ac:dyDescent="0.25">
      <c r="A1979" s="184"/>
      <c r="B1979" s="141"/>
      <c r="C1979" s="141"/>
      <c r="D1979" s="141"/>
      <c r="E1979" s="141"/>
      <c r="F1979" s="141"/>
      <c r="G1979" s="141"/>
      <c r="H1979" s="491" t="s">
        <v>3110</v>
      </c>
      <c r="I1979" s="491"/>
      <c r="J1979" s="491"/>
      <c r="K1979" s="491"/>
      <c r="L1979" s="371">
        <f>SUM(L1974:L1978)</f>
        <v>0</v>
      </c>
    </row>
    <row r="1980" spans="1:12" ht="15" customHeight="1" x14ac:dyDescent="0.25">
      <c r="A1980" s="182"/>
      <c r="B1980" s="183"/>
      <c r="C1980" s="183"/>
      <c r="D1980" s="183"/>
      <c r="E1980" s="183"/>
      <c r="F1980" s="183"/>
      <c r="G1980" s="183"/>
      <c r="H1980" s="482" t="s">
        <v>1848</v>
      </c>
      <c r="I1980" s="482"/>
      <c r="J1980" s="482"/>
      <c r="K1980" s="482"/>
      <c r="L1980" s="371">
        <f>SUM(L1959,L1960,L1966,L1972,L1979)</f>
        <v>244.02959999999999</v>
      </c>
    </row>
    <row r="1981" spans="1:12" ht="15" customHeight="1" x14ac:dyDescent="0.25">
      <c r="A1981" s="182"/>
      <c r="B1981" s="183"/>
      <c r="C1981" s="183"/>
      <c r="D1981" s="183"/>
      <c r="E1981" s="183"/>
      <c r="F1981" s="183"/>
      <c r="G1981" s="183"/>
      <c r="H1981" s="482" t="s">
        <v>1834</v>
      </c>
      <c r="I1981" s="482"/>
      <c r="J1981" s="482"/>
      <c r="K1981" s="482"/>
      <c r="L1981" s="369">
        <f>ROUND(SUM(L1980),2)</f>
        <v>244.03</v>
      </c>
    </row>
    <row r="1982" spans="1:12" ht="9.9499999999999993" customHeight="1" x14ac:dyDescent="0.25">
      <c r="A1982" s="182"/>
      <c r="B1982" s="183"/>
      <c r="C1982" s="183"/>
      <c r="D1982" s="183"/>
      <c r="E1982" s="183"/>
      <c r="F1982" s="183"/>
      <c r="G1982" s="183"/>
      <c r="H1982" s="485"/>
      <c r="I1982" s="485"/>
      <c r="J1982" s="485"/>
      <c r="K1982" s="485"/>
      <c r="L1982" s="512"/>
    </row>
    <row r="1983" spans="1:12" ht="20.100000000000001" customHeight="1" x14ac:dyDescent="0.25">
      <c r="A1983" s="486" t="s">
        <v>3111</v>
      </c>
      <c r="B1983" s="487"/>
      <c r="C1983" s="487"/>
      <c r="D1983" s="487"/>
      <c r="E1983" s="487"/>
      <c r="F1983" s="487"/>
      <c r="G1983" s="487"/>
      <c r="H1983" s="487"/>
      <c r="I1983" s="487"/>
      <c r="J1983" s="487"/>
      <c r="K1983" s="487"/>
      <c r="L1983" s="513"/>
    </row>
    <row r="1984" spans="1:12" ht="15" customHeight="1" x14ac:dyDescent="0.25">
      <c r="A1984" s="474" t="s">
        <v>1912</v>
      </c>
      <c r="B1984" s="475"/>
      <c r="C1984" s="475"/>
      <c r="D1984" s="476" t="s">
        <v>42</v>
      </c>
      <c r="E1984" s="476"/>
      <c r="F1984" s="476"/>
      <c r="G1984" s="230" t="s">
        <v>44</v>
      </c>
      <c r="H1984" s="476" t="s">
        <v>1813</v>
      </c>
      <c r="I1984" s="476"/>
      <c r="J1984" s="476" t="s">
        <v>1814</v>
      </c>
      <c r="K1984" s="476"/>
      <c r="L1984" s="366" t="s">
        <v>1802</v>
      </c>
    </row>
    <row r="1985" spans="1:12" ht="29.1" customHeight="1" x14ac:dyDescent="0.25">
      <c r="A1985" s="181" t="s">
        <v>3112</v>
      </c>
      <c r="B1985" s="509" t="s">
        <v>3113</v>
      </c>
      <c r="C1985" s="509"/>
      <c r="D1985" s="481" t="s">
        <v>82</v>
      </c>
      <c r="E1985" s="481"/>
      <c r="F1985" s="481"/>
      <c r="G1985" s="231" t="s">
        <v>1024</v>
      </c>
      <c r="H1985" s="510">
        <v>1</v>
      </c>
      <c r="I1985" s="510"/>
      <c r="J1985" s="511">
        <v>0.48</v>
      </c>
      <c r="K1985" s="511"/>
      <c r="L1985" s="367">
        <f>TRUNC(TRUNC(H1985,8)*J1985,2)</f>
        <v>0.48</v>
      </c>
    </row>
    <row r="1986" spans="1:12" ht="29.1" customHeight="1" x14ac:dyDescent="0.25">
      <c r="A1986" s="181" t="s">
        <v>3114</v>
      </c>
      <c r="B1986" s="509" t="s">
        <v>3115</v>
      </c>
      <c r="C1986" s="509"/>
      <c r="D1986" s="481" t="s">
        <v>82</v>
      </c>
      <c r="E1986" s="481"/>
      <c r="F1986" s="481"/>
      <c r="G1986" s="231" t="s">
        <v>1024</v>
      </c>
      <c r="H1986" s="510">
        <v>1</v>
      </c>
      <c r="I1986" s="510"/>
      <c r="J1986" s="511">
        <v>0.11</v>
      </c>
      <c r="K1986" s="511"/>
      <c r="L1986" s="367">
        <f>TRUNC(TRUNC(H1986,8)*J1986,2)</f>
        <v>0.11</v>
      </c>
    </row>
    <row r="1987" spans="1:12" ht="15" customHeight="1" x14ac:dyDescent="0.25">
      <c r="A1987" s="182"/>
      <c r="B1987" s="183"/>
      <c r="C1987" s="183"/>
      <c r="D1987" s="183"/>
      <c r="E1987" s="183"/>
      <c r="F1987" s="183"/>
      <c r="G1987" s="183"/>
      <c r="H1987" s="477" t="s">
        <v>1915</v>
      </c>
      <c r="I1987" s="477"/>
      <c r="J1987" s="477"/>
      <c r="K1987" s="477"/>
      <c r="L1987" s="368">
        <f>SUM(L1985:L1986)</f>
        <v>0.59</v>
      </c>
    </row>
    <row r="1988" spans="1:12" ht="15" customHeight="1" x14ac:dyDescent="0.25">
      <c r="A1988" s="182"/>
      <c r="B1988" s="183"/>
      <c r="C1988" s="183"/>
      <c r="D1988" s="183"/>
      <c r="E1988" s="183"/>
      <c r="F1988" s="183"/>
      <c r="G1988" s="183"/>
      <c r="H1988" s="482" t="s">
        <v>1834</v>
      </c>
      <c r="I1988" s="482"/>
      <c r="J1988" s="482"/>
      <c r="K1988" s="482"/>
      <c r="L1988" s="369">
        <f>ROUND(SUM(L1987),2)</f>
        <v>0.59</v>
      </c>
    </row>
    <row r="1989" spans="1:12" ht="9.9499999999999993" customHeight="1" x14ac:dyDescent="0.25">
      <c r="A1989" s="182"/>
      <c r="B1989" s="183"/>
      <c r="C1989" s="183"/>
      <c r="D1989" s="183"/>
      <c r="E1989" s="183"/>
      <c r="F1989" s="183"/>
      <c r="G1989" s="183"/>
      <c r="H1989" s="485"/>
      <c r="I1989" s="485"/>
      <c r="J1989" s="485"/>
      <c r="K1989" s="485"/>
      <c r="L1989" s="512"/>
    </row>
    <row r="1990" spans="1:12" ht="20.100000000000001" customHeight="1" x14ac:dyDescent="0.25">
      <c r="A1990" s="486" t="s">
        <v>3116</v>
      </c>
      <c r="B1990" s="487"/>
      <c r="C1990" s="487"/>
      <c r="D1990" s="487"/>
      <c r="E1990" s="487"/>
      <c r="F1990" s="487"/>
      <c r="G1990" s="487"/>
      <c r="H1990" s="487"/>
      <c r="I1990" s="487"/>
      <c r="J1990" s="487"/>
      <c r="K1990" s="487"/>
      <c r="L1990" s="513"/>
    </row>
    <row r="1991" spans="1:12" ht="15" customHeight="1" x14ac:dyDescent="0.25">
      <c r="A1991" s="474" t="s">
        <v>1912</v>
      </c>
      <c r="B1991" s="475"/>
      <c r="C1991" s="475"/>
      <c r="D1991" s="476" t="s">
        <v>42</v>
      </c>
      <c r="E1991" s="476"/>
      <c r="F1991" s="476"/>
      <c r="G1991" s="230" t="s">
        <v>44</v>
      </c>
      <c r="H1991" s="476" t="s">
        <v>1813</v>
      </c>
      <c r="I1991" s="476"/>
      <c r="J1991" s="476" t="s">
        <v>1814</v>
      </c>
      <c r="K1991" s="476"/>
      <c r="L1991" s="366" t="s">
        <v>1802</v>
      </c>
    </row>
    <row r="1992" spans="1:12" ht="29.1" customHeight="1" x14ac:dyDescent="0.25">
      <c r="A1992" s="181" t="s">
        <v>3112</v>
      </c>
      <c r="B1992" s="509" t="s">
        <v>3113</v>
      </c>
      <c r="C1992" s="509"/>
      <c r="D1992" s="481" t="s">
        <v>82</v>
      </c>
      <c r="E1992" s="481"/>
      <c r="F1992" s="481"/>
      <c r="G1992" s="231" t="s">
        <v>1024</v>
      </c>
      <c r="H1992" s="510">
        <v>1</v>
      </c>
      <c r="I1992" s="510"/>
      <c r="J1992" s="511">
        <v>0.48</v>
      </c>
      <c r="K1992" s="511"/>
      <c r="L1992" s="367">
        <f>TRUNC(TRUNC(H1992,8)*J1992,2)</f>
        <v>0.48</v>
      </c>
    </row>
    <row r="1993" spans="1:12" ht="29.1" customHeight="1" x14ac:dyDescent="0.25">
      <c r="A1993" s="181" t="s">
        <v>3114</v>
      </c>
      <c r="B1993" s="509" t="s">
        <v>3115</v>
      </c>
      <c r="C1993" s="509"/>
      <c r="D1993" s="481" t="s">
        <v>82</v>
      </c>
      <c r="E1993" s="481"/>
      <c r="F1993" s="481"/>
      <c r="G1993" s="231" t="s">
        <v>1024</v>
      </c>
      <c r="H1993" s="510">
        <v>1</v>
      </c>
      <c r="I1993" s="510"/>
      <c r="J1993" s="511">
        <v>0.11</v>
      </c>
      <c r="K1993" s="511"/>
      <c r="L1993" s="367">
        <f>TRUNC(TRUNC(H1993,8)*J1993,2)</f>
        <v>0.11</v>
      </c>
    </row>
    <row r="1994" spans="1:12" ht="29.1" customHeight="1" x14ac:dyDescent="0.25">
      <c r="A1994" s="181" t="s">
        <v>3117</v>
      </c>
      <c r="B1994" s="509" t="s">
        <v>3118</v>
      </c>
      <c r="C1994" s="509"/>
      <c r="D1994" s="481" t="s">
        <v>82</v>
      </c>
      <c r="E1994" s="481"/>
      <c r="F1994" s="481"/>
      <c r="G1994" s="231" t="s">
        <v>1024</v>
      </c>
      <c r="H1994" s="510">
        <v>1</v>
      </c>
      <c r="I1994" s="510"/>
      <c r="J1994" s="511">
        <v>0.37</v>
      </c>
      <c r="K1994" s="511"/>
      <c r="L1994" s="367">
        <f>TRUNC(TRUNC(H1994,8)*J1994,2)</f>
        <v>0.37</v>
      </c>
    </row>
    <row r="1995" spans="1:12" ht="29.1" customHeight="1" x14ac:dyDescent="0.25">
      <c r="A1995" s="181" t="s">
        <v>3119</v>
      </c>
      <c r="B1995" s="509" t="s">
        <v>3120</v>
      </c>
      <c r="C1995" s="509"/>
      <c r="D1995" s="481" t="s">
        <v>82</v>
      </c>
      <c r="E1995" s="481"/>
      <c r="F1995" s="481"/>
      <c r="G1995" s="231" t="s">
        <v>1024</v>
      </c>
      <c r="H1995" s="510">
        <v>1</v>
      </c>
      <c r="I1995" s="510"/>
      <c r="J1995" s="511">
        <v>0.49</v>
      </c>
      <c r="K1995" s="511"/>
      <c r="L1995" s="367">
        <f>TRUNC(TRUNC(H1995,8)*J1995,2)</f>
        <v>0.49</v>
      </c>
    </row>
    <row r="1996" spans="1:12" ht="15" customHeight="1" x14ac:dyDescent="0.25">
      <c r="A1996" s="182"/>
      <c r="B1996" s="183"/>
      <c r="C1996" s="183"/>
      <c r="D1996" s="183"/>
      <c r="E1996" s="183"/>
      <c r="F1996" s="183"/>
      <c r="G1996" s="183"/>
      <c r="H1996" s="477" t="s">
        <v>1915</v>
      </c>
      <c r="I1996" s="477"/>
      <c r="J1996" s="477"/>
      <c r="K1996" s="477"/>
      <c r="L1996" s="368">
        <f>SUM(L1992:L1995)</f>
        <v>1.45</v>
      </c>
    </row>
    <row r="1997" spans="1:12" ht="15" customHeight="1" x14ac:dyDescent="0.25">
      <c r="A1997" s="182"/>
      <c r="B1997" s="183"/>
      <c r="C1997" s="183"/>
      <c r="D1997" s="183"/>
      <c r="E1997" s="183"/>
      <c r="F1997" s="183"/>
      <c r="G1997" s="183"/>
      <c r="H1997" s="482" t="s">
        <v>1834</v>
      </c>
      <c r="I1997" s="482"/>
      <c r="J1997" s="482"/>
      <c r="K1997" s="482"/>
      <c r="L1997" s="369">
        <f>ROUND(SUM(L1996),2)</f>
        <v>1.45</v>
      </c>
    </row>
    <row r="1998" spans="1:12" ht="9.9499999999999993" customHeight="1" x14ac:dyDescent="0.25">
      <c r="A1998" s="182"/>
      <c r="B1998" s="183"/>
      <c r="C1998" s="183"/>
      <c r="D1998" s="183"/>
      <c r="E1998" s="183"/>
      <c r="F1998" s="183"/>
      <c r="G1998" s="183"/>
      <c r="H1998" s="485"/>
      <c r="I1998" s="485"/>
      <c r="J1998" s="485"/>
      <c r="K1998" s="485"/>
      <c r="L1998" s="512"/>
    </row>
    <row r="1999" spans="1:12" ht="20.100000000000001" customHeight="1" x14ac:dyDescent="0.25">
      <c r="A1999" s="486" t="s">
        <v>3121</v>
      </c>
      <c r="B1999" s="487"/>
      <c r="C1999" s="487"/>
      <c r="D1999" s="487"/>
      <c r="E1999" s="487"/>
      <c r="F1999" s="487"/>
      <c r="G1999" s="487"/>
      <c r="H1999" s="487"/>
      <c r="I1999" s="487"/>
      <c r="J1999" s="487"/>
      <c r="K1999" s="487"/>
      <c r="L1999" s="513"/>
    </row>
    <row r="2000" spans="1:12" ht="15" customHeight="1" x14ac:dyDescent="0.25">
      <c r="A2000" s="474" t="s">
        <v>2443</v>
      </c>
      <c r="B2000" s="475"/>
      <c r="C2000" s="475"/>
      <c r="D2000" s="476" t="s">
        <v>42</v>
      </c>
      <c r="E2000" s="476"/>
      <c r="F2000" s="476"/>
      <c r="G2000" s="230" t="s">
        <v>44</v>
      </c>
      <c r="H2000" s="476" t="s">
        <v>1813</v>
      </c>
      <c r="I2000" s="476"/>
      <c r="J2000" s="476" t="s">
        <v>1814</v>
      </c>
      <c r="K2000" s="476"/>
      <c r="L2000" s="366" t="s">
        <v>1802</v>
      </c>
    </row>
    <row r="2001" spans="1:12" ht="21" customHeight="1" x14ac:dyDescent="0.25">
      <c r="A2001" s="181" t="s">
        <v>3122</v>
      </c>
      <c r="B2001" s="509" t="s">
        <v>3123</v>
      </c>
      <c r="C2001" s="509"/>
      <c r="D2001" s="481" t="s">
        <v>82</v>
      </c>
      <c r="E2001" s="481"/>
      <c r="F2001" s="481"/>
      <c r="G2001" s="231" t="s">
        <v>226</v>
      </c>
      <c r="H2001" s="510">
        <v>1.2799999999999999E-4</v>
      </c>
      <c r="I2001" s="510"/>
      <c r="J2001" s="511">
        <v>3799.73</v>
      </c>
      <c r="K2001" s="511"/>
      <c r="L2001" s="367">
        <f>TRUNC(TRUNC(H2001,8)*J2001,2)</f>
        <v>0.48</v>
      </c>
    </row>
    <row r="2002" spans="1:12" ht="15" customHeight="1" x14ac:dyDescent="0.25">
      <c r="A2002" s="182"/>
      <c r="B2002" s="183"/>
      <c r="C2002" s="183"/>
      <c r="D2002" s="183"/>
      <c r="E2002" s="183"/>
      <c r="F2002" s="183"/>
      <c r="G2002" s="183"/>
      <c r="H2002" s="477" t="s">
        <v>2446</v>
      </c>
      <c r="I2002" s="477"/>
      <c r="J2002" s="477"/>
      <c r="K2002" s="477"/>
      <c r="L2002" s="368">
        <f>SUM(L2001:L2001)</f>
        <v>0.48</v>
      </c>
    </row>
    <row r="2003" spans="1:12" ht="15" customHeight="1" x14ac:dyDescent="0.25">
      <c r="A2003" s="182"/>
      <c r="B2003" s="183"/>
      <c r="C2003" s="183"/>
      <c r="D2003" s="183"/>
      <c r="E2003" s="183"/>
      <c r="F2003" s="183"/>
      <c r="G2003" s="183"/>
      <c r="H2003" s="482" t="s">
        <v>1834</v>
      </c>
      <c r="I2003" s="482"/>
      <c r="J2003" s="482"/>
      <c r="K2003" s="482"/>
      <c r="L2003" s="369">
        <f>ROUND(SUM(L2002),2)</f>
        <v>0.48</v>
      </c>
    </row>
    <row r="2004" spans="1:12" ht="9.9499999999999993" customHeight="1" x14ac:dyDescent="0.25">
      <c r="A2004" s="182"/>
      <c r="B2004" s="183"/>
      <c r="C2004" s="183"/>
      <c r="D2004" s="183"/>
      <c r="E2004" s="183"/>
      <c r="F2004" s="183"/>
      <c r="G2004" s="183"/>
      <c r="H2004" s="485"/>
      <c r="I2004" s="485"/>
      <c r="J2004" s="485"/>
      <c r="K2004" s="485"/>
      <c r="L2004" s="512"/>
    </row>
    <row r="2005" spans="1:12" ht="20.100000000000001" customHeight="1" x14ac:dyDescent="0.25">
      <c r="A2005" s="486" t="s">
        <v>3124</v>
      </c>
      <c r="B2005" s="487"/>
      <c r="C2005" s="487"/>
      <c r="D2005" s="487"/>
      <c r="E2005" s="487"/>
      <c r="F2005" s="487"/>
      <c r="G2005" s="487"/>
      <c r="H2005" s="487"/>
      <c r="I2005" s="487"/>
      <c r="J2005" s="487"/>
      <c r="K2005" s="487"/>
      <c r="L2005" s="513"/>
    </row>
    <row r="2006" spans="1:12" ht="15" customHeight="1" x14ac:dyDescent="0.25">
      <c r="A2006" s="474" t="s">
        <v>2443</v>
      </c>
      <c r="B2006" s="475"/>
      <c r="C2006" s="475"/>
      <c r="D2006" s="476" t="s">
        <v>42</v>
      </c>
      <c r="E2006" s="476"/>
      <c r="F2006" s="476"/>
      <c r="G2006" s="230" t="s">
        <v>44</v>
      </c>
      <c r="H2006" s="476" t="s">
        <v>1813</v>
      </c>
      <c r="I2006" s="476"/>
      <c r="J2006" s="476" t="s">
        <v>1814</v>
      </c>
      <c r="K2006" s="476"/>
      <c r="L2006" s="366" t="s">
        <v>1802</v>
      </c>
    </row>
    <row r="2007" spans="1:12" ht="21" customHeight="1" x14ac:dyDescent="0.25">
      <c r="A2007" s="181" t="s">
        <v>3122</v>
      </c>
      <c r="B2007" s="509" t="s">
        <v>3123</v>
      </c>
      <c r="C2007" s="509"/>
      <c r="D2007" s="481" t="s">
        <v>82</v>
      </c>
      <c r="E2007" s="481"/>
      <c r="F2007" s="481"/>
      <c r="G2007" s="231" t="s">
        <v>226</v>
      </c>
      <c r="H2007" s="510">
        <v>2.9600000000000001E-5</v>
      </c>
      <c r="I2007" s="510"/>
      <c r="J2007" s="511">
        <v>3799.73</v>
      </c>
      <c r="K2007" s="511"/>
      <c r="L2007" s="367">
        <f>TRUNC(TRUNC(H2007,8)*J2007,2)</f>
        <v>0.11</v>
      </c>
    </row>
    <row r="2008" spans="1:12" ht="15" customHeight="1" x14ac:dyDescent="0.25">
      <c r="A2008" s="182"/>
      <c r="B2008" s="183"/>
      <c r="C2008" s="183"/>
      <c r="D2008" s="183"/>
      <c r="E2008" s="183"/>
      <c r="F2008" s="183"/>
      <c r="G2008" s="183"/>
      <c r="H2008" s="477" t="s">
        <v>2446</v>
      </c>
      <c r="I2008" s="477"/>
      <c r="J2008" s="477"/>
      <c r="K2008" s="477"/>
      <c r="L2008" s="368">
        <f>SUM(L2007:L2007)</f>
        <v>0.11</v>
      </c>
    </row>
    <row r="2009" spans="1:12" ht="15" customHeight="1" x14ac:dyDescent="0.25">
      <c r="A2009" s="182"/>
      <c r="B2009" s="183"/>
      <c r="C2009" s="183"/>
      <c r="D2009" s="183"/>
      <c r="E2009" s="183"/>
      <c r="F2009" s="183"/>
      <c r="G2009" s="183"/>
      <c r="H2009" s="482" t="s">
        <v>1834</v>
      </c>
      <c r="I2009" s="482"/>
      <c r="J2009" s="482"/>
      <c r="K2009" s="482"/>
      <c r="L2009" s="369">
        <f>ROUND(SUM(L2008),2)</f>
        <v>0.11</v>
      </c>
    </row>
    <row r="2010" spans="1:12" ht="9.9499999999999993" customHeight="1" x14ac:dyDescent="0.25">
      <c r="A2010" s="182"/>
      <c r="B2010" s="183"/>
      <c r="C2010" s="183"/>
      <c r="D2010" s="183"/>
      <c r="E2010" s="183"/>
      <c r="F2010" s="183"/>
      <c r="G2010" s="183"/>
      <c r="H2010" s="485"/>
      <c r="I2010" s="485"/>
      <c r="J2010" s="485"/>
      <c r="K2010" s="485"/>
      <c r="L2010" s="512"/>
    </row>
    <row r="2011" spans="1:12" ht="20.100000000000001" customHeight="1" x14ac:dyDescent="0.25">
      <c r="A2011" s="486" t="s">
        <v>3125</v>
      </c>
      <c r="B2011" s="487"/>
      <c r="C2011" s="487"/>
      <c r="D2011" s="487"/>
      <c r="E2011" s="487"/>
      <c r="F2011" s="487"/>
      <c r="G2011" s="487"/>
      <c r="H2011" s="487"/>
      <c r="I2011" s="487"/>
      <c r="J2011" s="487"/>
      <c r="K2011" s="487"/>
      <c r="L2011" s="513"/>
    </row>
    <row r="2012" spans="1:12" ht="15" customHeight="1" x14ac:dyDescent="0.25">
      <c r="A2012" s="474" t="s">
        <v>2443</v>
      </c>
      <c r="B2012" s="475"/>
      <c r="C2012" s="475"/>
      <c r="D2012" s="476" t="s">
        <v>42</v>
      </c>
      <c r="E2012" s="476"/>
      <c r="F2012" s="476"/>
      <c r="G2012" s="230" t="s">
        <v>44</v>
      </c>
      <c r="H2012" s="476" t="s">
        <v>1813</v>
      </c>
      <c r="I2012" s="476"/>
      <c r="J2012" s="476" t="s">
        <v>1814</v>
      </c>
      <c r="K2012" s="476"/>
      <c r="L2012" s="366" t="s">
        <v>1802</v>
      </c>
    </row>
    <row r="2013" spans="1:12" ht="21" customHeight="1" x14ac:dyDescent="0.25">
      <c r="A2013" s="181" t="s">
        <v>3122</v>
      </c>
      <c r="B2013" s="509" t="s">
        <v>3123</v>
      </c>
      <c r="C2013" s="509"/>
      <c r="D2013" s="481" t="s">
        <v>82</v>
      </c>
      <c r="E2013" s="481"/>
      <c r="F2013" s="481"/>
      <c r="G2013" s="231" t="s">
        <v>226</v>
      </c>
      <c r="H2013" s="510">
        <v>1E-4</v>
      </c>
      <c r="I2013" s="510"/>
      <c r="J2013" s="511">
        <v>3799.73</v>
      </c>
      <c r="K2013" s="511"/>
      <c r="L2013" s="367">
        <f>TRUNC(TRUNC(H2013,8)*J2013,2)</f>
        <v>0.37</v>
      </c>
    </row>
    <row r="2014" spans="1:12" ht="15" customHeight="1" x14ac:dyDescent="0.25">
      <c r="A2014" s="182"/>
      <c r="B2014" s="183"/>
      <c r="C2014" s="183"/>
      <c r="D2014" s="183"/>
      <c r="E2014" s="183"/>
      <c r="F2014" s="183"/>
      <c r="G2014" s="183"/>
      <c r="H2014" s="477" t="s">
        <v>2446</v>
      </c>
      <c r="I2014" s="477"/>
      <c r="J2014" s="477"/>
      <c r="K2014" s="477"/>
      <c r="L2014" s="368">
        <f>SUM(L2013:L2013)</f>
        <v>0.37</v>
      </c>
    </row>
    <row r="2015" spans="1:12" ht="15" customHeight="1" x14ac:dyDescent="0.25">
      <c r="A2015" s="182"/>
      <c r="B2015" s="183"/>
      <c r="C2015" s="183"/>
      <c r="D2015" s="183"/>
      <c r="E2015" s="183"/>
      <c r="F2015" s="183"/>
      <c r="G2015" s="183"/>
      <c r="H2015" s="482" t="s">
        <v>1834</v>
      </c>
      <c r="I2015" s="482"/>
      <c r="J2015" s="482"/>
      <c r="K2015" s="482"/>
      <c r="L2015" s="369">
        <f>ROUND(SUM(L2014),2)</f>
        <v>0.37</v>
      </c>
    </row>
    <row r="2016" spans="1:12" ht="9.9499999999999993" customHeight="1" x14ac:dyDescent="0.25">
      <c r="A2016" s="182"/>
      <c r="B2016" s="183"/>
      <c r="C2016" s="183"/>
      <c r="D2016" s="183"/>
      <c r="E2016" s="183"/>
      <c r="F2016" s="183"/>
      <c r="G2016" s="183"/>
      <c r="H2016" s="485"/>
      <c r="I2016" s="485"/>
      <c r="J2016" s="485"/>
      <c r="K2016" s="485"/>
      <c r="L2016" s="512"/>
    </row>
    <row r="2017" spans="1:12" ht="20.100000000000001" customHeight="1" x14ac:dyDescent="0.25">
      <c r="A2017" s="486" t="s">
        <v>3126</v>
      </c>
      <c r="B2017" s="487"/>
      <c r="C2017" s="487"/>
      <c r="D2017" s="487"/>
      <c r="E2017" s="487"/>
      <c r="F2017" s="487"/>
      <c r="G2017" s="487"/>
      <c r="H2017" s="487"/>
      <c r="I2017" s="487"/>
      <c r="J2017" s="487"/>
      <c r="K2017" s="487"/>
      <c r="L2017" s="513"/>
    </row>
    <row r="2018" spans="1:12" ht="15" customHeight="1" x14ac:dyDescent="0.25">
      <c r="A2018" s="474" t="s">
        <v>2450</v>
      </c>
      <c r="B2018" s="475"/>
      <c r="C2018" s="475"/>
      <c r="D2018" s="476" t="s">
        <v>42</v>
      </c>
      <c r="E2018" s="476"/>
      <c r="F2018" s="476"/>
      <c r="G2018" s="230" t="s">
        <v>44</v>
      </c>
      <c r="H2018" s="476" t="s">
        <v>1813</v>
      </c>
      <c r="I2018" s="476"/>
      <c r="J2018" s="476" t="s">
        <v>1814</v>
      </c>
      <c r="K2018" s="476"/>
      <c r="L2018" s="366" t="s">
        <v>1802</v>
      </c>
    </row>
    <row r="2019" spans="1:12" ht="21" customHeight="1" x14ac:dyDescent="0.25">
      <c r="A2019" s="181" t="s">
        <v>2451</v>
      </c>
      <c r="B2019" s="509" t="s">
        <v>2452</v>
      </c>
      <c r="C2019" s="509"/>
      <c r="D2019" s="481" t="s">
        <v>82</v>
      </c>
      <c r="E2019" s="481"/>
      <c r="F2019" s="481"/>
      <c r="G2019" s="231" t="s">
        <v>2453</v>
      </c>
      <c r="H2019" s="510">
        <v>0.52</v>
      </c>
      <c r="I2019" s="510"/>
      <c r="J2019" s="511">
        <v>0.96</v>
      </c>
      <c r="K2019" s="511"/>
      <c r="L2019" s="367">
        <f>TRUNC(TRUNC(H2019,8)*J2019,2)</f>
        <v>0.49</v>
      </c>
    </row>
    <row r="2020" spans="1:12" ht="15" customHeight="1" x14ac:dyDescent="0.25">
      <c r="A2020" s="182"/>
      <c r="B2020" s="183"/>
      <c r="C2020" s="183"/>
      <c r="D2020" s="183"/>
      <c r="E2020" s="183"/>
      <c r="F2020" s="183"/>
      <c r="G2020" s="183"/>
      <c r="H2020" s="477" t="s">
        <v>2454</v>
      </c>
      <c r="I2020" s="477"/>
      <c r="J2020" s="477"/>
      <c r="K2020" s="477"/>
      <c r="L2020" s="368">
        <f>SUM(L2019:L2019)</f>
        <v>0.49</v>
      </c>
    </row>
    <row r="2021" spans="1:12" ht="15" customHeight="1" x14ac:dyDescent="0.25">
      <c r="A2021" s="182"/>
      <c r="B2021" s="183"/>
      <c r="C2021" s="183"/>
      <c r="D2021" s="183"/>
      <c r="E2021" s="183"/>
      <c r="F2021" s="183"/>
      <c r="G2021" s="183"/>
      <c r="H2021" s="482" t="s">
        <v>1834</v>
      </c>
      <c r="I2021" s="482"/>
      <c r="J2021" s="482"/>
      <c r="K2021" s="482"/>
      <c r="L2021" s="369">
        <f>ROUND(SUM(L2020),2)</f>
        <v>0.49</v>
      </c>
    </row>
    <row r="2022" spans="1:12" ht="9.9499999999999993" customHeight="1" x14ac:dyDescent="0.25">
      <c r="A2022" s="182"/>
      <c r="B2022" s="183"/>
      <c r="C2022" s="183"/>
      <c r="D2022" s="183"/>
      <c r="E2022" s="183"/>
      <c r="F2022" s="183"/>
      <c r="G2022" s="183"/>
      <c r="H2022" s="485"/>
      <c r="I2022" s="485"/>
      <c r="J2022" s="485"/>
      <c r="K2022" s="485"/>
      <c r="L2022" s="512"/>
    </row>
    <row r="2023" spans="1:12" ht="20.100000000000001" customHeight="1" x14ac:dyDescent="0.25">
      <c r="A2023" s="486" t="s">
        <v>3127</v>
      </c>
      <c r="B2023" s="487"/>
      <c r="C2023" s="487"/>
      <c r="D2023" s="487"/>
      <c r="E2023" s="487"/>
      <c r="F2023" s="487"/>
      <c r="G2023" s="487"/>
      <c r="H2023" s="487"/>
      <c r="I2023" s="487"/>
      <c r="J2023" s="487"/>
      <c r="K2023" s="487"/>
      <c r="L2023" s="513"/>
    </row>
    <row r="2024" spans="1:12" ht="15" customHeight="1" x14ac:dyDescent="0.25">
      <c r="A2024" s="474" t="s">
        <v>1932</v>
      </c>
      <c r="B2024" s="475"/>
      <c r="C2024" s="475"/>
      <c r="D2024" s="476" t="s">
        <v>42</v>
      </c>
      <c r="E2024" s="476"/>
      <c r="F2024" s="476"/>
      <c r="G2024" s="230" t="s">
        <v>44</v>
      </c>
      <c r="H2024" s="476" t="s">
        <v>1813</v>
      </c>
      <c r="I2024" s="476"/>
      <c r="J2024" s="476" t="s">
        <v>1814</v>
      </c>
      <c r="K2024" s="476"/>
      <c r="L2024" s="366" t="s">
        <v>1802</v>
      </c>
    </row>
    <row r="2025" spans="1:12" ht="21" customHeight="1" x14ac:dyDescent="0.25">
      <c r="A2025" s="181" t="s">
        <v>2336</v>
      </c>
      <c r="B2025" s="509" t="s">
        <v>2337</v>
      </c>
      <c r="C2025" s="509"/>
      <c r="D2025" s="481" t="s">
        <v>82</v>
      </c>
      <c r="E2025" s="481"/>
      <c r="F2025" s="481"/>
      <c r="G2025" s="231" t="s">
        <v>1024</v>
      </c>
      <c r="H2025" s="510">
        <v>1</v>
      </c>
      <c r="I2025" s="510"/>
      <c r="J2025" s="511">
        <v>7.63</v>
      </c>
      <c r="K2025" s="511"/>
      <c r="L2025" s="367">
        <f t="shared" ref="L2025:L2030" si="32">TRUNC(TRUNC(H2025,8)*J2025,2)</f>
        <v>7.63</v>
      </c>
    </row>
    <row r="2026" spans="1:12" ht="21" customHeight="1" x14ac:dyDescent="0.25">
      <c r="A2026" s="181" t="s">
        <v>2338</v>
      </c>
      <c r="B2026" s="509" t="s">
        <v>2339</v>
      </c>
      <c r="C2026" s="509"/>
      <c r="D2026" s="481" t="s">
        <v>82</v>
      </c>
      <c r="E2026" s="481"/>
      <c r="F2026" s="481"/>
      <c r="G2026" s="231" t="s">
        <v>1024</v>
      </c>
      <c r="H2026" s="510">
        <v>1</v>
      </c>
      <c r="I2026" s="510"/>
      <c r="J2026" s="511">
        <v>1.28</v>
      </c>
      <c r="K2026" s="511"/>
      <c r="L2026" s="367">
        <f t="shared" si="32"/>
        <v>1.28</v>
      </c>
    </row>
    <row r="2027" spans="1:12" ht="21" customHeight="1" x14ac:dyDescent="0.25">
      <c r="A2027" s="181" t="s">
        <v>2340</v>
      </c>
      <c r="B2027" s="509" t="s">
        <v>2341</v>
      </c>
      <c r="C2027" s="509"/>
      <c r="D2027" s="481" t="s">
        <v>82</v>
      </c>
      <c r="E2027" s="481"/>
      <c r="F2027" s="481"/>
      <c r="G2027" s="231" t="s">
        <v>1024</v>
      </c>
      <c r="H2027" s="510">
        <v>1</v>
      </c>
      <c r="I2027" s="510"/>
      <c r="J2027" s="511">
        <v>1.62</v>
      </c>
      <c r="K2027" s="511"/>
      <c r="L2027" s="367">
        <f t="shared" si="32"/>
        <v>1.62</v>
      </c>
    </row>
    <row r="2028" spans="1:12" ht="21" customHeight="1" x14ac:dyDescent="0.25">
      <c r="A2028" s="181" t="s">
        <v>2342</v>
      </c>
      <c r="B2028" s="509" t="s">
        <v>2343</v>
      </c>
      <c r="C2028" s="509"/>
      <c r="D2028" s="481" t="s">
        <v>82</v>
      </c>
      <c r="E2028" s="481"/>
      <c r="F2028" s="481"/>
      <c r="G2028" s="231" t="s">
        <v>1024</v>
      </c>
      <c r="H2028" s="510">
        <v>1</v>
      </c>
      <c r="I2028" s="510"/>
      <c r="J2028" s="511">
        <v>0.68</v>
      </c>
      <c r="K2028" s="511"/>
      <c r="L2028" s="367">
        <f t="shared" si="32"/>
        <v>0.68</v>
      </c>
    </row>
    <row r="2029" spans="1:12" ht="21" customHeight="1" x14ac:dyDescent="0.25">
      <c r="A2029" s="181" t="s">
        <v>2344</v>
      </c>
      <c r="B2029" s="509" t="s">
        <v>2345</v>
      </c>
      <c r="C2029" s="509"/>
      <c r="D2029" s="481" t="s">
        <v>82</v>
      </c>
      <c r="E2029" s="481"/>
      <c r="F2029" s="481"/>
      <c r="G2029" s="231" t="s">
        <v>1024</v>
      </c>
      <c r="H2029" s="510">
        <v>1</v>
      </c>
      <c r="I2029" s="510"/>
      <c r="J2029" s="511">
        <v>0.11</v>
      </c>
      <c r="K2029" s="511"/>
      <c r="L2029" s="367">
        <f t="shared" si="32"/>
        <v>0.11</v>
      </c>
    </row>
    <row r="2030" spans="1:12" ht="21" customHeight="1" x14ac:dyDescent="0.25">
      <c r="A2030" s="181" t="s">
        <v>2346</v>
      </c>
      <c r="B2030" s="509" t="s">
        <v>2347</v>
      </c>
      <c r="C2030" s="509"/>
      <c r="D2030" s="481" t="s">
        <v>82</v>
      </c>
      <c r="E2030" s="481"/>
      <c r="F2030" s="481"/>
      <c r="G2030" s="231" t="s">
        <v>1024</v>
      </c>
      <c r="H2030" s="510">
        <v>1</v>
      </c>
      <c r="I2030" s="510"/>
      <c r="J2030" s="511">
        <v>0.66</v>
      </c>
      <c r="K2030" s="511"/>
      <c r="L2030" s="367">
        <f t="shared" si="32"/>
        <v>0.66</v>
      </c>
    </row>
    <row r="2031" spans="1:12" ht="15" customHeight="1" x14ac:dyDescent="0.25">
      <c r="A2031" s="182"/>
      <c r="B2031" s="183"/>
      <c r="C2031" s="183"/>
      <c r="D2031" s="183"/>
      <c r="E2031" s="183"/>
      <c r="F2031" s="183"/>
      <c r="G2031" s="183"/>
      <c r="H2031" s="477" t="s">
        <v>1938</v>
      </c>
      <c r="I2031" s="477"/>
      <c r="J2031" s="477"/>
      <c r="K2031" s="477"/>
      <c r="L2031" s="368">
        <f>SUM(L2025:L2030)</f>
        <v>11.98</v>
      </c>
    </row>
    <row r="2032" spans="1:12" ht="15" customHeight="1" x14ac:dyDescent="0.25">
      <c r="A2032" s="474" t="s">
        <v>1827</v>
      </c>
      <c r="B2032" s="475"/>
      <c r="C2032" s="475"/>
      <c r="D2032" s="476" t="s">
        <v>42</v>
      </c>
      <c r="E2032" s="476"/>
      <c r="F2032" s="476"/>
      <c r="G2032" s="230" t="s">
        <v>44</v>
      </c>
      <c r="H2032" s="476" t="s">
        <v>1813</v>
      </c>
      <c r="I2032" s="476"/>
      <c r="J2032" s="476" t="s">
        <v>1814</v>
      </c>
      <c r="K2032" s="476"/>
      <c r="L2032" s="366" t="s">
        <v>1802</v>
      </c>
    </row>
    <row r="2033" spans="1:12" ht="15" customHeight="1" x14ac:dyDescent="0.25">
      <c r="A2033" s="181" t="s">
        <v>2638</v>
      </c>
      <c r="B2033" s="509" t="s">
        <v>2639</v>
      </c>
      <c r="C2033" s="509"/>
      <c r="D2033" s="481" t="s">
        <v>82</v>
      </c>
      <c r="E2033" s="481"/>
      <c r="F2033" s="481"/>
      <c r="G2033" s="231" t="s">
        <v>1024</v>
      </c>
      <c r="H2033" s="510">
        <v>1</v>
      </c>
      <c r="I2033" s="510"/>
      <c r="J2033" s="511">
        <v>19.77</v>
      </c>
      <c r="K2033" s="511"/>
      <c r="L2033" s="367">
        <f>TRUNC(TRUNC(H2033,8)*J2033,2)</f>
        <v>19.77</v>
      </c>
    </row>
    <row r="2034" spans="1:12" ht="15" customHeight="1" x14ac:dyDescent="0.25">
      <c r="A2034" s="182"/>
      <c r="B2034" s="183"/>
      <c r="C2034" s="183"/>
      <c r="D2034" s="183"/>
      <c r="E2034" s="183"/>
      <c r="F2034" s="183"/>
      <c r="G2034" s="183"/>
      <c r="H2034" s="477" t="s">
        <v>1832</v>
      </c>
      <c r="I2034" s="477"/>
      <c r="J2034" s="477"/>
      <c r="K2034" s="477"/>
      <c r="L2034" s="368">
        <f>SUM(L2033:L2033)</f>
        <v>19.77</v>
      </c>
    </row>
    <row r="2035" spans="1:12" ht="15" customHeight="1" x14ac:dyDescent="0.25">
      <c r="A2035" s="474" t="s">
        <v>1912</v>
      </c>
      <c r="B2035" s="475"/>
      <c r="C2035" s="475"/>
      <c r="D2035" s="476" t="s">
        <v>42</v>
      </c>
      <c r="E2035" s="476"/>
      <c r="F2035" s="476"/>
      <c r="G2035" s="230" t="s">
        <v>44</v>
      </c>
      <c r="H2035" s="476" t="s">
        <v>1813</v>
      </c>
      <c r="I2035" s="476"/>
      <c r="J2035" s="476" t="s">
        <v>1814</v>
      </c>
      <c r="K2035" s="476"/>
      <c r="L2035" s="366" t="s">
        <v>1802</v>
      </c>
    </row>
    <row r="2036" spans="1:12" ht="21" customHeight="1" x14ac:dyDescent="0.25">
      <c r="A2036" s="181" t="s">
        <v>3128</v>
      </c>
      <c r="B2036" s="509" t="s">
        <v>3129</v>
      </c>
      <c r="C2036" s="509"/>
      <c r="D2036" s="481" t="s">
        <v>82</v>
      </c>
      <c r="E2036" s="481"/>
      <c r="F2036" s="481"/>
      <c r="G2036" s="231" t="s">
        <v>1024</v>
      </c>
      <c r="H2036" s="510">
        <v>1</v>
      </c>
      <c r="I2036" s="510"/>
      <c r="J2036" s="511">
        <v>0.28999999999999998</v>
      </c>
      <c r="K2036" s="511"/>
      <c r="L2036" s="367">
        <f>TRUNC(TRUNC(H2036,8)*J2036,2)</f>
        <v>0.28999999999999998</v>
      </c>
    </row>
    <row r="2037" spans="1:12" ht="15" customHeight="1" x14ac:dyDescent="0.25">
      <c r="A2037" s="182"/>
      <c r="B2037" s="183"/>
      <c r="C2037" s="183"/>
      <c r="D2037" s="183"/>
      <c r="E2037" s="183"/>
      <c r="F2037" s="183"/>
      <c r="G2037" s="183"/>
      <c r="H2037" s="477" t="s">
        <v>1915</v>
      </c>
      <c r="I2037" s="477"/>
      <c r="J2037" s="477"/>
      <c r="K2037" s="477"/>
      <c r="L2037" s="368">
        <f>SUM(L2036:L2036)</f>
        <v>0.28999999999999998</v>
      </c>
    </row>
    <row r="2038" spans="1:12" ht="15" customHeight="1" x14ac:dyDescent="0.25">
      <c r="A2038" s="182"/>
      <c r="B2038" s="183"/>
      <c r="C2038" s="183"/>
      <c r="D2038" s="183"/>
      <c r="E2038" s="183"/>
      <c r="F2038" s="183"/>
      <c r="G2038" s="183"/>
      <c r="H2038" s="482" t="s">
        <v>1834</v>
      </c>
      <c r="I2038" s="482"/>
      <c r="J2038" s="482"/>
      <c r="K2038" s="482"/>
      <c r="L2038" s="369">
        <f>ROUND(SUM(L2031,L2034,L2037),2)</f>
        <v>32.04</v>
      </c>
    </row>
    <row r="2039" spans="1:12" ht="9.9499999999999993" customHeight="1" x14ac:dyDescent="0.25">
      <c r="A2039" s="182"/>
      <c r="B2039" s="183"/>
      <c r="C2039" s="183"/>
      <c r="D2039" s="183"/>
      <c r="E2039" s="183"/>
      <c r="F2039" s="183"/>
      <c r="G2039" s="183"/>
      <c r="H2039" s="485"/>
      <c r="I2039" s="485"/>
      <c r="J2039" s="485"/>
      <c r="K2039" s="485"/>
      <c r="L2039" s="512"/>
    </row>
    <row r="2040" spans="1:12" ht="20.100000000000001" customHeight="1" x14ac:dyDescent="0.25">
      <c r="A2040" s="486" t="s">
        <v>3130</v>
      </c>
      <c r="B2040" s="487"/>
      <c r="C2040" s="487"/>
      <c r="D2040" s="487"/>
      <c r="E2040" s="487"/>
      <c r="F2040" s="487"/>
      <c r="G2040" s="487"/>
      <c r="H2040" s="487"/>
      <c r="I2040" s="487"/>
      <c r="J2040" s="487"/>
      <c r="K2040" s="487"/>
      <c r="L2040" s="513"/>
    </row>
    <row r="2041" spans="1:12" ht="20.100000000000001" customHeight="1" x14ac:dyDescent="0.25">
      <c r="A2041" s="488" t="s">
        <v>1836</v>
      </c>
      <c r="B2041" s="489"/>
      <c r="C2041" s="489"/>
      <c r="D2041" s="489"/>
      <c r="E2041" s="489"/>
      <c r="F2041" s="489"/>
      <c r="G2041" s="233" t="s">
        <v>44</v>
      </c>
      <c r="H2041" s="515" t="s">
        <v>1837</v>
      </c>
      <c r="I2041" s="515"/>
      <c r="J2041" s="515" t="s">
        <v>1838</v>
      </c>
      <c r="K2041" s="515"/>
      <c r="L2041" s="169" t="s">
        <v>1839</v>
      </c>
    </row>
    <row r="2042" spans="1:12" ht="15" customHeight="1" x14ac:dyDescent="0.25">
      <c r="A2042" s="170" t="s">
        <v>1830</v>
      </c>
      <c r="B2042" s="490" t="s">
        <v>1831</v>
      </c>
      <c r="C2042" s="490"/>
      <c r="D2042" s="490"/>
      <c r="E2042" s="490"/>
      <c r="F2042" s="490"/>
      <c r="G2042" s="127" t="s">
        <v>1024</v>
      </c>
      <c r="H2042" s="524">
        <v>3.88</v>
      </c>
      <c r="I2042" s="524"/>
      <c r="J2042" s="517">
        <v>19.68</v>
      </c>
      <c r="K2042" s="517"/>
      <c r="L2042" s="370">
        <f>TRUNC(TRUNC(H2042,8)*J2042,2)</f>
        <v>76.349999999999994</v>
      </c>
    </row>
    <row r="2043" spans="1:12" ht="15" customHeight="1" x14ac:dyDescent="0.25">
      <c r="A2043" s="184"/>
      <c r="B2043" s="141"/>
      <c r="C2043" s="141"/>
      <c r="D2043" s="141"/>
      <c r="E2043" s="141"/>
      <c r="F2043" s="141"/>
      <c r="G2043" s="141"/>
      <c r="H2043" s="491" t="s">
        <v>1844</v>
      </c>
      <c r="I2043" s="491"/>
      <c r="J2043" s="491"/>
      <c r="K2043" s="491"/>
      <c r="L2043" s="369">
        <f>SUM(L2042:L2042)</f>
        <v>76.349999999999994</v>
      </c>
    </row>
    <row r="2044" spans="1:12" ht="15" customHeight="1" x14ac:dyDescent="0.25">
      <c r="A2044" s="182"/>
      <c r="B2044" s="183"/>
      <c r="C2044" s="183"/>
      <c r="D2044" s="183"/>
      <c r="E2044" s="183"/>
      <c r="F2044" s="183"/>
      <c r="G2044" s="183"/>
      <c r="H2044" s="482" t="s">
        <v>1845</v>
      </c>
      <c r="I2044" s="482"/>
      <c r="J2044" s="482"/>
      <c r="K2044" s="482"/>
      <c r="L2044" s="371">
        <f>SUM(L2043)</f>
        <v>76.349999999999994</v>
      </c>
    </row>
    <row r="2045" spans="1:12" ht="15" customHeight="1" x14ac:dyDescent="0.25">
      <c r="A2045" s="182"/>
      <c r="B2045" s="183"/>
      <c r="C2045" s="183"/>
      <c r="D2045" s="183"/>
      <c r="E2045" s="183"/>
      <c r="F2045" s="183"/>
      <c r="G2045" s="183"/>
      <c r="H2045" s="482" t="s">
        <v>1846</v>
      </c>
      <c r="I2045" s="482"/>
      <c r="J2045" s="482"/>
      <c r="K2045" s="482"/>
      <c r="L2045" s="374">
        <v>1</v>
      </c>
    </row>
    <row r="2046" spans="1:12" ht="15" customHeight="1" x14ac:dyDescent="0.25">
      <c r="A2046" s="182"/>
      <c r="B2046" s="183"/>
      <c r="C2046" s="183"/>
      <c r="D2046" s="183"/>
      <c r="E2046" s="183"/>
      <c r="F2046" s="183"/>
      <c r="G2046" s="183"/>
      <c r="H2046" s="482" t="s">
        <v>1847</v>
      </c>
      <c r="I2046" s="482"/>
      <c r="J2046" s="482"/>
      <c r="K2046" s="482"/>
      <c r="L2046" s="371">
        <f>TRUNC(L2044/L2045,4)</f>
        <v>76.349999999999994</v>
      </c>
    </row>
    <row r="2047" spans="1:12" ht="20.100000000000001" customHeight="1" x14ac:dyDescent="0.25">
      <c r="A2047" s="488" t="s">
        <v>1880</v>
      </c>
      <c r="B2047" s="489"/>
      <c r="C2047" s="489"/>
      <c r="D2047" s="489"/>
      <c r="E2047" s="489"/>
      <c r="F2047" s="489"/>
      <c r="G2047" s="233" t="s">
        <v>44</v>
      </c>
      <c r="H2047" s="515" t="s">
        <v>1837</v>
      </c>
      <c r="I2047" s="515"/>
      <c r="J2047" s="515" t="s">
        <v>1881</v>
      </c>
      <c r="K2047" s="515"/>
      <c r="L2047" s="169" t="s">
        <v>1882</v>
      </c>
    </row>
    <row r="2048" spans="1:12" ht="15" customHeight="1" x14ac:dyDescent="0.25">
      <c r="A2048" s="170" t="s">
        <v>2170</v>
      </c>
      <c r="B2048" s="492" t="s">
        <v>2171</v>
      </c>
      <c r="C2048" s="492"/>
      <c r="D2048" s="492"/>
      <c r="E2048" s="492"/>
      <c r="F2048" s="492"/>
      <c r="G2048" s="127" t="s">
        <v>85</v>
      </c>
      <c r="H2048" s="524">
        <v>1.22</v>
      </c>
      <c r="I2048" s="524"/>
      <c r="J2048" s="525">
        <v>152</v>
      </c>
      <c r="K2048" s="525"/>
      <c r="L2048" s="171">
        <f>TRUNC(TRUNC(H2048,8)*J2048,2)</f>
        <v>185.44</v>
      </c>
    </row>
    <row r="2049" spans="1:12" ht="15" customHeight="1" x14ac:dyDescent="0.25">
      <c r="A2049" s="170" t="s">
        <v>3131</v>
      </c>
      <c r="B2049" s="492" t="s">
        <v>3132</v>
      </c>
      <c r="C2049" s="492"/>
      <c r="D2049" s="492"/>
      <c r="E2049" s="492"/>
      <c r="F2049" s="492"/>
      <c r="G2049" s="127" t="s">
        <v>1817</v>
      </c>
      <c r="H2049" s="524">
        <v>46</v>
      </c>
      <c r="I2049" s="524"/>
      <c r="J2049" s="525">
        <v>1.08</v>
      </c>
      <c r="K2049" s="525"/>
      <c r="L2049" s="171">
        <f>TRUNC(TRUNC(H2049,8)*J2049,2)</f>
        <v>49.68</v>
      </c>
    </row>
    <row r="2050" spans="1:12" ht="15" customHeight="1" x14ac:dyDescent="0.25">
      <c r="A2050" s="170" t="s">
        <v>2263</v>
      </c>
      <c r="B2050" s="492" t="s">
        <v>2264</v>
      </c>
      <c r="C2050" s="492"/>
      <c r="D2050" s="492"/>
      <c r="E2050" s="492"/>
      <c r="F2050" s="492"/>
      <c r="G2050" s="127" t="s">
        <v>1817</v>
      </c>
      <c r="H2050" s="524">
        <v>182</v>
      </c>
      <c r="I2050" s="524"/>
      <c r="J2050" s="525">
        <v>0.56999999999999995</v>
      </c>
      <c r="K2050" s="525"/>
      <c r="L2050" s="171">
        <f>TRUNC(TRUNC(H2050,8)*J2050,2)</f>
        <v>103.74</v>
      </c>
    </row>
    <row r="2051" spans="1:12" ht="15" customHeight="1" x14ac:dyDescent="0.25">
      <c r="A2051" s="184"/>
      <c r="B2051" s="141"/>
      <c r="C2051" s="141"/>
      <c r="D2051" s="141"/>
      <c r="E2051" s="141"/>
      <c r="F2051" s="141"/>
      <c r="G2051" s="141"/>
      <c r="H2051" s="491" t="s">
        <v>1889</v>
      </c>
      <c r="I2051" s="491"/>
      <c r="J2051" s="491"/>
      <c r="K2051" s="491"/>
      <c r="L2051" s="375">
        <f>SUM(L2048:L2050)</f>
        <v>338.86</v>
      </c>
    </row>
    <row r="2052" spans="1:12" ht="20.100000000000001" customHeight="1" x14ac:dyDescent="0.25">
      <c r="A2052" s="488" t="s">
        <v>2009</v>
      </c>
      <c r="B2052" s="489"/>
      <c r="C2052" s="489"/>
      <c r="D2052" s="489"/>
      <c r="E2052" s="489"/>
      <c r="F2052" s="489"/>
      <c r="G2052" s="233" t="s">
        <v>44</v>
      </c>
      <c r="H2052" s="515" t="s">
        <v>1837</v>
      </c>
      <c r="I2052" s="515"/>
      <c r="J2052" s="515" t="s">
        <v>1814</v>
      </c>
      <c r="K2052" s="515"/>
      <c r="L2052" s="169" t="s">
        <v>1882</v>
      </c>
    </row>
    <row r="2053" spans="1:12" ht="15.95" customHeight="1" x14ac:dyDescent="0.25">
      <c r="A2053" s="170" t="s">
        <v>3133</v>
      </c>
      <c r="B2053" s="492" t="s">
        <v>3134</v>
      </c>
      <c r="C2053" s="492"/>
      <c r="D2053" s="492"/>
      <c r="E2053" s="492"/>
      <c r="F2053" s="492"/>
      <c r="G2053" s="127"/>
      <c r="H2053" s="526">
        <v>0.9</v>
      </c>
      <c r="I2053" s="526"/>
      <c r="J2053" s="525">
        <v>1.89</v>
      </c>
      <c r="K2053" s="525"/>
      <c r="L2053" s="171">
        <f>TRUNC(TRUNC(H2053,8)*J2053,2)</f>
        <v>1.7</v>
      </c>
    </row>
    <row r="2054" spans="1:12" ht="15" customHeight="1" x14ac:dyDescent="0.25">
      <c r="A2054" s="184"/>
      <c r="B2054" s="141"/>
      <c r="C2054" s="141"/>
      <c r="D2054" s="141"/>
      <c r="E2054" s="141"/>
      <c r="F2054" s="141"/>
      <c r="G2054" s="141"/>
      <c r="H2054" s="491" t="s">
        <v>2014</v>
      </c>
      <c r="I2054" s="491"/>
      <c r="J2054" s="491"/>
      <c r="K2054" s="491"/>
      <c r="L2054" s="375">
        <f>SUM(L2053:L2053)</f>
        <v>1.7</v>
      </c>
    </row>
    <row r="2055" spans="1:12" ht="15" customHeight="1" x14ac:dyDescent="0.25">
      <c r="A2055" s="182"/>
      <c r="B2055" s="183"/>
      <c r="C2055" s="183"/>
      <c r="D2055" s="183"/>
      <c r="E2055" s="183"/>
      <c r="F2055" s="183"/>
      <c r="G2055" s="183"/>
      <c r="H2055" s="482" t="s">
        <v>1848</v>
      </c>
      <c r="I2055" s="482"/>
      <c r="J2055" s="482"/>
      <c r="K2055" s="482"/>
      <c r="L2055" s="371">
        <f>SUM(L2046,L2051,L2054)</f>
        <v>416.91</v>
      </c>
    </row>
    <row r="2056" spans="1:12" ht="15" customHeight="1" x14ac:dyDescent="0.25">
      <c r="A2056" s="182"/>
      <c r="B2056" s="183"/>
      <c r="C2056" s="183"/>
      <c r="D2056" s="183"/>
      <c r="E2056" s="183"/>
      <c r="F2056" s="183"/>
      <c r="G2056" s="183"/>
      <c r="H2056" s="482" t="s">
        <v>1834</v>
      </c>
      <c r="I2056" s="482"/>
      <c r="J2056" s="482"/>
      <c r="K2056" s="482"/>
      <c r="L2056" s="369">
        <f>ROUND(SUM(L2055),2)</f>
        <v>416.91</v>
      </c>
    </row>
    <row r="2057" spans="1:12" ht="9.9499999999999993" customHeight="1" x14ac:dyDescent="0.25">
      <c r="A2057" s="182"/>
      <c r="B2057" s="183"/>
      <c r="C2057" s="183"/>
      <c r="D2057" s="183"/>
      <c r="E2057" s="183"/>
      <c r="F2057" s="183"/>
      <c r="G2057" s="183"/>
      <c r="H2057" s="485"/>
      <c r="I2057" s="485"/>
      <c r="J2057" s="485"/>
      <c r="K2057" s="485"/>
      <c r="L2057" s="512"/>
    </row>
    <row r="2058" spans="1:12" ht="20.100000000000001" customHeight="1" x14ac:dyDescent="0.25">
      <c r="A2058" s="486" t="s">
        <v>3135</v>
      </c>
      <c r="B2058" s="487"/>
      <c r="C2058" s="487"/>
      <c r="D2058" s="487"/>
      <c r="E2058" s="487"/>
      <c r="F2058" s="487"/>
      <c r="G2058" s="487"/>
      <c r="H2058" s="487"/>
      <c r="I2058" s="487"/>
      <c r="J2058" s="487"/>
      <c r="K2058" s="487"/>
      <c r="L2058" s="513"/>
    </row>
    <row r="2059" spans="1:12" ht="20.100000000000001" customHeight="1" x14ac:dyDescent="0.25">
      <c r="A2059" s="488" t="s">
        <v>1836</v>
      </c>
      <c r="B2059" s="489"/>
      <c r="C2059" s="489"/>
      <c r="D2059" s="489"/>
      <c r="E2059" s="489"/>
      <c r="F2059" s="489"/>
      <c r="G2059" s="233" t="s">
        <v>44</v>
      </c>
      <c r="H2059" s="515" t="s">
        <v>1837</v>
      </c>
      <c r="I2059" s="515"/>
      <c r="J2059" s="515" t="s">
        <v>1838</v>
      </c>
      <c r="K2059" s="515"/>
      <c r="L2059" s="169" t="s">
        <v>1839</v>
      </c>
    </row>
    <row r="2060" spans="1:12" ht="15" customHeight="1" x14ac:dyDescent="0.25">
      <c r="A2060" s="170" t="s">
        <v>1851</v>
      </c>
      <c r="B2060" s="490" t="s">
        <v>1852</v>
      </c>
      <c r="C2060" s="490"/>
      <c r="D2060" s="490"/>
      <c r="E2060" s="490"/>
      <c r="F2060" s="490"/>
      <c r="G2060" s="127" t="s">
        <v>1024</v>
      </c>
      <c r="H2060" s="524">
        <v>3.3</v>
      </c>
      <c r="I2060" s="524"/>
      <c r="J2060" s="517">
        <v>26.03</v>
      </c>
      <c r="K2060" s="517"/>
      <c r="L2060" s="370">
        <f>TRUNC(TRUNC(H2060,8)*J2060,2)</f>
        <v>85.89</v>
      </c>
    </row>
    <row r="2061" spans="1:12" ht="15" customHeight="1" x14ac:dyDescent="0.25">
      <c r="A2061" s="170" t="s">
        <v>1830</v>
      </c>
      <c r="B2061" s="490" t="s">
        <v>1831</v>
      </c>
      <c r="C2061" s="490"/>
      <c r="D2061" s="490"/>
      <c r="E2061" s="490"/>
      <c r="F2061" s="490"/>
      <c r="G2061" s="127" t="s">
        <v>1024</v>
      </c>
      <c r="H2061" s="524">
        <v>0.79</v>
      </c>
      <c r="I2061" s="524"/>
      <c r="J2061" s="517">
        <v>19.68</v>
      </c>
      <c r="K2061" s="517"/>
      <c r="L2061" s="370">
        <f>TRUNC(TRUNC(H2061,8)*J2061,2)</f>
        <v>15.54</v>
      </c>
    </row>
    <row r="2062" spans="1:12" ht="15" customHeight="1" x14ac:dyDescent="0.25">
      <c r="A2062" s="184"/>
      <c r="B2062" s="141"/>
      <c r="C2062" s="141"/>
      <c r="D2062" s="141"/>
      <c r="E2062" s="141"/>
      <c r="F2062" s="141"/>
      <c r="G2062" s="141"/>
      <c r="H2062" s="491" t="s">
        <v>1844</v>
      </c>
      <c r="I2062" s="491"/>
      <c r="J2062" s="491"/>
      <c r="K2062" s="491"/>
      <c r="L2062" s="369">
        <f>SUM(L2060:L2061)</f>
        <v>101.43</v>
      </c>
    </row>
    <row r="2063" spans="1:12" ht="15" customHeight="1" x14ac:dyDescent="0.25">
      <c r="A2063" s="182"/>
      <c r="B2063" s="183"/>
      <c r="C2063" s="183"/>
      <c r="D2063" s="183"/>
      <c r="E2063" s="183"/>
      <c r="F2063" s="183"/>
      <c r="G2063" s="183"/>
      <c r="H2063" s="482" t="s">
        <v>1845</v>
      </c>
      <c r="I2063" s="482"/>
      <c r="J2063" s="482"/>
      <c r="K2063" s="482"/>
      <c r="L2063" s="371">
        <f>SUM(L2062)</f>
        <v>101.43</v>
      </c>
    </row>
    <row r="2064" spans="1:12" ht="15" customHeight="1" x14ac:dyDescent="0.25">
      <c r="A2064" s="182"/>
      <c r="B2064" s="183"/>
      <c r="C2064" s="183"/>
      <c r="D2064" s="183"/>
      <c r="E2064" s="183"/>
      <c r="F2064" s="183"/>
      <c r="G2064" s="183"/>
      <c r="H2064" s="482" t="s">
        <v>1846</v>
      </c>
      <c r="I2064" s="482"/>
      <c r="J2064" s="482"/>
      <c r="K2064" s="482"/>
      <c r="L2064" s="374">
        <v>1</v>
      </c>
    </row>
    <row r="2065" spans="1:12" ht="15" customHeight="1" x14ac:dyDescent="0.25">
      <c r="A2065" s="182"/>
      <c r="B2065" s="183"/>
      <c r="C2065" s="183"/>
      <c r="D2065" s="183"/>
      <c r="E2065" s="183"/>
      <c r="F2065" s="183"/>
      <c r="G2065" s="183"/>
      <c r="H2065" s="482" t="s">
        <v>1847</v>
      </c>
      <c r="I2065" s="482"/>
      <c r="J2065" s="482"/>
      <c r="K2065" s="482"/>
      <c r="L2065" s="371">
        <f>TRUNC(L2063/L2064,4)</f>
        <v>101.43</v>
      </c>
    </row>
    <row r="2066" spans="1:12" ht="20.100000000000001" customHeight="1" x14ac:dyDescent="0.25">
      <c r="A2066" s="488" t="s">
        <v>1880</v>
      </c>
      <c r="B2066" s="489"/>
      <c r="C2066" s="489"/>
      <c r="D2066" s="489"/>
      <c r="E2066" s="489"/>
      <c r="F2066" s="489"/>
      <c r="G2066" s="233" t="s">
        <v>44</v>
      </c>
      <c r="H2066" s="515" t="s">
        <v>1837</v>
      </c>
      <c r="I2066" s="515"/>
      <c r="J2066" s="515" t="s">
        <v>1881</v>
      </c>
      <c r="K2066" s="515"/>
      <c r="L2066" s="169" t="s">
        <v>1882</v>
      </c>
    </row>
    <row r="2067" spans="1:12" ht="15" customHeight="1" x14ac:dyDescent="0.25">
      <c r="A2067" s="170" t="s">
        <v>2170</v>
      </c>
      <c r="B2067" s="492" t="s">
        <v>2171</v>
      </c>
      <c r="C2067" s="492"/>
      <c r="D2067" s="492"/>
      <c r="E2067" s="492"/>
      <c r="F2067" s="492"/>
      <c r="G2067" s="127" t="s">
        <v>85</v>
      </c>
      <c r="H2067" s="524">
        <v>1.27</v>
      </c>
      <c r="I2067" s="524"/>
      <c r="J2067" s="525">
        <v>152</v>
      </c>
      <c r="K2067" s="525"/>
      <c r="L2067" s="171">
        <f>TRUNC(TRUNC(H2067,8)*J2067,2)</f>
        <v>193.04</v>
      </c>
    </row>
    <row r="2068" spans="1:12" ht="15" customHeight="1" x14ac:dyDescent="0.25">
      <c r="A2068" s="170" t="s">
        <v>2263</v>
      </c>
      <c r="B2068" s="492" t="s">
        <v>2264</v>
      </c>
      <c r="C2068" s="492"/>
      <c r="D2068" s="492"/>
      <c r="E2068" s="492"/>
      <c r="F2068" s="492"/>
      <c r="G2068" s="127" t="s">
        <v>1817</v>
      </c>
      <c r="H2068" s="524">
        <v>273.44</v>
      </c>
      <c r="I2068" s="524"/>
      <c r="J2068" s="525">
        <v>0.56999999999999995</v>
      </c>
      <c r="K2068" s="525"/>
      <c r="L2068" s="171">
        <f>TRUNC(TRUNC(H2068,8)*J2068,2)</f>
        <v>155.86000000000001</v>
      </c>
    </row>
    <row r="2069" spans="1:12" ht="15" customHeight="1" x14ac:dyDescent="0.25">
      <c r="A2069" s="184"/>
      <c r="B2069" s="141"/>
      <c r="C2069" s="141"/>
      <c r="D2069" s="141"/>
      <c r="E2069" s="141"/>
      <c r="F2069" s="141"/>
      <c r="G2069" s="141"/>
      <c r="H2069" s="491" t="s">
        <v>1889</v>
      </c>
      <c r="I2069" s="491"/>
      <c r="J2069" s="491"/>
      <c r="K2069" s="491"/>
      <c r="L2069" s="375">
        <f>SUM(L2067:L2068)</f>
        <v>348.9</v>
      </c>
    </row>
    <row r="2070" spans="1:12" ht="20.100000000000001" customHeight="1" x14ac:dyDescent="0.25">
      <c r="A2070" s="488" t="s">
        <v>2009</v>
      </c>
      <c r="B2070" s="489"/>
      <c r="C2070" s="489"/>
      <c r="D2070" s="489"/>
      <c r="E2070" s="489"/>
      <c r="F2070" s="489"/>
      <c r="G2070" s="233" t="s">
        <v>44</v>
      </c>
      <c r="H2070" s="515" t="s">
        <v>1837</v>
      </c>
      <c r="I2070" s="515"/>
      <c r="J2070" s="515" t="s">
        <v>1814</v>
      </c>
      <c r="K2070" s="515"/>
      <c r="L2070" s="169" t="s">
        <v>1882</v>
      </c>
    </row>
    <row r="2071" spans="1:12" ht="15.95" customHeight="1" x14ac:dyDescent="0.25">
      <c r="A2071" s="170" t="s">
        <v>3136</v>
      </c>
      <c r="B2071" s="492" t="s">
        <v>3137</v>
      </c>
      <c r="C2071" s="492"/>
      <c r="D2071" s="492"/>
      <c r="E2071" s="492"/>
      <c r="F2071" s="492"/>
      <c r="G2071" s="127"/>
      <c r="H2071" s="526">
        <v>2.5299999999999998</v>
      </c>
      <c r="I2071" s="526"/>
      <c r="J2071" s="525">
        <v>0.37</v>
      </c>
      <c r="K2071" s="525"/>
      <c r="L2071" s="171">
        <f>TRUNC(TRUNC(H2071,8)*J2071,2)</f>
        <v>0.93</v>
      </c>
    </row>
    <row r="2072" spans="1:12" ht="15.95" customHeight="1" x14ac:dyDescent="0.25">
      <c r="A2072" s="170" t="s">
        <v>3133</v>
      </c>
      <c r="B2072" s="492" t="s">
        <v>3134</v>
      </c>
      <c r="C2072" s="492"/>
      <c r="D2072" s="492"/>
      <c r="E2072" s="492"/>
      <c r="F2072" s="492"/>
      <c r="G2072" s="127"/>
      <c r="H2072" s="526">
        <v>0.77</v>
      </c>
      <c r="I2072" s="526"/>
      <c r="J2072" s="525">
        <v>1.89</v>
      </c>
      <c r="K2072" s="525"/>
      <c r="L2072" s="171">
        <f>TRUNC(TRUNC(H2072,8)*J2072,2)</f>
        <v>1.45</v>
      </c>
    </row>
    <row r="2073" spans="1:12" ht="15" customHeight="1" x14ac:dyDescent="0.25">
      <c r="A2073" s="184"/>
      <c r="B2073" s="141"/>
      <c r="C2073" s="141"/>
      <c r="D2073" s="141"/>
      <c r="E2073" s="141"/>
      <c r="F2073" s="141"/>
      <c r="G2073" s="141"/>
      <c r="H2073" s="491" t="s">
        <v>2014</v>
      </c>
      <c r="I2073" s="491"/>
      <c r="J2073" s="491"/>
      <c r="K2073" s="491"/>
      <c r="L2073" s="375">
        <f>SUM(L2071:L2072)</f>
        <v>2.38</v>
      </c>
    </row>
    <row r="2074" spans="1:12" ht="15" customHeight="1" x14ac:dyDescent="0.25">
      <c r="A2074" s="182"/>
      <c r="B2074" s="183"/>
      <c r="C2074" s="183"/>
      <c r="D2074" s="183"/>
      <c r="E2074" s="183"/>
      <c r="F2074" s="183"/>
      <c r="G2074" s="183"/>
      <c r="H2074" s="482" t="s">
        <v>1848</v>
      </c>
      <c r="I2074" s="482"/>
      <c r="J2074" s="482"/>
      <c r="K2074" s="482"/>
      <c r="L2074" s="371">
        <f>SUM(L2065,L2069,L2073)</f>
        <v>452.71</v>
      </c>
    </row>
    <row r="2075" spans="1:12" ht="15" customHeight="1" x14ac:dyDescent="0.25">
      <c r="A2075" s="182"/>
      <c r="B2075" s="183"/>
      <c r="C2075" s="183"/>
      <c r="D2075" s="183"/>
      <c r="E2075" s="183"/>
      <c r="F2075" s="183"/>
      <c r="G2075" s="183"/>
      <c r="H2075" s="482" t="s">
        <v>1834</v>
      </c>
      <c r="I2075" s="482"/>
      <c r="J2075" s="482"/>
      <c r="K2075" s="482"/>
      <c r="L2075" s="369">
        <f>ROUND(SUM(L2074),2)</f>
        <v>452.71</v>
      </c>
    </row>
    <row r="2076" spans="1:12" ht="9.9499999999999993" customHeight="1" x14ac:dyDescent="0.25">
      <c r="A2076" s="182"/>
      <c r="B2076" s="183"/>
      <c r="C2076" s="183"/>
      <c r="D2076" s="183"/>
      <c r="E2076" s="183"/>
      <c r="F2076" s="183"/>
      <c r="G2076" s="183"/>
      <c r="H2076" s="485"/>
      <c r="I2076" s="485"/>
      <c r="J2076" s="485"/>
      <c r="K2076" s="485"/>
      <c r="L2076" s="512"/>
    </row>
    <row r="2077" spans="1:12" ht="20.100000000000001" customHeight="1" x14ac:dyDescent="0.25">
      <c r="A2077" s="486" t="s">
        <v>3138</v>
      </c>
      <c r="B2077" s="487"/>
      <c r="C2077" s="487"/>
      <c r="D2077" s="487"/>
      <c r="E2077" s="487"/>
      <c r="F2077" s="487"/>
      <c r="G2077" s="487"/>
      <c r="H2077" s="487"/>
      <c r="I2077" s="487"/>
      <c r="J2077" s="487"/>
      <c r="K2077" s="487"/>
      <c r="L2077" s="513"/>
    </row>
    <row r="2078" spans="1:12" ht="20.100000000000001" customHeight="1" x14ac:dyDescent="0.25">
      <c r="A2078" s="488" t="s">
        <v>2009</v>
      </c>
      <c r="B2078" s="489"/>
      <c r="C2078" s="489"/>
      <c r="D2078" s="489"/>
      <c r="E2078" s="489"/>
      <c r="F2078" s="489"/>
      <c r="G2078" s="233" t="s">
        <v>44</v>
      </c>
      <c r="H2078" s="515" t="s">
        <v>1837</v>
      </c>
      <c r="I2078" s="515"/>
      <c r="J2078" s="515" t="s">
        <v>1814</v>
      </c>
      <c r="K2078" s="515"/>
      <c r="L2078" s="169" t="s">
        <v>1882</v>
      </c>
    </row>
    <row r="2079" spans="1:12" ht="15.95" customHeight="1" x14ac:dyDescent="0.25">
      <c r="A2079" s="170" t="s">
        <v>3139</v>
      </c>
      <c r="B2079" s="492" t="s">
        <v>3140</v>
      </c>
      <c r="C2079" s="492"/>
      <c r="D2079" s="492"/>
      <c r="E2079" s="492"/>
      <c r="F2079" s="492"/>
      <c r="G2079" s="127"/>
      <c r="H2079" s="526">
        <v>1</v>
      </c>
      <c r="I2079" s="526"/>
      <c r="J2079" s="525">
        <v>0.31</v>
      </c>
      <c r="K2079" s="525"/>
      <c r="L2079" s="171">
        <f>TRUNC(TRUNC(H2079,8)*J2079,2)</f>
        <v>0.31</v>
      </c>
    </row>
    <row r="2080" spans="1:12" ht="15.95" customHeight="1" x14ac:dyDescent="0.25">
      <c r="A2080" s="170" t="s">
        <v>3141</v>
      </c>
      <c r="B2080" s="492" t="s">
        <v>3142</v>
      </c>
      <c r="C2080" s="492"/>
      <c r="D2080" s="492"/>
      <c r="E2080" s="492"/>
      <c r="F2080" s="492"/>
      <c r="G2080" s="127"/>
      <c r="H2080" s="526">
        <v>1</v>
      </c>
      <c r="I2080" s="526"/>
      <c r="J2080" s="525">
        <v>0.06</v>
      </c>
      <c r="K2080" s="525"/>
      <c r="L2080" s="171">
        <f>TRUNC(TRUNC(H2080,8)*J2080,2)</f>
        <v>0.06</v>
      </c>
    </row>
    <row r="2081" spans="1:12" ht="15" customHeight="1" x14ac:dyDescent="0.25">
      <c r="A2081" s="184"/>
      <c r="B2081" s="141"/>
      <c r="C2081" s="141"/>
      <c r="D2081" s="141"/>
      <c r="E2081" s="141"/>
      <c r="F2081" s="141"/>
      <c r="G2081" s="141"/>
      <c r="H2081" s="491" t="s">
        <v>2014</v>
      </c>
      <c r="I2081" s="491"/>
      <c r="J2081" s="491"/>
      <c r="K2081" s="491"/>
      <c r="L2081" s="375">
        <f>SUM(L2079:L2080)</f>
        <v>0.37</v>
      </c>
    </row>
    <row r="2082" spans="1:12" ht="15" customHeight="1" x14ac:dyDescent="0.25">
      <c r="A2082" s="182"/>
      <c r="B2082" s="183"/>
      <c r="C2082" s="183"/>
      <c r="D2082" s="183"/>
      <c r="E2082" s="183"/>
      <c r="F2082" s="183"/>
      <c r="G2082" s="183"/>
      <c r="H2082" s="482" t="s">
        <v>1848</v>
      </c>
      <c r="I2082" s="482"/>
      <c r="J2082" s="482"/>
      <c r="K2082" s="482"/>
      <c r="L2082" s="371">
        <f>SUM(L2081)</f>
        <v>0.37</v>
      </c>
    </row>
    <row r="2083" spans="1:12" ht="15" customHeight="1" x14ac:dyDescent="0.25">
      <c r="A2083" s="182"/>
      <c r="B2083" s="183"/>
      <c r="C2083" s="183"/>
      <c r="D2083" s="183"/>
      <c r="E2083" s="183"/>
      <c r="F2083" s="183"/>
      <c r="G2083" s="183"/>
      <c r="H2083" s="482" t="s">
        <v>1834</v>
      </c>
      <c r="I2083" s="482"/>
      <c r="J2083" s="482"/>
      <c r="K2083" s="482"/>
      <c r="L2083" s="369">
        <f>ROUND(SUM(L2082),2)</f>
        <v>0.37</v>
      </c>
    </row>
    <row r="2084" spans="1:12" ht="9.9499999999999993" customHeight="1" x14ac:dyDescent="0.25">
      <c r="A2084" s="182"/>
      <c r="B2084" s="183"/>
      <c r="C2084" s="183"/>
      <c r="D2084" s="183"/>
      <c r="E2084" s="183"/>
      <c r="F2084" s="183"/>
      <c r="G2084" s="183"/>
      <c r="H2084" s="485"/>
      <c r="I2084" s="485"/>
      <c r="J2084" s="485"/>
      <c r="K2084" s="485"/>
      <c r="L2084" s="512"/>
    </row>
    <row r="2085" spans="1:12" ht="20.100000000000001" customHeight="1" x14ac:dyDescent="0.25">
      <c r="A2085" s="486" t="s">
        <v>3143</v>
      </c>
      <c r="B2085" s="487"/>
      <c r="C2085" s="487"/>
      <c r="D2085" s="487"/>
      <c r="E2085" s="487"/>
      <c r="F2085" s="487"/>
      <c r="G2085" s="487"/>
      <c r="H2085" s="487"/>
      <c r="I2085" s="487"/>
      <c r="J2085" s="487"/>
      <c r="K2085" s="487"/>
      <c r="L2085" s="513"/>
    </row>
    <row r="2086" spans="1:12" ht="20.100000000000001" customHeight="1" x14ac:dyDescent="0.25">
      <c r="A2086" s="488" t="s">
        <v>2009</v>
      </c>
      <c r="B2086" s="489"/>
      <c r="C2086" s="489"/>
      <c r="D2086" s="489"/>
      <c r="E2086" s="489"/>
      <c r="F2086" s="489"/>
      <c r="G2086" s="233" t="s">
        <v>44</v>
      </c>
      <c r="H2086" s="515" t="s">
        <v>1837</v>
      </c>
      <c r="I2086" s="515"/>
      <c r="J2086" s="515" t="s">
        <v>1814</v>
      </c>
      <c r="K2086" s="515"/>
      <c r="L2086" s="169" t="s">
        <v>1882</v>
      </c>
    </row>
    <row r="2087" spans="1:12" ht="15.95" customHeight="1" x14ac:dyDescent="0.25">
      <c r="A2087" s="170" t="s">
        <v>3139</v>
      </c>
      <c r="B2087" s="492" t="s">
        <v>3140</v>
      </c>
      <c r="C2087" s="492"/>
      <c r="D2087" s="492"/>
      <c r="E2087" s="492"/>
      <c r="F2087" s="492"/>
      <c r="G2087" s="127"/>
      <c r="H2087" s="526">
        <v>1</v>
      </c>
      <c r="I2087" s="526"/>
      <c r="J2087" s="525">
        <v>0.31</v>
      </c>
      <c r="K2087" s="525"/>
      <c r="L2087" s="171">
        <f>TRUNC(TRUNC(H2087,8)*J2087,2)</f>
        <v>0.31</v>
      </c>
    </row>
    <row r="2088" spans="1:12" ht="15.95" customHeight="1" x14ac:dyDescent="0.25">
      <c r="A2088" s="170" t="s">
        <v>3141</v>
      </c>
      <c r="B2088" s="492" t="s">
        <v>3142</v>
      </c>
      <c r="C2088" s="492"/>
      <c r="D2088" s="492"/>
      <c r="E2088" s="492"/>
      <c r="F2088" s="492"/>
      <c r="G2088" s="127"/>
      <c r="H2088" s="526">
        <v>1</v>
      </c>
      <c r="I2088" s="526"/>
      <c r="J2088" s="525">
        <v>0.06</v>
      </c>
      <c r="K2088" s="525"/>
      <c r="L2088" s="171">
        <f>TRUNC(TRUNC(H2088,8)*J2088,2)</f>
        <v>0.06</v>
      </c>
    </row>
    <row r="2089" spans="1:12" ht="15.95" customHeight="1" x14ac:dyDescent="0.25">
      <c r="A2089" s="170" t="s">
        <v>3144</v>
      </c>
      <c r="B2089" s="492" t="s">
        <v>3145</v>
      </c>
      <c r="C2089" s="492"/>
      <c r="D2089" s="492"/>
      <c r="E2089" s="492"/>
      <c r="F2089" s="492"/>
      <c r="G2089" s="127"/>
      <c r="H2089" s="526">
        <v>1</v>
      </c>
      <c r="I2089" s="526"/>
      <c r="J2089" s="525">
        <v>0.28999999999999998</v>
      </c>
      <c r="K2089" s="525"/>
      <c r="L2089" s="171">
        <f>TRUNC(TRUNC(H2089,8)*J2089,2)</f>
        <v>0.28999999999999998</v>
      </c>
    </row>
    <row r="2090" spans="1:12" ht="15.95" customHeight="1" x14ac:dyDescent="0.25">
      <c r="A2090" s="170" t="s">
        <v>3146</v>
      </c>
      <c r="B2090" s="492" t="s">
        <v>3147</v>
      </c>
      <c r="C2090" s="492"/>
      <c r="D2090" s="492"/>
      <c r="E2090" s="492"/>
      <c r="F2090" s="492"/>
      <c r="G2090" s="127"/>
      <c r="H2090" s="526">
        <v>1</v>
      </c>
      <c r="I2090" s="526"/>
      <c r="J2090" s="525">
        <v>1.23</v>
      </c>
      <c r="K2090" s="525"/>
      <c r="L2090" s="171">
        <f>TRUNC(TRUNC(H2090,8)*J2090,2)</f>
        <v>1.23</v>
      </c>
    </row>
    <row r="2091" spans="1:12" ht="15" customHeight="1" x14ac:dyDescent="0.25">
      <c r="A2091" s="184"/>
      <c r="B2091" s="141"/>
      <c r="C2091" s="141"/>
      <c r="D2091" s="141"/>
      <c r="E2091" s="141"/>
      <c r="F2091" s="141"/>
      <c r="G2091" s="141"/>
      <c r="H2091" s="491" t="s">
        <v>2014</v>
      </c>
      <c r="I2091" s="491"/>
      <c r="J2091" s="491"/>
      <c r="K2091" s="491"/>
      <c r="L2091" s="375">
        <f>SUM(L2087:L2090)</f>
        <v>1.89</v>
      </c>
    </row>
    <row r="2092" spans="1:12" ht="15" customHeight="1" x14ac:dyDescent="0.25">
      <c r="A2092" s="182"/>
      <c r="B2092" s="183"/>
      <c r="C2092" s="183"/>
      <c r="D2092" s="183"/>
      <c r="E2092" s="183"/>
      <c r="F2092" s="183"/>
      <c r="G2092" s="183"/>
      <c r="H2092" s="482" t="s">
        <v>1848</v>
      </c>
      <c r="I2092" s="482"/>
      <c r="J2092" s="482"/>
      <c r="K2092" s="482"/>
      <c r="L2092" s="371">
        <f>SUM(L2091)</f>
        <v>1.89</v>
      </c>
    </row>
    <row r="2093" spans="1:12" ht="15" customHeight="1" x14ac:dyDescent="0.25">
      <c r="A2093" s="182"/>
      <c r="B2093" s="183"/>
      <c r="C2093" s="183"/>
      <c r="D2093" s="183"/>
      <c r="E2093" s="183"/>
      <c r="F2093" s="183"/>
      <c r="G2093" s="183"/>
      <c r="H2093" s="482" t="s">
        <v>1834</v>
      </c>
      <c r="I2093" s="482"/>
      <c r="J2093" s="482"/>
      <c r="K2093" s="482"/>
      <c r="L2093" s="369">
        <f>ROUND(SUM(L2092),2)</f>
        <v>1.89</v>
      </c>
    </row>
    <row r="2094" spans="1:12" ht="9.9499999999999993" customHeight="1" x14ac:dyDescent="0.25">
      <c r="A2094" s="182"/>
      <c r="B2094" s="183"/>
      <c r="C2094" s="183"/>
      <c r="D2094" s="183"/>
      <c r="E2094" s="183"/>
      <c r="F2094" s="183"/>
      <c r="G2094" s="183"/>
      <c r="H2094" s="485"/>
      <c r="I2094" s="485"/>
      <c r="J2094" s="485"/>
      <c r="K2094" s="485"/>
      <c r="L2094" s="512"/>
    </row>
    <row r="2095" spans="1:12" ht="20.100000000000001" customHeight="1" x14ac:dyDescent="0.25">
      <c r="A2095" s="486" t="s">
        <v>3148</v>
      </c>
      <c r="B2095" s="487"/>
      <c r="C2095" s="487"/>
      <c r="D2095" s="487"/>
      <c r="E2095" s="487"/>
      <c r="F2095" s="487"/>
      <c r="G2095" s="487"/>
      <c r="H2095" s="487"/>
      <c r="I2095" s="487"/>
      <c r="J2095" s="487"/>
      <c r="K2095" s="487"/>
      <c r="L2095" s="513"/>
    </row>
    <row r="2096" spans="1:12" ht="12.95" customHeight="1" x14ac:dyDescent="0.25">
      <c r="A2096" s="518" t="s">
        <v>2641</v>
      </c>
      <c r="B2096" s="519"/>
      <c r="C2096" s="519"/>
      <c r="D2096" s="520" t="s">
        <v>2642</v>
      </c>
      <c r="E2096" s="520"/>
      <c r="F2096" s="515" t="s">
        <v>2643</v>
      </c>
      <c r="G2096" s="515"/>
      <c r="H2096" s="515" t="s">
        <v>2644</v>
      </c>
      <c r="I2096" s="515"/>
      <c r="J2096" s="515"/>
      <c r="K2096" s="515"/>
      <c r="L2096" s="521" t="s">
        <v>1839</v>
      </c>
    </row>
    <row r="2097" spans="1:12" ht="12" customHeight="1" x14ac:dyDescent="0.25">
      <c r="A2097" s="518"/>
      <c r="B2097" s="519"/>
      <c r="C2097" s="519"/>
      <c r="D2097" s="520"/>
      <c r="E2097" s="520"/>
      <c r="F2097" s="230" t="s">
        <v>2645</v>
      </c>
      <c r="G2097" s="230" t="s">
        <v>2646</v>
      </c>
      <c r="H2097" s="476" t="s">
        <v>2645</v>
      </c>
      <c r="I2097" s="476"/>
      <c r="J2097" s="476" t="s">
        <v>2646</v>
      </c>
      <c r="K2097" s="476"/>
      <c r="L2097" s="521"/>
    </row>
    <row r="2098" spans="1:12" ht="24" customHeight="1" x14ac:dyDescent="0.25">
      <c r="A2098" s="170" t="s">
        <v>3149</v>
      </c>
      <c r="B2098" s="492" t="s">
        <v>3150</v>
      </c>
      <c r="C2098" s="492"/>
      <c r="D2098" s="524">
        <v>6.3999999999999997E-5</v>
      </c>
      <c r="E2098" s="524"/>
      <c r="F2098" s="244">
        <v>1</v>
      </c>
      <c r="G2098" s="244">
        <v>0</v>
      </c>
      <c r="H2098" s="523">
        <v>4939</v>
      </c>
      <c r="I2098" s="523"/>
      <c r="J2098" s="523">
        <v>0</v>
      </c>
      <c r="K2098" s="523"/>
      <c r="L2098" s="371">
        <f>TRUNC(D2098*(TRUNC(F2098*H2098,4)+TRUNC(G2098*J2098,4)),4)</f>
        <v>0.316</v>
      </c>
    </row>
    <row r="2099" spans="1:12" ht="15" customHeight="1" x14ac:dyDescent="0.25">
      <c r="A2099" s="184"/>
      <c r="B2099" s="141"/>
      <c r="C2099" s="141"/>
      <c r="D2099" s="141"/>
      <c r="E2099" s="141"/>
      <c r="F2099" s="141"/>
      <c r="G2099" s="141"/>
      <c r="H2099" s="491" t="s">
        <v>2649</v>
      </c>
      <c r="I2099" s="491"/>
      <c r="J2099" s="491"/>
      <c r="K2099" s="491"/>
      <c r="L2099" s="373">
        <f>SUM(L2097:L2098)</f>
        <v>0.316</v>
      </c>
    </row>
    <row r="2100" spans="1:12" ht="15" customHeight="1" x14ac:dyDescent="0.25">
      <c r="A2100" s="182"/>
      <c r="B2100" s="183"/>
      <c r="C2100" s="183"/>
      <c r="D2100" s="183"/>
      <c r="E2100" s="183"/>
      <c r="F2100" s="183"/>
      <c r="G2100" s="183"/>
      <c r="H2100" s="482" t="s">
        <v>1845</v>
      </c>
      <c r="I2100" s="482"/>
      <c r="J2100" s="482"/>
      <c r="K2100" s="482"/>
      <c r="L2100" s="371">
        <f>SUM(L2099)</f>
        <v>0.316</v>
      </c>
    </row>
    <row r="2101" spans="1:12" ht="15" customHeight="1" x14ac:dyDescent="0.25">
      <c r="A2101" s="182"/>
      <c r="B2101" s="183"/>
      <c r="C2101" s="183"/>
      <c r="D2101" s="183"/>
      <c r="E2101" s="183"/>
      <c r="F2101" s="183"/>
      <c r="G2101" s="183"/>
      <c r="H2101" s="482" t="s">
        <v>1846</v>
      </c>
      <c r="I2101" s="482"/>
      <c r="J2101" s="482"/>
      <c r="K2101" s="482"/>
      <c r="L2101" s="374">
        <v>1</v>
      </c>
    </row>
    <row r="2102" spans="1:12" ht="15" customHeight="1" x14ac:dyDescent="0.25">
      <c r="A2102" s="182"/>
      <c r="B2102" s="183"/>
      <c r="C2102" s="183"/>
      <c r="D2102" s="183"/>
      <c r="E2102" s="183"/>
      <c r="F2102" s="183"/>
      <c r="G2102" s="183"/>
      <c r="H2102" s="482" t="s">
        <v>1847</v>
      </c>
      <c r="I2102" s="482"/>
      <c r="J2102" s="482"/>
      <c r="K2102" s="482"/>
      <c r="L2102" s="371">
        <f>TRUNC(L2100/L2101,4)</f>
        <v>0.316</v>
      </c>
    </row>
    <row r="2103" spans="1:12" ht="15" customHeight="1" x14ac:dyDescent="0.25">
      <c r="A2103" s="182"/>
      <c r="B2103" s="183"/>
      <c r="C2103" s="183"/>
      <c r="D2103" s="183"/>
      <c r="E2103" s="183"/>
      <c r="F2103" s="183"/>
      <c r="G2103" s="183"/>
      <c r="H2103" s="482" t="s">
        <v>1848</v>
      </c>
      <c r="I2103" s="482"/>
      <c r="J2103" s="482"/>
      <c r="K2103" s="482"/>
      <c r="L2103" s="371">
        <f>SUM(L2102)</f>
        <v>0.316</v>
      </c>
    </row>
    <row r="2104" spans="1:12" ht="15" customHeight="1" x14ac:dyDescent="0.25">
      <c r="A2104" s="182"/>
      <c r="B2104" s="183"/>
      <c r="C2104" s="183"/>
      <c r="D2104" s="183"/>
      <c r="E2104" s="183"/>
      <c r="F2104" s="183"/>
      <c r="G2104" s="183"/>
      <c r="H2104" s="482" t="s">
        <v>1834</v>
      </c>
      <c r="I2104" s="482"/>
      <c r="J2104" s="482"/>
      <c r="K2104" s="482"/>
      <c r="L2104" s="369">
        <f>ROUND(SUM(L2103),2)</f>
        <v>0.32</v>
      </c>
    </row>
    <row r="2105" spans="1:12" ht="9.9499999999999993" customHeight="1" x14ac:dyDescent="0.25">
      <c r="A2105" s="182"/>
      <c r="B2105" s="183"/>
      <c r="C2105" s="183"/>
      <c r="D2105" s="183"/>
      <c r="E2105" s="183"/>
      <c r="F2105" s="183"/>
      <c r="G2105" s="183"/>
      <c r="H2105" s="485"/>
      <c r="I2105" s="485"/>
      <c r="J2105" s="485"/>
      <c r="K2105" s="485"/>
      <c r="L2105" s="512"/>
    </row>
    <row r="2106" spans="1:12" ht="20.100000000000001" customHeight="1" x14ac:dyDescent="0.25">
      <c r="A2106" s="486" t="s">
        <v>3151</v>
      </c>
      <c r="B2106" s="487"/>
      <c r="C2106" s="487"/>
      <c r="D2106" s="487"/>
      <c r="E2106" s="487"/>
      <c r="F2106" s="487"/>
      <c r="G2106" s="487"/>
      <c r="H2106" s="487"/>
      <c r="I2106" s="487"/>
      <c r="J2106" s="487"/>
      <c r="K2106" s="487"/>
      <c r="L2106" s="513"/>
    </row>
    <row r="2107" spans="1:12" ht="12.95" customHeight="1" x14ac:dyDescent="0.25">
      <c r="A2107" s="518" t="s">
        <v>2641</v>
      </c>
      <c r="B2107" s="519"/>
      <c r="C2107" s="519"/>
      <c r="D2107" s="520" t="s">
        <v>2642</v>
      </c>
      <c r="E2107" s="520"/>
      <c r="F2107" s="515" t="s">
        <v>2643</v>
      </c>
      <c r="G2107" s="515"/>
      <c r="H2107" s="515" t="s">
        <v>2644</v>
      </c>
      <c r="I2107" s="515"/>
      <c r="J2107" s="515"/>
      <c r="K2107" s="515"/>
      <c r="L2107" s="521" t="s">
        <v>1839</v>
      </c>
    </row>
    <row r="2108" spans="1:12" ht="12" customHeight="1" x14ac:dyDescent="0.25">
      <c r="A2108" s="518"/>
      <c r="B2108" s="519"/>
      <c r="C2108" s="519"/>
      <c r="D2108" s="520"/>
      <c r="E2108" s="520"/>
      <c r="F2108" s="230" t="s">
        <v>2645</v>
      </c>
      <c r="G2108" s="230" t="s">
        <v>2646</v>
      </c>
      <c r="H2108" s="476" t="s">
        <v>2645</v>
      </c>
      <c r="I2108" s="476"/>
      <c r="J2108" s="476" t="s">
        <v>2646</v>
      </c>
      <c r="K2108" s="476"/>
      <c r="L2108" s="521"/>
    </row>
    <row r="2109" spans="1:12" ht="24" customHeight="1" x14ac:dyDescent="0.25">
      <c r="A2109" s="170" t="s">
        <v>3149</v>
      </c>
      <c r="B2109" s="492" t="s">
        <v>3150</v>
      </c>
      <c r="C2109" s="492"/>
      <c r="D2109" s="524">
        <v>1.4E-5</v>
      </c>
      <c r="E2109" s="524"/>
      <c r="F2109" s="244">
        <v>1</v>
      </c>
      <c r="G2109" s="244">
        <v>0</v>
      </c>
      <c r="H2109" s="523">
        <v>4939</v>
      </c>
      <c r="I2109" s="523"/>
      <c r="J2109" s="523">
        <v>0</v>
      </c>
      <c r="K2109" s="523"/>
      <c r="L2109" s="371">
        <f>TRUNC(D2109*(TRUNC(F2109*H2109,4)+TRUNC(G2109*J2109,4)),4)</f>
        <v>6.9099999999999995E-2</v>
      </c>
    </row>
    <row r="2110" spans="1:12" ht="15" customHeight="1" x14ac:dyDescent="0.25">
      <c r="A2110" s="184"/>
      <c r="B2110" s="141"/>
      <c r="C2110" s="141"/>
      <c r="D2110" s="141"/>
      <c r="E2110" s="141"/>
      <c r="F2110" s="141"/>
      <c r="G2110" s="141"/>
      <c r="H2110" s="491" t="s">
        <v>2649</v>
      </c>
      <c r="I2110" s="491"/>
      <c r="J2110" s="491"/>
      <c r="K2110" s="491"/>
      <c r="L2110" s="373">
        <f>SUM(L2108:L2109)</f>
        <v>6.9099999999999995E-2</v>
      </c>
    </row>
    <row r="2111" spans="1:12" ht="15" customHeight="1" x14ac:dyDescent="0.25">
      <c r="A2111" s="182"/>
      <c r="B2111" s="183"/>
      <c r="C2111" s="183"/>
      <c r="D2111" s="183"/>
      <c r="E2111" s="183"/>
      <c r="F2111" s="183"/>
      <c r="G2111" s="183"/>
      <c r="H2111" s="482" t="s">
        <v>1845</v>
      </c>
      <c r="I2111" s="482"/>
      <c r="J2111" s="482"/>
      <c r="K2111" s="482"/>
      <c r="L2111" s="371">
        <f>SUM(L2110)</f>
        <v>6.9099999999999995E-2</v>
      </c>
    </row>
    <row r="2112" spans="1:12" ht="15" customHeight="1" x14ac:dyDescent="0.25">
      <c r="A2112" s="182"/>
      <c r="B2112" s="183"/>
      <c r="C2112" s="183"/>
      <c r="D2112" s="183"/>
      <c r="E2112" s="183"/>
      <c r="F2112" s="183"/>
      <c r="G2112" s="183"/>
      <c r="H2112" s="482" t="s">
        <v>1846</v>
      </c>
      <c r="I2112" s="482"/>
      <c r="J2112" s="482"/>
      <c r="K2112" s="482"/>
      <c r="L2112" s="374">
        <v>1</v>
      </c>
    </row>
    <row r="2113" spans="1:12" ht="15" customHeight="1" x14ac:dyDescent="0.25">
      <c r="A2113" s="182"/>
      <c r="B2113" s="183"/>
      <c r="C2113" s="183"/>
      <c r="D2113" s="183"/>
      <c r="E2113" s="183"/>
      <c r="F2113" s="183"/>
      <c r="G2113" s="183"/>
      <c r="H2113" s="482" t="s">
        <v>1847</v>
      </c>
      <c r="I2113" s="482"/>
      <c r="J2113" s="482"/>
      <c r="K2113" s="482"/>
      <c r="L2113" s="371">
        <f>TRUNC(L2111/L2112,4)</f>
        <v>6.9099999999999995E-2</v>
      </c>
    </row>
    <row r="2114" spans="1:12" ht="15" customHeight="1" x14ac:dyDescent="0.25">
      <c r="A2114" s="182"/>
      <c r="B2114" s="183"/>
      <c r="C2114" s="183"/>
      <c r="D2114" s="183"/>
      <c r="E2114" s="183"/>
      <c r="F2114" s="183"/>
      <c r="G2114" s="183"/>
      <c r="H2114" s="482" t="s">
        <v>1848</v>
      </c>
      <c r="I2114" s="482"/>
      <c r="J2114" s="482"/>
      <c r="K2114" s="482"/>
      <c r="L2114" s="371">
        <f>SUM(L2113)</f>
        <v>6.9099999999999995E-2</v>
      </c>
    </row>
    <row r="2115" spans="1:12" ht="15" customHeight="1" x14ac:dyDescent="0.25">
      <c r="A2115" s="182"/>
      <c r="B2115" s="183"/>
      <c r="C2115" s="183"/>
      <c r="D2115" s="183"/>
      <c r="E2115" s="183"/>
      <c r="F2115" s="183"/>
      <c r="G2115" s="183"/>
      <c r="H2115" s="482" t="s">
        <v>1834</v>
      </c>
      <c r="I2115" s="482"/>
      <c r="J2115" s="482"/>
      <c r="K2115" s="482"/>
      <c r="L2115" s="369">
        <f>ROUND(SUM(L2114),2)</f>
        <v>7.0000000000000007E-2</v>
      </c>
    </row>
    <row r="2116" spans="1:12" ht="9.9499999999999993" customHeight="1" x14ac:dyDescent="0.25">
      <c r="A2116" s="182"/>
      <c r="B2116" s="183"/>
      <c r="C2116" s="183"/>
      <c r="D2116" s="183"/>
      <c r="E2116" s="183"/>
      <c r="F2116" s="183"/>
      <c r="G2116" s="183"/>
      <c r="H2116" s="485"/>
      <c r="I2116" s="485"/>
      <c r="J2116" s="485"/>
      <c r="K2116" s="485"/>
      <c r="L2116" s="512"/>
    </row>
    <row r="2117" spans="1:12" ht="20.100000000000001" customHeight="1" x14ac:dyDescent="0.25">
      <c r="A2117" s="486" t="s">
        <v>3152</v>
      </c>
      <c r="B2117" s="487"/>
      <c r="C2117" s="487"/>
      <c r="D2117" s="487"/>
      <c r="E2117" s="487"/>
      <c r="F2117" s="487"/>
      <c r="G2117" s="487"/>
      <c r="H2117" s="487"/>
      <c r="I2117" s="487"/>
      <c r="J2117" s="487"/>
      <c r="K2117" s="487"/>
      <c r="L2117" s="513"/>
    </row>
    <row r="2118" spans="1:12" ht="12.95" customHeight="1" x14ac:dyDescent="0.25">
      <c r="A2118" s="518" t="s">
        <v>2641</v>
      </c>
      <c r="B2118" s="519"/>
      <c r="C2118" s="519"/>
      <c r="D2118" s="520" t="s">
        <v>2642</v>
      </c>
      <c r="E2118" s="520"/>
      <c r="F2118" s="515" t="s">
        <v>2643</v>
      </c>
      <c r="G2118" s="515"/>
      <c r="H2118" s="515" t="s">
        <v>2644</v>
      </c>
      <c r="I2118" s="515"/>
      <c r="J2118" s="515"/>
      <c r="K2118" s="515"/>
      <c r="L2118" s="521" t="s">
        <v>1839</v>
      </c>
    </row>
    <row r="2119" spans="1:12" ht="12" customHeight="1" x14ac:dyDescent="0.25">
      <c r="A2119" s="518"/>
      <c r="B2119" s="519"/>
      <c r="C2119" s="519"/>
      <c r="D2119" s="520"/>
      <c r="E2119" s="520"/>
      <c r="F2119" s="230" t="s">
        <v>2645</v>
      </c>
      <c r="G2119" s="230" t="s">
        <v>2646</v>
      </c>
      <c r="H2119" s="476" t="s">
        <v>2645</v>
      </c>
      <c r="I2119" s="476"/>
      <c r="J2119" s="476" t="s">
        <v>2646</v>
      </c>
      <c r="K2119" s="476"/>
      <c r="L2119" s="521"/>
    </row>
    <row r="2120" spans="1:12" ht="24" customHeight="1" x14ac:dyDescent="0.25">
      <c r="A2120" s="170" t="s">
        <v>3149</v>
      </c>
      <c r="B2120" s="492" t="s">
        <v>3150</v>
      </c>
      <c r="C2120" s="492"/>
      <c r="D2120" s="524">
        <v>6.0000000000000002E-5</v>
      </c>
      <c r="E2120" s="524"/>
      <c r="F2120" s="244">
        <v>1</v>
      </c>
      <c r="G2120" s="244">
        <v>0</v>
      </c>
      <c r="H2120" s="523">
        <v>4939</v>
      </c>
      <c r="I2120" s="523"/>
      <c r="J2120" s="523">
        <v>0</v>
      </c>
      <c r="K2120" s="523"/>
      <c r="L2120" s="371">
        <f>TRUNC(D2120*(TRUNC(F2120*H2120,4)+TRUNC(G2120*J2120,4)),4)</f>
        <v>0.29630000000000001</v>
      </c>
    </row>
    <row r="2121" spans="1:12" ht="15" customHeight="1" x14ac:dyDescent="0.25">
      <c r="A2121" s="184"/>
      <c r="B2121" s="141"/>
      <c r="C2121" s="141"/>
      <c r="D2121" s="141"/>
      <c r="E2121" s="141"/>
      <c r="F2121" s="141"/>
      <c r="G2121" s="141"/>
      <c r="H2121" s="491" t="s">
        <v>2649</v>
      </c>
      <c r="I2121" s="491"/>
      <c r="J2121" s="491"/>
      <c r="K2121" s="491"/>
      <c r="L2121" s="373">
        <f>SUM(L2119:L2120)</f>
        <v>0.29630000000000001</v>
      </c>
    </row>
    <row r="2122" spans="1:12" ht="15" customHeight="1" x14ac:dyDescent="0.25">
      <c r="A2122" s="182"/>
      <c r="B2122" s="183"/>
      <c r="C2122" s="183"/>
      <c r="D2122" s="183"/>
      <c r="E2122" s="183"/>
      <c r="F2122" s="183"/>
      <c r="G2122" s="183"/>
      <c r="H2122" s="482" t="s">
        <v>1845</v>
      </c>
      <c r="I2122" s="482"/>
      <c r="J2122" s="482"/>
      <c r="K2122" s="482"/>
      <c r="L2122" s="371">
        <f>SUM(L2121)</f>
        <v>0.29630000000000001</v>
      </c>
    </row>
    <row r="2123" spans="1:12" ht="15" customHeight="1" x14ac:dyDescent="0.25">
      <c r="A2123" s="182"/>
      <c r="B2123" s="183"/>
      <c r="C2123" s="183"/>
      <c r="D2123" s="183"/>
      <c r="E2123" s="183"/>
      <c r="F2123" s="183"/>
      <c r="G2123" s="183"/>
      <c r="H2123" s="482" t="s">
        <v>1846</v>
      </c>
      <c r="I2123" s="482"/>
      <c r="J2123" s="482"/>
      <c r="K2123" s="482"/>
      <c r="L2123" s="374">
        <v>1</v>
      </c>
    </row>
    <row r="2124" spans="1:12" ht="15" customHeight="1" x14ac:dyDescent="0.25">
      <c r="A2124" s="182"/>
      <c r="B2124" s="183"/>
      <c r="C2124" s="183"/>
      <c r="D2124" s="183"/>
      <c r="E2124" s="183"/>
      <c r="F2124" s="183"/>
      <c r="G2124" s="183"/>
      <c r="H2124" s="482" t="s">
        <v>1847</v>
      </c>
      <c r="I2124" s="482"/>
      <c r="J2124" s="482"/>
      <c r="K2124" s="482"/>
      <c r="L2124" s="371">
        <f>TRUNC(L2122/L2123,4)</f>
        <v>0.29630000000000001</v>
      </c>
    </row>
    <row r="2125" spans="1:12" ht="15" customHeight="1" x14ac:dyDescent="0.25">
      <c r="A2125" s="182"/>
      <c r="B2125" s="183"/>
      <c r="C2125" s="183"/>
      <c r="D2125" s="183"/>
      <c r="E2125" s="183"/>
      <c r="F2125" s="183"/>
      <c r="G2125" s="183"/>
      <c r="H2125" s="482" t="s">
        <v>1848</v>
      </c>
      <c r="I2125" s="482"/>
      <c r="J2125" s="482"/>
      <c r="K2125" s="482"/>
      <c r="L2125" s="371">
        <f>SUM(L2124)</f>
        <v>0.29630000000000001</v>
      </c>
    </row>
    <row r="2126" spans="1:12" ht="15" customHeight="1" x14ac:dyDescent="0.25">
      <c r="A2126" s="182"/>
      <c r="B2126" s="183"/>
      <c r="C2126" s="183"/>
      <c r="D2126" s="183"/>
      <c r="E2126" s="183"/>
      <c r="F2126" s="183"/>
      <c r="G2126" s="183"/>
      <c r="H2126" s="482" t="s">
        <v>1834</v>
      </c>
      <c r="I2126" s="482"/>
      <c r="J2126" s="482"/>
      <c r="K2126" s="482"/>
      <c r="L2126" s="369">
        <f>ROUND(SUM(L2125),2)</f>
        <v>0.3</v>
      </c>
    </row>
    <row r="2127" spans="1:12" ht="9.9499999999999993" customHeight="1" x14ac:dyDescent="0.25">
      <c r="A2127" s="182"/>
      <c r="B2127" s="183"/>
      <c r="C2127" s="183"/>
      <c r="D2127" s="183"/>
      <c r="E2127" s="183"/>
      <c r="F2127" s="183"/>
      <c r="G2127" s="183"/>
      <c r="H2127" s="485"/>
      <c r="I2127" s="485"/>
      <c r="J2127" s="485"/>
      <c r="K2127" s="485"/>
      <c r="L2127" s="512"/>
    </row>
    <row r="2128" spans="1:12" ht="20.100000000000001" customHeight="1" x14ac:dyDescent="0.25">
      <c r="A2128" s="486" t="s">
        <v>3153</v>
      </c>
      <c r="B2128" s="487"/>
      <c r="C2128" s="487"/>
      <c r="D2128" s="487"/>
      <c r="E2128" s="487"/>
      <c r="F2128" s="487"/>
      <c r="G2128" s="487"/>
      <c r="H2128" s="487"/>
      <c r="I2128" s="487"/>
      <c r="J2128" s="487"/>
      <c r="K2128" s="487"/>
      <c r="L2128" s="513"/>
    </row>
    <row r="2129" spans="1:12" ht="20.100000000000001" customHeight="1" x14ac:dyDescent="0.25">
      <c r="A2129" s="488" t="s">
        <v>1880</v>
      </c>
      <c r="B2129" s="489"/>
      <c r="C2129" s="489"/>
      <c r="D2129" s="489"/>
      <c r="E2129" s="489"/>
      <c r="F2129" s="489"/>
      <c r="G2129" s="233" t="s">
        <v>44</v>
      </c>
      <c r="H2129" s="515" t="s">
        <v>1837</v>
      </c>
      <c r="I2129" s="515"/>
      <c r="J2129" s="515" t="s">
        <v>1881</v>
      </c>
      <c r="K2129" s="515"/>
      <c r="L2129" s="169" t="s">
        <v>1882</v>
      </c>
    </row>
    <row r="2130" spans="1:12" ht="15.95" customHeight="1" x14ac:dyDescent="0.25">
      <c r="A2130" s="170" t="s">
        <v>3154</v>
      </c>
      <c r="B2130" s="492" t="s">
        <v>3155</v>
      </c>
      <c r="C2130" s="492"/>
      <c r="D2130" s="492"/>
      <c r="E2130" s="492"/>
      <c r="F2130" s="492"/>
      <c r="G2130" s="127" t="s">
        <v>2453</v>
      </c>
      <c r="H2130" s="524">
        <v>1.25</v>
      </c>
      <c r="I2130" s="524"/>
      <c r="J2130" s="525">
        <v>0.99</v>
      </c>
      <c r="K2130" s="525"/>
      <c r="L2130" s="171">
        <f>TRUNC(TRUNC(H2130,8)*J2130,2)</f>
        <v>1.23</v>
      </c>
    </row>
    <row r="2131" spans="1:12" ht="15" customHeight="1" x14ac:dyDescent="0.25">
      <c r="A2131" s="184"/>
      <c r="B2131" s="141"/>
      <c r="C2131" s="141"/>
      <c r="D2131" s="141"/>
      <c r="E2131" s="141"/>
      <c r="F2131" s="141"/>
      <c r="G2131" s="141"/>
      <c r="H2131" s="491" t="s">
        <v>1889</v>
      </c>
      <c r="I2131" s="491"/>
      <c r="J2131" s="491"/>
      <c r="K2131" s="491"/>
      <c r="L2131" s="375">
        <f>SUM(L2130:L2130)</f>
        <v>1.23</v>
      </c>
    </row>
    <row r="2132" spans="1:12" ht="15" customHeight="1" x14ac:dyDescent="0.25">
      <c r="A2132" s="182"/>
      <c r="B2132" s="183"/>
      <c r="C2132" s="183"/>
      <c r="D2132" s="183"/>
      <c r="E2132" s="183"/>
      <c r="F2132" s="183"/>
      <c r="G2132" s="183"/>
      <c r="H2132" s="482" t="s">
        <v>1848</v>
      </c>
      <c r="I2132" s="482"/>
      <c r="J2132" s="482"/>
      <c r="K2132" s="482"/>
      <c r="L2132" s="371">
        <f>SUM(L2131)</f>
        <v>1.23</v>
      </c>
    </row>
    <row r="2133" spans="1:12" ht="15" customHeight="1" x14ac:dyDescent="0.25">
      <c r="A2133" s="182"/>
      <c r="B2133" s="183"/>
      <c r="C2133" s="183"/>
      <c r="D2133" s="183"/>
      <c r="E2133" s="183"/>
      <c r="F2133" s="183"/>
      <c r="G2133" s="183"/>
      <c r="H2133" s="482" t="s">
        <v>1834</v>
      </c>
      <c r="I2133" s="482"/>
      <c r="J2133" s="482"/>
      <c r="K2133" s="482"/>
      <c r="L2133" s="369">
        <f>ROUND(SUM(L2132),2)</f>
        <v>1.23</v>
      </c>
    </row>
    <row r="2134" spans="1:12" ht="9.9499999999999993" customHeight="1" x14ac:dyDescent="0.25">
      <c r="A2134" s="182"/>
      <c r="B2134" s="183"/>
      <c r="C2134" s="183"/>
      <c r="D2134" s="183"/>
      <c r="E2134" s="183"/>
      <c r="F2134" s="183"/>
      <c r="G2134" s="183"/>
      <c r="H2134" s="485"/>
      <c r="I2134" s="485"/>
      <c r="J2134" s="485"/>
      <c r="K2134" s="485"/>
      <c r="L2134" s="512"/>
    </row>
    <row r="2135" spans="1:12" ht="20.100000000000001" customHeight="1" x14ac:dyDescent="0.25">
      <c r="A2135" s="486" t="s">
        <v>3156</v>
      </c>
      <c r="B2135" s="487"/>
      <c r="C2135" s="487"/>
      <c r="D2135" s="487"/>
      <c r="E2135" s="487"/>
      <c r="F2135" s="487"/>
      <c r="G2135" s="487"/>
      <c r="H2135" s="487"/>
      <c r="I2135" s="487"/>
      <c r="J2135" s="487"/>
      <c r="K2135" s="487"/>
      <c r="L2135" s="513"/>
    </row>
    <row r="2136" spans="1:12" ht="20.100000000000001" customHeight="1" x14ac:dyDescent="0.25">
      <c r="A2136" s="488" t="s">
        <v>1836</v>
      </c>
      <c r="B2136" s="489"/>
      <c r="C2136" s="489"/>
      <c r="D2136" s="489"/>
      <c r="E2136" s="489"/>
      <c r="F2136" s="489"/>
      <c r="G2136" s="233" t="s">
        <v>44</v>
      </c>
      <c r="H2136" s="515" t="s">
        <v>1837</v>
      </c>
      <c r="I2136" s="515"/>
      <c r="J2136" s="515" t="s">
        <v>1838</v>
      </c>
      <c r="K2136" s="515"/>
      <c r="L2136" s="169" t="s">
        <v>1839</v>
      </c>
    </row>
    <row r="2137" spans="1:12" ht="15" customHeight="1" x14ac:dyDescent="0.25">
      <c r="A2137" s="170" t="s">
        <v>3157</v>
      </c>
      <c r="B2137" s="490" t="s">
        <v>3158</v>
      </c>
      <c r="C2137" s="490"/>
      <c r="D2137" s="490"/>
      <c r="E2137" s="490"/>
      <c r="F2137" s="490"/>
      <c r="G2137" s="127" t="s">
        <v>1024</v>
      </c>
      <c r="H2137" s="524">
        <v>1</v>
      </c>
      <c r="I2137" s="524"/>
      <c r="J2137" s="517">
        <v>28.29</v>
      </c>
      <c r="K2137" s="517"/>
      <c r="L2137" s="370">
        <f>TRUNC(TRUNC(H2137,8)*J2137,2)</f>
        <v>28.29</v>
      </c>
    </row>
    <row r="2138" spans="1:12" ht="15" customHeight="1" x14ac:dyDescent="0.25">
      <c r="A2138" s="184"/>
      <c r="B2138" s="141"/>
      <c r="C2138" s="141"/>
      <c r="D2138" s="141"/>
      <c r="E2138" s="141"/>
      <c r="F2138" s="141"/>
      <c r="G2138" s="141"/>
      <c r="H2138" s="491" t="s">
        <v>1844</v>
      </c>
      <c r="I2138" s="491"/>
      <c r="J2138" s="491"/>
      <c r="K2138" s="491"/>
      <c r="L2138" s="369">
        <f>SUM(L2137:L2137)</f>
        <v>28.29</v>
      </c>
    </row>
    <row r="2139" spans="1:12" ht="15" customHeight="1" x14ac:dyDescent="0.25">
      <c r="A2139" s="182"/>
      <c r="B2139" s="183"/>
      <c r="C2139" s="183"/>
      <c r="D2139" s="183"/>
      <c r="E2139" s="183"/>
      <c r="F2139" s="183"/>
      <c r="G2139" s="183"/>
      <c r="H2139" s="482" t="s">
        <v>1845</v>
      </c>
      <c r="I2139" s="482"/>
      <c r="J2139" s="482"/>
      <c r="K2139" s="482"/>
      <c r="L2139" s="371">
        <f>SUM(L2138)</f>
        <v>28.29</v>
      </c>
    </row>
    <row r="2140" spans="1:12" ht="15" customHeight="1" x14ac:dyDescent="0.25">
      <c r="A2140" s="182"/>
      <c r="B2140" s="183"/>
      <c r="C2140" s="183"/>
      <c r="D2140" s="183"/>
      <c r="E2140" s="183"/>
      <c r="F2140" s="183"/>
      <c r="G2140" s="183"/>
      <c r="H2140" s="482" t="s">
        <v>1846</v>
      </c>
      <c r="I2140" s="482"/>
      <c r="J2140" s="482"/>
      <c r="K2140" s="482"/>
      <c r="L2140" s="374">
        <v>1</v>
      </c>
    </row>
    <row r="2141" spans="1:12" ht="15" customHeight="1" x14ac:dyDescent="0.25">
      <c r="A2141" s="182"/>
      <c r="B2141" s="183"/>
      <c r="C2141" s="183"/>
      <c r="D2141" s="183"/>
      <c r="E2141" s="183"/>
      <c r="F2141" s="183"/>
      <c r="G2141" s="183"/>
      <c r="H2141" s="482" t="s">
        <v>1847</v>
      </c>
      <c r="I2141" s="482"/>
      <c r="J2141" s="482"/>
      <c r="K2141" s="482"/>
      <c r="L2141" s="371">
        <f>TRUNC(L2139/L2140,4)</f>
        <v>28.29</v>
      </c>
    </row>
    <row r="2142" spans="1:12" ht="20.100000000000001" customHeight="1" x14ac:dyDescent="0.25">
      <c r="A2142" s="488" t="s">
        <v>2009</v>
      </c>
      <c r="B2142" s="489"/>
      <c r="C2142" s="489"/>
      <c r="D2142" s="489"/>
      <c r="E2142" s="489"/>
      <c r="F2142" s="489"/>
      <c r="G2142" s="233" t="s">
        <v>44</v>
      </c>
      <c r="H2142" s="515" t="s">
        <v>1837</v>
      </c>
      <c r="I2142" s="515"/>
      <c r="J2142" s="515" t="s">
        <v>1814</v>
      </c>
      <c r="K2142" s="515"/>
      <c r="L2142" s="169" t="s">
        <v>1882</v>
      </c>
    </row>
    <row r="2143" spans="1:12" ht="15.95" customHeight="1" x14ac:dyDescent="0.25">
      <c r="A2143" s="170" t="s">
        <v>3159</v>
      </c>
      <c r="B2143" s="492" t="s">
        <v>3160</v>
      </c>
      <c r="C2143" s="492"/>
      <c r="D2143" s="492"/>
      <c r="E2143" s="492"/>
      <c r="F2143" s="492"/>
      <c r="G2143" s="127"/>
      <c r="H2143" s="526">
        <v>1</v>
      </c>
      <c r="I2143" s="526"/>
      <c r="J2143" s="525">
        <v>0.68</v>
      </c>
      <c r="K2143" s="525"/>
      <c r="L2143" s="171">
        <f>TRUNC(TRUNC(H2143,8)*J2143,2)</f>
        <v>0.68</v>
      </c>
    </row>
    <row r="2144" spans="1:12" ht="15.95" customHeight="1" x14ac:dyDescent="0.25">
      <c r="A2144" s="170" t="s">
        <v>3161</v>
      </c>
      <c r="B2144" s="492" t="s">
        <v>3162</v>
      </c>
      <c r="C2144" s="492"/>
      <c r="D2144" s="492"/>
      <c r="E2144" s="492"/>
      <c r="F2144" s="492"/>
      <c r="G2144" s="127"/>
      <c r="H2144" s="526">
        <v>1</v>
      </c>
      <c r="I2144" s="526"/>
      <c r="J2144" s="525">
        <v>0.09</v>
      </c>
      <c r="K2144" s="525"/>
      <c r="L2144" s="171">
        <f>TRUNC(TRUNC(H2144,8)*J2144,2)</f>
        <v>0.09</v>
      </c>
    </row>
    <row r="2145" spans="1:12" ht="15" customHeight="1" x14ac:dyDescent="0.25">
      <c r="A2145" s="184"/>
      <c r="B2145" s="141"/>
      <c r="C2145" s="141"/>
      <c r="D2145" s="141"/>
      <c r="E2145" s="141"/>
      <c r="F2145" s="141"/>
      <c r="G2145" s="141"/>
      <c r="H2145" s="491" t="s">
        <v>2014</v>
      </c>
      <c r="I2145" s="491"/>
      <c r="J2145" s="491"/>
      <c r="K2145" s="491"/>
      <c r="L2145" s="375">
        <f>SUM(L2143:L2144)</f>
        <v>0.77</v>
      </c>
    </row>
    <row r="2146" spans="1:12" ht="15" customHeight="1" x14ac:dyDescent="0.25">
      <c r="A2146" s="182"/>
      <c r="B2146" s="183"/>
      <c r="C2146" s="183"/>
      <c r="D2146" s="183"/>
      <c r="E2146" s="183"/>
      <c r="F2146" s="183"/>
      <c r="G2146" s="183"/>
      <c r="H2146" s="482" t="s">
        <v>1848</v>
      </c>
      <c r="I2146" s="482"/>
      <c r="J2146" s="482"/>
      <c r="K2146" s="482"/>
      <c r="L2146" s="371">
        <f>SUM(L2141,L2145)</f>
        <v>29.06</v>
      </c>
    </row>
    <row r="2147" spans="1:12" ht="15" customHeight="1" x14ac:dyDescent="0.25">
      <c r="A2147" s="182"/>
      <c r="B2147" s="183"/>
      <c r="C2147" s="183"/>
      <c r="D2147" s="183"/>
      <c r="E2147" s="183"/>
      <c r="F2147" s="183"/>
      <c r="G2147" s="183"/>
      <c r="H2147" s="482" t="s">
        <v>1834</v>
      </c>
      <c r="I2147" s="482"/>
      <c r="J2147" s="482"/>
      <c r="K2147" s="482"/>
      <c r="L2147" s="369">
        <f>ROUND(SUM(L2146),2)</f>
        <v>29.06</v>
      </c>
    </row>
    <row r="2148" spans="1:12" ht="9.9499999999999993" customHeight="1" x14ac:dyDescent="0.25">
      <c r="A2148" s="182"/>
      <c r="B2148" s="183"/>
      <c r="C2148" s="183"/>
      <c r="D2148" s="183"/>
      <c r="E2148" s="183"/>
      <c r="F2148" s="183"/>
      <c r="G2148" s="183"/>
      <c r="H2148" s="485"/>
      <c r="I2148" s="485"/>
      <c r="J2148" s="485"/>
      <c r="K2148" s="485"/>
      <c r="L2148" s="512"/>
    </row>
    <row r="2149" spans="1:12" ht="20.100000000000001" customHeight="1" x14ac:dyDescent="0.25">
      <c r="A2149" s="486" t="s">
        <v>3163</v>
      </c>
      <c r="B2149" s="487"/>
      <c r="C2149" s="487"/>
      <c r="D2149" s="487"/>
      <c r="E2149" s="487"/>
      <c r="F2149" s="487"/>
      <c r="G2149" s="487"/>
      <c r="H2149" s="487"/>
      <c r="I2149" s="487"/>
      <c r="J2149" s="487"/>
      <c r="K2149" s="487"/>
      <c r="L2149" s="513"/>
    </row>
    <row r="2150" spans="1:12" ht="20.100000000000001" customHeight="1" x14ac:dyDescent="0.25">
      <c r="A2150" s="488" t="s">
        <v>1836</v>
      </c>
      <c r="B2150" s="489"/>
      <c r="C2150" s="489"/>
      <c r="D2150" s="489"/>
      <c r="E2150" s="489"/>
      <c r="F2150" s="489"/>
      <c r="G2150" s="233" t="s">
        <v>44</v>
      </c>
      <c r="H2150" s="515" t="s">
        <v>1837</v>
      </c>
      <c r="I2150" s="515"/>
      <c r="J2150" s="515" t="s">
        <v>1838</v>
      </c>
      <c r="K2150" s="515"/>
      <c r="L2150" s="169" t="s">
        <v>1839</v>
      </c>
    </row>
    <row r="2151" spans="1:12" ht="15" customHeight="1" x14ac:dyDescent="0.25">
      <c r="A2151" s="170" t="s">
        <v>3157</v>
      </c>
      <c r="B2151" s="490" t="s">
        <v>3158</v>
      </c>
      <c r="C2151" s="490"/>
      <c r="D2151" s="490"/>
      <c r="E2151" s="490"/>
      <c r="F2151" s="490"/>
      <c r="G2151" s="127" t="s">
        <v>1024</v>
      </c>
      <c r="H2151" s="524">
        <v>1</v>
      </c>
      <c r="I2151" s="524"/>
      <c r="J2151" s="517">
        <v>28.29</v>
      </c>
      <c r="K2151" s="517"/>
      <c r="L2151" s="370">
        <f>TRUNC(TRUNC(H2151,8)*J2151,2)</f>
        <v>28.29</v>
      </c>
    </row>
    <row r="2152" spans="1:12" ht="15" customHeight="1" x14ac:dyDescent="0.25">
      <c r="A2152" s="184"/>
      <c r="B2152" s="141"/>
      <c r="C2152" s="141"/>
      <c r="D2152" s="141"/>
      <c r="E2152" s="141"/>
      <c r="F2152" s="141"/>
      <c r="G2152" s="141"/>
      <c r="H2152" s="491" t="s">
        <v>1844</v>
      </c>
      <c r="I2152" s="491"/>
      <c r="J2152" s="491"/>
      <c r="K2152" s="491"/>
      <c r="L2152" s="369">
        <f>SUM(L2151:L2151)</f>
        <v>28.29</v>
      </c>
    </row>
    <row r="2153" spans="1:12" ht="15" customHeight="1" x14ac:dyDescent="0.25">
      <c r="A2153" s="182"/>
      <c r="B2153" s="183"/>
      <c r="C2153" s="183"/>
      <c r="D2153" s="183"/>
      <c r="E2153" s="183"/>
      <c r="F2153" s="183"/>
      <c r="G2153" s="183"/>
      <c r="H2153" s="482" t="s">
        <v>1845</v>
      </c>
      <c r="I2153" s="482"/>
      <c r="J2153" s="482"/>
      <c r="K2153" s="482"/>
      <c r="L2153" s="371">
        <f>SUM(L2152)</f>
        <v>28.29</v>
      </c>
    </row>
    <row r="2154" spans="1:12" ht="15" customHeight="1" x14ac:dyDescent="0.25">
      <c r="A2154" s="182"/>
      <c r="B2154" s="183"/>
      <c r="C2154" s="183"/>
      <c r="D2154" s="183"/>
      <c r="E2154" s="183"/>
      <c r="F2154" s="183"/>
      <c r="G2154" s="183"/>
      <c r="H2154" s="482" t="s">
        <v>1846</v>
      </c>
      <c r="I2154" s="482"/>
      <c r="J2154" s="482"/>
      <c r="K2154" s="482"/>
      <c r="L2154" s="374">
        <v>1</v>
      </c>
    </row>
    <row r="2155" spans="1:12" ht="15" customHeight="1" x14ac:dyDescent="0.25">
      <c r="A2155" s="182"/>
      <c r="B2155" s="183"/>
      <c r="C2155" s="183"/>
      <c r="D2155" s="183"/>
      <c r="E2155" s="183"/>
      <c r="F2155" s="183"/>
      <c r="G2155" s="183"/>
      <c r="H2155" s="482" t="s">
        <v>1847</v>
      </c>
      <c r="I2155" s="482"/>
      <c r="J2155" s="482"/>
      <c r="K2155" s="482"/>
      <c r="L2155" s="371">
        <f>TRUNC(L2153/L2154,4)</f>
        <v>28.29</v>
      </c>
    </row>
    <row r="2156" spans="1:12" ht="20.100000000000001" customHeight="1" x14ac:dyDescent="0.25">
      <c r="A2156" s="488" t="s">
        <v>2009</v>
      </c>
      <c r="B2156" s="489"/>
      <c r="C2156" s="489"/>
      <c r="D2156" s="489"/>
      <c r="E2156" s="489"/>
      <c r="F2156" s="489"/>
      <c r="G2156" s="233" t="s">
        <v>44</v>
      </c>
      <c r="H2156" s="515" t="s">
        <v>1837</v>
      </c>
      <c r="I2156" s="515"/>
      <c r="J2156" s="515" t="s">
        <v>1814</v>
      </c>
      <c r="K2156" s="515"/>
      <c r="L2156" s="169" t="s">
        <v>1882</v>
      </c>
    </row>
    <row r="2157" spans="1:12" ht="15.95" customHeight="1" x14ac:dyDescent="0.25">
      <c r="A2157" s="170" t="s">
        <v>3164</v>
      </c>
      <c r="B2157" s="492" t="s">
        <v>3165</v>
      </c>
      <c r="C2157" s="492"/>
      <c r="D2157" s="492"/>
      <c r="E2157" s="492"/>
      <c r="F2157" s="492"/>
      <c r="G2157" s="127"/>
      <c r="H2157" s="526">
        <v>1</v>
      </c>
      <c r="I2157" s="526"/>
      <c r="J2157" s="525">
        <v>0.86</v>
      </c>
      <c r="K2157" s="525"/>
      <c r="L2157" s="171">
        <f>TRUNC(TRUNC(H2157,8)*J2157,2)</f>
        <v>0.86</v>
      </c>
    </row>
    <row r="2158" spans="1:12" ht="15.95" customHeight="1" x14ac:dyDescent="0.25">
      <c r="A2158" s="170" t="s">
        <v>3166</v>
      </c>
      <c r="B2158" s="492" t="s">
        <v>3167</v>
      </c>
      <c r="C2158" s="492"/>
      <c r="D2158" s="492"/>
      <c r="E2158" s="492"/>
      <c r="F2158" s="492"/>
      <c r="G2158" s="127"/>
      <c r="H2158" s="526">
        <v>1</v>
      </c>
      <c r="I2158" s="526"/>
      <c r="J2158" s="525">
        <v>6.6</v>
      </c>
      <c r="K2158" s="525"/>
      <c r="L2158" s="171">
        <f>TRUNC(TRUNC(H2158,8)*J2158,2)</f>
        <v>6.6</v>
      </c>
    </row>
    <row r="2159" spans="1:12" ht="15.95" customHeight="1" x14ac:dyDescent="0.25">
      <c r="A2159" s="170" t="s">
        <v>3159</v>
      </c>
      <c r="B2159" s="492" t="s">
        <v>3160</v>
      </c>
      <c r="C2159" s="492"/>
      <c r="D2159" s="492"/>
      <c r="E2159" s="492"/>
      <c r="F2159" s="492"/>
      <c r="G2159" s="127"/>
      <c r="H2159" s="526">
        <v>1</v>
      </c>
      <c r="I2159" s="526"/>
      <c r="J2159" s="525">
        <v>0.68</v>
      </c>
      <c r="K2159" s="525"/>
      <c r="L2159" s="171">
        <f>TRUNC(TRUNC(H2159,8)*J2159,2)</f>
        <v>0.68</v>
      </c>
    </row>
    <row r="2160" spans="1:12" ht="15.95" customHeight="1" x14ac:dyDescent="0.25">
      <c r="A2160" s="170" t="s">
        <v>3161</v>
      </c>
      <c r="B2160" s="492" t="s">
        <v>3162</v>
      </c>
      <c r="C2160" s="492"/>
      <c r="D2160" s="492"/>
      <c r="E2160" s="492"/>
      <c r="F2160" s="492"/>
      <c r="G2160" s="127"/>
      <c r="H2160" s="526">
        <v>1</v>
      </c>
      <c r="I2160" s="526"/>
      <c r="J2160" s="525">
        <v>0.09</v>
      </c>
      <c r="K2160" s="525"/>
      <c r="L2160" s="171">
        <f>TRUNC(TRUNC(H2160,8)*J2160,2)</f>
        <v>0.09</v>
      </c>
    </row>
    <row r="2161" spans="1:12" ht="15" customHeight="1" x14ac:dyDescent="0.25">
      <c r="A2161" s="184"/>
      <c r="B2161" s="141"/>
      <c r="C2161" s="141"/>
      <c r="D2161" s="141"/>
      <c r="E2161" s="141"/>
      <c r="F2161" s="141"/>
      <c r="G2161" s="141"/>
      <c r="H2161" s="491" t="s">
        <v>2014</v>
      </c>
      <c r="I2161" s="491"/>
      <c r="J2161" s="491"/>
      <c r="K2161" s="491"/>
      <c r="L2161" s="375">
        <f>SUM(L2157:L2160)</f>
        <v>8.23</v>
      </c>
    </row>
    <row r="2162" spans="1:12" ht="15" customHeight="1" x14ac:dyDescent="0.25">
      <c r="A2162" s="182"/>
      <c r="B2162" s="183"/>
      <c r="C2162" s="183"/>
      <c r="D2162" s="183"/>
      <c r="E2162" s="183"/>
      <c r="F2162" s="183"/>
      <c r="G2162" s="183"/>
      <c r="H2162" s="482" t="s">
        <v>1848</v>
      </c>
      <c r="I2162" s="482"/>
      <c r="J2162" s="482"/>
      <c r="K2162" s="482"/>
      <c r="L2162" s="371">
        <f>SUM(L2155,L2161)</f>
        <v>36.519999999999996</v>
      </c>
    </row>
    <row r="2163" spans="1:12" ht="15" customHeight="1" x14ac:dyDescent="0.25">
      <c r="A2163" s="182"/>
      <c r="B2163" s="183"/>
      <c r="C2163" s="183"/>
      <c r="D2163" s="183"/>
      <c r="E2163" s="183"/>
      <c r="F2163" s="183"/>
      <c r="G2163" s="183"/>
      <c r="H2163" s="482" t="s">
        <v>1834</v>
      </c>
      <c r="I2163" s="482"/>
      <c r="J2163" s="482"/>
      <c r="K2163" s="482"/>
      <c r="L2163" s="369">
        <f>ROUND(SUM(L2162),2)</f>
        <v>36.520000000000003</v>
      </c>
    </row>
    <row r="2164" spans="1:12" ht="9.9499999999999993" customHeight="1" x14ac:dyDescent="0.25">
      <c r="A2164" s="182"/>
      <c r="B2164" s="183"/>
      <c r="C2164" s="183"/>
      <c r="D2164" s="183"/>
      <c r="E2164" s="183"/>
      <c r="F2164" s="183"/>
      <c r="G2164" s="183"/>
      <c r="H2164" s="485"/>
      <c r="I2164" s="485"/>
      <c r="J2164" s="485"/>
      <c r="K2164" s="485"/>
      <c r="L2164" s="512"/>
    </row>
    <row r="2165" spans="1:12" ht="20.100000000000001" customHeight="1" x14ac:dyDescent="0.25">
      <c r="A2165" s="486" t="s">
        <v>3168</v>
      </c>
      <c r="B2165" s="487"/>
      <c r="C2165" s="487"/>
      <c r="D2165" s="487"/>
      <c r="E2165" s="487"/>
      <c r="F2165" s="487"/>
      <c r="G2165" s="487"/>
      <c r="H2165" s="487"/>
      <c r="I2165" s="487"/>
      <c r="J2165" s="487"/>
      <c r="K2165" s="487"/>
      <c r="L2165" s="513"/>
    </row>
    <row r="2166" spans="1:12" ht="12.95" customHeight="1" x14ac:dyDescent="0.25">
      <c r="A2166" s="518" t="s">
        <v>2641</v>
      </c>
      <c r="B2166" s="519"/>
      <c r="C2166" s="519"/>
      <c r="D2166" s="520" t="s">
        <v>2642</v>
      </c>
      <c r="E2166" s="520"/>
      <c r="F2166" s="515" t="s">
        <v>2643</v>
      </c>
      <c r="G2166" s="515"/>
      <c r="H2166" s="515" t="s">
        <v>2644</v>
      </c>
      <c r="I2166" s="515"/>
      <c r="J2166" s="515"/>
      <c r="K2166" s="515"/>
      <c r="L2166" s="521" t="s">
        <v>1839</v>
      </c>
    </row>
    <row r="2167" spans="1:12" ht="12" customHeight="1" x14ac:dyDescent="0.25">
      <c r="A2167" s="518"/>
      <c r="B2167" s="519"/>
      <c r="C2167" s="519"/>
      <c r="D2167" s="520"/>
      <c r="E2167" s="520"/>
      <c r="F2167" s="230" t="s">
        <v>2645</v>
      </c>
      <c r="G2167" s="230" t="s">
        <v>2646</v>
      </c>
      <c r="H2167" s="476" t="s">
        <v>2645</v>
      </c>
      <c r="I2167" s="476"/>
      <c r="J2167" s="476" t="s">
        <v>2646</v>
      </c>
      <c r="K2167" s="476"/>
      <c r="L2167" s="521"/>
    </row>
    <row r="2168" spans="1:12" ht="15.95" customHeight="1" x14ac:dyDescent="0.25">
      <c r="A2168" s="170" t="s">
        <v>3169</v>
      </c>
      <c r="B2168" s="492" t="s">
        <v>2518</v>
      </c>
      <c r="C2168" s="492"/>
      <c r="D2168" s="524">
        <v>6.6699999999999995E-5</v>
      </c>
      <c r="E2168" s="524"/>
      <c r="F2168" s="244">
        <v>1</v>
      </c>
      <c r="G2168" s="244">
        <v>0</v>
      </c>
      <c r="H2168" s="523">
        <v>12936.52</v>
      </c>
      <c r="I2168" s="523"/>
      <c r="J2168" s="523">
        <v>0</v>
      </c>
      <c r="K2168" s="523"/>
      <c r="L2168" s="371">
        <f>TRUNC(D2168*(TRUNC(F2168*H2168,4)+TRUNC(G2168*J2168,4)),4)</f>
        <v>0.86280000000000001</v>
      </c>
    </row>
    <row r="2169" spans="1:12" ht="15" customHeight="1" x14ac:dyDescent="0.25">
      <c r="A2169" s="184"/>
      <c r="B2169" s="141"/>
      <c r="C2169" s="141"/>
      <c r="D2169" s="141"/>
      <c r="E2169" s="141"/>
      <c r="F2169" s="141"/>
      <c r="G2169" s="141"/>
      <c r="H2169" s="491" t="s">
        <v>2649</v>
      </c>
      <c r="I2169" s="491"/>
      <c r="J2169" s="491"/>
      <c r="K2169" s="491"/>
      <c r="L2169" s="373">
        <f>SUM(L2167:L2168)</f>
        <v>0.86280000000000001</v>
      </c>
    </row>
    <row r="2170" spans="1:12" ht="15" customHeight="1" x14ac:dyDescent="0.25">
      <c r="A2170" s="182"/>
      <c r="B2170" s="183"/>
      <c r="C2170" s="183"/>
      <c r="D2170" s="183"/>
      <c r="E2170" s="183"/>
      <c r="F2170" s="183"/>
      <c r="G2170" s="183"/>
      <c r="H2170" s="482" t="s">
        <v>1845</v>
      </c>
      <c r="I2170" s="482"/>
      <c r="J2170" s="482"/>
      <c r="K2170" s="482"/>
      <c r="L2170" s="371">
        <f>SUM(L2169)</f>
        <v>0.86280000000000001</v>
      </c>
    </row>
    <row r="2171" spans="1:12" ht="15" customHeight="1" x14ac:dyDescent="0.25">
      <c r="A2171" s="182"/>
      <c r="B2171" s="183"/>
      <c r="C2171" s="183"/>
      <c r="D2171" s="183"/>
      <c r="E2171" s="183"/>
      <c r="F2171" s="183"/>
      <c r="G2171" s="183"/>
      <c r="H2171" s="482" t="s">
        <v>1846</v>
      </c>
      <c r="I2171" s="482"/>
      <c r="J2171" s="482"/>
      <c r="K2171" s="482"/>
      <c r="L2171" s="374">
        <v>1</v>
      </c>
    </row>
    <row r="2172" spans="1:12" ht="15" customHeight="1" x14ac:dyDescent="0.25">
      <c r="A2172" s="182"/>
      <c r="B2172" s="183"/>
      <c r="C2172" s="183"/>
      <c r="D2172" s="183"/>
      <c r="E2172" s="183"/>
      <c r="F2172" s="183"/>
      <c r="G2172" s="183"/>
      <c r="H2172" s="482" t="s">
        <v>1847</v>
      </c>
      <c r="I2172" s="482"/>
      <c r="J2172" s="482"/>
      <c r="K2172" s="482"/>
      <c r="L2172" s="371">
        <f>TRUNC(L2170/L2171,4)</f>
        <v>0.86280000000000001</v>
      </c>
    </row>
    <row r="2173" spans="1:12" ht="15" customHeight="1" x14ac:dyDescent="0.25">
      <c r="A2173" s="182"/>
      <c r="B2173" s="183"/>
      <c r="C2173" s="183"/>
      <c r="D2173" s="183"/>
      <c r="E2173" s="183"/>
      <c r="F2173" s="183"/>
      <c r="G2173" s="183"/>
      <c r="H2173" s="482" t="s">
        <v>1848</v>
      </c>
      <c r="I2173" s="482"/>
      <c r="J2173" s="482"/>
      <c r="K2173" s="482"/>
      <c r="L2173" s="371">
        <f>SUM(L2172)</f>
        <v>0.86280000000000001</v>
      </c>
    </row>
    <row r="2174" spans="1:12" ht="15" customHeight="1" x14ac:dyDescent="0.25">
      <c r="A2174" s="182"/>
      <c r="B2174" s="183"/>
      <c r="C2174" s="183"/>
      <c r="D2174" s="183"/>
      <c r="E2174" s="183"/>
      <c r="F2174" s="183"/>
      <c r="G2174" s="183"/>
      <c r="H2174" s="482" t="s">
        <v>1834</v>
      </c>
      <c r="I2174" s="482"/>
      <c r="J2174" s="482"/>
      <c r="K2174" s="482"/>
      <c r="L2174" s="369">
        <f>ROUND(SUM(L2173),2)</f>
        <v>0.86</v>
      </c>
    </row>
    <row r="2175" spans="1:12" ht="9.9499999999999993" customHeight="1" x14ac:dyDescent="0.25">
      <c r="A2175" s="182"/>
      <c r="B2175" s="183"/>
      <c r="C2175" s="183"/>
      <c r="D2175" s="183"/>
      <c r="E2175" s="183"/>
      <c r="F2175" s="183"/>
      <c r="G2175" s="183"/>
      <c r="H2175" s="485"/>
      <c r="I2175" s="485"/>
      <c r="J2175" s="485"/>
      <c r="K2175" s="485"/>
      <c r="L2175" s="512"/>
    </row>
    <row r="2176" spans="1:12" ht="20.100000000000001" customHeight="1" x14ac:dyDescent="0.25">
      <c r="A2176" s="486" t="s">
        <v>3170</v>
      </c>
      <c r="B2176" s="487"/>
      <c r="C2176" s="487"/>
      <c r="D2176" s="487"/>
      <c r="E2176" s="487"/>
      <c r="F2176" s="487"/>
      <c r="G2176" s="487"/>
      <c r="H2176" s="487"/>
      <c r="I2176" s="487"/>
      <c r="J2176" s="487"/>
      <c r="K2176" s="487"/>
      <c r="L2176" s="513"/>
    </row>
    <row r="2177" spans="1:12" ht="20.100000000000001" customHeight="1" x14ac:dyDescent="0.25">
      <c r="A2177" s="488" t="s">
        <v>1880</v>
      </c>
      <c r="B2177" s="489"/>
      <c r="C2177" s="489"/>
      <c r="D2177" s="489"/>
      <c r="E2177" s="489"/>
      <c r="F2177" s="489"/>
      <c r="G2177" s="233" t="s">
        <v>44</v>
      </c>
      <c r="H2177" s="515" t="s">
        <v>1837</v>
      </c>
      <c r="I2177" s="515"/>
      <c r="J2177" s="515" t="s">
        <v>1881</v>
      </c>
      <c r="K2177" s="515"/>
      <c r="L2177" s="169" t="s">
        <v>1882</v>
      </c>
    </row>
    <row r="2178" spans="1:12" ht="15" customHeight="1" x14ac:dyDescent="0.25">
      <c r="A2178" s="170" t="s">
        <v>3171</v>
      </c>
      <c r="B2178" s="492" t="s">
        <v>2523</v>
      </c>
      <c r="C2178" s="492"/>
      <c r="D2178" s="492"/>
      <c r="E2178" s="492"/>
      <c r="F2178" s="492"/>
      <c r="G2178" s="127" t="s">
        <v>1006</v>
      </c>
      <c r="H2178" s="524">
        <v>1.03</v>
      </c>
      <c r="I2178" s="524"/>
      <c r="J2178" s="525">
        <v>6.41</v>
      </c>
      <c r="K2178" s="525"/>
      <c r="L2178" s="171">
        <f>TRUNC(TRUNC(H2178,8)*J2178,2)</f>
        <v>6.6</v>
      </c>
    </row>
    <row r="2179" spans="1:12" ht="15" customHeight="1" x14ac:dyDescent="0.25">
      <c r="A2179" s="184"/>
      <c r="B2179" s="141"/>
      <c r="C2179" s="141"/>
      <c r="D2179" s="141"/>
      <c r="E2179" s="141"/>
      <c r="F2179" s="141"/>
      <c r="G2179" s="141"/>
      <c r="H2179" s="491" t="s">
        <v>1889</v>
      </c>
      <c r="I2179" s="491"/>
      <c r="J2179" s="491"/>
      <c r="K2179" s="491"/>
      <c r="L2179" s="375">
        <f>SUM(L2178:L2178)</f>
        <v>6.6</v>
      </c>
    </row>
    <row r="2180" spans="1:12" ht="15" customHeight="1" x14ac:dyDescent="0.25">
      <c r="A2180" s="182"/>
      <c r="B2180" s="183"/>
      <c r="C2180" s="183"/>
      <c r="D2180" s="183"/>
      <c r="E2180" s="183"/>
      <c r="F2180" s="183"/>
      <c r="G2180" s="183"/>
      <c r="H2180" s="482" t="s">
        <v>1848</v>
      </c>
      <c r="I2180" s="482"/>
      <c r="J2180" s="482"/>
      <c r="K2180" s="482"/>
      <c r="L2180" s="371">
        <f>SUM(L2179)</f>
        <v>6.6</v>
      </c>
    </row>
    <row r="2181" spans="1:12" ht="15" customHeight="1" x14ac:dyDescent="0.25">
      <c r="A2181" s="182"/>
      <c r="B2181" s="183"/>
      <c r="C2181" s="183"/>
      <c r="D2181" s="183"/>
      <c r="E2181" s="183"/>
      <c r="F2181" s="183"/>
      <c r="G2181" s="183"/>
      <c r="H2181" s="482" t="s">
        <v>1834</v>
      </c>
      <c r="I2181" s="482"/>
      <c r="J2181" s="482"/>
      <c r="K2181" s="482"/>
      <c r="L2181" s="369">
        <f>ROUND(SUM(L2180),2)</f>
        <v>6.6</v>
      </c>
    </row>
    <row r="2182" spans="1:12" ht="9.9499999999999993" customHeight="1" x14ac:dyDescent="0.25">
      <c r="A2182" s="182"/>
      <c r="B2182" s="183"/>
      <c r="C2182" s="183"/>
      <c r="D2182" s="183"/>
      <c r="E2182" s="183"/>
      <c r="F2182" s="183"/>
      <c r="G2182" s="183"/>
      <c r="H2182" s="485"/>
      <c r="I2182" s="485"/>
      <c r="J2182" s="485"/>
      <c r="K2182" s="485"/>
      <c r="L2182" s="512"/>
    </row>
    <row r="2183" spans="1:12" ht="20.100000000000001" customHeight="1" x14ac:dyDescent="0.25">
      <c r="A2183" s="486" t="s">
        <v>3172</v>
      </c>
      <c r="B2183" s="487"/>
      <c r="C2183" s="487"/>
      <c r="D2183" s="487"/>
      <c r="E2183" s="487"/>
      <c r="F2183" s="487"/>
      <c r="G2183" s="487"/>
      <c r="H2183" s="487"/>
      <c r="I2183" s="487"/>
      <c r="J2183" s="487"/>
      <c r="K2183" s="487"/>
      <c r="L2183" s="513"/>
    </row>
    <row r="2184" spans="1:12" ht="12.95" customHeight="1" x14ac:dyDescent="0.25">
      <c r="A2184" s="518" t="s">
        <v>2641</v>
      </c>
      <c r="B2184" s="519"/>
      <c r="C2184" s="519"/>
      <c r="D2184" s="520" t="s">
        <v>2642</v>
      </c>
      <c r="E2184" s="520"/>
      <c r="F2184" s="515" t="s">
        <v>2643</v>
      </c>
      <c r="G2184" s="515"/>
      <c r="H2184" s="515" t="s">
        <v>2644</v>
      </c>
      <c r="I2184" s="515"/>
      <c r="J2184" s="515"/>
      <c r="K2184" s="515"/>
      <c r="L2184" s="521" t="s">
        <v>1839</v>
      </c>
    </row>
    <row r="2185" spans="1:12" ht="12" customHeight="1" x14ac:dyDescent="0.25">
      <c r="A2185" s="518"/>
      <c r="B2185" s="519"/>
      <c r="C2185" s="519"/>
      <c r="D2185" s="520"/>
      <c r="E2185" s="520"/>
      <c r="F2185" s="230" t="s">
        <v>2645</v>
      </c>
      <c r="G2185" s="230" t="s">
        <v>2646</v>
      </c>
      <c r="H2185" s="476" t="s">
        <v>2645</v>
      </c>
      <c r="I2185" s="476"/>
      <c r="J2185" s="476" t="s">
        <v>2646</v>
      </c>
      <c r="K2185" s="476"/>
      <c r="L2185" s="521"/>
    </row>
    <row r="2186" spans="1:12" ht="15.95" customHeight="1" x14ac:dyDescent="0.25">
      <c r="A2186" s="170" t="s">
        <v>3169</v>
      </c>
      <c r="B2186" s="492" t="s">
        <v>2518</v>
      </c>
      <c r="C2186" s="492"/>
      <c r="D2186" s="524">
        <v>5.3300000000000001E-5</v>
      </c>
      <c r="E2186" s="524"/>
      <c r="F2186" s="244">
        <v>1</v>
      </c>
      <c r="G2186" s="244">
        <v>0</v>
      </c>
      <c r="H2186" s="523">
        <v>12936.52</v>
      </c>
      <c r="I2186" s="523"/>
      <c r="J2186" s="523">
        <v>0</v>
      </c>
      <c r="K2186" s="523"/>
      <c r="L2186" s="371">
        <f>TRUNC(D2186*(TRUNC(F2186*H2186,4)+TRUNC(G2186*J2186,4)),4)</f>
        <v>0.6895</v>
      </c>
    </row>
    <row r="2187" spans="1:12" ht="15" customHeight="1" x14ac:dyDescent="0.25">
      <c r="A2187" s="184"/>
      <c r="B2187" s="141"/>
      <c r="C2187" s="141"/>
      <c r="D2187" s="141"/>
      <c r="E2187" s="141"/>
      <c r="F2187" s="141"/>
      <c r="G2187" s="141"/>
      <c r="H2187" s="491" t="s">
        <v>2649</v>
      </c>
      <c r="I2187" s="491"/>
      <c r="J2187" s="491"/>
      <c r="K2187" s="491"/>
      <c r="L2187" s="373">
        <f>SUM(L2185:L2186)</f>
        <v>0.6895</v>
      </c>
    </row>
    <row r="2188" spans="1:12" ht="15" customHeight="1" x14ac:dyDescent="0.25">
      <c r="A2188" s="182"/>
      <c r="B2188" s="183"/>
      <c r="C2188" s="183"/>
      <c r="D2188" s="183"/>
      <c r="E2188" s="183"/>
      <c r="F2188" s="183"/>
      <c r="G2188" s="183"/>
      <c r="H2188" s="482" t="s">
        <v>1845</v>
      </c>
      <c r="I2188" s="482"/>
      <c r="J2188" s="482"/>
      <c r="K2188" s="482"/>
      <c r="L2188" s="371">
        <f>SUM(L2187)</f>
        <v>0.6895</v>
      </c>
    </row>
    <row r="2189" spans="1:12" ht="15" customHeight="1" x14ac:dyDescent="0.25">
      <c r="A2189" s="182"/>
      <c r="B2189" s="183"/>
      <c r="C2189" s="183"/>
      <c r="D2189" s="183"/>
      <c r="E2189" s="183"/>
      <c r="F2189" s="183"/>
      <c r="G2189" s="183"/>
      <c r="H2189" s="482" t="s">
        <v>1846</v>
      </c>
      <c r="I2189" s="482"/>
      <c r="J2189" s="482"/>
      <c r="K2189" s="482"/>
      <c r="L2189" s="374">
        <v>1</v>
      </c>
    </row>
    <row r="2190" spans="1:12" ht="15" customHeight="1" x14ac:dyDescent="0.25">
      <c r="A2190" s="182"/>
      <c r="B2190" s="183"/>
      <c r="C2190" s="183"/>
      <c r="D2190" s="183"/>
      <c r="E2190" s="183"/>
      <c r="F2190" s="183"/>
      <c r="G2190" s="183"/>
      <c r="H2190" s="482" t="s">
        <v>1847</v>
      </c>
      <c r="I2190" s="482"/>
      <c r="J2190" s="482"/>
      <c r="K2190" s="482"/>
      <c r="L2190" s="371">
        <f>TRUNC(L2188/L2189,4)</f>
        <v>0.6895</v>
      </c>
    </row>
    <row r="2191" spans="1:12" ht="15" customHeight="1" x14ac:dyDescent="0.25">
      <c r="A2191" s="182"/>
      <c r="B2191" s="183"/>
      <c r="C2191" s="183"/>
      <c r="D2191" s="183"/>
      <c r="E2191" s="183"/>
      <c r="F2191" s="183"/>
      <c r="G2191" s="183"/>
      <c r="H2191" s="482" t="s">
        <v>1848</v>
      </c>
      <c r="I2191" s="482"/>
      <c r="J2191" s="482"/>
      <c r="K2191" s="482"/>
      <c r="L2191" s="371">
        <f>SUM(L2190)</f>
        <v>0.6895</v>
      </c>
    </row>
    <row r="2192" spans="1:12" ht="15" customHeight="1" x14ac:dyDescent="0.25">
      <c r="A2192" s="182"/>
      <c r="B2192" s="183"/>
      <c r="C2192" s="183"/>
      <c r="D2192" s="183"/>
      <c r="E2192" s="183"/>
      <c r="F2192" s="183"/>
      <c r="G2192" s="183"/>
      <c r="H2192" s="482" t="s">
        <v>1834</v>
      </c>
      <c r="I2192" s="482"/>
      <c r="J2192" s="482"/>
      <c r="K2192" s="482"/>
      <c r="L2192" s="369">
        <f>ROUND(SUM(L2191),2)</f>
        <v>0.69</v>
      </c>
    </row>
    <row r="2193" spans="1:12" ht="9.9499999999999993" customHeight="1" x14ac:dyDescent="0.25">
      <c r="A2193" s="182"/>
      <c r="B2193" s="183"/>
      <c r="C2193" s="183"/>
      <c r="D2193" s="183"/>
      <c r="E2193" s="183"/>
      <c r="F2193" s="183"/>
      <c r="G2193" s="183"/>
      <c r="H2193" s="485"/>
      <c r="I2193" s="485"/>
      <c r="J2193" s="485"/>
      <c r="K2193" s="485"/>
      <c r="L2193" s="512"/>
    </row>
    <row r="2194" spans="1:12" ht="20.100000000000001" customHeight="1" x14ac:dyDescent="0.25">
      <c r="A2194" s="486" t="s">
        <v>3173</v>
      </c>
      <c r="B2194" s="487"/>
      <c r="C2194" s="487"/>
      <c r="D2194" s="487"/>
      <c r="E2194" s="487"/>
      <c r="F2194" s="487"/>
      <c r="G2194" s="487"/>
      <c r="H2194" s="487"/>
      <c r="I2194" s="487"/>
      <c r="J2194" s="487"/>
      <c r="K2194" s="487"/>
      <c r="L2194" s="513"/>
    </row>
    <row r="2195" spans="1:12" ht="12.95" customHeight="1" x14ac:dyDescent="0.25">
      <c r="A2195" s="518" t="s">
        <v>2641</v>
      </c>
      <c r="B2195" s="519"/>
      <c r="C2195" s="519"/>
      <c r="D2195" s="520" t="s">
        <v>2642</v>
      </c>
      <c r="E2195" s="520"/>
      <c r="F2195" s="515" t="s">
        <v>2643</v>
      </c>
      <c r="G2195" s="515"/>
      <c r="H2195" s="515" t="s">
        <v>2644</v>
      </c>
      <c r="I2195" s="515"/>
      <c r="J2195" s="515"/>
      <c r="K2195" s="515"/>
      <c r="L2195" s="521" t="s">
        <v>1839</v>
      </c>
    </row>
    <row r="2196" spans="1:12" ht="12" customHeight="1" x14ac:dyDescent="0.25">
      <c r="A2196" s="518"/>
      <c r="B2196" s="519"/>
      <c r="C2196" s="519"/>
      <c r="D2196" s="520"/>
      <c r="E2196" s="520"/>
      <c r="F2196" s="230" t="s">
        <v>2645</v>
      </c>
      <c r="G2196" s="230" t="s">
        <v>2646</v>
      </c>
      <c r="H2196" s="476" t="s">
        <v>2645</v>
      </c>
      <c r="I2196" s="476"/>
      <c r="J2196" s="476" t="s">
        <v>2646</v>
      </c>
      <c r="K2196" s="476"/>
      <c r="L2196" s="521"/>
    </row>
    <row r="2197" spans="1:12" ht="15.95" customHeight="1" x14ac:dyDescent="0.25">
      <c r="A2197" s="170" t="s">
        <v>3169</v>
      </c>
      <c r="B2197" s="492" t="s">
        <v>2518</v>
      </c>
      <c r="C2197" s="492"/>
      <c r="D2197" s="524">
        <v>7.4000000000000003E-6</v>
      </c>
      <c r="E2197" s="524"/>
      <c r="F2197" s="244">
        <v>1</v>
      </c>
      <c r="G2197" s="244">
        <v>0</v>
      </c>
      <c r="H2197" s="523">
        <v>12936.52</v>
      </c>
      <c r="I2197" s="523"/>
      <c r="J2197" s="523">
        <v>0</v>
      </c>
      <c r="K2197" s="523"/>
      <c r="L2197" s="371">
        <f>TRUNC(D2197*(TRUNC(F2197*H2197,4)+TRUNC(G2197*J2197,4)),4)</f>
        <v>9.5699999999999993E-2</v>
      </c>
    </row>
    <row r="2198" spans="1:12" ht="15" customHeight="1" x14ac:dyDescent="0.25">
      <c r="A2198" s="184"/>
      <c r="B2198" s="141"/>
      <c r="C2198" s="141"/>
      <c r="D2198" s="141"/>
      <c r="E2198" s="141"/>
      <c r="F2198" s="141"/>
      <c r="G2198" s="141"/>
      <c r="H2198" s="491" t="s">
        <v>2649</v>
      </c>
      <c r="I2198" s="491"/>
      <c r="J2198" s="491"/>
      <c r="K2198" s="491"/>
      <c r="L2198" s="373">
        <f>SUM(L2196:L2197)</f>
        <v>9.5699999999999993E-2</v>
      </c>
    </row>
    <row r="2199" spans="1:12" ht="15" customHeight="1" x14ac:dyDescent="0.25">
      <c r="A2199" s="182"/>
      <c r="B2199" s="183"/>
      <c r="C2199" s="183"/>
      <c r="D2199" s="183"/>
      <c r="E2199" s="183"/>
      <c r="F2199" s="183"/>
      <c r="G2199" s="183"/>
      <c r="H2199" s="482" t="s">
        <v>1845</v>
      </c>
      <c r="I2199" s="482"/>
      <c r="J2199" s="482"/>
      <c r="K2199" s="482"/>
      <c r="L2199" s="371">
        <f>SUM(L2198)</f>
        <v>9.5699999999999993E-2</v>
      </c>
    </row>
    <row r="2200" spans="1:12" ht="15" customHeight="1" x14ac:dyDescent="0.25">
      <c r="A2200" s="182"/>
      <c r="B2200" s="183"/>
      <c r="C2200" s="183"/>
      <c r="D2200" s="183"/>
      <c r="E2200" s="183"/>
      <c r="F2200" s="183"/>
      <c r="G2200" s="183"/>
      <c r="H2200" s="482" t="s">
        <v>1846</v>
      </c>
      <c r="I2200" s="482"/>
      <c r="J2200" s="482"/>
      <c r="K2200" s="482"/>
      <c r="L2200" s="374">
        <v>1</v>
      </c>
    </row>
    <row r="2201" spans="1:12" ht="15" customHeight="1" x14ac:dyDescent="0.25">
      <c r="A2201" s="182"/>
      <c r="B2201" s="183"/>
      <c r="C2201" s="183"/>
      <c r="D2201" s="183"/>
      <c r="E2201" s="183"/>
      <c r="F2201" s="183"/>
      <c r="G2201" s="183"/>
      <c r="H2201" s="482" t="s">
        <v>1847</v>
      </c>
      <c r="I2201" s="482"/>
      <c r="J2201" s="482"/>
      <c r="K2201" s="482"/>
      <c r="L2201" s="371">
        <f>TRUNC(L2199/L2200,4)</f>
        <v>9.5699999999999993E-2</v>
      </c>
    </row>
    <row r="2202" spans="1:12" ht="15" customHeight="1" x14ac:dyDescent="0.25">
      <c r="A2202" s="182"/>
      <c r="B2202" s="183"/>
      <c r="C2202" s="183"/>
      <c r="D2202" s="183"/>
      <c r="E2202" s="183"/>
      <c r="F2202" s="183"/>
      <c r="G2202" s="183"/>
      <c r="H2202" s="482" t="s">
        <v>1848</v>
      </c>
      <c r="I2202" s="482"/>
      <c r="J2202" s="482"/>
      <c r="K2202" s="482"/>
      <c r="L2202" s="371">
        <f>SUM(L2201)</f>
        <v>9.5699999999999993E-2</v>
      </c>
    </row>
    <row r="2203" spans="1:12" ht="15" customHeight="1" x14ac:dyDescent="0.25">
      <c r="A2203" s="182"/>
      <c r="B2203" s="183"/>
      <c r="C2203" s="183"/>
      <c r="D2203" s="183"/>
      <c r="E2203" s="183"/>
      <c r="F2203" s="183"/>
      <c r="G2203" s="183"/>
      <c r="H2203" s="482" t="s">
        <v>1834</v>
      </c>
      <c r="I2203" s="482"/>
      <c r="J2203" s="482"/>
      <c r="K2203" s="482"/>
      <c r="L2203" s="369">
        <f>ROUND(SUM(L2202),2)</f>
        <v>0.1</v>
      </c>
    </row>
    <row r="2204" spans="1:12" ht="9.9499999999999993" customHeight="1" x14ac:dyDescent="0.25">
      <c r="A2204" s="182"/>
      <c r="B2204" s="183"/>
      <c r="C2204" s="183"/>
      <c r="D2204" s="183"/>
      <c r="E2204" s="183"/>
      <c r="F2204" s="183"/>
      <c r="G2204" s="183"/>
      <c r="H2204" s="485"/>
      <c r="I2204" s="485"/>
      <c r="J2204" s="485"/>
      <c r="K2204" s="485"/>
      <c r="L2204" s="512"/>
    </row>
    <row r="2205" spans="1:12" ht="20.100000000000001" customHeight="1" x14ac:dyDescent="0.25">
      <c r="A2205" s="486" t="s">
        <v>3174</v>
      </c>
      <c r="B2205" s="487"/>
      <c r="C2205" s="487"/>
      <c r="D2205" s="487"/>
      <c r="E2205" s="487"/>
      <c r="F2205" s="487"/>
      <c r="G2205" s="487"/>
      <c r="H2205" s="487"/>
      <c r="I2205" s="487"/>
      <c r="J2205" s="487"/>
      <c r="K2205" s="487"/>
      <c r="L2205" s="513"/>
    </row>
    <row r="2206" spans="1:12" ht="20.100000000000001" customHeight="1" x14ac:dyDescent="0.25">
      <c r="A2206" s="488" t="s">
        <v>2009</v>
      </c>
      <c r="B2206" s="489"/>
      <c r="C2206" s="489"/>
      <c r="D2206" s="489"/>
      <c r="E2206" s="489"/>
      <c r="F2206" s="489"/>
      <c r="G2206" s="233" t="s">
        <v>44</v>
      </c>
      <c r="H2206" s="515" t="s">
        <v>1837</v>
      </c>
      <c r="I2206" s="515"/>
      <c r="J2206" s="515" t="s">
        <v>1814</v>
      </c>
      <c r="K2206" s="515"/>
      <c r="L2206" s="169" t="s">
        <v>1882</v>
      </c>
    </row>
    <row r="2207" spans="1:12" ht="24" customHeight="1" x14ac:dyDescent="0.25">
      <c r="A2207" s="170" t="s">
        <v>3175</v>
      </c>
      <c r="B2207" s="492" t="s">
        <v>3176</v>
      </c>
      <c r="C2207" s="492"/>
      <c r="D2207" s="492"/>
      <c r="E2207" s="492"/>
      <c r="F2207" s="492"/>
      <c r="G2207" s="127"/>
      <c r="H2207" s="526">
        <v>1</v>
      </c>
      <c r="I2207" s="526"/>
      <c r="J2207" s="525">
        <v>0.4</v>
      </c>
      <c r="K2207" s="525"/>
      <c r="L2207" s="171">
        <f>TRUNC(TRUNC(H2207,8)*J2207,2)</f>
        <v>0.4</v>
      </c>
    </row>
    <row r="2208" spans="1:12" ht="15.95" customHeight="1" x14ac:dyDescent="0.25">
      <c r="A2208" s="170" t="s">
        <v>3177</v>
      </c>
      <c r="B2208" s="492" t="s">
        <v>3178</v>
      </c>
      <c r="C2208" s="492"/>
      <c r="D2208" s="492"/>
      <c r="E2208" s="492"/>
      <c r="F2208" s="492"/>
      <c r="G2208" s="127"/>
      <c r="H2208" s="526">
        <v>1</v>
      </c>
      <c r="I2208" s="526"/>
      <c r="J2208" s="525">
        <v>0.04</v>
      </c>
      <c r="K2208" s="525"/>
      <c r="L2208" s="171">
        <f>TRUNC(TRUNC(H2208,8)*J2208,2)</f>
        <v>0.04</v>
      </c>
    </row>
    <row r="2209" spans="1:12" ht="15" customHeight="1" x14ac:dyDescent="0.25">
      <c r="A2209" s="184"/>
      <c r="B2209" s="141"/>
      <c r="C2209" s="141"/>
      <c r="D2209" s="141"/>
      <c r="E2209" s="141"/>
      <c r="F2209" s="141"/>
      <c r="G2209" s="141"/>
      <c r="H2209" s="491" t="s">
        <v>2014</v>
      </c>
      <c r="I2209" s="491"/>
      <c r="J2209" s="491"/>
      <c r="K2209" s="491"/>
      <c r="L2209" s="375">
        <f>SUM(L2207:L2208)</f>
        <v>0.44</v>
      </c>
    </row>
    <row r="2210" spans="1:12" ht="15" customHeight="1" x14ac:dyDescent="0.25">
      <c r="A2210" s="182"/>
      <c r="B2210" s="183"/>
      <c r="C2210" s="183"/>
      <c r="D2210" s="183"/>
      <c r="E2210" s="183"/>
      <c r="F2210" s="183"/>
      <c r="G2210" s="183"/>
      <c r="H2210" s="482" t="s">
        <v>1848</v>
      </c>
      <c r="I2210" s="482"/>
      <c r="J2210" s="482"/>
      <c r="K2210" s="482"/>
      <c r="L2210" s="371">
        <f>SUM(L2209)</f>
        <v>0.44</v>
      </c>
    </row>
    <row r="2211" spans="1:12" ht="15" customHeight="1" x14ac:dyDescent="0.25">
      <c r="A2211" s="182"/>
      <c r="B2211" s="183"/>
      <c r="C2211" s="183"/>
      <c r="D2211" s="183"/>
      <c r="E2211" s="183"/>
      <c r="F2211" s="183"/>
      <c r="G2211" s="183"/>
      <c r="H2211" s="482" t="s">
        <v>1834</v>
      </c>
      <c r="I2211" s="482"/>
      <c r="J2211" s="482"/>
      <c r="K2211" s="482"/>
      <c r="L2211" s="369">
        <f>ROUND(SUM(L2210),2)</f>
        <v>0.44</v>
      </c>
    </row>
    <row r="2212" spans="1:12" ht="9.9499999999999993" customHeight="1" x14ac:dyDescent="0.25">
      <c r="A2212" s="182"/>
      <c r="B2212" s="183"/>
      <c r="C2212" s="183"/>
      <c r="D2212" s="183"/>
      <c r="E2212" s="183"/>
      <c r="F2212" s="183"/>
      <c r="G2212" s="183"/>
      <c r="H2212" s="485"/>
      <c r="I2212" s="485"/>
      <c r="J2212" s="485"/>
      <c r="K2212" s="485"/>
      <c r="L2212" s="512"/>
    </row>
    <row r="2213" spans="1:12" ht="20.100000000000001" customHeight="1" x14ac:dyDescent="0.25">
      <c r="A2213" s="486" t="s">
        <v>3179</v>
      </c>
      <c r="B2213" s="487"/>
      <c r="C2213" s="487"/>
      <c r="D2213" s="487"/>
      <c r="E2213" s="487"/>
      <c r="F2213" s="487"/>
      <c r="G2213" s="487"/>
      <c r="H2213" s="487"/>
      <c r="I2213" s="487"/>
      <c r="J2213" s="487"/>
      <c r="K2213" s="487"/>
      <c r="L2213" s="513"/>
    </row>
    <row r="2214" spans="1:12" ht="20.100000000000001" customHeight="1" x14ac:dyDescent="0.25">
      <c r="A2214" s="488" t="s">
        <v>2009</v>
      </c>
      <c r="B2214" s="489"/>
      <c r="C2214" s="489"/>
      <c r="D2214" s="489"/>
      <c r="E2214" s="489"/>
      <c r="F2214" s="489"/>
      <c r="G2214" s="233" t="s">
        <v>44</v>
      </c>
      <c r="H2214" s="515" t="s">
        <v>1837</v>
      </c>
      <c r="I2214" s="515"/>
      <c r="J2214" s="515" t="s">
        <v>1814</v>
      </c>
      <c r="K2214" s="515"/>
      <c r="L2214" s="169" t="s">
        <v>1882</v>
      </c>
    </row>
    <row r="2215" spans="1:12" ht="24" customHeight="1" x14ac:dyDescent="0.25">
      <c r="A2215" s="170" t="s">
        <v>3175</v>
      </c>
      <c r="B2215" s="492" t="s">
        <v>3176</v>
      </c>
      <c r="C2215" s="492"/>
      <c r="D2215" s="492"/>
      <c r="E2215" s="492"/>
      <c r="F2215" s="492"/>
      <c r="G2215" s="127"/>
      <c r="H2215" s="526">
        <v>1</v>
      </c>
      <c r="I2215" s="526"/>
      <c r="J2215" s="525">
        <v>0.4</v>
      </c>
      <c r="K2215" s="525"/>
      <c r="L2215" s="171">
        <f>TRUNC(TRUNC(H2215,8)*J2215,2)</f>
        <v>0.4</v>
      </c>
    </row>
    <row r="2216" spans="1:12" ht="15.95" customHeight="1" x14ac:dyDescent="0.25">
      <c r="A2216" s="170" t="s">
        <v>3177</v>
      </c>
      <c r="B2216" s="492" t="s">
        <v>3178</v>
      </c>
      <c r="C2216" s="492"/>
      <c r="D2216" s="492"/>
      <c r="E2216" s="492"/>
      <c r="F2216" s="492"/>
      <c r="G2216" s="127"/>
      <c r="H2216" s="526">
        <v>1</v>
      </c>
      <c r="I2216" s="526"/>
      <c r="J2216" s="525">
        <v>0.04</v>
      </c>
      <c r="K2216" s="525"/>
      <c r="L2216" s="171">
        <f>TRUNC(TRUNC(H2216,8)*J2216,2)</f>
        <v>0.04</v>
      </c>
    </row>
    <row r="2217" spans="1:12" ht="24" customHeight="1" x14ac:dyDescent="0.25">
      <c r="A2217" s="170" t="s">
        <v>3180</v>
      </c>
      <c r="B2217" s="492" t="s">
        <v>3181</v>
      </c>
      <c r="C2217" s="492"/>
      <c r="D2217" s="492"/>
      <c r="E2217" s="492"/>
      <c r="F2217" s="492"/>
      <c r="G2217" s="127"/>
      <c r="H2217" s="526">
        <v>1</v>
      </c>
      <c r="I2217" s="526"/>
      <c r="J2217" s="525">
        <v>0.51</v>
      </c>
      <c r="K2217" s="525"/>
      <c r="L2217" s="171">
        <f>TRUNC(TRUNC(H2217,8)*J2217,2)</f>
        <v>0.51</v>
      </c>
    </row>
    <row r="2218" spans="1:12" ht="24" customHeight="1" x14ac:dyDescent="0.25">
      <c r="A2218" s="170" t="s">
        <v>3182</v>
      </c>
      <c r="B2218" s="492" t="s">
        <v>3183</v>
      </c>
      <c r="C2218" s="492"/>
      <c r="D2218" s="492"/>
      <c r="E2218" s="492"/>
      <c r="F2218" s="492"/>
      <c r="G2218" s="127"/>
      <c r="H2218" s="526">
        <v>1</v>
      </c>
      <c r="I2218" s="526"/>
      <c r="J2218" s="525">
        <v>9.2899999999999991</v>
      </c>
      <c r="K2218" s="525"/>
      <c r="L2218" s="171">
        <f>TRUNC(TRUNC(H2218,8)*J2218,2)</f>
        <v>9.2899999999999991</v>
      </c>
    </row>
    <row r="2219" spans="1:12" ht="15" customHeight="1" x14ac:dyDescent="0.25">
      <c r="A2219" s="184"/>
      <c r="B2219" s="141"/>
      <c r="C2219" s="141"/>
      <c r="D2219" s="141"/>
      <c r="E2219" s="141"/>
      <c r="F2219" s="141"/>
      <c r="G2219" s="141"/>
      <c r="H2219" s="491" t="s">
        <v>2014</v>
      </c>
      <c r="I2219" s="491"/>
      <c r="J2219" s="491"/>
      <c r="K2219" s="491"/>
      <c r="L2219" s="375">
        <f>SUM(L2215:L2218)</f>
        <v>10.239999999999998</v>
      </c>
    </row>
    <row r="2220" spans="1:12" ht="15" customHeight="1" x14ac:dyDescent="0.25">
      <c r="A2220" s="182"/>
      <c r="B2220" s="183"/>
      <c r="C2220" s="183"/>
      <c r="D2220" s="183"/>
      <c r="E2220" s="183"/>
      <c r="F2220" s="183"/>
      <c r="G2220" s="183"/>
      <c r="H2220" s="482" t="s">
        <v>1848</v>
      </c>
      <c r="I2220" s="482"/>
      <c r="J2220" s="482"/>
      <c r="K2220" s="482"/>
      <c r="L2220" s="371">
        <f>SUM(L2219)</f>
        <v>10.239999999999998</v>
      </c>
    </row>
    <row r="2221" spans="1:12" ht="15" customHeight="1" x14ac:dyDescent="0.25">
      <c r="A2221" s="182"/>
      <c r="B2221" s="183"/>
      <c r="C2221" s="183"/>
      <c r="D2221" s="183"/>
      <c r="E2221" s="183"/>
      <c r="F2221" s="183"/>
      <c r="G2221" s="183"/>
      <c r="H2221" s="482" t="s">
        <v>1834</v>
      </c>
      <c r="I2221" s="482"/>
      <c r="J2221" s="482"/>
      <c r="K2221" s="482"/>
      <c r="L2221" s="369">
        <f>ROUND(SUM(L2220),2)</f>
        <v>10.24</v>
      </c>
    </row>
    <row r="2222" spans="1:12" ht="9.9499999999999993" customHeight="1" x14ac:dyDescent="0.25">
      <c r="A2222" s="182"/>
      <c r="B2222" s="183"/>
      <c r="C2222" s="183"/>
      <c r="D2222" s="183"/>
      <c r="E2222" s="183"/>
      <c r="F2222" s="183"/>
      <c r="G2222" s="183"/>
      <c r="H2222" s="485"/>
      <c r="I2222" s="485"/>
      <c r="J2222" s="485"/>
      <c r="K2222" s="485"/>
      <c r="L2222" s="512"/>
    </row>
    <row r="2223" spans="1:12" ht="20.100000000000001" customHeight="1" x14ac:dyDescent="0.25">
      <c r="A2223" s="486" t="s">
        <v>3184</v>
      </c>
      <c r="B2223" s="487"/>
      <c r="C2223" s="487"/>
      <c r="D2223" s="487"/>
      <c r="E2223" s="487"/>
      <c r="F2223" s="487"/>
      <c r="G2223" s="487"/>
      <c r="H2223" s="487"/>
      <c r="I2223" s="487"/>
      <c r="J2223" s="487"/>
      <c r="K2223" s="487"/>
      <c r="L2223" s="513"/>
    </row>
    <row r="2224" spans="1:12" ht="12.95" customHeight="1" x14ac:dyDescent="0.25">
      <c r="A2224" s="518" t="s">
        <v>2641</v>
      </c>
      <c r="B2224" s="519"/>
      <c r="C2224" s="519"/>
      <c r="D2224" s="520" t="s">
        <v>2642</v>
      </c>
      <c r="E2224" s="520"/>
      <c r="F2224" s="515" t="s">
        <v>2643</v>
      </c>
      <c r="G2224" s="515"/>
      <c r="H2224" s="515" t="s">
        <v>2644</v>
      </c>
      <c r="I2224" s="515"/>
      <c r="J2224" s="515"/>
      <c r="K2224" s="515"/>
      <c r="L2224" s="521" t="s">
        <v>1839</v>
      </c>
    </row>
    <row r="2225" spans="1:12" ht="12" customHeight="1" x14ac:dyDescent="0.25">
      <c r="A2225" s="518"/>
      <c r="B2225" s="519"/>
      <c r="C2225" s="519"/>
      <c r="D2225" s="520"/>
      <c r="E2225" s="520"/>
      <c r="F2225" s="230" t="s">
        <v>2645</v>
      </c>
      <c r="G2225" s="230" t="s">
        <v>2646</v>
      </c>
      <c r="H2225" s="476" t="s">
        <v>2645</v>
      </c>
      <c r="I2225" s="476"/>
      <c r="J2225" s="476" t="s">
        <v>2646</v>
      </c>
      <c r="K2225" s="476"/>
      <c r="L2225" s="521"/>
    </row>
    <row r="2226" spans="1:12" ht="24" customHeight="1" x14ac:dyDescent="0.25">
      <c r="A2226" s="170" t="s">
        <v>3185</v>
      </c>
      <c r="B2226" s="492" t="s">
        <v>3186</v>
      </c>
      <c r="C2226" s="492"/>
      <c r="D2226" s="524">
        <v>6.3999999999999997E-5</v>
      </c>
      <c r="E2226" s="524"/>
      <c r="F2226" s="244">
        <v>1</v>
      </c>
      <c r="G2226" s="244">
        <v>0</v>
      </c>
      <c r="H2226" s="523">
        <v>6175.81</v>
      </c>
      <c r="I2226" s="523"/>
      <c r="J2226" s="523">
        <v>0</v>
      </c>
      <c r="K2226" s="523"/>
      <c r="L2226" s="371">
        <f>TRUNC(D2226*(TRUNC(F2226*H2226,4)+TRUNC(G2226*J2226,4)),4)</f>
        <v>0.3952</v>
      </c>
    </row>
    <row r="2227" spans="1:12" ht="15" customHeight="1" x14ac:dyDescent="0.25">
      <c r="A2227" s="184"/>
      <c r="B2227" s="141"/>
      <c r="C2227" s="141"/>
      <c r="D2227" s="141"/>
      <c r="E2227" s="141"/>
      <c r="F2227" s="141"/>
      <c r="G2227" s="141"/>
      <c r="H2227" s="491" t="s">
        <v>2649</v>
      </c>
      <c r="I2227" s="491"/>
      <c r="J2227" s="491"/>
      <c r="K2227" s="491"/>
      <c r="L2227" s="373">
        <f>SUM(L2225:L2226)</f>
        <v>0.3952</v>
      </c>
    </row>
    <row r="2228" spans="1:12" ht="15" customHeight="1" x14ac:dyDescent="0.25">
      <c r="A2228" s="182"/>
      <c r="B2228" s="183"/>
      <c r="C2228" s="183"/>
      <c r="D2228" s="183"/>
      <c r="E2228" s="183"/>
      <c r="F2228" s="183"/>
      <c r="G2228" s="183"/>
      <c r="H2228" s="482" t="s">
        <v>1845</v>
      </c>
      <c r="I2228" s="482"/>
      <c r="J2228" s="482"/>
      <c r="K2228" s="482"/>
      <c r="L2228" s="371">
        <f>SUM(L2227)</f>
        <v>0.3952</v>
      </c>
    </row>
    <row r="2229" spans="1:12" ht="15" customHeight="1" x14ac:dyDescent="0.25">
      <c r="A2229" s="182"/>
      <c r="B2229" s="183"/>
      <c r="C2229" s="183"/>
      <c r="D2229" s="183"/>
      <c r="E2229" s="183"/>
      <c r="F2229" s="183"/>
      <c r="G2229" s="183"/>
      <c r="H2229" s="482" t="s">
        <v>1846</v>
      </c>
      <c r="I2229" s="482"/>
      <c r="J2229" s="482"/>
      <c r="K2229" s="482"/>
      <c r="L2229" s="374">
        <v>1</v>
      </c>
    </row>
    <row r="2230" spans="1:12" ht="15" customHeight="1" x14ac:dyDescent="0.25">
      <c r="A2230" s="182"/>
      <c r="B2230" s="183"/>
      <c r="C2230" s="183"/>
      <c r="D2230" s="183"/>
      <c r="E2230" s="183"/>
      <c r="F2230" s="183"/>
      <c r="G2230" s="183"/>
      <c r="H2230" s="482" t="s">
        <v>1847</v>
      </c>
      <c r="I2230" s="482"/>
      <c r="J2230" s="482"/>
      <c r="K2230" s="482"/>
      <c r="L2230" s="371">
        <f>TRUNC(L2228/L2229,4)</f>
        <v>0.3952</v>
      </c>
    </row>
    <row r="2231" spans="1:12" ht="20.100000000000001" customHeight="1" x14ac:dyDescent="0.25">
      <c r="A2231" s="488" t="s">
        <v>1880</v>
      </c>
      <c r="B2231" s="489"/>
      <c r="C2231" s="489"/>
      <c r="D2231" s="489"/>
      <c r="E2231" s="489"/>
      <c r="F2231" s="489"/>
      <c r="G2231" s="233" t="s">
        <v>44</v>
      </c>
      <c r="H2231" s="515" t="s">
        <v>1837</v>
      </c>
      <c r="I2231" s="515"/>
      <c r="J2231" s="515" t="s">
        <v>1881</v>
      </c>
      <c r="K2231" s="515"/>
      <c r="L2231" s="169" t="s">
        <v>1882</v>
      </c>
    </row>
    <row r="2232" spans="1:12" ht="15.95" customHeight="1" x14ac:dyDescent="0.25">
      <c r="A2232" s="170" t="s">
        <v>3187</v>
      </c>
      <c r="B2232" s="492" t="s">
        <v>3188</v>
      </c>
      <c r="C2232" s="492"/>
      <c r="D2232" s="492"/>
      <c r="E2232" s="492"/>
      <c r="F2232" s="492"/>
      <c r="G2232" s="127" t="s">
        <v>226</v>
      </c>
      <c r="H2232" s="524">
        <v>6.3999999999999997E-5</v>
      </c>
      <c r="I2232" s="524"/>
      <c r="J2232" s="525">
        <v>297.10000000000002</v>
      </c>
      <c r="K2232" s="525"/>
      <c r="L2232" s="171">
        <f>TRUNC(TRUNC(H2232,8)*J2232,2)</f>
        <v>0.01</v>
      </c>
    </row>
    <row r="2233" spans="1:12" ht="15" customHeight="1" x14ac:dyDescent="0.25">
      <c r="A2233" s="184"/>
      <c r="B2233" s="141"/>
      <c r="C2233" s="141"/>
      <c r="D2233" s="141"/>
      <c r="E2233" s="141"/>
      <c r="F2233" s="141"/>
      <c r="G2233" s="141"/>
      <c r="H2233" s="491" t="s">
        <v>1889</v>
      </c>
      <c r="I2233" s="491"/>
      <c r="J2233" s="491"/>
      <c r="K2233" s="491"/>
      <c r="L2233" s="375">
        <f>SUM(L2232:L2232)</f>
        <v>0.01</v>
      </c>
    </row>
    <row r="2234" spans="1:12" ht="15" customHeight="1" x14ac:dyDescent="0.25">
      <c r="A2234" s="182"/>
      <c r="B2234" s="183"/>
      <c r="C2234" s="183"/>
      <c r="D2234" s="183"/>
      <c r="E2234" s="183"/>
      <c r="F2234" s="183"/>
      <c r="G2234" s="183"/>
      <c r="H2234" s="482" t="s">
        <v>1848</v>
      </c>
      <c r="I2234" s="482"/>
      <c r="J2234" s="482"/>
      <c r="K2234" s="482"/>
      <c r="L2234" s="371">
        <f>SUM(L2230,L2233)</f>
        <v>0.4052</v>
      </c>
    </row>
    <row r="2235" spans="1:12" ht="15" customHeight="1" x14ac:dyDescent="0.25">
      <c r="A2235" s="182"/>
      <c r="B2235" s="183"/>
      <c r="C2235" s="183"/>
      <c r="D2235" s="183"/>
      <c r="E2235" s="183"/>
      <c r="F2235" s="183"/>
      <c r="G2235" s="183"/>
      <c r="H2235" s="482" t="s">
        <v>1834</v>
      </c>
      <c r="I2235" s="482"/>
      <c r="J2235" s="482"/>
      <c r="K2235" s="482"/>
      <c r="L2235" s="369">
        <f>ROUND(SUM(L2234),2)</f>
        <v>0.41</v>
      </c>
    </row>
    <row r="2236" spans="1:12" ht="9.9499999999999993" customHeight="1" x14ac:dyDescent="0.25">
      <c r="A2236" s="182"/>
      <c r="B2236" s="183"/>
      <c r="C2236" s="183"/>
      <c r="D2236" s="183"/>
      <c r="E2236" s="183"/>
      <c r="F2236" s="183"/>
      <c r="G2236" s="183"/>
      <c r="H2236" s="485"/>
      <c r="I2236" s="485"/>
      <c r="J2236" s="485"/>
      <c r="K2236" s="485"/>
      <c r="L2236" s="512"/>
    </row>
    <row r="2237" spans="1:12" ht="20.100000000000001" customHeight="1" x14ac:dyDescent="0.25">
      <c r="A2237" s="486" t="s">
        <v>3189</v>
      </c>
      <c r="B2237" s="487"/>
      <c r="C2237" s="487"/>
      <c r="D2237" s="487"/>
      <c r="E2237" s="487"/>
      <c r="F2237" s="487"/>
      <c r="G2237" s="487"/>
      <c r="H2237" s="487"/>
      <c r="I2237" s="487"/>
      <c r="J2237" s="487"/>
      <c r="K2237" s="487"/>
      <c r="L2237" s="513"/>
    </row>
    <row r="2238" spans="1:12" ht="12.95" customHeight="1" x14ac:dyDescent="0.25">
      <c r="A2238" s="518" t="s">
        <v>2641</v>
      </c>
      <c r="B2238" s="519"/>
      <c r="C2238" s="519"/>
      <c r="D2238" s="520" t="s">
        <v>2642</v>
      </c>
      <c r="E2238" s="520"/>
      <c r="F2238" s="515" t="s">
        <v>2643</v>
      </c>
      <c r="G2238" s="515"/>
      <c r="H2238" s="515" t="s">
        <v>2644</v>
      </c>
      <c r="I2238" s="515"/>
      <c r="J2238" s="515"/>
      <c r="K2238" s="515"/>
      <c r="L2238" s="521" t="s">
        <v>1839</v>
      </c>
    </row>
    <row r="2239" spans="1:12" ht="12" customHeight="1" x14ac:dyDescent="0.25">
      <c r="A2239" s="518"/>
      <c r="B2239" s="519"/>
      <c r="C2239" s="519"/>
      <c r="D2239" s="520"/>
      <c r="E2239" s="520"/>
      <c r="F2239" s="230" t="s">
        <v>2645</v>
      </c>
      <c r="G2239" s="230" t="s">
        <v>2646</v>
      </c>
      <c r="H2239" s="476" t="s">
        <v>2645</v>
      </c>
      <c r="I2239" s="476"/>
      <c r="J2239" s="476" t="s">
        <v>2646</v>
      </c>
      <c r="K2239" s="476"/>
      <c r="L2239" s="521"/>
    </row>
    <row r="2240" spans="1:12" ht="24" customHeight="1" x14ac:dyDescent="0.25">
      <c r="A2240" s="170" t="s">
        <v>3185</v>
      </c>
      <c r="B2240" s="492" t="s">
        <v>3186</v>
      </c>
      <c r="C2240" s="492"/>
      <c r="D2240" s="524">
        <v>7.9999999999999996E-6</v>
      </c>
      <c r="E2240" s="524"/>
      <c r="F2240" s="244">
        <v>1</v>
      </c>
      <c r="G2240" s="244">
        <v>0</v>
      </c>
      <c r="H2240" s="523">
        <v>6175.81</v>
      </c>
      <c r="I2240" s="523"/>
      <c r="J2240" s="523">
        <v>0</v>
      </c>
      <c r="K2240" s="523"/>
      <c r="L2240" s="371">
        <f>TRUNC(D2240*(TRUNC(F2240*H2240,4)+TRUNC(G2240*J2240,4)),4)</f>
        <v>4.9399999999999999E-2</v>
      </c>
    </row>
    <row r="2241" spans="1:12" ht="15" customHeight="1" x14ac:dyDescent="0.25">
      <c r="A2241" s="184"/>
      <c r="B2241" s="141"/>
      <c r="C2241" s="141"/>
      <c r="D2241" s="141"/>
      <c r="E2241" s="141"/>
      <c r="F2241" s="141"/>
      <c r="G2241" s="141"/>
      <c r="H2241" s="491" t="s">
        <v>2649</v>
      </c>
      <c r="I2241" s="491"/>
      <c r="J2241" s="491"/>
      <c r="K2241" s="491"/>
      <c r="L2241" s="373">
        <f>SUM(L2239:L2240)</f>
        <v>4.9399999999999999E-2</v>
      </c>
    </row>
    <row r="2242" spans="1:12" ht="15" customHeight="1" x14ac:dyDescent="0.25">
      <c r="A2242" s="182"/>
      <c r="B2242" s="183"/>
      <c r="C2242" s="183"/>
      <c r="D2242" s="183"/>
      <c r="E2242" s="183"/>
      <c r="F2242" s="183"/>
      <c r="G2242" s="183"/>
      <c r="H2242" s="482" t="s">
        <v>1845</v>
      </c>
      <c r="I2242" s="482"/>
      <c r="J2242" s="482"/>
      <c r="K2242" s="482"/>
      <c r="L2242" s="371">
        <f>SUM(L2241)</f>
        <v>4.9399999999999999E-2</v>
      </c>
    </row>
    <row r="2243" spans="1:12" ht="15" customHeight="1" x14ac:dyDescent="0.25">
      <c r="A2243" s="182"/>
      <c r="B2243" s="183"/>
      <c r="C2243" s="183"/>
      <c r="D2243" s="183"/>
      <c r="E2243" s="183"/>
      <c r="F2243" s="183"/>
      <c r="G2243" s="183"/>
      <c r="H2243" s="482" t="s">
        <v>1846</v>
      </c>
      <c r="I2243" s="482"/>
      <c r="J2243" s="482"/>
      <c r="K2243" s="482"/>
      <c r="L2243" s="374">
        <v>1</v>
      </c>
    </row>
    <row r="2244" spans="1:12" ht="15" customHeight="1" x14ac:dyDescent="0.25">
      <c r="A2244" s="182"/>
      <c r="B2244" s="183"/>
      <c r="C2244" s="183"/>
      <c r="D2244" s="183"/>
      <c r="E2244" s="183"/>
      <c r="F2244" s="183"/>
      <c r="G2244" s="183"/>
      <c r="H2244" s="482" t="s">
        <v>1847</v>
      </c>
      <c r="I2244" s="482"/>
      <c r="J2244" s="482"/>
      <c r="K2244" s="482"/>
      <c r="L2244" s="371">
        <f>TRUNC(L2242/L2243,4)</f>
        <v>4.9399999999999999E-2</v>
      </c>
    </row>
    <row r="2245" spans="1:12" ht="15" customHeight="1" x14ac:dyDescent="0.25">
      <c r="A2245" s="182"/>
      <c r="B2245" s="183"/>
      <c r="C2245" s="183"/>
      <c r="D2245" s="183"/>
      <c r="E2245" s="183"/>
      <c r="F2245" s="183"/>
      <c r="G2245" s="183"/>
      <c r="H2245" s="482" t="s">
        <v>1848</v>
      </c>
      <c r="I2245" s="482"/>
      <c r="J2245" s="482"/>
      <c r="K2245" s="482"/>
      <c r="L2245" s="371">
        <f>SUM(L2244)</f>
        <v>4.9399999999999999E-2</v>
      </c>
    </row>
    <row r="2246" spans="1:12" ht="15" customHeight="1" x14ac:dyDescent="0.25">
      <c r="A2246" s="182"/>
      <c r="B2246" s="183"/>
      <c r="C2246" s="183"/>
      <c r="D2246" s="183"/>
      <c r="E2246" s="183"/>
      <c r="F2246" s="183"/>
      <c r="G2246" s="183"/>
      <c r="H2246" s="482" t="s">
        <v>1834</v>
      </c>
      <c r="I2246" s="482"/>
      <c r="J2246" s="482"/>
      <c r="K2246" s="482"/>
      <c r="L2246" s="369">
        <f>ROUND(SUM(L2245),2)</f>
        <v>0.05</v>
      </c>
    </row>
    <row r="2247" spans="1:12" ht="9.9499999999999993" customHeight="1" x14ac:dyDescent="0.25">
      <c r="A2247" s="182"/>
      <c r="B2247" s="183"/>
      <c r="C2247" s="183"/>
      <c r="D2247" s="183"/>
      <c r="E2247" s="183"/>
      <c r="F2247" s="183"/>
      <c r="G2247" s="183"/>
      <c r="H2247" s="485"/>
      <c r="I2247" s="485"/>
      <c r="J2247" s="485"/>
      <c r="K2247" s="485"/>
      <c r="L2247" s="512"/>
    </row>
    <row r="2248" spans="1:12" ht="20.100000000000001" customHeight="1" x14ac:dyDescent="0.25">
      <c r="A2248" s="486" t="s">
        <v>3190</v>
      </c>
      <c r="B2248" s="487"/>
      <c r="C2248" s="487"/>
      <c r="D2248" s="487"/>
      <c r="E2248" s="487"/>
      <c r="F2248" s="487"/>
      <c r="G2248" s="487"/>
      <c r="H2248" s="487"/>
      <c r="I2248" s="487"/>
      <c r="J2248" s="487"/>
      <c r="K2248" s="487"/>
      <c r="L2248" s="513"/>
    </row>
    <row r="2249" spans="1:12" ht="12.95" customHeight="1" x14ac:dyDescent="0.25">
      <c r="A2249" s="518" t="s">
        <v>2641</v>
      </c>
      <c r="B2249" s="519"/>
      <c r="C2249" s="519"/>
      <c r="D2249" s="520" t="s">
        <v>2642</v>
      </c>
      <c r="E2249" s="520"/>
      <c r="F2249" s="515" t="s">
        <v>2643</v>
      </c>
      <c r="G2249" s="515"/>
      <c r="H2249" s="515" t="s">
        <v>2644</v>
      </c>
      <c r="I2249" s="515"/>
      <c r="J2249" s="515"/>
      <c r="K2249" s="515"/>
      <c r="L2249" s="521" t="s">
        <v>1839</v>
      </c>
    </row>
    <row r="2250" spans="1:12" ht="12" customHeight="1" x14ac:dyDescent="0.25">
      <c r="A2250" s="518"/>
      <c r="B2250" s="519"/>
      <c r="C2250" s="519"/>
      <c r="D2250" s="520"/>
      <c r="E2250" s="520"/>
      <c r="F2250" s="230" t="s">
        <v>2645</v>
      </c>
      <c r="G2250" s="230" t="s">
        <v>2646</v>
      </c>
      <c r="H2250" s="476" t="s">
        <v>2645</v>
      </c>
      <c r="I2250" s="476"/>
      <c r="J2250" s="476" t="s">
        <v>2646</v>
      </c>
      <c r="K2250" s="476"/>
      <c r="L2250" s="521"/>
    </row>
    <row r="2251" spans="1:12" ht="24" customHeight="1" x14ac:dyDescent="0.25">
      <c r="A2251" s="170" t="s">
        <v>3185</v>
      </c>
      <c r="B2251" s="492" t="s">
        <v>3186</v>
      </c>
      <c r="C2251" s="492"/>
      <c r="D2251" s="524">
        <v>8.0000000000000007E-5</v>
      </c>
      <c r="E2251" s="524"/>
      <c r="F2251" s="244">
        <v>1</v>
      </c>
      <c r="G2251" s="244">
        <v>0</v>
      </c>
      <c r="H2251" s="523">
        <v>6175.81</v>
      </c>
      <c r="I2251" s="523"/>
      <c r="J2251" s="523">
        <v>0</v>
      </c>
      <c r="K2251" s="523"/>
      <c r="L2251" s="371">
        <f>TRUNC(D2251*(TRUNC(F2251*H2251,4)+TRUNC(G2251*J2251,4)),4)</f>
        <v>0.49399999999999999</v>
      </c>
    </row>
    <row r="2252" spans="1:12" ht="15" customHeight="1" x14ac:dyDescent="0.25">
      <c r="A2252" s="184"/>
      <c r="B2252" s="141"/>
      <c r="C2252" s="141"/>
      <c r="D2252" s="141"/>
      <c r="E2252" s="141"/>
      <c r="F2252" s="141"/>
      <c r="G2252" s="141"/>
      <c r="H2252" s="491" t="s">
        <v>2649</v>
      </c>
      <c r="I2252" s="491"/>
      <c r="J2252" s="491"/>
      <c r="K2252" s="491"/>
      <c r="L2252" s="373">
        <f>SUM(L2250:L2251)</f>
        <v>0.49399999999999999</v>
      </c>
    </row>
    <row r="2253" spans="1:12" ht="15" customHeight="1" x14ac:dyDescent="0.25">
      <c r="A2253" s="182"/>
      <c r="B2253" s="183"/>
      <c r="C2253" s="183"/>
      <c r="D2253" s="183"/>
      <c r="E2253" s="183"/>
      <c r="F2253" s="183"/>
      <c r="G2253" s="183"/>
      <c r="H2253" s="482" t="s">
        <v>1845</v>
      </c>
      <c r="I2253" s="482"/>
      <c r="J2253" s="482"/>
      <c r="K2253" s="482"/>
      <c r="L2253" s="371">
        <f>SUM(L2252)</f>
        <v>0.49399999999999999</v>
      </c>
    </row>
    <row r="2254" spans="1:12" ht="15" customHeight="1" x14ac:dyDescent="0.25">
      <c r="A2254" s="182"/>
      <c r="B2254" s="183"/>
      <c r="C2254" s="183"/>
      <c r="D2254" s="183"/>
      <c r="E2254" s="183"/>
      <c r="F2254" s="183"/>
      <c r="G2254" s="183"/>
      <c r="H2254" s="482" t="s">
        <v>1846</v>
      </c>
      <c r="I2254" s="482"/>
      <c r="J2254" s="482"/>
      <c r="K2254" s="482"/>
      <c r="L2254" s="374">
        <v>1</v>
      </c>
    </row>
    <row r="2255" spans="1:12" ht="15" customHeight="1" x14ac:dyDescent="0.25">
      <c r="A2255" s="182"/>
      <c r="B2255" s="183"/>
      <c r="C2255" s="183"/>
      <c r="D2255" s="183"/>
      <c r="E2255" s="183"/>
      <c r="F2255" s="183"/>
      <c r="G2255" s="183"/>
      <c r="H2255" s="482" t="s">
        <v>1847</v>
      </c>
      <c r="I2255" s="482"/>
      <c r="J2255" s="482"/>
      <c r="K2255" s="482"/>
      <c r="L2255" s="371">
        <f>TRUNC(L2253/L2254,4)</f>
        <v>0.49399999999999999</v>
      </c>
    </row>
    <row r="2256" spans="1:12" ht="20.100000000000001" customHeight="1" x14ac:dyDescent="0.25">
      <c r="A2256" s="488" t="s">
        <v>1880</v>
      </c>
      <c r="B2256" s="489"/>
      <c r="C2256" s="489"/>
      <c r="D2256" s="489"/>
      <c r="E2256" s="489"/>
      <c r="F2256" s="489"/>
      <c r="G2256" s="233" t="s">
        <v>44</v>
      </c>
      <c r="H2256" s="515" t="s">
        <v>1837</v>
      </c>
      <c r="I2256" s="515"/>
      <c r="J2256" s="515" t="s">
        <v>1881</v>
      </c>
      <c r="K2256" s="515"/>
      <c r="L2256" s="169" t="s">
        <v>1882</v>
      </c>
    </row>
    <row r="2257" spans="1:12" ht="15.95" customHeight="1" x14ac:dyDescent="0.25">
      <c r="A2257" s="170" t="s">
        <v>3187</v>
      </c>
      <c r="B2257" s="492" t="s">
        <v>3188</v>
      </c>
      <c r="C2257" s="492"/>
      <c r="D2257" s="492"/>
      <c r="E2257" s="492"/>
      <c r="F2257" s="492"/>
      <c r="G2257" s="127" t="s">
        <v>226</v>
      </c>
      <c r="H2257" s="524">
        <v>8.0000000000000007E-5</v>
      </c>
      <c r="I2257" s="524"/>
      <c r="J2257" s="525">
        <v>297.10000000000002</v>
      </c>
      <c r="K2257" s="525"/>
      <c r="L2257" s="171">
        <f>TRUNC(TRUNC(H2257,8)*J2257,2)</f>
        <v>0.02</v>
      </c>
    </row>
    <row r="2258" spans="1:12" ht="15" customHeight="1" x14ac:dyDescent="0.25">
      <c r="A2258" s="184"/>
      <c r="B2258" s="141"/>
      <c r="C2258" s="141"/>
      <c r="D2258" s="141"/>
      <c r="E2258" s="141"/>
      <c r="F2258" s="141"/>
      <c r="G2258" s="141"/>
      <c r="H2258" s="491" t="s">
        <v>1889</v>
      </c>
      <c r="I2258" s="491"/>
      <c r="J2258" s="491"/>
      <c r="K2258" s="491"/>
      <c r="L2258" s="375">
        <f>SUM(L2257:L2257)</f>
        <v>0.02</v>
      </c>
    </row>
    <row r="2259" spans="1:12" ht="15" customHeight="1" x14ac:dyDescent="0.25">
      <c r="A2259" s="182"/>
      <c r="B2259" s="183"/>
      <c r="C2259" s="183"/>
      <c r="D2259" s="183"/>
      <c r="E2259" s="183"/>
      <c r="F2259" s="183"/>
      <c r="G2259" s="183"/>
      <c r="H2259" s="482" t="s">
        <v>1848</v>
      </c>
      <c r="I2259" s="482"/>
      <c r="J2259" s="482"/>
      <c r="K2259" s="482"/>
      <c r="L2259" s="371">
        <f>SUM(L2255,L2258)</f>
        <v>0.51400000000000001</v>
      </c>
    </row>
    <row r="2260" spans="1:12" ht="15" customHeight="1" x14ac:dyDescent="0.25">
      <c r="A2260" s="182"/>
      <c r="B2260" s="183"/>
      <c r="C2260" s="183"/>
      <c r="D2260" s="183"/>
      <c r="E2260" s="183"/>
      <c r="F2260" s="183"/>
      <c r="G2260" s="183"/>
      <c r="H2260" s="482" t="s">
        <v>1834</v>
      </c>
      <c r="I2260" s="482"/>
      <c r="J2260" s="482"/>
      <c r="K2260" s="482"/>
      <c r="L2260" s="369">
        <f>ROUND(SUM(L2259),2)</f>
        <v>0.51</v>
      </c>
    </row>
    <row r="2261" spans="1:12" ht="9.9499999999999993" customHeight="1" x14ac:dyDescent="0.25">
      <c r="A2261" s="182"/>
      <c r="B2261" s="183"/>
      <c r="C2261" s="183"/>
      <c r="D2261" s="183"/>
      <c r="E2261" s="183"/>
      <c r="F2261" s="183"/>
      <c r="G2261" s="183"/>
      <c r="H2261" s="485"/>
      <c r="I2261" s="485"/>
      <c r="J2261" s="485"/>
      <c r="K2261" s="485"/>
      <c r="L2261" s="512"/>
    </row>
    <row r="2262" spans="1:12" ht="20.100000000000001" customHeight="1" x14ac:dyDescent="0.25">
      <c r="A2262" s="486" t="s">
        <v>3191</v>
      </c>
      <c r="B2262" s="487"/>
      <c r="C2262" s="487"/>
      <c r="D2262" s="487"/>
      <c r="E2262" s="487"/>
      <c r="F2262" s="487"/>
      <c r="G2262" s="487"/>
      <c r="H2262" s="487"/>
      <c r="I2262" s="487"/>
      <c r="J2262" s="487"/>
      <c r="K2262" s="487"/>
      <c r="L2262" s="513"/>
    </row>
    <row r="2263" spans="1:12" ht="20.100000000000001" customHeight="1" x14ac:dyDescent="0.25">
      <c r="A2263" s="488" t="s">
        <v>1880</v>
      </c>
      <c r="B2263" s="489"/>
      <c r="C2263" s="489"/>
      <c r="D2263" s="489"/>
      <c r="E2263" s="489"/>
      <c r="F2263" s="489"/>
      <c r="G2263" s="233" t="s">
        <v>44</v>
      </c>
      <c r="H2263" s="515" t="s">
        <v>1837</v>
      </c>
      <c r="I2263" s="515"/>
      <c r="J2263" s="515" t="s">
        <v>1881</v>
      </c>
      <c r="K2263" s="515"/>
      <c r="L2263" s="169" t="s">
        <v>1882</v>
      </c>
    </row>
    <row r="2264" spans="1:12" ht="15" customHeight="1" x14ac:dyDescent="0.25">
      <c r="A2264" s="170" t="s">
        <v>3171</v>
      </c>
      <c r="B2264" s="492" t="s">
        <v>2523</v>
      </c>
      <c r="C2264" s="492"/>
      <c r="D2264" s="492"/>
      <c r="E2264" s="492"/>
      <c r="F2264" s="492"/>
      <c r="G2264" s="127" t="s">
        <v>1006</v>
      </c>
      <c r="H2264" s="524">
        <v>1.45</v>
      </c>
      <c r="I2264" s="524"/>
      <c r="J2264" s="525">
        <v>6.41</v>
      </c>
      <c r="K2264" s="525"/>
      <c r="L2264" s="171">
        <f>TRUNC(TRUNC(H2264,8)*J2264,2)</f>
        <v>9.2899999999999991</v>
      </c>
    </row>
    <row r="2265" spans="1:12" ht="15" customHeight="1" x14ac:dyDescent="0.25">
      <c r="A2265" s="184"/>
      <c r="B2265" s="141"/>
      <c r="C2265" s="141"/>
      <c r="D2265" s="141"/>
      <c r="E2265" s="141"/>
      <c r="F2265" s="141"/>
      <c r="G2265" s="141"/>
      <c r="H2265" s="491" t="s">
        <v>1889</v>
      </c>
      <c r="I2265" s="491"/>
      <c r="J2265" s="491"/>
      <c r="K2265" s="491"/>
      <c r="L2265" s="375">
        <f>SUM(L2264:L2264)</f>
        <v>9.2899999999999991</v>
      </c>
    </row>
    <row r="2266" spans="1:12" ht="15" customHeight="1" x14ac:dyDescent="0.25">
      <c r="A2266" s="182"/>
      <c r="B2266" s="183"/>
      <c r="C2266" s="183"/>
      <c r="D2266" s="183"/>
      <c r="E2266" s="183"/>
      <c r="F2266" s="183"/>
      <c r="G2266" s="183"/>
      <c r="H2266" s="482" t="s">
        <v>1848</v>
      </c>
      <c r="I2266" s="482"/>
      <c r="J2266" s="482"/>
      <c r="K2266" s="482"/>
      <c r="L2266" s="371">
        <f>SUM(L2265)</f>
        <v>9.2899999999999991</v>
      </c>
    </row>
    <row r="2267" spans="1:12" ht="15" customHeight="1" x14ac:dyDescent="0.25">
      <c r="A2267" s="182"/>
      <c r="B2267" s="183"/>
      <c r="C2267" s="183"/>
      <c r="D2267" s="183"/>
      <c r="E2267" s="183"/>
      <c r="F2267" s="183"/>
      <c r="G2267" s="183"/>
      <c r="H2267" s="482" t="s">
        <v>1834</v>
      </c>
      <c r="I2267" s="482"/>
      <c r="J2267" s="482"/>
      <c r="K2267" s="482"/>
      <c r="L2267" s="369">
        <f>ROUND(SUM(L2266),2)</f>
        <v>9.2899999999999991</v>
      </c>
    </row>
    <row r="2268" spans="1:12" ht="9.9499999999999993" customHeight="1" x14ac:dyDescent="0.25">
      <c r="A2268" s="182"/>
      <c r="B2268" s="183"/>
      <c r="C2268" s="183"/>
      <c r="D2268" s="183"/>
      <c r="E2268" s="183"/>
      <c r="F2268" s="183"/>
      <c r="G2268" s="183"/>
      <c r="H2268" s="485"/>
      <c r="I2268" s="485"/>
      <c r="J2268" s="485"/>
      <c r="K2268" s="485"/>
      <c r="L2268" s="512"/>
    </row>
    <row r="2269" spans="1:12" ht="20.100000000000001" customHeight="1" x14ac:dyDescent="0.25">
      <c r="A2269" s="486" t="s">
        <v>3192</v>
      </c>
      <c r="B2269" s="487"/>
      <c r="C2269" s="487"/>
      <c r="D2269" s="487"/>
      <c r="E2269" s="487"/>
      <c r="F2269" s="487"/>
      <c r="G2269" s="487"/>
      <c r="H2269" s="487"/>
      <c r="I2269" s="487"/>
      <c r="J2269" s="487"/>
      <c r="K2269" s="487"/>
      <c r="L2269" s="513"/>
    </row>
    <row r="2270" spans="1:12" ht="20.100000000000001" customHeight="1" x14ac:dyDescent="0.25">
      <c r="A2270" s="488" t="s">
        <v>1836</v>
      </c>
      <c r="B2270" s="489"/>
      <c r="C2270" s="489"/>
      <c r="D2270" s="489"/>
      <c r="E2270" s="489"/>
      <c r="F2270" s="489"/>
      <c r="G2270" s="233" t="s">
        <v>44</v>
      </c>
      <c r="H2270" s="515" t="s">
        <v>1837</v>
      </c>
      <c r="I2270" s="515"/>
      <c r="J2270" s="515" t="s">
        <v>1838</v>
      </c>
      <c r="K2270" s="515"/>
      <c r="L2270" s="169" t="s">
        <v>1839</v>
      </c>
    </row>
    <row r="2271" spans="1:12" ht="15" customHeight="1" x14ac:dyDescent="0.25">
      <c r="A2271" s="170" t="s">
        <v>1840</v>
      </c>
      <c r="B2271" s="490" t="s">
        <v>1841</v>
      </c>
      <c r="C2271" s="490"/>
      <c r="D2271" s="490"/>
      <c r="E2271" s="490"/>
      <c r="F2271" s="490"/>
      <c r="G2271" s="127" t="s">
        <v>1024</v>
      </c>
      <c r="H2271" s="524">
        <v>0.2</v>
      </c>
      <c r="I2271" s="524"/>
      <c r="J2271" s="517">
        <v>21.94</v>
      </c>
      <c r="K2271" s="517"/>
      <c r="L2271" s="370">
        <f>TRUNC(TRUNC(H2271,8)*J2271,2)</f>
        <v>4.38</v>
      </c>
    </row>
    <row r="2272" spans="1:12" ht="15" customHeight="1" x14ac:dyDescent="0.25">
      <c r="A2272" s="170" t="s">
        <v>1983</v>
      </c>
      <c r="B2272" s="490" t="s">
        <v>1984</v>
      </c>
      <c r="C2272" s="490"/>
      <c r="D2272" s="490"/>
      <c r="E2272" s="490"/>
      <c r="F2272" s="490"/>
      <c r="G2272" s="127" t="s">
        <v>1024</v>
      </c>
      <c r="H2272" s="524">
        <v>0.3</v>
      </c>
      <c r="I2272" s="524"/>
      <c r="J2272" s="517">
        <v>26.03</v>
      </c>
      <c r="K2272" s="517"/>
      <c r="L2272" s="370">
        <f>TRUNC(TRUNC(H2272,8)*J2272,2)</f>
        <v>7.8</v>
      </c>
    </row>
    <row r="2273" spans="1:12" ht="15" customHeight="1" x14ac:dyDescent="0.25">
      <c r="A2273" s="184"/>
      <c r="B2273" s="141"/>
      <c r="C2273" s="141"/>
      <c r="D2273" s="141"/>
      <c r="E2273" s="141"/>
      <c r="F2273" s="141"/>
      <c r="G2273" s="141"/>
      <c r="H2273" s="491" t="s">
        <v>1844</v>
      </c>
      <c r="I2273" s="491"/>
      <c r="J2273" s="491"/>
      <c r="K2273" s="491"/>
      <c r="L2273" s="369">
        <f>SUM(L2271:L2272)</f>
        <v>12.18</v>
      </c>
    </row>
    <row r="2274" spans="1:12" ht="15" customHeight="1" x14ac:dyDescent="0.25">
      <c r="A2274" s="182"/>
      <c r="B2274" s="183"/>
      <c r="C2274" s="183"/>
      <c r="D2274" s="183"/>
      <c r="E2274" s="183"/>
      <c r="F2274" s="183"/>
      <c r="G2274" s="183"/>
      <c r="H2274" s="482" t="s">
        <v>1845</v>
      </c>
      <c r="I2274" s="482"/>
      <c r="J2274" s="482"/>
      <c r="K2274" s="482"/>
      <c r="L2274" s="371">
        <f>SUM(L2273)</f>
        <v>12.18</v>
      </c>
    </row>
    <row r="2275" spans="1:12" ht="15" customHeight="1" x14ac:dyDescent="0.25">
      <c r="A2275" s="182"/>
      <c r="B2275" s="183"/>
      <c r="C2275" s="183"/>
      <c r="D2275" s="183"/>
      <c r="E2275" s="183"/>
      <c r="F2275" s="183"/>
      <c r="G2275" s="183"/>
      <c r="H2275" s="482" t="s">
        <v>1846</v>
      </c>
      <c r="I2275" s="482"/>
      <c r="J2275" s="482"/>
      <c r="K2275" s="482"/>
      <c r="L2275" s="374">
        <v>1</v>
      </c>
    </row>
    <row r="2276" spans="1:12" ht="15" customHeight="1" x14ac:dyDescent="0.25">
      <c r="A2276" s="182"/>
      <c r="B2276" s="183"/>
      <c r="C2276" s="183"/>
      <c r="D2276" s="183"/>
      <c r="E2276" s="183"/>
      <c r="F2276" s="183"/>
      <c r="G2276" s="183"/>
      <c r="H2276" s="482" t="s">
        <v>1847</v>
      </c>
      <c r="I2276" s="482"/>
      <c r="J2276" s="482"/>
      <c r="K2276" s="482"/>
      <c r="L2276" s="371">
        <f>TRUNC(L2274/L2275,4)</f>
        <v>12.18</v>
      </c>
    </row>
    <row r="2277" spans="1:12" ht="20.100000000000001" customHeight="1" x14ac:dyDescent="0.25">
      <c r="A2277" s="488" t="s">
        <v>1880</v>
      </c>
      <c r="B2277" s="489"/>
      <c r="C2277" s="489"/>
      <c r="D2277" s="489"/>
      <c r="E2277" s="489"/>
      <c r="F2277" s="489"/>
      <c r="G2277" s="233" t="s">
        <v>44</v>
      </c>
      <c r="H2277" s="515" t="s">
        <v>1837</v>
      </c>
      <c r="I2277" s="515"/>
      <c r="J2277" s="515" t="s">
        <v>1881</v>
      </c>
      <c r="K2277" s="515"/>
      <c r="L2277" s="169" t="s">
        <v>1882</v>
      </c>
    </row>
    <row r="2278" spans="1:12" ht="15" customHeight="1" x14ac:dyDescent="0.25">
      <c r="A2278" s="170" t="s">
        <v>3193</v>
      </c>
      <c r="B2278" s="492" t="s">
        <v>3194</v>
      </c>
      <c r="C2278" s="492"/>
      <c r="D2278" s="492"/>
      <c r="E2278" s="492"/>
      <c r="F2278" s="492"/>
      <c r="G2278" s="127" t="s">
        <v>1006</v>
      </c>
      <c r="H2278" s="524">
        <v>0.12</v>
      </c>
      <c r="I2278" s="524"/>
      <c r="J2278" s="525">
        <v>42.91</v>
      </c>
      <c r="K2278" s="525"/>
      <c r="L2278" s="171">
        <f>TRUNC(TRUNC(H2278,8)*J2278,2)</f>
        <v>5.14</v>
      </c>
    </row>
    <row r="2279" spans="1:12" ht="15" customHeight="1" x14ac:dyDescent="0.25">
      <c r="A2279" s="184"/>
      <c r="B2279" s="141"/>
      <c r="C2279" s="141"/>
      <c r="D2279" s="141"/>
      <c r="E2279" s="141"/>
      <c r="F2279" s="141"/>
      <c r="G2279" s="141"/>
      <c r="H2279" s="491" t="s">
        <v>1889</v>
      </c>
      <c r="I2279" s="491"/>
      <c r="J2279" s="491"/>
      <c r="K2279" s="491"/>
      <c r="L2279" s="375">
        <f>SUM(L2278:L2278)</f>
        <v>5.14</v>
      </c>
    </row>
    <row r="2280" spans="1:12" ht="15" customHeight="1" x14ac:dyDescent="0.25">
      <c r="A2280" s="182"/>
      <c r="B2280" s="183"/>
      <c r="C2280" s="183"/>
      <c r="D2280" s="183"/>
      <c r="E2280" s="183"/>
      <c r="F2280" s="183"/>
      <c r="G2280" s="183"/>
      <c r="H2280" s="482" t="s">
        <v>1848</v>
      </c>
      <c r="I2280" s="482"/>
      <c r="J2280" s="482"/>
      <c r="K2280" s="482"/>
      <c r="L2280" s="371">
        <f>SUM(L2276,L2279)</f>
        <v>17.32</v>
      </c>
    </row>
    <row r="2281" spans="1:12" ht="15" customHeight="1" x14ac:dyDescent="0.25">
      <c r="A2281" s="182"/>
      <c r="B2281" s="183"/>
      <c r="C2281" s="183"/>
      <c r="D2281" s="183"/>
      <c r="E2281" s="183"/>
      <c r="F2281" s="183"/>
      <c r="G2281" s="183"/>
      <c r="H2281" s="482" t="s">
        <v>1834</v>
      </c>
      <c r="I2281" s="482"/>
      <c r="J2281" s="482"/>
      <c r="K2281" s="482"/>
      <c r="L2281" s="369">
        <f>ROUND(SUM(L2280),2)</f>
        <v>17.32</v>
      </c>
    </row>
    <row r="2282" spans="1:12" ht="9.9499999999999993" customHeight="1" x14ac:dyDescent="0.25">
      <c r="A2282" s="182"/>
      <c r="B2282" s="183"/>
      <c r="C2282" s="183"/>
      <c r="D2282" s="183"/>
      <c r="E2282" s="183"/>
      <c r="F2282" s="183"/>
      <c r="G2282" s="183"/>
      <c r="H2282" s="485"/>
      <c r="I2282" s="485"/>
      <c r="J2282" s="485"/>
      <c r="K2282" s="485"/>
      <c r="L2282" s="512"/>
    </row>
    <row r="2283" spans="1:12" ht="20.100000000000001" customHeight="1" x14ac:dyDescent="0.25">
      <c r="A2283" s="486" t="s">
        <v>3195</v>
      </c>
      <c r="B2283" s="487"/>
      <c r="C2283" s="487"/>
      <c r="D2283" s="487"/>
      <c r="E2283" s="487"/>
      <c r="F2283" s="487"/>
      <c r="G2283" s="487"/>
      <c r="H2283" s="487"/>
      <c r="I2283" s="487"/>
      <c r="J2283" s="487"/>
      <c r="K2283" s="487"/>
      <c r="L2283" s="513"/>
    </row>
    <row r="2284" spans="1:12" ht="20.100000000000001" customHeight="1" x14ac:dyDescent="0.25">
      <c r="A2284" s="488" t="s">
        <v>2009</v>
      </c>
      <c r="B2284" s="489"/>
      <c r="C2284" s="489"/>
      <c r="D2284" s="489"/>
      <c r="E2284" s="489"/>
      <c r="F2284" s="489"/>
      <c r="G2284" s="233" t="s">
        <v>44</v>
      </c>
      <c r="H2284" s="515" t="s">
        <v>1837</v>
      </c>
      <c r="I2284" s="515"/>
      <c r="J2284" s="515" t="s">
        <v>1814</v>
      </c>
      <c r="K2284" s="515"/>
      <c r="L2284" s="169" t="s">
        <v>1882</v>
      </c>
    </row>
    <row r="2285" spans="1:12" ht="15.95" customHeight="1" x14ac:dyDescent="0.25">
      <c r="A2285" s="170" t="s">
        <v>3196</v>
      </c>
      <c r="B2285" s="492" t="s">
        <v>3197</v>
      </c>
      <c r="C2285" s="492"/>
      <c r="D2285" s="492"/>
      <c r="E2285" s="492"/>
      <c r="F2285" s="492"/>
      <c r="G2285" s="127"/>
      <c r="H2285" s="526">
        <v>1</v>
      </c>
      <c r="I2285" s="526"/>
      <c r="J2285" s="525">
        <v>0.18</v>
      </c>
      <c r="K2285" s="525"/>
      <c r="L2285" s="171">
        <f>TRUNC(TRUNC(H2285,8)*J2285,2)</f>
        <v>0.18</v>
      </c>
    </row>
    <row r="2286" spans="1:12" ht="15.95" customHeight="1" x14ac:dyDescent="0.25">
      <c r="A2286" s="170" t="s">
        <v>3198</v>
      </c>
      <c r="B2286" s="492" t="s">
        <v>3199</v>
      </c>
      <c r="C2286" s="492"/>
      <c r="D2286" s="492"/>
      <c r="E2286" s="492"/>
      <c r="F2286" s="492"/>
      <c r="G2286" s="127"/>
      <c r="H2286" s="526">
        <v>1</v>
      </c>
      <c r="I2286" s="526"/>
      <c r="J2286" s="525">
        <v>0.03</v>
      </c>
      <c r="K2286" s="525"/>
      <c r="L2286" s="171">
        <f>TRUNC(TRUNC(H2286,8)*J2286,2)</f>
        <v>0.03</v>
      </c>
    </row>
    <row r="2287" spans="1:12" ht="15.95" customHeight="1" x14ac:dyDescent="0.25">
      <c r="A2287" s="170" t="s">
        <v>3200</v>
      </c>
      <c r="B2287" s="492" t="s">
        <v>3201</v>
      </c>
      <c r="C2287" s="492"/>
      <c r="D2287" s="492"/>
      <c r="E2287" s="492"/>
      <c r="F2287" s="492"/>
      <c r="G2287" s="127"/>
      <c r="H2287" s="526">
        <v>1</v>
      </c>
      <c r="I2287" s="526"/>
      <c r="J2287" s="525">
        <v>0.12</v>
      </c>
      <c r="K2287" s="525"/>
      <c r="L2287" s="171">
        <f>TRUNC(TRUNC(H2287,8)*J2287,2)</f>
        <v>0.12</v>
      </c>
    </row>
    <row r="2288" spans="1:12" ht="15.95" customHeight="1" x14ac:dyDescent="0.25">
      <c r="A2288" s="170" t="s">
        <v>3202</v>
      </c>
      <c r="B2288" s="492" t="s">
        <v>3203</v>
      </c>
      <c r="C2288" s="492"/>
      <c r="D2288" s="492"/>
      <c r="E2288" s="492"/>
      <c r="F2288" s="492"/>
      <c r="G2288" s="127"/>
      <c r="H2288" s="526">
        <v>1</v>
      </c>
      <c r="I2288" s="526"/>
      <c r="J2288" s="525">
        <v>1.85</v>
      </c>
      <c r="K2288" s="525"/>
      <c r="L2288" s="171">
        <f>TRUNC(TRUNC(H2288,8)*J2288,2)</f>
        <v>1.85</v>
      </c>
    </row>
    <row r="2289" spans="1:12" ht="15" customHeight="1" x14ac:dyDescent="0.25">
      <c r="A2289" s="184"/>
      <c r="B2289" s="141"/>
      <c r="C2289" s="141"/>
      <c r="D2289" s="141"/>
      <c r="E2289" s="141"/>
      <c r="F2289" s="141"/>
      <c r="G2289" s="141"/>
      <c r="H2289" s="491" t="s">
        <v>2014</v>
      </c>
      <c r="I2289" s="491"/>
      <c r="J2289" s="491"/>
      <c r="K2289" s="491"/>
      <c r="L2289" s="375">
        <f>SUM(L2285:L2288)</f>
        <v>2.1800000000000002</v>
      </c>
    </row>
    <row r="2290" spans="1:12" ht="15" customHeight="1" x14ac:dyDescent="0.25">
      <c r="A2290" s="182"/>
      <c r="B2290" s="183"/>
      <c r="C2290" s="183"/>
      <c r="D2290" s="183"/>
      <c r="E2290" s="183"/>
      <c r="F2290" s="183"/>
      <c r="G2290" s="183"/>
      <c r="H2290" s="482" t="s">
        <v>1848</v>
      </c>
      <c r="I2290" s="482"/>
      <c r="J2290" s="482"/>
      <c r="K2290" s="482"/>
      <c r="L2290" s="371">
        <f>SUM(L2289)</f>
        <v>2.1800000000000002</v>
      </c>
    </row>
    <row r="2291" spans="1:12" ht="15" customHeight="1" x14ac:dyDescent="0.25">
      <c r="A2291" s="182"/>
      <c r="B2291" s="183"/>
      <c r="C2291" s="183"/>
      <c r="D2291" s="183"/>
      <c r="E2291" s="183"/>
      <c r="F2291" s="183"/>
      <c r="G2291" s="183"/>
      <c r="H2291" s="482" t="s">
        <v>1834</v>
      </c>
      <c r="I2291" s="482"/>
      <c r="J2291" s="482"/>
      <c r="K2291" s="482"/>
      <c r="L2291" s="369">
        <f>ROUND(SUM(L2290),2)</f>
        <v>2.1800000000000002</v>
      </c>
    </row>
    <row r="2292" spans="1:12" ht="9.9499999999999993" customHeight="1" x14ac:dyDescent="0.25">
      <c r="A2292" s="182"/>
      <c r="B2292" s="183"/>
      <c r="C2292" s="183"/>
      <c r="D2292" s="183"/>
      <c r="E2292" s="183"/>
      <c r="F2292" s="183"/>
      <c r="G2292" s="183"/>
      <c r="H2292" s="485"/>
      <c r="I2292" s="485"/>
      <c r="J2292" s="485"/>
      <c r="K2292" s="485"/>
      <c r="L2292" s="512"/>
    </row>
    <row r="2293" spans="1:12" ht="20.100000000000001" customHeight="1" x14ac:dyDescent="0.25">
      <c r="A2293" s="486" t="s">
        <v>3204</v>
      </c>
      <c r="B2293" s="487"/>
      <c r="C2293" s="487"/>
      <c r="D2293" s="487"/>
      <c r="E2293" s="487"/>
      <c r="F2293" s="487"/>
      <c r="G2293" s="487"/>
      <c r="H2293" s="487"/>
      <c r="I2293" s="487"/>
      <c r="J2293" s="487"/>
      <c r="K2293" s="487"/>
      <c r="L2293" s="513"/>
    </row>
    <row r="2294" spans="1:12" ht="12.95" customHeight="1" x14ac:dyDescent="0.25">
      <c r="A2294" s="518" t="s">
        <v>2641</v>
      </c>
      <c r="B2294" s="519"/>
      <c r="C2294" s="519"/>
      <c r="D2294" s="520" t="s">
        <v>2642</v>
      </c>
      <c r="E2294" s="520"/>
      <c r="F2294" s="515" t="s">
        <v>2643</v>
      </c>
      <c r="G2294" s="515"/>
      <c r="H2294" s="515" t="s">
        <v>2644</v>
      </c>
      <c r="I2294" s="515"/>
      <c r="J2294" s="515"/>
      <c r="K2294" s="515"/>
      <c r="L2294" s="521" t="s">
        <v>1839</v>
      </c>
    </row>
    <row r="2295" spans="1:12" ht="12" customHeight="1" x14ac:dyDescent="0.25">
      <c r="A2295" s="518"/>
      <c r="B2295" s="519"/>
      <c r="C2295" s="519"/>
      <c r="D2295" s="520"/>
      <c r="E2295" s="520"/>
      <c r="F2295" s="230" t="s">
        <v>2645</v>
      </c>
      <c r="G2295" s="230" t="s">
        <v>2646</v>
      </c>
      <c r="H2295" s="476" t="s">
        <v>2645</v>
      </c>
      <c r="I2295" s="476"/>
      <c r="J2295" s="476" t="s">
        <v>2646</v>
      </c>
      <c r="K2295" s="476"/>
      <c r="L2295" s="521"/>
    </row>
    <row r="2296" spans="1:12" ht="32.1" customHeight="1" x14ac:dyDescent="0.25">
      <c r="A2296" s="170" t="s">
        <v>3205</v>
      </c>
      <c r="B2296" s="492" t="s">
        <v>3206</v>
      </c>
      <c r="C2296" s="492"/>
      <c r="D2296" s="524">
        <v>6.9999999999999994E-5</v>
      </c>
      <c r="E2296" s="524"/>
      <c r="F2296" s="244">
        <v>1</v>
      </c>
      <c r="G2296" s="244">
        <v>0</v>
      </c>
      <c r="H2296" s="523">
        <v>2573.5</v>
      </c>
      <c r="I2296" s="523"/>
      <c r="J2296" s="523">
        <v>0</v>
      </c>
      <c r="K2296" s="523"/>
      <c r="L2296" s="371">
        <f>TRUNC(D2296*(TRUNC(F2296*H2296,4)+TRUNC(G2296*J2296,4)),4)</f>
        <v>0.18010000000000001</v>
      </c>
    </row>
    <row r="2297" spans="1:12" ht="15" customHeight="1" x14ac:dyDescent="0.25">
      <c r="A2297" s="184"/>
      <c r="B2297" s="141"/>
      <c r="C2297" s="141"/>
      <c r="D2297" s="141"/>
      <c r="E2297" s="141"/>
      <c r="F2297" s="141"/>
      <c r="G2297" s="141"/>
      <c r="H2297" s="491" t="s">
        <v>2649</v>
      </c>
      <c r="I2297" s="491"/>
      <c r="J2297" s="491"/>
      <c r="K2297" s="491"/>
      <c r="L2297" s="373">
        <f>SUM(L2295:L2296)</f>
        <v>0.18010000000000001</v>
      </c>
    </row>
    <row r="2298" spans="1:12" ht="15" customHeight="1" x14ac:dyDescent="0.25">
      <c r="A2298" s="182"/>
      <c r="B2298" s="183"/>
      <c r="C2298" s="183"/>
      <c r="D2298" s="183"/>
      <c r="E2298" s="183"/>
      <c r="F2298" s="183"/>
      <c r="G2298" s="183"/>
      <c r="H2298" s="482" t="s">
        <v>1845</v>
      </c>
      <c r="I2298" s="482"/>
      <c r="J2298" s="482"/>
      <c r="K2298" s="482"/>
      <c r="L2298" s="371">
        <f>SUM(L2297)</f>
        <v>0.18010000000000001</v>
      </c>
    </row>
    <row r="2299" spans="1:12" ht="15" customHeight="1" x14ac:dyDescent="0.25">
      <c r="A2299" s="182"/>
      <c r="B2299" s="183"/>
      <c r="C2299" s="183"/>
      <c r="D2299" s="183"/>
      <c r="E2299" s="183"/>
      <c r="F2299" s="183"/>
      <c r="G2299" s="183"/>
      <c r="H2299" s="482" t="s">
        <v>1846</v>
      </c>
      <c r="I2299" s="482"/>
      <c r="J2299" s="482"/>
      <c r="K2299" s="482"/>
      <c r="L2299" s="374">
        <v>1</v>
      </c>
    </row>
    <row r="2300" spans="1:12" ht="15" customHeight="1" x14ac:dyDescent="0.25">
      <c r="A2300" s="182"/>
      <c r="B2300" s="183"/>
      <c r="C2300" s="183"/>
      <c r="D2300" s="183"/>
      <c r="E2300" s="183"/>
      <c r="F2300" s="183"/>
      <c r="G2300" s="183"/>
      <c r="H2300" s="482" t="s">
        <v>1847</v>
      </c>
      <c r="I2300" s="482"/>
      <c r="J2300" s="482"/>
      <c r="K2300" s="482"/>
      <c r="L2300" s="371">
        <f>TRUNC(L2298/L2299,4)</f>
        <v>0.18010000000000001</v>
      </c>
    </row>
    <row r="2301" spans="1:12" ht="15" customHeight="1" x14ac:dyDescent="0.25">
      <c r="A2301" s="182"/>
      <c r="B2301" s="183"/>
      <c r="C2301" s="183"/>
      <c r="D2301" s="183"/>
      <c r="E2301" s="183"/>
      <c r="F2301" s="183"/>
      <c r="G2301" s="183"/>
      <c r="H2301" s="482" t="s">
        <v>1848</v>
      </c>
      <c r="I2301" s="482"/>
      <c r="J2301" s="482"/>
      <c r="K2301" s="482"/>
      <c r="L2301" s="371">
        <f>SUM(L2300)</f>
        <v>0.18010000000000001</v>
      </c>
    </row>
    <row r="2302" spans="1:12" ht="15" customHeight="1" x14ac:dyDescent="0.25">
      <c r="A2302" s="182"/>
      <c r="B2302" s="183"/>
      <c r="C2302" s="183"/>
      <c r="D2302" s="183"/>
      <c r="E2302" s="183"/>
      <c r="F2302" s="183"/>
      <c r="G2302" s="183"/>
      <c r="H2302" s="482" t="s">
        <v>1834</v>
      </c>
      <c r="I2302" s="482"/>
      <c r="J2302" s="482"/>
      <c r="K2302" s="482"/>
      <c r="L2302" s="369">
        <f>ROUND(SUM(L2301),2)</f>
        <v>0.18</v>
      </c>
    </row>
    <row r="2303" spans="1:12" ht="9.9499999999999993" customHeight="1" x14ac:dyDescent="0.25">
      <c r="A2303" s="182"/>
      <c r="B2303" s="183"/>
      <c r="C2303" s="183"/>
      <c r="D2303" s="183"/>
      <c r="E2303" s="183"/>
      <c r="F2303" s="183"/>
      <c r="G2303" s="183"/>
      <c r="H2303" s="485"/>
      <c r="I2303" s="485"/>
      <c r="J2303" s="485"/>
      <c r="K2303" s="485"/>
      <c r="L2303" s="512"/>
    </row>
    <row r="2304" spans="1:12" ht="20.100000000000001" customHeight="1" x14ac:dyDescent="0.25">
      <c r="A2304" s="486" t="s">
        <v>3207</v>
      </c>
      <c r="B2304" s="487"/>
      <c r="C2304" s="487"/>
      <c r="D2304" s="487"/>
      <c r="E2304" s="487"/>
      <c r="F2304" s="487"/>
      <c r="G2304" s="487"/>
      <c r="H2304" s="487"/>
      <c r="I2304" s="487"/>
      <c r="J2304" s="487"/>
      <c r="K2304" s="487"/>
      <c r="L2304" s="513"/>
    </row>
    <row r="2305" spans="1:12" ht="12.95" customHeight="1" x14ac:dyDescent="0.25">
      <c r="A2305" s="518" t="s">
        <v>2641</v>
      </c>
      <c r="B2305" s="519"/>
      <c r="C2305" s="519"/>
      <c r="D2305" s="520" t="s">
        <v>2642</v>
      </c>
      <c r="E2305" s="520"/>
      <c r="F2305" s="515" t="s">
        <v>2643</v>
      </c>
      <c r="G2305" s="515"/>
      <c r="H2305" s="515" t="s">
        <v>2644</v>
      </c>
      <c r="I2305" s="515"/>
      <c r="J2305" s="515"/>
      <c r="K2305" s="515"/>
      <c r="L2305" s="521" t="s">
        <v>1839</v>
      </c>
    </row>
    <row r="2306" spans="1:12" ht="12" customHeight="1" x14ac:dyDescent="0.25">
      <c r="A2306" s="518"/>
      <c r="B2306" s="519"/>
      <c r="C2306" s="519"/>
      <c r="D2306" s="520"/>
      <c r="E2306" s="520"/>
      <c r="F2306" s="230" t="s">
        <v>2645</v>
      </c>
      <c r="G2306" s="230" t="s">
        <v>2646</v>
      </c>
      <c r="H2306" s="476" t="s">
        <v>2645</v>
      </c>
      <c r="I2306" s="476"/>
      <c r="J2306" s="476" t="s">
        <v>2646</v>
      </c>
      <c r="K2306" s="476"/>
      <c r="L2306" s="521"/>
    </row>
    <row r="2307" spans="1:12" ht="32.1" customHeight="1" x14ac:dyDescent="0.25">
      <c r="A2307" s="170" t="s">
        <v>3205</v>
      </c>
      <c r="B2307" s="492" t="s">
        <v>3206</v>
      </c>
      <c r="C2307" s="492"/>
      <c r="D2307" s="524">
        <v>1.4800000000000001E-5</v>
      </c>
      <c r="E2307" s="524"/>
      <c r="F2307" s="244">
        <v>1</v>
      </c>
      <c r="G2307" s="244">
        <v>0</v>
      </c>
      <c r="H2307" s="523">
        <v>2573.5</v>
      </c>
      <c r="I2307" s="523"/>
      <c r="J2307" s="523">
        <v>0</v>
      </c>
      <c r="K2307" s="523"/>
      <c r="L2307" s="371">
        <f>TRUNC(D2307*(TRUNC(F2307*H2307,4)+TRUNC(G2307*J2307,4)),4)</f>
        <v>3.7999999999999999E-2</v>
      </c>
    </row>
    <row r="2308" spans="1:12" ht="15" customHeight="1" x14ac:dyDescent="0.25">
      <c r="A2308" s="184"/>
      <c r="B2308" s="141"/>
      <c r="C2308" s="141"/>
      <c r="D2308" s="141"/>
      <c r="E2308" s="141"/>
      <c r="F2308" s="141"/>
      <c r="G2308" s="141"/>
      <c r="H2308" s="491" t="s">
        <v>2649</v>
      </c>
      <c r="I2308" s="491"/>
      <c r="J2308" s="491"/>
      <c r="K2308" s="491"/>
      <c r="L2308" s="373">
        <f>SUM(L2306:L2307)</f>
        <v>3.7999999999999999E-2</v>
      </c>
    </row>
    <row r="2309" spans="1:12" ht="15" customHeight="1" x14ac:dyDescent="0.25">
      <c r="A2309" s="182"/>
      <c r="B2309" s="183"/>
      <c r="C2309" s="183"/>
      <c r="D2309" s="183"/>
      <c r="E2309" s="183"/>
      <c r="F2309" s="183"/>
      <c r="G2309" s="183"/>
      <c r="H2309" s="482" t="s">
        <v>1845</v>
      </c>
      <c r="I2309" s="482"/>
      <c r="J2309" s="482"/>
      <c r="K2309" s="482"/>
      <c r="L2309" s="371">
        <f>SUM(L2308)</f>
        <v>3.7999999999999999E-2</v>
      </c>
    </row>
    <row r="2310" spans="1:12" ht="15" customHeight="1" x14ac:dyDescent="0.25">
      <c r="A2310" s="182"/>
      <c r="B2310" s="183"/>
      <c r="C2310" s="183"/>
      <c r="D2310" s="183"/>
      <c r="E2310" s="183"/>
      <c r="F2310" s="183"/>
      <c r="G2310" s="183"/>
      <c r="H2310" s="482" t="s">
        <v>1846</v>
      </c>
      <c r="I2310" s="482"/>
      <c r="J2310" s="482"/>
      <c r="K2310" s="482"/>
      <c r="L2310" s="374">
        <v>1</v>
      </c>
    </row>
    <row r="2311" spans="1:12" ht="15" customHeight="1" x14ac:dyDescent="0.25">
      <c r="A2311" s="182"/>
      <c r="B2311" s="183"/>
      <c r="C2311" s="183"/>
      <c r="D2311" s="183"/>
      <c r="E2311" s="183"/>
      <c r="F2311" s="183"/>
      <c r="G2311" s="183"/>
      <c r="H2311" s="482" t="s">
        <v>1847</v>
      </c>
      <c r="I2311" s="482"/>
      <c r="J2311" s="482"/>
      <c r="K2311" s="482"/>
      <c r="L2311" s="371">
        <f>TRUNC(L2309/L2310,4)</f>
        <v>3.7999999999999999E-2</v>
      </c>
    </row>
    <row r="2312" spans="1:12" ht="15" customHeight="1" x14ac:dyDescent="0.25">
      <c r="A2312" s="182"/>
      <c r="B2312" s="183"/>
      <c r="C2312" s="183"/>
      <c r="D2312" s="183"/>
      <c r="E2312" s="183"/>
      <c r="F2312" s="183"/>
      <c r="G2312" s="183"/>
      <c r="H2312" s="482" t="s">
        <v>1848</v>
      </c>
      <c r="I2312" s="482"/>
      <c r="J2312" s="482"/>
      <c r="K2312" s="482"/>
      <c r="L2312" s="371">
        <f>SUM(L2311)</f>
        <v>3.7999999999999999E-2</v>
      </c>
    </row>
    <row r="2313" spans="1:12" ht="15" customHeight="1" x14ac:dyDescent="0.25">
      <c r="A2313" s="182"/>
      <c r="B2313" s="183"/>
      <c r="C2313" s="183"/>
      <c r="D2313" s="183"/>
      <c r="E2313" s="183"/>
      <c r="F2313" s="183"/>
      <c r="G2313" s="183"/>
      <c r="H2313" s="482" t="s">
        <v>1834</v>
      </c>
      <c r="I2313" s="482"/>
      <c r="J2313" s="482"/>
      <c r="K2313" s="482"/>
      <c r="L2313" s="369">
        <f>ROUND(SUM(L2312),2)</f>
        <v>0.04</v>
      </c>
    </row>
    <row r="2314" spans="1:12" ht="9.9499999999999993" customHeight="1" x14ac:dyDescent="0.25">
      <c r="A2314" s="182"/>
      <c r="B2314" s="183"/>
      <c r="C2314" s="183"/>
      <c r="D2314" s="183"/>
      <c r="E2314" s="183"/>
      <c r="F2314" s="183"/>
      <c r="G2314" s="183"/>
      <c r="H2314" s="485"/>
      <c r="I2314" s="485"/>
      <c r="J2314" s="485"/>
      <c r="K2314" s="485"/>
      <c r="L2314" s="512"/>
    </row>
    <row r="2315" spans="1:12" ht="20.100000000000001" customHeight="1" x14ac:dyDescent="0.25">
      <c r="A2315" s="486" t="s">
        <v>3208</v>
      </c>
      <c r="B2315" s="487"/>
      <c r="C2315" s="487"/>
      <c r="D2315" s="487"/>
      <c r="E2315" s="487"/>
      <c r="F2315" s="487"/>
      <c r="G2315" s="487"/>
      <c r="H2315" s="487"/>
      <c r="I2315" s="487"/>
      <c r="J2315" s="487"/>
      <c r="K2315" s="487"/>
      <c r="L2315" s="513"/>
    </row>
    <row r="2316" spans="1:12" ht="12.95" customHeight="1" x14ac:dyDescent="0.25">
      <c r="A2316" s="518" t="s">
        <v>2641</v>
      </c>
      <c r="B2316" s="519"/>
      <c r="C2316" s="519"/>
      <c r="D2316" s="520" t="s">
        <v>2642</v>
      </c>
      <c r="E2316" s="520"/>
      <c r="F2316" s="515" t="s">
        <v>2643</v>
      </c>
      <c r="G2316" s="515"/>
      <c r="H2316" s="515" t="s">
        <v>2644</v>
      </c>
      <c r="I2316" s="515"/>
      <c r="J2316" s="515"/>
      <c r="K2316" s="515"/>
      <c r="L2316" s="521" t="s">
        <v>1839</v>
      </c>
    </row>
    <row r="2317" spans="1:12" ht="12" customHeight="1" x14ac:dyDescent="0.25">
      <c r="A2317" s="518"/>
      <c r="B2317" s="519"/>
      <c r="C2317" s="519"/>
      <c r="D2317" s="520"/>
      <c r="E2317" s="520"/>
      <c r="F2317" s="230" t="s">
        <v>2645</v>
      </c>
      <c r="G2317" s="230" t="s">
        <v>2646</v>
      </c>
      <c r="H2317" s="476" t="s">
        <v>2645</v>
      </c>
      <c r="I2317" s="476"/>
      <c r="J2317" s="476" t="s">
        <v>2646</v>
      </c>
      <c r="K2317" s="476"/>
      <c r="L2317" s="521"/>
    </row>
    <row r="2318" spans="1:12" ht="32.1" customHeight="1" x14ac:dyDescent="0.25">
      <c r="A2318" s="170" t="s">
        <v>3205</v>
      </c>
      <c r="B2318" s="492" t="s">
        <v>3206</v>
      </c>
      <c r="C2318" s="492"/>
      <c r="D2318" s="524">
        <v>5.0000000000000002E-5</v>
      </c>
      <c r="E2318" s="524"/>
      <c r="F2318" s="244">
        <v>1</v>
      </c>
      <c r="G2318" s="244">
        <v>0</v>
      </c>
      <c r="H2318" s="523">
        <v>2573.5</v>
      </c>
      <c r="I2318" s="523"/>
      <c r="J2318" s="523">
        <v>0</v>
      </c>
      <c r="K2318" s="523"/>
      <c r="L2318" s="371">
        <f>TRUNC(D2318*(TRUNC(F2318*H2318,4)+TRUNC(G2318*J2318,4)),4)</f>
        <v>0.12859999999999999</v>
      </c>
    </row>
    <row r="2319" spans="1:12" ht="15" customHeight="1" x14ac:dyDescent="0.25">
      <c r="A2319" s="184"/>
      <c r="B2319" s="141"/>
      <c r="C2319" s="141"/>
      <c r="D2319" s="141"/>
      <c r="E2319" s="141"/>
      <c r="F2319" s="141"/>
      <c r="G2319" s="141"/>
      <c r="H2319" s="491" t="s">
        <v>2649</v>
      </c>
      <c r="I2319" s="491"/>
      <c r="J2319" s="491"/>
      <c r="K2319" s="491"/>
      <c r="L2319" s="373">
        <f>SUM(L2317:L2318)</f>
        <v>0.12859999999999999</v>
      </c>
    </row>
    <row r="2320" spans="1:12" ht="15" customHeight="1" x14ac:dyDescent="0.25">
      <c r="A2320" s="182"/>
      <c r="B2320" s="183"/>
      <c r="C2320" s="183"/>
      <c r="D2320" s="183"/>
      <c r="E2320" s="183"/>
      <c r="F2320" s="183"/>
      <c r="G2320" s="183"/>
      <c r="H2320" s="482" t="s">
        <v>1845</v>
      </c>
      <c r="I2320" s="482"/>
      <c r="J2320" s="482"/>
      <c r="K2320" s="482"/>
      <c r="L2320" s="371">
        <f>SUM(L2319)</f>
        <v>0.12859999999999999</v>
      </c>
    </row>
    <row r="2321" spans="1:12" ht="15" customHeight="1" x14ac:dyDescent="0.25">
      <c r="A2321" s="182"/>
      <c r="B2321" s="183"/>
      <c r="C2321" s="183"/>
      <c r="D2321" s="183"/>
      <c r="E2321" s="183"/>
      <c r="F2321" s="183"/>
      <c r="G2321" s="183"/>
      <c r="H2321" s="482" t="s">
        <v>1846</v>
      </c>
      <c r="I2321" s="482"/>
      <c r="J2321" s="482"/>
      <c r="K2321" s="482"/>
      <c r="L2321" s="374">
        <v>1</v>
      </c>
    </row>
    <row r="2322" spans="1:12" ht="15" customHeight="1" x14ac:dyDescent="0.25">
      <c r="A2322" s="182"/>
      <c r="B2322" s="183"/>
      <c r="C2322" s="183"/>
      <c r="D2322" s="183"/>
      <c r="E2322" s="183"/>
      <c r="F2322" s="183"/>
      <c r="G2322" s="183"/>
      <c r="H2322" s="482" t="s">
        <v>1847</v>
      </c>
      <c r="I2322" s="482"/>
      <c r="J2322" s="482"/>
      <c r="K2322" s="482"/>
      <c r="L2322" s="371">
        <f>TRUNC(L2320/L2321,4)</f>
        <v>0.12859999999999999</v>
      </c>
    </row>
    <row r="2323" spans="1:12" ht="15" customHeight="1" x14ac:dyDescent="0.25">
      <c r="A2323" s="182"/>
      <c r="B2323" s="183"/>
      <c r="C2323" s="183"/>
      <c r="D2323" s="183"/>
      <c r="E2323" s="183"/>
      <c r="F2323" s="183"/>
      <c r="G2323" s="183"/>
      <c r="H2323" s="482" t="s">
        <v>1848</v>
      </c>
      <c r="I2323" s="482"/>
      <c r="J2323" s="482"/>
      <c r="K2323" s="482"/>
      <c r="L2323" s="371">
        <f>SUM(L2322)</f>
        <v>0.12859999999999999</v>
      </c>
    </row>
    <row r="2324" spans="1:12" ht="15" customHeight="1" x14ac:dyDescent="0.25">
      <c r="A2324" s="182"/>
      <c r="B2324" s="183"/>
      <c r="C2324" s="183"/>
      <c r="D2324" s="183"/>
      <c r="E2324" s="183"/>
      <c r="F2324" s="183"/>
      <c r="G2324" s="183"/>
      <c r="H2324" s="482" t="s">
        <v>1834</v>
      </c>
      <c r="I2324" s="482"/>
      <c r="J2324" s="482"/>
      <c r="K2324" s="482"/>
      <c r="L2324" s="369">
        <f>ROUND(SUM(L2323),2)</f>
        <v>0.13</v>
      </c>
    </row>
    <row r="2325" spans="1:12" ht="9.9499999999999993" customHeight="1" x14ac:dyDescent="0.25">
      <c r="A2325" s="182"/>
      <c r="B2325" s="183"/>
      <c r="C2325" s="183"/>
      <c r="D2325" s="183"/>
      <c r="E2325" s="183"/>
      <c r="F2325" s="183"/>
      <c r="G2325" s="183"/>
      <c r="H2325" s="485"/>
      <c r="I2325" s="485"/>
      <c r="J2325" s="485"/>
      <c r="K2325" s="485"/>
      <c r="L2325" s="512"/>
    </row>
    <row r="2326" spans="1:12" ht="20.100000000000001" customHeight="1" x14ac:dyDescent="0.25">
      <c r="A2326" s="486" t="s">
        <v>3209</v>
      </c>
      <c r="B2326" s="487"/>
      <c r="C2326" s="487"/>
      <c r="D2326" s="487"/>
      <c r="E2326" s="487"/>
      <c r="F2326" s="487"/>
      <c r="G2326" s="487"/>
      <c r="H2326" s="487"/>
      <c r="I2326" s="487"/>
      <c r="J2326" s="487"/>
      <c r="K2326" s="487"/>
      <c r="L2326" s="513"/>
    </row>
    <row r="2327" spans="1:12" ht="20.100000000000001" customHeight="1" x14ac:dyDescent="0.25">
      <c r="A2327" s="488" t="s">
        <v>1880</v>
      </c>
      <c r="B2327" s="489"/>
      <c r="C2327" s="489"/>
      <c r="D2327" s="489"/>
      <c r="E2327" s="489"/>
      <c r="F2327" s="489"/>
      <c r="G2327" s="233" t="s">
        <v>44</v>
      </c>
      <c r="H2327" s="515" t="s">
        <v>1837</v>
      </c>
      <c r="I2327" s="515"/>
      <c r="J2327" s="515" t="s">
        <v>1881</v>
      </c>
      <c r="K2327" s="515"/>
      <c r="L2327" s="169" t="s">
        <v>1882</v>
      </c>
    </row>
    <row r="2328" spans="1:12" ht="15" customHeight="1" x14ac:dyDescent="0.25">
      <c r="A2328" s="170" t="s">
        <v>3210</v>
      </c>
      <c r="B2328" s="492" t="s">
        <v>3211</v>
      </c>
      <c r="C2328" s="492"/>
      <c r="D2328" s="492"/>
      <c r="E2328" s="492"/>
      <c r="F2328" s="492"/>
      <c r="G2328" s="127" t="s">
        <v>2453</v>
      </c>
      <c r="H2328" s="524">
        <v>1.87679</v>
      </c>
      <c r="I2328" s="524"/>
      <c r="J2328" s="525">
        <v>0.99</v>
      </c>
      <c r="K2328" s="525"/>
      <c r="L2328" s="171">
        <f>TRUNC(TRUNC(H2328,8)*J2328,2)</f>
        <v>1.85</v>
      </c>
    </row>
    <row r="2329" spans="1:12" ht="15" customHeight="1" x14ac:dyDescent="0.25">
      <c r="A2329" s="184"/>
      <c r="B2329" s="141"/>
      <c r="C2329" s="141"/>
      <c r="D2329" s="141"/>
      <c r="E2329" s="141"/>
      <c r="F2329" s="141"/>
      <c r="G2329" s="141"/>
      <c r="H2329" s="491" t="s">
        <v>1889</v>
      </c>
      <c r="I2329" s="491"/>
      <c r="J2329" s="491"/>
      <c r="K2329" s="491"/>
      <c r="L2329" s="375">
        <f>SUM(L2328:L2328)</f>
        <v>1.85</v>
      </c>
    </row>
    <row r="2330" spans="1:12" ht="15" customHeight="1" x14ac:dyDescent="0.25">
      <c r="A2330" s="182"/>
      <c r="B2330" s="183"/>
      <c r="C2330" s="183"/>
      <c r="D2330" s="183"/>
      <c r="E2330" s="183"/>
      <c r="F2330" s="183"/>
      <c r="G2330" s="183"/>
      <c r="H2330" s="482" t="s">
        <v>1848</v>
      </c>
      <c r="I2330" s="482"/>
      <c r="J2330" s="482"/>
      <c r="K2330" s="482"/>
      <c r="L2330" s="371">
        <f>SUM(L2329)</f>
        <v>1.85</v>
      </c>
    </row>
    <row r="2331" spans="1:12" ht="15" customHeight="1" x14ac:dyDescent="0.25">
      <c r="A2331" s="182"/>
      <c r="B2331" s="183"/>
      <c r="C2331" s="183"/>
      <c r="D2331" s="183"/>
      <c r="E2331" s="183"/>
      <c r="F2331" s="183"/>
      <c r="G2331" s="183"/>
      <c r="H2331" s="482" t="s">
        <v>1834</v>
      </c>
      <c r="I2331" s="482"/>
      <c r="J2331" s="482"/>
      <c r="K2331" s="482"/>
      <c r="L2331" s="369">
        <f>ROUND(SUM(L2330),2)</f>
        <v>1.85</v>
      </c>
    </row>
    <row r="2332" spans="1:12" ht="9.9499999999999993" customHeight="1" x14ac:dyDescent="0.25">
      <c r="A2332" s="182"/>
      <c r="B2332" s="183"/>
      <c r="C2332" s="183"/>
      <c r="D2332" s="183"/>
      <c r="E2332" s="183"/>
      <c r="F2332" s="183"/>
      <c r="G2332" s="183"/>
      <c r="H2332" s="485"/>
      <c r="I2332" s="485"/>
      <c r="J2332" s="485"/>
      <c r="K2332" s="485"/>
      <c r="L2332" s="512"/>
    </row>
    <row r="2333" spans="1:12" ht="20.100000000000001" customHeight="1" x14ac:dyDescent="0.25">
      <c r="A2333" s="486" t="s">
        <v>3212</v>
      </c>
      <c r="B2333" s="487"/>
      <c r="C2333" s="487"/>
      <c r="D2333" s="487"/>
      <c r="E2333" s="487"/>
      <c r="F2333" s="487"/>
      <c r="G2333" s="487"/>
      <c r="H2333" s="487"/>
      <c r="I2333" s="487"/>
      <c r="J2333" s="487"/>
      <c r="K2333" s="487"/>
      <c r="L2333" s="513"/>
    </row>
    <row r="2334" spans="1:12" ht="20.100000000000001" customHeight="1" x14ac:dyDescent="0.25">
      <c r="A2334" s="488" t="s">
        <v>1836</v>
      </c>
      <c r="B2334" s="489"/>
      <c r="C2334" s="489"/>
      <c r="D2334" s="489"/>
      <c r="E2334" s="489"/>
      <c r="F2334" s="489"/>
      <c r="G2334" s="233" t="s">
        <v>44</v>
      </c>
      <c r="H2334" s="515" t="s">
        <v>1837</v>
      </c>
      <c r="I2334" s="515"/>
      <c r="J2334" s="515" t="s">
        <v>1838</v>
      </c>
      <c r="K2334" s="515"/>
      <c r="L2334" s="169" t="s">
        <v>1839</v>
      </c>
    </row>
    <row r="2335" spans="1:12" ht="15" customHeight="1" x14ac:dyDescent="0.25">
      <c r="A2335" s="170" t="s">
        <v>1830</v>
      </c>
      <c r="B2335" s="490" t="s">
        <v>1831</v>
      </c>
      <c r="C2335" s="490"/>
      <c r="D2335" s="490"/>
      <c r="E2335" s="490"/>
      <c r="F2335" s="490"/>
      <c r="G2335" s="127" t="s">
        <v>1024</v>
      </c>
      <c r="H2335" s="524">
        <v>2.5000000000000001E-2</v>
      </c>
      <c r="I2335" s="524"/>
      <c r="J2335" s="517">
        <v>19.68</v>
      </c>
      <c r="K2335" s="517"/>
      <c r="L2335" s="370">
        <f>TRUNC(TRUNC(H2335,8)*J2335,2)</f>
        <v>0.49</v>
      </c>
    </row>
    <row r="2336" spans="1:12" ht="15" customHeight="1" x14ac:dyDescent="0.25">
      <c r="A2336" s="184"/>
      <c r="B2336" s="141"/>
      <c r="C2336" s="141"/>
      <c r="D2336" s="141"/>
      <c r="E2336" s="141"/>
      <c r="F2336" s="141"/>
      <c r="G2336" s="141"/>
      <c r="H2336" s="491" t="s">
        <v>1844</v>
      </c>
      <c r="I2336" s="491"/>
      <c r="J2336" s="491"/>
      <c r="K2336" s="491"/>
      <c r="L2336" s="369">
        <f>SUM(L2335:L2335)</f>
        <v>0.49</v>
      </c>
    </row>
    <row r="2337" spans="1:12" ht="15" customHeight="1" x14ac:dyDescent="0.25">
      <c r="A2337" s="182"/>
      <c r="B2337" s="183"/>
      <c r="C2337" s="183"/>
      <c r="D2337" s="183"/>
      <c r="E2337" s="183"/>
      <c r="F2337" s="183"/>
      <c r="G2337" s="183"/>
      <c r="H2337" s="482" t="s">
        <v>1845</v>
      </c>
      <c r="I2337" s="482"/>
      <c r="J2337" s="482"/>
      <c r="K2337" s="482"/>
      <c r="L2337" s="371">
        <f>SUM(L2336)</f>
        <v>0.49</v>
      </c>
    </row>
    <row r="2338" spans="1:12" ht="15" customHeight="1" x14ac:dyDescent="0.25">
      <c r="A2338" s="182"/>
      <c r="B2338" s="183"/>
      <c r="C2338" s="183"/>
      <c r="D2338" s="183"/>
      <c r="E2338" s="183"/>
      <c r="F2338" s="183"/>
      <c r="G2338" s="183"/>
      <c r="H2338" s="482" t="s">
        <v>1846</v>
      </c>
      <c r="I2338" s="482"/>
      <c r="J2338" s="482"/>
      <c r="K2338" s="482"/>
      <c r="L2338" s="374">
        <v>1</v>
      </c>
    </row>
    <row r="2339" spans="1:12" ht="15" customHeight="1" x14ac:dyDescent="0.25">
      <c r="A2339" s="182"/>
      <c r="B2339" s="183"/>
      <c r="C2339" s="183"/>
      <c r="D2339" s="183"/>
      <c r="E2339" s="183"/>
      <c r="F2339" s="183"/>
      <c r="G2339" s="183"/>
      <c r="H2339" s="482" t="s">
        <v>1847</v>
      </c>
      <c r="I2339" s="482"/>
      <c r="J2339" s="482"/>
      <c r="K2339" s="482"/>
      <c r="L2339" s="371">
        <f>TRUNC(L2337/L2338,4)</f>
        <v>0.49</v>
      </c>
    </row>
    <row r="2340" spans="1:12" ht="15" customHeight="1" x14ac:dyDescent="0.25">
      <c r="A2340" s="182"/>
      <c r="B2340" s="183"/>
      <c r="C2340" s="183"/>
      <c r="D2340" s="183"/>
      <c r="E2340" s="183"/>
      <c r="F2340" s="183"/>
      <c r="G2340" s="183"/>
      <c r="H2340" s="482" t="s">
        <v>1848</v>
      </c>
      <c r="I2340" s="482"/>
      <c r="J2340" s="482"/>
      <c r="K2340" s="482"/>
      <c r="L2340" s="371">
        <f>SUM(L2339)</f>
        <v>0.49</v>
      </c>
    </row>
    <row r="2341" spans="1:12" ht="15" customHeight="1" x14ac:dyDescent="0.25">
      <c r="A2341" s="182"/>
      <c r="B2341" s="183"/>
      <c r="C2341" s="183"/>
      <c r="D2341" s="183"/>
      <c r="E2341" s="183"/>
      <c r="F2341" s="183"/>
      <c r="G2341" s="183"/>
      <c r="H2341" s="482" t="s">
        <v>1834</v>
      </c>
      <c r="I2341" s="482"/>
      <c r="J2341" s="482"/>
      <c r="K2341" s="482"/>
      <c r="L2341" s="369">
        <f>ROUND(SUM(L2340),2)</f>
        <v>0.49</v>
      </c>
    </row>
    <row r="2342" spans="1:12" ht="9.9499999999999993" customHeight="1" x14ac:dyDescent="0.25">
      <c r="A2342" s="182"/>
      <c r="B2342" s="183"/>
      <c r="C2342" s="183"/>
      <c r="D2342" s="183"/>
      <c r="E2342" s="183"/>
      <c r="F2342" s="183"/>
      <c r="G2342" s="183"/>
      <c r="H2342" s="485"/>
      <c r="I2342" s="485"/>
      <c r="J2342" s="485"/>
      <c r="K2342" s="485"/>
      <c r="L2342" s="512"/>
    </row>
    <row r="2343" spans="1:12" ht="20.100000000000001" customHeight="1" x14ac:dyDescent="0.25">
      <c r="A2343" s="486" t="s">
        <v>3213</v>
      </c>
      <c r="B2343" s="487"/>
      <c r="C2343" s="487"/>
      <c r="D2343" s="487"/>
      <c r="E2343" s="487"/>
      <c r="F2343" s="487"/>
      <c r="G2343" s="487"/>
      <c r="H2343" s="487"/>
      <c r="I2343" s="487"/>
      <c r="J2343" s="487"/>
      <c r="K2343" s="487"/>
      <c r="L2343" s="513"/>
    </row>
    <row r="2344" spans="1:12" ht="20.100000000000001" customHeight="1" x14ac:dyDescent="0.25">
      <c r="A2344" s="488" t="s">
        <v>1836</v>
      </c>
      <c r="B2344" s="489"/>
      <c r="C2344" s="489"/>
      <c r="D2344" s="489"/>
      <c r="E2344" s="489"/>
      <c r="F2344" s="489"/>
      <c r="G2344" s="233" t="s">
        <v>44</v>
      </c>
      <c r="H2344" s="515" t="s">
        <v>1837</v>
      </c>
      <c r="I2344" s="515"/>
      <c r="J2344" s="515" t="s">
        <v>1838</v>
      </c>
      <c r="K2344" s="515"/>
      <c r="L2344" s="169" t="s">
        <v>1839</v>
      </c>
    </row>
    <row r="2345" spans="1:12" ht="15" customHeight="1" x14ac:dyDescent="0.25">
      <c r="A2345" s="170" t="s">
        <v>1830</v>
      </c>
      <c r="B2345" s="490" t="s">
        <v>1831</v>
      </c>
      <c r="C2345" s="490"/>
      <c r="D2345" s="490"/>
      <c r="E2345" s="490"/>
      <c r="F2345" s="490"/>
      <c r="G2345" s="127" t="s">
        <v>1024</v>
      </c>
      <c r="H2345" s="524">
        <v>0.248</v>
      </c>
      <c r="I2345" s="524"/>
      <c r="J2345" s="517">
        <v>19.68</v>
      </c>
      <c r="K2345" s="517"/>
      <c r="L2345" s="370">
        <f>TRUNC(TRUNC(H2345,8)*J2345,2)</f>
        <v>4.88</v>
      </c>
    </row>
    <row r="2346" spans="1:12" ht="15" customHeight="1" x14ac:dyDescent="0.25">
      <c r="A2346" s="184"/>
      <c r="B2346" s="141"/>
      <c r="C2346" s="141"/>
      <c r="D2346" s="141"/>
      <c r="E2346" s="141"/>
      <c r="F2346" s="141"/>
      <c r="G2346" s="141"/>
      <c r="H2346" s="491" t="s">
        <v>1844</v>
      </c>
      <c r="I2346" s="491"/>
      <c r="J2346" s="491"/>
      <c r="K2346" s="491"/>
      <c r="L2346" s="369">
        <f>SUM(L2345:L2345)</f>
        <v>4.88</v>
      </c>
    </row>
    <row r="2347" spans="1:12" ht="15" customHeight="1" x14ac:dyDescent="0.25">
      <c r="A2347" s="182"/>
      <c r="B2347" s="183"/>
      <c r="C2347" s="183"/>
      <c r="D2347" s="183"/>
      <c r="E2347" s="183"/>
      <c r="F2347" s="183"/>
      <c r="G2347" s="183"/>
      <c r="H2347" s="482" t="s">
        <v>1845</v>
      </c>
      <c r="I2347" s="482"/>
      <c r="J2347" s="482"/>
      <c r="K2347" s="482"/>
      <c r="L2347" s="371">
        <f>SUM(L2346)</f>
        <v>4.88</v>
      </c>
    </row>
    <row r="2348" spans="1:12" ht="15" customHeight="1" x14ac:dyDescent="0.25">
      <c r="A2348" s="182"/>
      <c r="B2348" s="183"/>
      <c r="C2348" s="183"/>
      <c r="D2348" s="183"/>
      <c r="E2348" s="183"/>
      <c r="F2348" s="183"/>
      <c r="G2348" s="183"/>
      <c r="H2348" s="482" t="s">
        <v>1846</v>
      </c>
      <c r="I2348" s="482"/>
      <c r="J2348" s="482"/>
      <c r="K2348" s="482"/>
      <c r="L2348" s="374">
        <v>1</v>
      </c>
    </row>
    <row r="2349" spans="1:12" ht="15" customHeight="1" x14ac:dyDescent="0.25">
      <c r="A2349" s="182"/>
      <c r="B2349" s="183"/>
      <c r="C2349" s="183"/>
      <c r="D2349" s="183"/>
      <c r="E2349" s="183"/>
      <c r="F2349" s="183"/>
      <c r="G2349" s="183"/>
      <c r="H2349" s="482" t="s">
        <v>1847</v>
      </c>
      <c r="I2349" s="482"/>
      <c r="J2349" s="482"/>
      <c r="K2349" s="482"/>
      <c r="L2349" s="371">
        <f>TRUNC(L2347/L2348,4)</f>
        <v>4.88</v>
      </c>
    </row>
    <row r="2350" spans="1:12" ht="20.100000000000001" customHeight="1" x14ac:dyDescent="0.25">
      <c r="A2350" s="488" t="s">
        <v>1880</v>
      </c>
      <c r="B2350" s="489"/>
      <c r="C2350" s="489"/>
      <c r="D2350" s="489"/>
      <c r="E2350" s="489"/>
      <c r="F2350" s="489"/>
      <c r="G2350" s="233" t="s">
        <v>44</v>
      </c>
      <c r="H2350" s="515" t="s">
        <v>1837</v>
      </c>
      <c r="I2350" s="515"/>
      <c r="J2350" s="515" t="s">
        <v>1881</v>
      </c>
      <c r="K2350" s="515"/>
      <c r="L2350" s="169" t="s">
        <v>1882</v>
      </c>
    </row>
    <row r="2351" spans="1:12" ht="15" customHeight="1" x14ac:dyDescent="0.25">
      <c r="A2351" s="170" t="s">
        <v>3214</v>
      </c>
      <c r="B2351" s="492" t="s">
        <v>3215</v>
      </c>
      <c r="C2351" s="492"/>
      <c r="D2351" s="492"/>
      <c r="E2351" s="492"/>
      <c r="F2351" s="492"/>
      <c r="G2351" s="127" t="s">
        <v>1006</v>
      </c>
      <c r="H2351" s="524">
        <v>6.0000000000000001E-3</v>
      </c>
      <c r="I2351" s="524"/>
      <c r="J2351" s="525">
        <v>7.12</v>
      </c>
      <c r="K2351" s="525"/>
      <c r="L2351" s="171">
        <f>TRUNC(TRUNC(H2351,8)*J2351,2)</f>
        <v>0.04</v>
      </c>
    </row>
    <row r="2352" spans="1:12" ht="15" customHeight="1" x14ac:dyDescent="0.25">
      <c r="A2352" s="184"/>
      <c r="B2352" s="141"/>
      <c r="C2352" s="141"/>
      <c r="D2352" s="141"/>
      <c r="E2352" s="141"/>
      <c r="F2352" s="141"/>
      <c r="G2352" s="141"/>
      <c r="H2352" s="491" t="s">
        <v>1889</v>
      </c>
      <c r="I2352" s="491"/>
      <c r="J2352" s="491"/>
      <c r="K2352" s="491"/>
      <c r="L2352" s="375">
        <f>SUM(L2351:L2351)</f>
        <v>0.04</v>
      </c>
    </row>
    <row r="2353" spans="1:12" ht="15" customHeight="1" x14ac:dyDescent="0.25">
      <c r="A2353" s="182"/>
      <c r="B2353" s="183"/>
      <c r="C2353" s="183"/>
      <c r="D2353" s="183"/>
      <c r="E2353" s="183"/>
      <c r="F2353" s="183"/>
      <c r="G2353" s="183"/>
      <c r="H2353" s="482" t="s">
        <v>1848</v>
      </c>
      <c r="I2353" s="482"/>
      <c r="J2353" s="482"/>
      <c r="K2353" s="482"/>
      <c r="L2353" s="371">
        <f>SUM(L2349,L2352)</f>
        <v>4.92</v>
      </c>
    </row>
    <row r="2354" spans="1:12" ht="15" customHeight="1" x14ac:dyDescent="0.25">
      <c r="A2354" s="182"/>
      <c r="B2354" s="183"/>
      <c r="C2354" s="183"/>
      <c r="D2354" s="183"/>
      <c r="E2354" s="183"/>
      <c r="F2354" s="183"/>
      <c r="G2354" s="183"/>
      <c r="H2354" s="482" t="s">
        <v>1834</v>
      </c>
      <c r="I2354" s="482"/>
      <c r="J2354" s="482"/>
      <c r="K2354" s="482"/>
      <c r="L2354" s="369">
        <f>ROUND(SUM(L2353),2)</f>
        <v>4.92</v>
      </c>
    </row>
    <row r="2355" spans="1:12" ht="9.9499999999999993" customHeight="1" x14ac:dyDescent="0.25">
      <c r="A2355" s="182"/>
      <c r="B2355" s="183"/>
      <c r="C2355" s="183"/>
      <c r="D2355" s="183"/>
      <c r="E2355" s="183"/>
      <c r="F2355" s="183"/>
      <c r="G2355" s="183"/>
      <c r="H2355" s="485"/>
      <c r="I2355" s="485"/>
      <c r="J2355" s="485"/>
      <c r="K2355" s="485"/>
      <c r="L2355" s="512"/>
    </row>
    <row r="2356" spans="1:12" ht="20.100000000000001" customHeight="1" x14ac:dyDescent="0.25">
      <c r="A2356" s="486" t="s">
        <v>3216</v>
      </c>
      <c r="B2356" s="487"/>
      <c r="C2356" s="487"/>
      <c r="D2356" s="487"/>
      <c r="E2356" s="487"/>
      <c r="F2356" s="487"/>
      <c r="G2356" s="487"/>
      <c r="H2356" s="487"/>
      <c r="I2356" s="487"/>
      <c r="J2356" s="487"/>
      <c r="K2356" s="487"/>
      <c r="L2356" s="513"/>
    </row>
    <row r="2357" spans="1:12" ht="20.100000000000001" customHeight="1" x14ac:dyDescent="0.25">
      <c r="A2357" s="488" t="s">
        <v>1836</v>
      </c>
      <c r="B2357" s="489"/>
      <c r="C2357" s="489"/>
      <c r="D2357" s="489"/>
      <c r="E2357" s="489"/>
      <c r="F2357" s="489"/>
      <c r="G2357" s="233" t="s">
        <v>44</v>
      </c>
      <c r="H2357" s="515" t="s">
        <v>1837</v>
      </c>
      <c r="I2357" s="515"/>
      <c r="J2357" s="515" t="s">
        <v>1838</v>
      </c>
      <c r="K2357" s="515"/>
      <c r="L2357" s="169" t="s">
        <v>1839</v>
      </c>
    </row>
    <row r="2358" spans="1:12" ht="15" customHeight="1" x14ac:dyDescent="0.25">
      <c r="A2358" s="170" t="s">
        <v>1830</v>
      </c>
      <c r="B2358" s="490" t="s">
        <v>1831</v>
      </c>
      <c r="C2358" s="490"/>
      <c r="D2358" s="490"/>
      <c r="E2358" s="490"/>
      <c r="F2358" s="490"/>
      <c r="G2358" s="127" t="s">
        <v>1024</v>
      </c>
      <c r="H2358" s="524">
        <v>7.2999999999999995E-2</v>
      </c>
      <c r="I2358" s="524"/>
      <c r="J2358" s="517">
        <v>19.68</v>
      </c>
      <c r="K2358" s="517"/>
      <c r="L2358" s="370">
        <f>TRUNC(TRUNC(H2358,8)*J2358,2)</f>
        <v>1.43</v>
      </c>
    </row>
    <row r="2359" spans="1:12" ht="15" customHeight="1" x14ac:dyDescent="0.25">
      <c r="A2359" s="184"/>
      <c r="B2359" s="141"/>
      <c r="C2359" s="141"/>
      <c r="D2359" s="141"/>
      <c r="E2359" s="141"/>
      <c r="F2359" s="141"/>
      <c r="G2359" s="141"/>
      <c r="H2359" s="491" t="s">
        <v>1844</v>
      </c>
      <c r="I2359" s="491"/>
      <c r="J2359" s="491"/>
      <c r="K2359" s="491"/>
      <c r="L2359" s="369">
        <f>SUM(L2358:L2358)</f>
        <v>1.43</v>
      </c>
    </row>
    <row r="2360" spans="1:12" ht="15" customHeight="1" x14ac:dyDescent="0.25">
      <c r="A2360" s="182"/>
      <c r="B2360" s="183"/>
      <c r="C2360" s="183"/>
      <c r="D2360" s="183"/>
      <c r="E2360" s="183"/>
      <c r="F2360" s="183"/>
      <c r="G2360" s="183"/>
      <c r="H2360" s="482" t="s">
        <v>1845</v>
      </c>
      <c r="I2360" s="482"/>
      <c r="J2360" s="482"/>
      <c r="K2360" s="482"/>
      <c r="L2360" s="371">
        <f>SUM(L2359)</f>
        <v>1.43</v>
      </c>
    </row>
    <row r="2361" spans="1:12" ht="15" customHeight="1" x14ac:dyDescent="0.25">
      <c r="A2361" s="182"/>
      <c r="B2361" s="183"/>
      <c r="C2361" s="183"/>
      <c r="D2361" s="183"/>
      <c r="E2361" s="183"/>
      <c r="F2361" s="183"/>
      <c r="G2361" s="183"/>
      <c r="H2361" s="482" t="s">
        <v>1846</v>
      </c>
      <c r="I2361" s="482"/>
      <c r="J2361" s="482"/>
      <c r="K2361" s="482"/>
      <c r="L2361" s="374">
        <v>1</v>
      </c>
    </row>
    <row r="2362" spans="1:12" ht="15" customHeight="1" x14ac:dyDescent="0.25">
      <c r="A2362" s="182"/>
      <c r="B2362" s="183"/>
      <c r="C2362" s="183"/>
      <c r="D2362" s="183"/>
      <c r="E2362" s="183"/>
      <c r="F2362" s="183"/>
      <c r="G2362" s="183"/>
      <c r="H2362" s="482" t="s">
        <v>1847</v>
      </c>
      <c r="I2362" s="482"/>
      <c r="J2362" s="482"/>
      <c r="K2362" s="482"/>
      <c r="L2362" s="371">
        <f>TRUNC(L2360/L2361,4)</f>
        <v>1.43</v>
      </c>
    </row>
    <row r="2363" spans="1:12" ht="20.100000000000001" customHeight="1" x14ac:dyDescent="0.25">
      <c r="A2363" s="488" t="s">
        <v>1880</v>
      </c>
      <c r="B2363" s="489"/>
      <c r="C2363" s="489"/>
      <c r="D2363" s="489"/>
      <c r="E2363" s="489"/>
      <c r="F2363" s="489"/>
      <c r="G2363" s="233" t="s">
        <v>44</v>
      </c>
      <c r="H2363" s="515" t="s">
        <v>1837</v>
      </c>
      <c r="I2363" s="515"/>
      <c r="J2363" s="515" t="s">
        <v>1881</v>
      </c>
      <c r="K2363" s="515"/>
      <c r="L2363" s="169" t="s">
        <v>1882</v>
      </c>
    </row>
    <row r="2364" spans="1:12" ht="15" customHeight="1" x14ac:dyDescent="0.25">
      <c r="A2364" s="170" t="s">
        <v>3214</v>
      </c>
      <c r="B2364" s="492" t="s">
        <v>3215</v>
      </c>
      <c r="C2364" s="492"/>
      <c r="D2364" s="492"/>
      <c r="E2364" s="492"/>
      <c r="F2364" s="492"/>
      <c r="G2364" s="127" t="s">
        <v>1006</v>
      </c>
      <c r="H2364" s="524">
        <v>6.0000000000000001E-3</v>
      </c>
      <c r="I2364" s="524"/>
      <c r="J2364" s="525">
        <v>7.12</v>
      </c>
      <c r="K2364" s="525"/>
      <c r="L2364" s="171">
        <f>TRUNC(TRUNC(H2364,8)*J2364,2)</f>
        <v>0.04</v>
      </c>
    </row>
    <row r="2365" spans="1:12" ht="15" customHeight="1" x14ac:dyDescent="0.25">
      <c r="A2365" s="184"/>
      <c r="B2365" s="141"/>
      <c r="C2365" s="141"/>
      <c r="D2365" s="141"/>
      <c r="E2365" s="141"/>
      <c r="F2365" s="141"/>
      <c r="G2365" s="141"/>
      <c r="H2365" s="491" t="s">
        <v>1889</v>
      </c>
      <c r="I2365" s="491"/>
      <c r="J2365" s="491"/>
      <c r="K2365" s="491"/>
      <c r="L2365" s="375">
        <f>SUM(L2364:L2364)</f>
        <v>0.04</v>
      </c>
    </row>
    <row r="2366" spans="1:12" ht="15" customHeight="1" x14ac:dyDescent="0.25">
      <c r="A2366" s="182"/>
      <c r="B2366" s="183"/>
      <c r="C2366" s="183"/>
      <c r="D2366" s="183"/>
      <c r="E2366" s="183"/>
      <c r="F2366" s="183"/>
      <c r="G2366" s="183"/>
      <c r="H2366" s="482" t="s">
        <v>1848</v>
      </c>
      <c r="I2366" s="482"/>
      <c r="J2366" s="482"/>
      <c r="K2366" s="482"/>
      <c r="L2366" s="371">
        <f>SUM(L2362,L2365)</f>
        <v>1.47</v>
      </c>
    </row>
    <row r="2367" spans="1:12" ht="15" customHeight="1" x14ac:dyDescent="0.25">
      <c r="A2367" s="182"/>
      <c r="B2367" s="183"/>
      <c r="C2367" s="183"/>
      <c r="D2367" s="183"/>
      <c r="E2367" s="183"/>
      <c r="F2367" s="183"/>
      <c r="G2367" s="183"/>
      <c r="H2367" s="482" t="s">
        <v>1834</v>
      </c>
      <c r="I2367" s="482"/>
      <c r="J2367" s="482"/>
      <c r="K2367" s="482"/>
      <c r="L2367" s="369">
        <f>ROUND(SUM(L2366),2)</f>
        <v>1.47</v>
      </c>
    </row>
    <row r="2368" spans="1:12" ht="9.9499999999999993" customHeight="1" x14ac:dyDescent="0.25">
      <c r="A2368" s="182"/>
      <c r="B2368" s="183"/>
      <c r="C2368" s="183"/>
      <c r="D2368" s="183"/>
      <c r="E2368" s="183"/>
      <c r="F2368" s="183"/>
      <c r="G2368" s="183"/>
      <c r="H2368" s="485"/>
      <c r="I2368" s="485"/>
      <c r="J2368" s="485"/>
      <c r="K2368" s="485"/>
      <c r="L2368" s="512"/>
    </row>
    <row r="2369" spans="1:12" ht="20.100000000000001" customHeight="1" x14ac:dyDescent="0.25">
      <c r="A2369" s="486" t="s">
        <v>3217</v>
      </c>
      <c r="B2369" s="487"/>
      <c r="C2369" s="487"/>
      <c r="D2369" s="487"/>
      <c r="E2369" s="487"/>
      <c r="F2369" s="487"/>
      <c r="G2369" s="487"/>
      <c r="H2369" s="487"/>
      <c r="I2369" s="487"/>
      <c r="J2369" s="487"/>
      <c r="K2369" s="487"/>
      <c r="L2369" s="513"/>
    </row>
    <row r="2370" spans="1:12" ht="20.100000000000001" customHeight="1" x14ac:dyDescent="0.25">
      <c r="A2370" s="488" t="s">
        <v>1836</v>
      </c>
      <c r="B2370" s="489"/>
      <c r="C2370" s="489"/>
      <c r="D2370" s="489"/>
      <c r="E2370" s="489"/>
      <c r="F2370" s="489"/>
      <c r="G2370" s="233" t="s">
        <v>44</v>
      </c>
      <c r="H2370" s="515" t="s">
        <v>1837</v>
      </c>
      <c r="I2370" s="515"/>
      <c r="J2370" s="515" t="s">
        <v>1838</v>
      </c>
      <c r="K2370" s="515"/>
      <c r="L2370" s="169" t="s">
        <v>1839</v>
      </c>
    </row>
    <row r="2371" spans="1:12" ht="15" customHeight="1" x14ac:dyDescent="0.25">
      <c r="A2371" s="170" t="s">
        <v>1830</v>
      </c>
      <c r="B2371" s="490" t="s">
        <v>1831</v>
      </c>
      <c r="C2371" s="490"/>
      <c r="D2371" s="490"/>
      <c r="E2371" s="490"/>
      <c r="F2371" s="490"/>
      <c r="G2371" s="127" t="s">
        <v>1024</v>
      </c>
      <c r="H2371" s="524">
        <v>8.8999999999999996E-2</v>
      </c>
      <c r="I2371" s="524"/>
      <c r="J2371" s="517">
        <v>19.68</v>
      </c>
      <c r="K2371" s="517"/>
      <c r="L2371" s="370">
        <f>TRUNC(TRUNC(H2371,8)*J2371,2)</f>
        <v>1.75</v>
      </c>
    </row>
    <row r="2372" spans="1:12" ht="15" customHeight="1" x14ac:dyDescent="0.25">
      <c r="A2372" s="184"/>
      <c r="B2372" s="141"/>
      <c r="C2372" s="141"/>
      <c r="D2372" s="141"/>
      <c r="E2372" s="141"/>
      <c r="F2372" s="141"/>
      <c r="G2372" s="141"/>
      <c r="H2372" s="491" t="s">
        <v>1844</v>
      </c>
      <c r="I2372" s="491"/>
      <c r="J2372" s="491"/>
      <c r="K2372" s="491"/>
      <c r="L2372" s="369">
        <f>SUM(L2371:L2371)</f>
        <v>1.75</v>
      </c>
    </row>
    <row r="2373" spans="1:12" ht="15" customHeight="1" x14ac:dyDescent="0.25">
      <c r="A2373" s="182"/>
      <c r="B2373" s="183"/>
      <c r="C2373" s="183"/>
      <c r="D2373" s="183"/>
      <c r="E2373" s="183"/>
      <c r="F2373" s="183"/>
      <c r="G2373" s="183"/>
      <c r="H2373" s="482" t="s">
        <v>1845</v>
      </c>
      <c r="I2373" s="482"/>
      <c r="J2373" s="482"/>
      <c r="K2373" s="482"/>
      <c r="L2373" s="371">
        <f>SUM(L2372)</f>
        <v>1.75</v>
      </c>
    </row>
    <row r="2374" spans="1:12" ht="15" customHeight="1" x14ac:dyDescent="0.25">
      <c r="A2374" s="182"/>
      <c r="B2374" s="183"/>
      <c r="C2374" s="183"/>
      <c r="D2374" s="183"/>
      <c r="E2374" s="183"/>
      <c r="F2374" s="183"/>
      <c r="G2374" s="183"/>
      <c r="H2374" s="482" t="s">
        <v>1846</v>
      </c>
      <c r="I2374" s="482"/>
      <c r="J2374" s="482"/>
      <c r="K2374" s="482"/>
      <c r="L2374" s="374">
        <v>1</v>
      </c>
    </row>
    <row r="2375" spans="1:12" ht="15" customHeight="1" x14ac:dyDescent="0.25">
      <c r="A2375" s="182"/>
      <c r="B2375" s="183"/>
      <c r="C2375" s="183"/>
      <c r="D2375" s="183"/>
      <c r="E2375" s="183"/>
      <c r="F2375" s="183"/>
      <c r="G2375" s="183"/>
      <c r="H2375" s="482" t="s">
        <v>1847</v>
      </c>
      <c r="I2375" s="482"/>
      <c r="J2375" s="482"/>
      <c r="K2375" s="482"/>
      <c r="L2375" s="371">
        <f>TRUNC(L2373/L2374,4)</f>
        <v>1.75</v>
      </c>
    </row>
    <row r="2376" spans="1:12" ht="20.100000000000001" customHeight="1" x14ac:dyDescent="0.25">
      <c r="A2376" s="488" t="s">
        <v>2009</v>
      </c>
      <c r="B2376" s="489"/>
      <c r="C2376" s="489"/>
      <c r="D2376" s="489"/>
      <c r="E2376" s="489"/>
      <c r="F2376" s="489"/>
      <c r="G2376" s="233" t="s">
        <v>44</v>
      </c>
      <c r="H2376" s="515" t="s">
        <v>1837</v>
      </c>
      <c r="I2376" s="515"/>
      <c r="J2376" s="515" t="s">
        <v>1814</v>
      </c>
      <c r="K2376" s="515"/>
      <c r="L2376" s="169" t="s">
        <v>1882</v>
      </c>
    </row>
    <row r="2377" spans="1:12" ht="15.95" customHeight="1" x14ac:dyDescent="0.25">
      <c r="A2377" s="170" t="s">
        <v>3218</v>
      </c>
      <c r="B2377" s="492" t="s">
        <v>3219</v>
      </c>
      <c r="C2377" s="492"/>
      <c r="D2377" s="492"/>
      <c r="E2377" s="492"/>
      <c r="F2377" s="492"/>
      <c r="G2377" s="127"/>
      <c r="H2377" s="526">
        <v>1.4999999999999999E-2</v>
      </c>
      <c r="I2377" s="526"/>
      <c r="J2377" s="525">
        <v>2.1800000000000002</v>
      </c>
      <c r="K2377" s="525"/>
      <c r="L2377" s="171">
        <f>TRUNC(TRUNC(H2377,8)*J2377,2)</f>
        <v>0.03</v>
      </c>
    </row>
    <row r="2378" spans="1:12" ht="15" customHeight="1" x14ac:dyDescent="0.25">
      <c r="A2378" s="184"/>
      <c r="B2378" s="141"/>
      <c r="C2378" s="141"/>
      <c r="D2378" s="141"/>
      <c r="E2378" s="141"/>
      <c r="F2378" s="141"/>
      <c r="G2378" s="141"/>
      <c r="H2378" s="491" t="s">
        <v>2014</v>
      </c>
      <c r="I2378" s="491"/>
      <c r="J2378" s="491"/>
      <c r="K2378" s="491"/>
      <c r="L2378" s="375">
        <f>SUM(L2377:L2377)</f>
        <v>0.03</v>
      </c>
    </row>
    <row r="2379" spans="1:12" ht="15" customHeight="1" x14ac:dyDescent="0.25">
      <c r="A2379" s="182"/>
      <c r="B2379" s="183"/>
      <c r="C2379" s="183"/>
      <c r="D2379" s="183"/>
      <c r="E2379" s="183"/>
      <c r="F2379" s="183"/>
      <c r="G2379" s="183"/>
      <c r="H2379" s="482" t="s">
        <v>1848</v>
      </c>
      <c r="I2379" s="482"/>
      <c r="J2379" s="482"/>
      <c r="K2379" s="482"/>
      <c r="L2379" s="371">
        <f>SUM(L2375,L2378)</f>
        <v>1.78</v>
      </c>
    </row>
    <row r="2380" spans="1:12" ht="15" customHeight="1" x14ac:dyDescent="0.25">
      <c r="A2380" s="182"/>
      <c r="B2380" s="183"/>
      <c r="C2380" s="183"/>
      <c r="D2380" s="183"/>
      <c r="E2380" s="183"/>
      <c r="F2380" s="183"/>
      <c r="G2380" s="183"/>
      <c r="H2380" s="482" t="s">
        <v>1834</v>
      </c>
      <c r="I2380" s="482"/>
      <c r="J2380" s="482"/>
      <c r="K2380" s="482"/>
      <c r="L2380" s="369">
        <f>ROUND(SUM(L2379),2)</f>
        <v>1.78</v>
      </c>
    </row>
    <row r="2381" spans="1:12" ht="9.9499999999999993" customHeight="1" x14ac:dyDescent="0.25">
      <c r="A2381" s="182"/>
      <c r="B2381" s="183"/>
      <c r="C2381" s="183"/>
      <c r="D2381" s="183"/>
      <c r="E2381" s="183"/>
      <c r="F2381" s="183"/>
      <c r="G2381" s="183"/>
      <c r="H2381" s="485"/>
      <c r="I2381" s="485"/>
      <c r="J2381" s="485"/>
      <c r="K2381" s="485"/>
      <c r="L2381" s="512"/>
    </row>
    <row r="2382" spans="1:12" ht="20.100000000000001" customHeight="1" x14ac:dyDescent="0.25">
      <c r="A2382" s="486" t="s">
        <v>3220</v>
      </c>
      <c r="B2382" s="487"/>
      <c r="C2382" s="487"/>
      <c r="D2382" s="487"/>
      <c r="E2382" s="487"/>
      <c r="F2382" s="487"/>
      <c r="G2382" s="487"/>
      <c r="H2382" s="487"/>
      <c r="I2382" s="487"/>
      <c r="J2382" s="487"/>
      <c r="K2382" s="487"/>
      <c r="L2382" s="513"/>
    </row>
    <row r="2383" spans="1:12" ht="20.100000000000001" customHeight="1" x14ac:dyDescent="0.25">
      <c r="A2383" s="488" t="s">
        <v>1836</v>
      </c>
      <c r="B2383" s="489"/>
      <c r="C2383" s="489"/>
      <c r="D2383" s="489"/>
      <c r="E2383" s="489"/>
      <c r="F2383" s="489"/>
      <c r="G2383" s="233" t="s">
        <v>44</v>
      </c>
      <c r="H2383" s="515" t="s">
        <v>1837</v>
      </c>
      <c r="I2383" s="515"/>
      <c r="J2383" s="515" t="s">
        <v>1838</v>
      </c>
      <c r="K2383" s="515"/>
      <c r="L2383" s="169" t="s">
        <v>1839</v>
      </c>
    </row>
    <row r="2384" spans="1:12" ht="15" customHeight="1" x14ac:dyDescent="0.25">
      <c r="A2384" s="170" t="s">
        <v>3157</v>
      </c>
      <c r="B2384" s="490" t="s">
        <v>3158</v>
      </c>
      <c r="C2384" s="490"/>
      <c r="D2384" s="490"/>
      <c r="E2384" s="490"/>
      <c r="F2384" s="490"/>
      <c r="G2384" s="127" t="s">
        <v>1024</v>
      </c>
      <c r="H2384" s="524">
        <v>1</v>
      </c>
      <c r="I2384" s="524"/>
      <c r="J2384" s="517">
        <v>28.29</v>
      </c>
      <c r="K2384" s="517"/>
      <c r="L2384" s="370">
        <f>TRUNC(TRUNC(H2384,8)*J2384,2)</f>
        <v>28.29</v>
      </c>
    </row>
    <row r="2385" spans="1:12" ht="15" customHeight="1" x14ac:dyDescent="0.25">
      <c r="A2385" s="184"/>
      <c r="B2385" s="141"/>
      <c r="C2385" s="141"/>
      <c r="D2385" s="141"/>
      <c r="E2385" s="141"/>
      <c r="F2385" s="141"/>
      <c r="G2385" s="141"/>
      <c r="H2385" s="491" t="s">
        <v>1844</v>
      </c>
      <c r="I2385" s="491"/>
      <c r="J2385" s="491"/>
      <c r="K2385" s="491"/>
      <c r="L2385" s="369">
        <f>SUM(L2384:L2384)</f>
        <v>28.29</v>
      </c>
    </row>
    <row r="2386" spans="1:12" ht="15" customHeight="1" x14ac:dyDescent="0.25">
      <c r="A2386" s="182"/>
      <c r="B2386" s="183"/>
      <c r="C2386" s="183"/>
      <c r="D2386" s="183"/>
      <c r="E2386" s="183"/>
      <c r="F2386" s="183"/>
      <c r="G2386" s="183"/>
      <c r="H2386" s="482" t="s">
        <v>1845</v>
      </c>
      <c r="I2386" s="482"/>
      <c r="J2386" s="482"/>
      <c r="K2386" s="482"/>
      <c r="L2386" s="371">
        <f>SUM(L2385)</f>
        <v>28.29</v>
      </c>
    </row>
    <row r="2387" spans="1:12" ht="15" customHeight="1" x14ac:dyDescent="0.25">
      <c r="A2387" s="182"/>
      <c r="B2387" s="183"/>
      <c r="C2387" s="183"/>
      <c r="D2387" s="183"/>
      <c r="E2387" s="183"/>
      <c r="F2387" s="183"/>
      <c r="G2387" s="183"/>
      <c r="H2387" s="482" t="s">
        <v>1846</v>
      </c>
      <c r="I2387" s="482"/>
      <c r="J2387" s="482"/>
      <c r="K2387" s="482"/>
      <c r="L2387" s="374">
        <v>1</v>
      </c>
    </row>
    <row r="2388" spans="1:12" ht="15" customHeight="1" x14ac:dyDescent="0.25">
      <c r="A2388" s="182"/>
      <c r="B2388" s="183"/>
      <c r="C2388" s="183"/>
      <c r="D2388" s="183"/>
      <c r="E2388" s="183"/>
      <c r="F2388" s="183"/>
      <c r="G2388" s="183"/>
      <c r="H2388" s="482" t="s">
        <v>1847</v>
      </c>
      <c r="I2388" s="482"/>
      <c r="J2388" s="482"/>
      <c r="K2388" s="482"/>
      <c r="L2388" s="371">
        <f>TRUNC(L2386/L2387,4)</f>
        <v>28.29</v>
      </c>
    </row>
    <row r="2389" spans="1:12" ht="20.100000000000001" customHeight="1" x14ac:dyDescent="0.25">
      <c r="A2389" s="488" t="s">
        <v>2009</v>
      </c>
      <c r="B2389" s="489"/>
      <c r="C2389" s="489"/>
      <c r="D2389" s="489"/>
      <c r="E2389" s="489"/>
      <c r="F2389" s="489"/>
      <c r="G2389" s="233" t="s">
        <v>44</v>
      </c>
      <c r="H2389" s="515" t="s">
        <v>1837</v>
      </c>
      <c r="I2389" s="515"/>
      <c r="J2389" s="515" t="s">
        <v>1814</v>
      </c>
      <c r="K2389" s="515"/>
      <c r="L2389" s="169" t="s">
        <v>1882</v>
      </c>
    </row>
    <row r="2390" spans="1:12" ht="15.95" customHeight="1" x14ac:dyDescent="0.25">
      <c r="A2390" s="170" t="s">
        <v>3221</v>
      </c>
      <c r="B2390" s="492" t="s">
        <v>3222</v>
      </c>
      <c r="C2390" s="492"/>
      <c r="D2390" s="492"/>
      <c r="E2390" s="492"/>
      <c r="F2390" s="492"/>
      <c r="G2390" s="127"/>
      <c r="H2390" s="526">
        <v>1</v>
      </c>
      <c r="I2390" s="526"/>
      <c r="J2390" s="525">
        <v>0.68</v>
      </c>
      <c r="K2390" s="525"/>
      <c r="L2390" s="171">
        <f>TRUNC(TRUNC(H2390,8)*J2390,2)</f>
        <v>0.68</v>
      </c>
    </row>
    <row r="2391" spans="1:12" ht="15.95" customHeight="1" x14ac:dyDescent="0.25">
      <c r="A2391" s="170" t="s">
        <v>3223</v>
      </c>
      <c r="B2391" s="492" t="s">
        <v>3224</v>
      </c>
      <c r="C2391" s="492"/>
      <c r="D2391" s="492"/>
      <c r="E2391" s="492"/>
      <c r="F2391" s="492"/>
      <c r="G2391" s="127"/>
      <c r="H2391" s="526">
        <v>1</v>
      </c>
      <c r="I2391" s="526"/>
      <c r="J2391" s="525">
        <v>0.15</v>
      </c>
      <c r="K2391" s="525"/>
      <c r="L2391" s="171">
        <f>TRUNC(TRUNC(H2391,8)*J2391,2)</f>
        <v>0.15</v>
      </c>
    </row>
    <row r="2392" spans="1:12" ht="15" customHeight="1" x14ac:dyDescent="0.25">
      <c r="A2392" s="184"/>
      <c r="B2392" s="141"/>
      <c r="C2392" s="141"/>
      <c r="D2392" s="141"/>
      <c r="E2392" s="141"/>
      <c r="F2392" s="141"/>
      <c r="G2392" s="141"/>
      <c r="H2392" s="491" t="s">
        <v>2014</v>
      </c>
      <c r="I2392" s="491"/>
      <c r="J2392" s="491"/>
      <c r="K2392" s="491"/>
      <c r="L2392" s="375">
        <f>SUM(L2390:L2391)</f>
        <v>0.83000000000000007</v>
      </c>
    </row>
    <row r="2393" spans="1:12" ht="15" customHeight="1" x14ac:dyDescent="0.25">
      <c r="A2393" s="182"/>
      <c r="B2393" s="183"/>
      <c r="C2393" s="183"/>
      <c r="D2393" s="183"/>
      <c r="E2393" s="183"/>
      <c r="F2393" s="183"/>
      <c r="G2393" s="183"/>
      <c r="H2393" s="482" t="s">
        <v>1848</v>
      </c>
      <c r="I2393" s="482"/>
      <c r="J2393" s="482"/>
      <c r="K2393" s="482"/>
      <c r="L2393" s="371">
        <f>SUM(L2388,L2392)</f>
        <v>29.119999999999997</v>
      </c>
    </row>
    <row r="2394" spans="1:12" ht="15" customHeight="1" x14ac:dyDescent="0.25">
      <c r="A2394" s="182"/>
      <c r="B2394" s="183"/>
      <c r="C2394" s="183"/>
      <c r="D2394" s="183"/>
      <c r="E2394" s="183"/>
      <c r="F2394" s="183"/>
      <c r="G2394" s="183"/>
      <c r="H2394" s="482" t="s">
        <v>1834</v>
      </c>
      <c r="I2394" s="482"/>
      <c r="J2394" s="482"/>
      <c r="K2394" s="482"/>
      <c r="L2394" s="369">
        <f>ROUND(SUM(L2393),2)</f>
        <v>29.12</v>
      </c>
    </row>
    <row r="2395" spans="1:12" ht="9.9499999999999993" customHeight="1" x14ac:dyDescent="0.25">
      <c r="A2395" s="182"/>
      <c r="B2395" s="183"/>
      <c r="C2395" s="183"/>
      <c r="D2395" s="183"/>
      <c r="E2395" s="183"/>
      <c r="F2395" s="183"/>
      <c r="G2395" s="183"/>
      <c r="H2395" s="485"/>
      <c r="I2395" s="485"/>
      <c r="J2395" s="485"/>
      <c r="K2395" s="485"/>
      <c r="L2395" s="512"/>
    </row>
    <row r="2396" spans="1:12" ht="20.100000000000001" customHeight="1" x14ac:dyDescent="0.25">
      <c r="A2396" s="486" t="s">
        <v>3225</v>
      </c>
      <c r="B2396" s="487"/>
      <c r="C2396" s="487"/>
      <c r="D2396" s="487"/>
      <c r="E2396" s="487"/>
      <c r="F2396" s="487"/>
      <c r="G2396" s="487"/>
      <c r="H2396" s="487"/>
      <c r="I2396" s="487"/>
      <c r="J2396" s="487"/>
      <c r="K2396" s="487"/>
      <c r="L2396" s="513"/>
    </row>
    <row r="2397" spans="1:12" ht="20.100000000000001" customHeight="1" x14ac:dyDescent="0.25">
      <c r="A2397" s="488" t="s">
        <v>1836</v>
      </c>
      <c r="B2397" s="489"/>
      <c r="C2397" s="489"/>
      <c r="D2397" s="489"/>
      <c r="E2397" s="489"/>
      <c r="F2397" s="489"/>
      <c r="G2397" s="233" t="s">
        <v>44</v>
      </c>
      <c r="H2397" s="515" t="s">
        <v>1837</v>
      </c>
      <c r="I2397" s="515"/>
      <c r="J2397" s="515" t="s">
        <v>1838</v>
      </c>
      <c r="K2397" s="515"/>
      <c r="L2397" s="169" t="s">
        <v>1839</v>
      </c>
    </row>
    <row r="2398" spans="1:12" ht="15" customHeight="1" x14ac:dyDescent="0.25">
      <c r="A2398" s="170" t="s">
        <v>3157</v>
      </c>
      <c r="B2398" s="490" t="s">
        <v>3158</v>
      </c>
      <c r="C2398" s="490"/>
      <c r="D2398" s="490"/>
      <c r="E2398" s="490"/>
      <c r="F2398" s="490"/>
      <c r="G2398" s="127" t="s">
        <v>1024</v>
      </c>
      <c r="H2398" s="524">
        <v>1</v>
      </c>
      <c r="I2398" s="524"/>
      <c r="J2398" s="517">
        <v>28.29</v>
      </c>
      <c r="K2398" s="517"/>
      <c r="L2398" s="370">
        <f>TRUNC(TRUNC(H2398,8)*J2398,2)</f>
        <v>28.29</v>
      </c>
    </row>
    <row r="2399" spans="1:12" ht="15" customHeight="1" x14ac:dyDescent="0.25">
      <c r="A2399" s="184"/>
      <c r="B2399" s="141"/>
      <c r="C2399" s="141"/>
      <c r="D2399" s="141"/>
      <c r="E2399" s="141"/>
      <c r="F2399" s="141"/>
      <c r="G2399" s="141"/>
      <c r="H2399" s="491" t="s">
        <v>1844</v>
      </c>
      <c r="I2399" s="491"/>
      <c r="J2399" s="491"/>
      <c r="K2399" s="491"/>
      <c r="L2399" s="369">
        <f>SUM(L2398:L2398)</f>
        <v>28.29</v>
      </c>
    </row>
    <row r="2400" spans="1:12" ht="15" customHeight="1" x14ac:dyDescent="0.25">
      <c r="A2400" s="182"/>
      <c r="B2400" s="183"/>
      <c r="C2400" s="183"/>
      <c r="D2400" s="183"/>
      <c r="E2400" s="183"/>
      <c r="F2400" s="183"/>
      <c r="G2400" s="183"/>
      <c r="H2400" s="482" t="s">
        <v>1845</v>
      </c>
      <c r="I2400" s="482"/>
      <c r="J2400" s="482"/>
      <c r="K2400" s="482"/>
      <c r="L2400" s="371">
        <f>SUM(L2399)</f>
        <v>28.29</v>
      </c>
    </row>
    <row r="2401" spans="1:12" ht="15" customHeight="1" x14ac:dyDescent="0.25">
      <c r="A2401" s="182"/>
      <c r="B2401" s="183"/>
      <c r="C2401" s="183"/>
      <c r="D2401" s="183"/>
      <c r="E2401" s="183"/>
      <c r="F2401" s="183"/>
      <c r="G2401" s="183"/>
      <c r="H2401" s="482" t="s">
        <v>1846</v>
      </c>
      <c r="I2401" s="482"/>
      <c r="J2401" s="482"/>
      <c r="K2401" s="482"/>
      <c r="L2401" s="374">
        <v>1</v>
      </c>
    </row>
    <row r="2402" spans="1:12" ht="15" customHeight="1" x14ac:dyDescent="0.25">
      <c r="A2402" s="182"/>
      <c r="B2402" s="183"/>
      <c r="C2402" s="183"/>
      <c r="D2402" s="183"/>
      <c r="E2402" s="183"/>
      <c r="F2402" s="183"/>
      <c r="G2402" s="183"/>
      <c r="H2402" s="482" t="s">
        <v>1847</v>
      </c>
      <c r="I2402" s="482"/>
      <c r="J2402" s="482"/>
      <c r="K2402" s="482"/>
      <c r="L2402" s="371">
        <f>TRUNC(L2400/L2401,4)</f>
        <v>28.29</v>
      </c>
    </row>
    <row r="2403" spans="1:12" ht="20.100000000000001" customHeight="1" x14ac:dyDescent="0.25">
      <c r="A2403" s="488" t="s">
        <v>2009</v>
      </c>
      <c r="B2403" s="489"/>
      <c r="C2403" s="489"/>
      <c r="D2403" s="489"/>
      <c r="E2403" s="489"/>
      <c r="F2403" s="489"/>
      <c r="G2403" s="233" t="s">
        <v>44</v>
      </c>
      <c r="H2403" s="515" t="s">
        <v>1837</v>
      </c>
      <c r="I2403" s="515"/>
      <c r="J2403" s="515" t="s">
        <v>1814</v>
      </c>
      <c r="K2403" s="515"/>
      <c r="L2403" s="169" t="s">
        <v>1882</v>
      </c>
    </row>
    <row r="2404" spans="1:12" ht="15.95" customHeight="1" x14ac:dyDescent="0.25">
      <c r="A2404" s="170" t="s">
        <v>3221</v>
      </c>
      <c r="B2404" s="492" t="s">
        <v>3222</v>
      </c>
      <c r="C2404" s="492"/>
      <c r="D2404" s="492"/>
      <c r="E2404" s="492"/>
      <c r="F2404" s="492"/>
      <c r="G2404" s="127"/>
      <c r="H2404" s="526">
        <v>1</v>
      </c>
      <c r="I2404" s="526"/>
      <c r="J2404" s="525">
        <v>0.68</v>
      </c>
      <c r="K2404" s="525"/>
      <c r="L2404" s="171">
        <f>TRUNC(TRUNC(H2404,8)*J2404,2)</f>
        <v>0.68</v>
      </c>
    </row>
    <row r="2405" spans="1:12" ht="15.95" customHeight="1" x14ac:dyDescent="0.25">
      <c r="A2405" s="170" t="s">
        <v>3223</v>
      </c>
      <c r="B2405" s="492" t="s">
        <v>3224</v>
      </c>
      <c r="C2405" s="492"/>
      <c r="D2405" s="492"/>
      <c r="E2405" s="492"/>
      <c r="F2405" s="492"/>
      <c r="G2405" s="127"/>
      <c r="H2405" s="526">
        <v>1</v>
      </c>
      <c r="I2405" s="526"/>
      <c r="J2405" s="525">
        <v>0.15</v>
      </c>
      <c r="K2405" s="525"/>
      <c r="L2405" s="171">
        <f>TRUNC(TRUNC(H2405,8)*J2405,2)</f>
        <v>0.15</v>
      </c>
    </row>
    <row r="2406" spans="1:12" ht="15.95" customHeight="1" x14ac:dyDescent="0.25">
      <c r="A2406" s="170" t="s">
        <v>3226</v>
      </c>
      <c r="B2406" s="492" t="s">
        <v>3227</v>
      </c>
      <c r="C2406" s="492"/>
      <c r="D2406" s="492"/>
      <c r="E2406" s="492"/>
      <c r="F2406" s="492"/>
      <c r="G2406" s="127"/>
      <c r="H2406" s="526">
        <v>1</v>
      </c>
      <c r="I2406" s="526"/>
      <c r="J2406" s="525">
        <v>0.85</v>
      </c>
      <c r="K2406" s="525"/>
      <c r="L2406" s="171">
        <f>TRUNC(TRUNC(H2406,8)*J2406,2)</f>
        <v>0.85</v>
      </c>
    </row>
    <row r="2407" spans="1:12" ht="15.95" customHeight="1" x14ac:dyDescent="0.25">
      <c r="A2407" s="170" t="s">
        <v>3228</v>
      </c>
      <c r="B2407" s="492" t="s">
        <v>3229</v>
      </c>
      <c r="C2407" s="492"/>
      <c r="D2407" s="492"/>
      <c r="E2407" s="492"/>
      <c r="F2407" s="492"/>
      <c r="G2407" s="127"/>
      <c r="H2407" s="526">
        <v>1</v>
      </c>
      <c r="I2407" s="526"/>
      <c r="J2407" s="525">
        <v>1.68</v>
      </c>
      <c r="K2407" s="525"/>
      <c r="L2407" s="171">
        <f>TRUNC(TRUNC(H2407,8)*J2407,2)</f>
        <v>1.68</v>
      </c>
    </row>
    <row r="2408" spans="1:12" ht="15" customHeight="1" x14ac:dyDescent="0.25">
      <c r="A2408" s="184"/>
      <c r="B2408" s="141"/>
      <c r="C2408" s="141"/>
      <c r="D2408" s="141"/>
      <c r="E2408" s="141"/>
      <c r="F2408" s="141"/>
      <c r="G2408" s="141"/>
      <c r="H2408" s="491" t="s">
        <v>2014</v>
      </c>
      <c r="I2408" s="491"/>
      <c r="J2408" s="491"/>
      <c r="K2408" s="491"/>
      <c r="L2408" s="375">
        <f>SUM(L2404:L2407)</f>
        <v>3.3600000000000003</v>
      </c>
    </row>
    <row r="2409" spans="1:12" ht="15" customHeight="1" x14ac:dyDescent="0.25">
      <c r="A2409" s="182"/>
      <c r="B2409" s="183"/>
      <c r="C2409" s="183"/>
      <c r="D2409" s="183"/>
      <c r="E2409" s="183"/>
      <c r="F2409" s="183"/>
      <c r="G2409" s="183"/>
      <c r="H2409" s="482" t="s">
        <v>1848</v>
      </c>
      <c r="I2409" s="482"/>
      <c r="J2409" s="482"/>
      <c r="K2409" s="482"/>
      <c r="L2409" s="371">
        <f>SUM(L2402,L2408)</f>
        <v>31.65</v>
      </c>
    </row>
    <row r="2410" spans="1:12" ht="15" customHeight="1" x14ac:dyDescent="0.25">
      <c r="A2410" s="182"/>
      <c r="B2410" s="183"/>
      <c r="C2410" s="183"/>
      <c r="D2410" s="183"/>
      <c r="E2410" s="183"/>
      <c r="F2410" s="183"/>
      <c r="G2410" s="183"/>
      <c r="H2410" s="482" t="s">
        <v>1834</v>
      </c>
      <c r="I2410" s="482"/>
      <c r="J2410" s="482"/>
      <c r="K2410" s="482"/>
      <c r="L2410" s="369">
        <f>ROUND(SUM(L2409),2)</f>
        <v>31.65</v>
      </c>
    </row>
    <row r="2411" spans="1:12" ht="9.9499999999999993" customHeight="1" x14ac:dyDescent="0.25">
      <c r="A2411" s="182"/>
      <c r="B2411" s="183"/>
      <c r="C2411" s="183"/>
      <c r="D2411" s="183"/>
      <c r="E2411" s="183"/>
      <c r="F2411" s="183"/>
      <c r="G2411" s="183"/>
      <c r="H2411" s="485"/>
      <c r="I2411" s="485"/>
      <c r="J2411" s="485"/>
      <c r="K2411" s="485"/>
      <c r="L2411" s="512"/>
    </row>
    <row r="2412" spans="1:12" ht="20.100000000000001" customHeight="1" x14ac:dyDescent="0.25">
      <c r="A2412" s="486" t="s">
        <v>3230</v>
      </c>
      <c r="B2412" s="487"/>
      <c r="C2412" s="487"/>
      <c r="D2412" s="487"/>
      <c r="E2412" s="487"/>
      <c r="F2412" s="487"/>
      <c r="G2412" s="487"/>
      <c r="H2412" s="487"/>
      <c r="I2412" s="487"/>
      <c r="J2412" s="487"/>
      <c r="K2412" s="487"/>
      <c r="L2412" s="513"/>
    </row>
    <row r="2413" spans="1:12" ht="12.95" customHeight="1" x14ac:dyDescent="0.25">
      <c r="A2413" s="518" t="s">
        <v>2641</v>
      </c>
      <c r="B2413" s="519"/>
      <c r="C2413" s="519"/>
      <c r="D2413" s="520" t="s">
        <v>2642</v>
      </c>
      <c r="E2413" s="520"/>
      <c r="F2413" s="515" t="s">
        <v>2643</v>
      </c>
      <c r="G2413" s="515"/>
      <c r="H2413" s="515" t="s">
        <v>2644</v>
      </c>
      <c r="I2413" s="515"/>
      <c r="J2413" s="515"/>
      <c r="K2413" s="515"/>
      <c r="L2413" s="521" t="s">
        <v>1839</v>
      </c>
    </row>
    <row r="2414" spans="1:12" ht="12" customHeight="1" x14ac:dyDescent="0.25">
      <c r="A2414" s="518"/>
      <c r="B2414" s="519"/>
      <c r="C2414" s="519"/>
      <c r="D2414" s="520"/>
      <c r="E2414" s="520"/>
      <c r="F2414" s="230" t="s">
        <v>2645</v>
      </c>
      <c r="G2414" s="230" t="s">
        <v>2646</v>
      </c>
      <c r="H2414" s="476" t="s">
        <v>2645</v>
      </c>
      <c r="I2414" s="476"/>
      <c r="J2414" s="476" t="s">
        <v>2646</v>
      </c>
      <c r="K2414" s="476"/>
      <c r="L2414" s="521"/>
    </row>
    <row r="2415" spans="1:12" ht="24" customHeight="1" x14ac:dyDescent="0.25">
      <c r="A2415" s="170" t="s">
        <v>3231</v>
      </c>
      <c r="B2415" s="492" t="s">
        <v>2922</v>
      </c>
      <c r="C2415" s="492"/>
      <c r="D2415" s="524">
        <v>6.3999999999999997E-5</v>
      </c>
      <c r="E2415" s="524"/>
      <c r="F2415" s="244">
        <v>1</v>
      </c>
      <c r="G2415" s="244">
        <v>0</v>
      </c>
      <c r="H2415" s="523">
        <v>10714</v>
      </c>
      <c r="I2415" s="523"/>
      <c r="J2415" s="523">
        <v>0</v>
      </c>
      <c r="K2415" s="523"/>
      <c r="L2415" s="371">
        <f>TRUNC(D2415*(TRUNC(F2415*H2415,4)+TRUNC(G2415*J2415,4)),4)</f>
        <v>0.68559999999999999</v>
      </c>
    </row>
    <row r="2416" spans="1:12" ht="15" customHeight="1" x14ac:dyDescent="0.25">
      <c r="A2416" s="184"/>
      <c r="B2416" s="141"/>
      <c r="C2416" s="141"/>
      <c r="D2416" s="141"/>
      <c r="E2416" s="141"/>
      <c r="F2416" s="141"/>
      <c r="G2416" s="141"/>
      <c r="H2416" s="491" t="s">
        <v>2649</v>
      </c>
      <c r="I2416" s="491"/>
      <c r="J2416" s="491"/>
      <c r="K2416" s="491"/>
      <c r="L2416" s="373">
        <f>SUM(L2414:L2415)</f>
        <v>0.68559999999999999</v>
      </c>
    </row>
    <row r="2417" spans="1:12" ht="15" customHeight="1" x14ac:dyDescent="0.25">
      <c r="A2417" s="182"/>
      <c r="B2417" s="183"/>
      <c r="C2417" s="183"/>
      <c r="D2417" s="183"/>
      <c r="E2417" s="183"/>
      <c r="F2417" s="183"/>
      <c r="G2417" s="183"/>
      <c r="H2417" s="482" t="s">
        <v>1845</v>
      </c>
      <c r="I2417" s="482"/>
      <c r="J2417" s="482"/>
      <c r="K2417" s="482"/>
      <c r="L2417" s="371">
        <f>SUM(L2416)</f>
        <v>0.68559999999999999</v>
      </c>
    </row>
    <row r="2418" spans="1:12" ht="15" customHeight="1" x14ac:dyDescent="0.25">
      <c r="A2418" s="182"/>
      <c r="B2418" s="183"/>
      <c r="C2418" s="183"/>
      <c r="D2418" s="183"/>
      <c r="E2418" s="183"/>
      <c r="F2418" s="183"/>
      <c r="G2418" s="183"/>
      <c r="H2418" s="482" t="s">
        <v>1846</v>
      </c>
      <c r="I2418" s="482"/>
      <c r="J2418" s="482"/>
      <c r="K2418" s="482"/>
      <c r="L2418" s="374">
        <v>1</v>
      </c>
    </row>
    <row r="2419" spans="1:12" ht="15" customHeight="1" x14ac:dyDescent="0.25">
      <c r="A2419" s="182"/>
      <c r="B2419" s="183"/>
      <c r="C2419" s="183"/>
      <c r="D2419" s="183"/>
      <c r="E2419" s="183"/>
      <c r="F2419" s="183"/>
      <c r="G2419" s="183"/>
      <c r="H2419" s="482" t="s">
        <v>1847</v>
      </c>
      <c r="I2419" s="482"/>
      <c r="J2419" s="482"/>
      <c r="K2419" s="482"/>
      <c r="L2419" s="371">
        <f>TRUNC(L2417/L2418,4)</f>
        <v>0.68559999999999999</v>
      </c>
    </row>
    <row r="2420" spans="1:12" ht="15" customHeight="1" x14ac:dyDescent="0.25">
      <c r="A2420" s="182"/>
      <c r="B2420" s="183"/>
      <c r="C2420" s="183"/>
      <c r="D2420" s="183"/>
      <c r="E2420" s="183"/>
      <c r="F2420" s="183"/>
      <c r="G2420" s="183"/>
      <c r="H2420" s="482" t="s">
        <v>1848</v>
      </c>
      <c r="I2420" s="482"/>
      <c r="J2420" s="482"/>
      <c r="K2420" s="482"/>
      <c r="L2420" s="371">
        <f>SUM(L2419)</f>
        <v>0.68559999999999999</v>
      </c>
    </row>
    <row r="2421" spans="1:12" ht="15" customHeight="1" x14ac:dyDescent="0.25">
      <c r="A2421" s="182"/>
      <c r="B2421" s="183"/>
      <c r="C2421" s="183"/>
      <c r="D2421" s="183"/>
      <c r="E2421" s="183"/>
      <c r="F2421" s="183"/>
      <c r="G2421" s="183"/>
      <c r="H2421" s="482" t="s">
        <v>1834</v>
      </c>
      <c r="I2421" s="482"/>
      <c r="J2421" s="482"/>
      <c r="K2421" s="482"/>
      <c r="L2421" s="369">
        <f>ROUND(SUM(L2420),2)</f>
        <v>0.69</v>
      </c>
    </row>
    <row r="2422" spans="1:12" ht="9.9499999999999993" customHeight="1" x14ac:dyDescent="0.25">
      <c r="A2422" s="182"/>
      <c r="B2422" s="183"/>
      <c r="C2422" s="183"/>
      <c r="D2422" s="183"/>
      <c r="E2422" s="183"/>
      <c r="F2422" s="183"/>
      <c r="G2422" s="183"/>
      <c r="H2422" s="485"/>
      <c r="I2422" s="485"/>
      <c r="J2422" s="485"/>
      <c r="K2422" s="485"/>
      <c r="L2422" s="512"/>
    </row>
    <row r="2423" spans="1:12" ht="20.100000000000001" customHeight="1" x14ac:dyDescent="0.25">
      <c r="A2423" s="486" t="s">
        <v>3232</v>
      </c>
      <c r="B2423" s="487"/>
      <c r="C2423" s="487"/>
      <c r="D2423" s="487"/>
      <c r="E2423" s="487"/>
      <c r="F2423" s="487"/>
      <c r="G2423" s="487"/>
      <c r="H2423" s="487"/>
      <c r="I2423" s="487"/>
      <c r="J2423" s="487"/>
      <c r="K2423" s="487"/>
      <c r="L2423" s="513"/>
    </row>
    <row r="2424" spans="1:12" ht="12.95" customHeight="1" x14ac:dyDescent="0.25">
      <c r="A2424" s="518" t="s">
        <v>2641</v>
      </c>
      <c r="B2424" s="519"/>
      <c r="C2424" s="519"/>
      <c r="D2424" s="520" t="s">
        <v>2642</v>
      </c>
      <c r="E2424" s="520"/>
      <c r="F2424" s="515" t="s">
        <v>2643</v>
      </c>
      <c r="G2424" s="515"/>
      <c r="H2424" s="515" t="s">
        <v>2644</v>
      </c>
      <c r="I2424" s="515"/>
      <c r="J2424" s="515"/>
      <c r="K2424" s="515"/>
      <c r="L2424" s="521" t="s">
        <v>1839</v>
      </c>
    </row>
    <row r="2425" spans="1:12" ht="12" customHeight="1" x14ac:dyDescent="0.25">
      <c r="A2425" s="518"/>
      <c r="B2425" s="519"/>
      <c r="C2425" s="519"/>
      <c r="D2425" s="520"/>
      <c r="E2425" s="520"/>
      <c r="F2425" s="230" t="s">
        <v>2645</v>
      </c>
      <c r="G2425" s="230" t="s">
        <v>2646</v>
      </c>
      <c r="H2425" s="476" t="s">
        <v>2645</v>
      </c>
      <c r="I2425" s="476"/>
      <c r="J2425" s="476" t="s">
        <v>2646</v>
      </c>
      <c r="K2425" s="476"/>
      <c r="L2425" s="521"/>
    </row>
    <row r="2426" spans="1:12" ht="24" customHeight="1" x14ac:dyDescent="0.25">
      <c r="A2426" s="170" t="s">
        <v>3231</v>
      </c>
      <c r="B2426" s="492" t="s">
        <v>2922</v>
      </c>
      <c r="C2426" s="492"/>
      <c r="D2426" s="524">
        <v>1.4800000000000001E-5</v>
      </c>
      <c r="E2426" s="524"/>
      <c r="F2426" s="244">
        <v>1</v>
      </c>
      <c r="G2426" s="244">
        <v>0</v>
      </c>
      <c r="H2426" s="523">
        <v>10714</v>
      </c>
      <c r="I2426" s="523"/>
      <c r="J2426" s="523">
        <v>0</v>
      </c>
      <c r="K2426" s="523"/>
      <c r="L2426" s="371">
        <f>TRUNC(D2426*(TRUNC(F2426*H2426,4)+TRUNC(G2426*J2426,4)),4)</f>
        <v>0.1585</v>
      </c>
    </row>
    <row r="2427" spans="1:12" ht="15" customHeight="1" x14ac:dyDescent="0.25">
      <c r="A2427" s="184"/>
      <c r="B2427" s="141"/>
      <c r="C2427" s="141"/>
      <c r="D2427" s="141"/>
      <c r="E2427" s="141"/>
      <c r="F2427" s="141"/>
      <c r="G2427" s="141"/>
      <c r="H2427" s="491" t="s">
        <v>2649</v>
      </c>
      <c r="I2427" s="491"/>
      <c r="J2427" s="491"/>
      <c r="K2427" s="491"/>
      <c r="L2427" s="373">
        <f>SUM(L2425:L2426)</f>
        <v>0.1585</v>
      </c>
    </row>
    <row r="2428" spans="1:12" ht="15" customHeight="1" x14ac:dyDescent="0.25">
      <c r="A2428" s="182"/>
      <c r="B2428" s="183"/>
      <c r="C2428" s="183"/>
      <c r="D2428" s="183"/>
      <c r="E2428" s="183"/>
      <c r="F2428" s="183"/>
      <c r="G2428" s="183"/>
      <c r="H2428" s="482" t="s">
        <v>1845</v>
      </c>
      <c r="I2428" s="482"/>
      <c r="J2428" s="482"/>
      <c r="K2428" s="482"/>
      <c r="L2428" s="371">
        <f>SUM(L2427)</f>
        <v>0.1585</v>
      </c>
    </row>
    <row r="2429" spans="1:12" ht="15" customHeight="1" x14ac:dyDescent="0.25">
      <c r="A2429" s="182"/>
      <c r="B2429" s="183"/>
      <c r="C2429" s="183"/>
      <c r="D2429" s="183"/>
      <c r="E2429" s="183"/>
      <c r="F2429" s="183"/>
      <c r="G2429" s="183"/>
      <c r="H2429" s="482" t="s">
        <v>1846</v>
      </c>
      <c r="I2429" s="482"/>
      <c r="J2429" s="482"/>
      <c r="K2429" s="482"/>
      <c r="L2429" s="374">
        <v>1</v>
      </c>
    </row>
    <row r="2430" spans="1:12" ht="15" customHeight="1" x14ac:dyDescent="0.25">
      <c r="A2430" s="182"/>
      <c r="B2430" s="183"/>
      <c r="C2430" s="183"/>
      <c r="D2430" s="183"/>
      <c r="E2430" s="183"/>
      <c r="F2430" s="183"/>
      <c r="G2430" s="183"/>
      <c r="H2430" s="482" t="s">
        <v>1847</v>
      </c>
      <c r="I2430" s="482"/>
      <c r="J2430" s="482"/>
      <c r="K2430" s="482"/>
      <c r="L2430" s="371">
        <f>TRUNC(L2428/L2429,4)</f>
        <v>0.1585</v>
      </c>
    </row>
    <row r="2431" spans="1:12" ht="15" customHeight="1" x14ac:dyDescent="0.25">
      <c r="A2431" s="182"/>
      <c r="B2431" s="183"/>
      <c r="C2431" s="183"/>
      <c r="D2431" s="183"/>
      <c r="E2431" s="183"/>
      <c r="F2431" s="183"/>
      <c r="G2431" s="183"/>
      <c r="H2431" s="482" t="s">
        <v>1848</v>
      </c>
      <c r="I2431" s="482"/>
      <c r="J2431" s="482"/>
      <c r="K2431" s="482"/>
      <c r="L2431" s="371">
        <f>SUM(L2430)</f>
        <v>0.1585</v>
      </c>
    </row>
    <row r="2432" spans="1:12" ht="15" customHeight="1" x14ac:dyDescent="0.25">
      <c r="A2432" s="182"/>
      <c r="B2432" s="183"/>
      <c r="C2432" s="183"/>
      <c r="D2432" s="183"/>
      <c r="E2432" s="183"/>
      <c r="F2432" s="183"/>
      <c r="G2432" s="183"/>
      <c r="H2432" s="482" t="s">
        <v>1834</v>
      </c>
      <c r="I2432" s="482"/>
      <c r="J2432" s="482"/>
      <c r="K2432" s="482"/>
      <c r="L2432" s="369">
        <f>ROUND(SUM(L2431),2)</f>
        <v>0.16</v>
      </c>
    </row>
    <row r="2433" spans="1:12" ht="9.9499999999999993" customHeight="1" x14ac:dyDescent="0.25">
      <c r="A2433" s="182"/>
      <c r="B2433" s="183"/>
      <c r="C2433" s="183"/>
      <c r="D2433" s="183"/>
      <c r="E2433" s="183"/>
      <c r="F2433" s="183"/>
      <c r="G2433" s="183"/>
      <c r="H2433" s="485"/>
      <c r="I2433" s="485"/>
      <c r="J2433" s="485"/>
      <c r="K2433" s="485"/>
      <c r="L2433" s="512"/>
    </row>
    <row r="2434" spans="1:12" ht="20.100000000000001" customHeight="1" x14ac:dyDescent="0.25">
      <c r="A2434" s="486" t="s">
        <v>3233</v>
      </c>
      <c r="B2434" s="487"/>
      <c r="C2434" s="487"/>
      <c r="D2434" s="487"/>
      <c r="E2434" s="487"/>
      <c r="F2434" s="487"/>
      <c r="G2434" s="487"/>
      <c r="H2434" s="487"/>
      <c r="I2434" s="487"/>
      <c r="J2434" s="487"/>
      <c r="K2434" s="487"/>
      <c r="L2434" s="513"/>
    </row>
    <row r="2435" spans="1:12" ht="12.95" customHeight="1" x14ac:dyDescent="0.25">
      <c r="A2435" s="518" t="s">
        <v>2641</v>
      </c>
      <c r="B2435" s="519"/>
      <c r="C2435" s="519"/>
      <c r="D2435" s="520" t="s">
        <v>2642</v>
      </c>
      <c r="E2435" s="520"/>
      <c r="F2435" s="515" t="s">
        <v>2643</v>
      </c>
      <c r="G2435" s="515"/>
      <c r="H2435" s="515" t="s">
        <v>2644</v>
      </c>
      <c r="I2435" s="515"/>
      <c r="J2435" s="515"/>
      <c r="K2435" s="515"/>
      <c r="L2435" s="521" t="s">
        <v>1839</v>
      </c>
    </row>
    <row r="2436" spans="1:12" ht="12" customHeight="1" x14ac:dyDescent="0.25">
      <c r="A2436" s="518"/>
      <c r="B2436" s="519"/>
      <c r="C2436" s="519"/>
      <c r="D2436" s="520"/>
      <c r="E2436" s="520"/>
      <c r="F2436" s="230" t="s">
        <v>2645</v>
      </c>
      <c r="G2436" s="230" t="s">
        <v>2646</v>
      </c>
      <c r="H2436" s="476" t="s">
        <v>2645</v>
      </c>
      <c r="I2436" s="476"/>
      <c r="J2436" s="476" t="s">
        <v>2646</v>
      </c>
      <c r="K2436" s="476"/>
      <c r="L2436" s="521"/>
    </row>
    <row r="2437" spans="1:12" ht="24" customHeight="1" x14ac:dyDescent="0.25">
      <c r="A2437" s="170" t="s">
        <v>3231</v>
      </c>
      <c r="B2437" s="492" t="s">
        <v>2922</v>
      </c>
      <c r="C2437" s="492"/>
      <c r="D2437" s="524">
        <v>8.0000000000000007E-5</v>
      </c>
      <c r="E2437" s="524"/>
      <c r="F2437" s="244">
        <v>1</v>
      </c>
      <c r="G2437" s="244">
        <v>0</v>
      </c>
      <c r="H2437" s="523">
        <v>10714</v>
      </c>
      <c r="I2437" s="523"/>
      <c r="J2437" s="523">
        <v>0</v>
      </c>
      <c r="K2437" s="523"/>
      <c r="L2437" s="371">
        <f>TRUNC(D2437*(TRUNC(F2437*H2437,4)+TRUNC(G2437*J2437,4)),4)</f>
        <v>0.85709999999999997</v>
      </c>
    </row>
    <row r="2438" spans="1:12" ht="15" customHeight="1" x14ac:dyDescent="0.25">
      <c r="A2438" s="184"/>
      <c r="B2438" s="141"/>
      <c r="C2438" s="141"/>
      <c r="D2438" s="141"/>
      <c r="E2438" s="141"/>
      <c r="F2438" s="141"/>
      <c r="G2438" s="141"/>
      <c r="H2438" s="491" t="s">
        <v>2649</v>
      </c>
      <c r="I2438" s="491"/>
      <c r="J2438" s="491"/>
      <c r="K2438" s="491"/>
      <c r="L2438" s="373">
        <f>SUM(L2436:L2437)</f>
        <v>0.85709999999999997</v>
      </c>
    </row>
    <row r="2439" spans="1:12" ht="15" customHeight="1" x14ac:dyDescent="0.25">
      <c r="A2439" s="182"/>
      <c r="B2439" s="183"/>
      <c r="C2439" s="183"/>
      <c r="D2439" s="183"/>
      <c r="E2439" s="183"/>
      <c r="F2439" s="183"/>
      <c r="G2439" s="183"/>
      <c r="H2439" s="482" t="s">
        <v>1845</v>
      </c>
      <c r="I2439" s="482"/>
      <c r="J2439" s="482"/>
      <c r="K2439" s="482"/>
      <c r="L2439" s="371">
        <f>SUM(L2438)</f>
        <v>0.85709999999999997</v>
      </c>
    </row>
    <row r="2440" spans="1:12" ht="15" customHeight="1" x14ac:dyDescent="0.25">
      <c r="A2440" s="182"/>
      <c r="B2440" s="183"/>
      <c r="C2440" s="183"/>
      <c r="D2440" s="183"/>
      <c r="E2440" s="183"/>
      <c r="F2440" s="183"/>
      <c r="G2440" s="183"/>
      <c r="H2440" s="482" t="s">
        <v>1846</v>
      </c>
      <c r="I2440" s="482"/>
      <c r="J2440" s="482"/>
      <c r="K2440" s="482"/>
      <c r="L2440" s="374">
        <v>1</v>
      </c>
    </row>
    <row r="2441" spans="1:12" ht="15" customHeight="1" x14ac:dyDescent="0.25">
      <c r="A2441" s="182"/>
      <c r="B2441" s="183"/>
      <c r="C2441" s="183"/>
      <c r="D2441" s="183"/>
      <c r="E2441" s="183"/>
      <c r="F2441" s="183"/>
      <c r="G2441" s="183"/>
      <c r="H2441" s="482" t="s">
        <v>1847</v>
      </c>
      <c r="I2441" s="482"/>
      <c r="J2441" s="482"/>
      <c r="K2441" s="482"/>
      <c r="L2441" s="371">
        <f>TRUNC(L2439/L2440,4)</f>
        <v>0.85709999999999997</v>
      </c>
    </row>
    <row r="2442" spans="1:12" ht="15" customHeight="1" x14ac:dyDescent="0.25">
      <c r="A2442" s="182"/>
      <c r="B2442" s="183"/>
      <c r="C2442" s="183"/>
      <c r="D2442" s="183"/>
      <c r="E2442" s="183"/>
      <c r="F2442" s="183"/>
      <c r="G2442" s="183"/>
      <c r="H2442" s="482" t="s">
        <v>1848</v>
      </c>
      <c r="I2442" s="482"/>
      <c r="J2442" s="482"/>
      <c r="K2442" s="482"/>
      <c r="L2442" s="371">
        <f>SUM(L2441)</f>
        <v>0.85709999999999997</v>
      </c>
    </row>
    <row r="2443" spans="1:12" ht="15" customHeight="1" x14ac:dyDescent="0.25">
      <c r="A2443" s="182"/>
      <c r="B2443" s="183"/>
      <c r="C2443" s="183"/>
      <c r="D2443" s="183"/>
      <c r="E2443" s="183"/>
      <c r="F2443" s="183"/>
      <c r="G2443" s="183"/>
      <c r="H2443" s="482" t="s">
        <v>1834</v>
      </c>
      <c r="I2443" s="482"/>
      <c r="J2443" s="482"/>
      <c r="K2443" s="482"/>
      <c r="L2443" s="369">
        <f>ROUND(SUM(L2442),2)</f>
        <v>0.86</v>
      </c>
    </row>
    <row r="2444" spans="1:12" ht="9.9499999999999993" customHeight="1" x14ac:dyDescent="0.25">
      <c r="A2444" s="182"/>
      <c r="B2444" s="183"/>
      <c r="C2444" s="183"/>
      <c r="D2444" s="183"/>
      <c r="E2444" s="183"/>
      <c r="F2444" s="183"/>
      <c r="G2444" s="183"/>
      <c r="H2444" s="485"/>
      <c r="I2444" s="485"/>
      <c r="J2444" s="485"/>
      <c r="K2444" s="485"/>
      <c r="L2444" s="512"/>
    </row>
    <row r="2445" spans="1:12" ht="20.100000000000001" customHeight="1" x14ac:dyDescent="0.25">
      <c r="A2445" s="486" t="s">
        <v>3234</v>
      </c>
      <c r="B2445" s="487"/>
      <c r="C2445" s="487"/>
      <c r="D2445" s="487"/>
      <c r="E2445" s="487"/>
      <c r="F2445" s="487"/>
      <c r="G2445" s="487"/>
      <c r="H2445" s="487"/>
      <c r="I2445" s="487"/>
      <c r="J2445" s="487"/>
      <c r="K2445" s="487"/>
      <c r="L2445" s="513"/>
    </row>
    <row r="2446" spans="1:12" ht="20.100000000000001" customHeight="1" x14ac:dyDescent="0.25">
      <c r="A2446" s="488" t="s">
        <v>1880</v>
      </c>
      <c r="B2446" s="489"/>
      <c r="C2446" s="489"/>
      <c r="D2446" s="489"/>
      <c r="E2446" s="489"/>
      <c r="F2446" s="489"/>
      <c r="G2446" s="233" t="s">
        <v>44</v>
      </c>
      <c r="H2446" s="515" t="s">
        <v>1837</v>
      </c>
      <c r="I2446" s="515"/>
      <c r="J2446" s="515" t="s">
        <v>1881</v>
      </c>
      <c r="K2446" s="515"/>
      <c r="L2446" s="169" t="s">
        <v>1882</v>
      </c>
    </row>
    <row r="2447" spans="1:12" ht="15" customHeight="1" x14ac:dyDescent="0.25">
      <c r="A2447" s="170" t="s">
        <v>3210</v>
      </c>
      <c r="B2447" s="492" t="s">
        <v>3211</v>
      </c>
      <c r="C2447" s="492"/>
      <c r="D2447" s="492"/>
      <c r="E2447" s="492"/>
      <c r="F2447" s="492"/>
      <c r="G2447" s="127" t="s">
        <v>2453</v>
      </c>
      <c r="H2447" s="524">
        <v>1.7</v>
      </c>
      <c r="I2447" s="524"/>
      <c r="J2447" s="525">
        <v>0.99</v>
      </c>
      <c r="K2447" s="525"/>
      <c r="L2447" s="171">
        <f>TRUNC(TRUNC(H2447,8)*J2447,2)</f>
        <v>1.68</v>
      </c>
    </row>
    <row r="2448" spans="1:12" ht="15" customHeight="1" x14ac:dyDescent="0.25">
      <c r="A2448" s="184"/>
      <c r="B2448" s="141"/>
      <c r="C2448" s="141"/>
      <c r="D2448" s="141"/>
      <c r="E2448" s="141"/>
      <c r="F2448" s="141"/>
      <c r="G2448" s="141"/>
      <c r="H2448" s="491" t="s">
        <v>1889</v>
      </c>
      <c r="I2448" s="491"/>
      <c r="J2448" s="491"/>
      <c r="K2448" s="491"/>
      <c r="L2448" s="375">
        <f>SUM(L2447:L2447)</f>
        <v>1.68</v>
      </c>
    </row>
    <row r="2449" spans="1:12" ht="15" customHeight="1" x14ac:dyDescent="0.25">
      <c r="A2449" s="182"/>
      <c r="B2449" s="183"/>
      <c r="C2449" s="183"/>
      <c r="D2449" s="183"/>
      <c r="E2449" s="183"/>
      <c r="F2449" s="183"/>
      <c r="G2449" s="183"/>
      <c r="H2449" s="482" t="s">
        <v>1848</v>
      </c>
      <c r="I2449" s="482"/>
      <c r="J2449" s="482"/>
      <c r="K2449" s="482"/>
      <c r="L2449" s="371">
        <f>SUM(L2448)</f>
        <v>1.68</v>
      </c>
    </row>
    <row r="2450" spans="1:12" ht="15" customHeight="1" x14ac:dyDescent="0.25">
      <c r="A2450" s="182"/>
      <c r="B2450" s="183"/>
      <c r="C2450" s="183"/>
      <c r="D2450" s="183"/>
      <c r="E2450" s="183"/>
      <c r="F2450" s="183"/>
      <c r="G2450" s="183"/>
      <c r="H2450" s="482" t="s">
        <v>1834</v>
      </c>
      <c r="I2450" s="482"/>
      <c r="J2450" s="482"/>
      <c r="K2450" s="482"/>
      <c r="L2450" s="369">
        <f>ROUND(SUM(L2449),2)</f>
        <v>1.68</v>
      </c>
    </row>
    <row r="2451" spans="1:12" ht="9.9499999999999993" customHeight="1" x14ac:dyDescent="0.25">
      <c r="A2451" s="182"/>
      <c r="B2451" s="183"/>
      <c r="C2451" s="183"/>
      <c r="D2451" s="183"/>
      <c r="E2451" s="183"/>
      <c r="F2451" s="183"/>
      <c r="G2451" s="183"/>
      <c r="H2451" s="485"/>
      <c r="I2451" s="485"/>
      <c r="J2451" s="485"/>
      <c r="K2451" s="485"/>
      <c r="L2451" s="512"/>
    </row>
    <row r="2452" spans="1:12" ht="20.100000000000001" customHeight="1" x14ac:dyDescent="0.25">
      <c r="A2452" s="486" t="s">
        <v>3235</v>
      </c>
      <c r="B2452" s="487"/>
      <c r="C2452" s="487"/>
      <c r="D2452" s="487"/>
      <c r="E2452" s="487"/>
      <c r="F2452" s="487"/>
      <c r="G2452" s="487"/>
      <c r="H2452" s="487"/>
      <c r="I2452" s="487"/>
      <c r="J2452" s="487"/>
      <c r="K2452" s="487"/>
      <c r="L2452" s="513"/>
    </row>
    <row r="2453" spans="1:12" ht="20.100000000000001" customHeight="1" x14ac:dyDescent="0.25">
      <c r="A2453" s="488" t="s">
        <v>1836</v>
      </c>
      <c r="B2453" s="489"/>
      <c r="C2453" s="489"/>
      <c r="D2453" s="489"/>
      <c r="E2453" s="489"/>
      <c r="F2453" s="489"/>
      <c r="G2453" s="233" t="s">
        <v>44</v>
      </c>
      <c r="H2453" s="515" t="s">
        <v>1837</v>
      </c>
      <c r="I2453" s="515"/>
      <c r="J2453" s="515" t="s">
        <v>1838</v>
      </c>
      <c r="K2453" s="515"/>
      <c r="L2453" s="169" t="s">
        <v>1839</v>
      </c>
    </row>
    <row r="2454" spans="1:12" ht="15" customHeight="1" x14ac:dyDescent="0.25">
      <c r="A2454" s="170" t="s">
        <v>1840</v>
      </c>
      <c r="B2454" s="490" t="s">
        <v>1841</v>
      </c>
      <c r="C2454" s="490"/>
      <c r="D2454" s="490"/>
      <c r="E2454" s="490"/>
      <c r="F2454" s="490"/>
      <c r="G2454" s="127" t="s">
        <v>1024</v>
      </c>
      <c r="H2454" s="524">
        <v>0.6</v>
      </c>
      <c r="I2454" s="524"/>
      <c r="J2454" s="517">
        <v>21.94</v>
      </c>
      <c r="K2454" s="517"/>
      <c r="L2454" s="370">
        <f>TRUNC(TRUNC(H2454,8)*J2454,2)</f>
        <v>13.16</v>
      </c>
    </row>
    <row r="2455" spans="1:12" ht="15" customHeight="1" x14ac:dyDescent="0.25">
      <c r="A2455" s="170" t="s">
        <v>1983</v>
      </c>
      <c r="B2455" s="490" t="s">
        <v>1984</v>
      </c>
      <c r="C2455" s="490"/>
      <c r="D2455" s="490"/>
      <c r="E2455" s="490"/>
      <c r="F2455" s="490"/>
      <c r="G2455" s="127" t="s">
        <v>1024</v>
      </c>
      <c r="H2455" s="524">
        <v>0.5</v>
      </c>
      <c r="I2455" s="524"/>
      <c r="J2455" s="517">
        <v>26.03</v>
      </c>
      <c r="K2455" s="517"/>
      <c r="L2455" s="370">
        <f>TRUNC(TRUNC(H2455,8)*J2455,2)</f>
        <v>13.01</v>
      </c>
    </row>
    <row r="2456" spans="1:12" ht="15" customHeight="1" x14ac:dyDescent="0.25">
      <c r="A2456" s="184"/>
      <c r="B2456" s="141"/>
      <c r="C2456" s="141"/>
      <c r="D2456" s="141"/>
      <c r="E2456" s="141"/>
      <c r="F2456" s="141"/>
      <c r="G2456" s="141"/>
      <c r="H2456" s="491" t="s">
        <v>1844</v>
      </c>
      <c r="I2456" s="491"/>
      <c r="J2456" s="491"/>
      <c r="K2456" s="491"/>
      <c r="L2456" s="369">
        <f>SUM(L2454:L2455)</f>
        <v>26.17</v>
      </c>
    </row>
    <row r="2457" spans="1:12" ht="15" customHeight="1" x14ac:dyDescent="0.25">
      <c r="A2457" s="182"/>
      <c r="B2457" s="183"/>
      <c r="C2457" s="183"/>
      <c r="D2457" s="183"/>
      <c r="E2457" s="183"/>
      <c r="F2457" s="183"/>
      <c r="G2457" s="183"/>
      <c r="H2457" s="482" t="s">
        <v>1845</v>
      </c>
      <c r="I2457" s="482"/>
      <c r="J2457" s="482"/>
      <c r="K2457" s="482"/>
      <c r="L2457" s="371">
        <f>SUM(L2456)</f>
        <v>26.17</v>
      </c>
    </row>
    <row r="2458" spans="1:12" ht="15" customHeight="1" x14ac:dyDescent="0.25">
      <c r="A2458" s="182"/>
      <c r="B2458" s="183"/>
      <c r="C2458" s="183"/>
      <c r="D2458" s="183"/>
      <c r="E2458" s="183"/>
      <c r="F2458" s="183"/>
      <c r="G2458" s="183"/>
      <c r="H2458" s="482" t="s">
        <v>1846</v>
      </c>
      <c r="I2458" s="482"/>
      <c r="J2458" s="482"/>
      <c r="K2458" s="482"/>
      <c r="L2458" s="374">
        <v>1</v>
      </c>
    </row>
    <row r="2459" spans="1:12" ht="15" customHeight="1" x14ac:dyDescent="0.25">
      <c r="A2459" s="182"/>
      <c r="B2459" s="183"/>
      <c r="C2459" s="183"/>
      <c r="D2459" s="183"/>
      <c r="E2459" s="183"/>
      <c r="F2459" s="183"/>
      <c r="G2459" s="183"/>
      <c r="H2459" s="482" t="s">
        <v>1847</v>
      </c>
      <c r="I2459" s="482"/>
      <c r="J2459" s="482"/>
      <c r="K2459" s="482"/>
      <c r="L2459" s="371">
        <f>TRUNC(L2457/L2458,4)</f>
        <v>26.17</v>
      </c>
    </row>
    <row r="2460" spans="1:12" ht="20.100000000000001" customHeight="1" x14ac:dyDescent="0.25">
      <c r="A2460" s="488" t="s">
        <v>1880</v>
      </c>
      <c r="B2460" s="489"/>
      <c r="C2460" s="489"/>
      <c r="D2460" s="489"/>
      <c r="E2460" s="489"/>
      <c r="F2460" s="489"/>
      <c r="G2460" s="233" t="s">
        <v>44</v>
      </c>
      <c r="H2460" s="515" t="s">
        <v>1837</v>
      </c>
      <c r="I2460" s="515"/>
      <c r="J2460" s="515" t="s">
        <v>1881</v>
      </c>
      <c r="K2460" s="515"/>
      <c r="L2460" s="169" t="s">
        <v>1882</v>
      </c>
    </row>
    <row r="2461" spans="1:12" ht="15" customHeight="1" x14ac:dyDescent="0.25">
      <c r="A2461" s="170" t="s">
        <v>2997</v>
      </c>
      <c r="B2461" s="492" t="s">
        <v>2998</v>
      </c>
      <c r="C2461" s="492"/>
      <c r="D2461" s="492"/>
      <c r="E2461" s="492"/>
      <c r="F2461" s="492"/>
      <c r="G2461" s="127" t="s">
        <v>1006</v>
      </c>
      <c r="H2461" s="524">
        <v>0.03</v>
      </c>
      <c r="I2461" s="524"/>
      <c r="J2461" s="525">
        <v>15.92</v>
      </c>
      <c r="K2461" s="525"/>
      <c r="L2461" s="171">
        <f>TRUNC(TRUNC(H2461,8)*J2461,2)</f>
        <v>0.47</v>
      </c>
    </row>
    <row r="2462" spans="1:12" ht="15" customHeight="1" x14ac:dyDescent="0.25">
      <c r="A2462" s="170" t="s">
        <v>2999</v>
      </c>
      <c r="B2462" s="492" t="s">
        <v>3000</v>
      </c>
      <c r="C2462" s="492"/>
      <c r="D2462" s="492"/>
      <c r="E2462" s="492"/>
      <c r="F2462" s="492"/>
      <c r="G2462" s="127" t="s">
        <v>1006</v>
      </c>
      <c r="H2462" s="524">
        <v>0.18</v>
      </c>
      <c r="I2462" s="524"/>
      <c r="J2462" s="525">
        <v>47.36</v>
      </c>
      <c r="K2462" s="525"/>
      <c r="L2462" s="171">
        <f>TRUNC(TRUNC(H2462,8)*J2462,2)</f>
        <v>8.52</v>
      </c>
    </row>
    <row r="2463" spans="1:12" ht="15" customHeight="1" x14ac:dyDescent="0.25">
      <c r="A2463" s="184"/>
      <c r="B2463" s="141"/>
      <c r="C2463" s="141"/>
      <c r="D2463" s="141"/>
      <c r="E2463" s="141"/>
      <c r="F2463" s="141"/>
      <c r="G2463" s="141"/>
      <c r="H2463" s="491" t="s">
        <v>1889</v>
      </c>
      <c r="I2463" s="491"/>
      <c r="J2463" s="491"/>
      <c r="K2463" s="491"/>
      <c r="L2463" s="375">
        <f>SUM(L2461:L2462)</f>
        <v>8.99</v>
      </c>
    </row>
    <row r="2464" spans="1:12" ht="15" customHeight="1" x14ac:dyDescent="0.25">
      <c r="A2464" s="182"/>
      <c r="B2464" s="183"/>
      <c r="C2464" s="183"/>
      <c r="D2464" s="183"/>
      <c r="E2464" s="183"/>
      <c r="F2464" s="183"/>
      <c r="G2464" s="183"/>
      <c r="H2464" s="482" t="s">
        <v>1848</v>
      </c>
      <c r="I2464" s="482"/>
      <c r="J2464" s="482"/>
      <c r="K2464" s="482"/>
      <c r="L2464" s="371">
        <f>SUM(L2459,L2463)</f>
        <v>35.160000000000004</v>
      </c>
    </row>
    <row r="2465" spans="1:12" ht="15" customHeight="1" x14ac:dyDescent="0.25">
      <c r="A2465" s="182"/>
      <c r="B2465" s="183"/>
      <c r="C2465" s="183"/>
      <c r="D2465" s="183"/>
      <c r="E2465" s="183"/>
      <c r="F2465" s="183"/>
      <c r="G2465" s="183"/>
      <c r="H2465" s="482" t="s">
        <v>1834</v>
      </c>
      <c r="I2465" s="482"/>
      <c r="J2465" s="482"/>
      <c r="K2465" s="482"/>
      <c r="L2465" s="369">
        <f>ROUND(SUM(L2464),2)</f>
        <v>35.159999999999997</v>
      </c>
    </row>
    <row r="2466" spans="1:12" ht="9.9499999999999993" customHeight="1" x14ac:dyDescent="0.25">
      <c r="A2466" s="182"/>
      <c r="B2466" s="183"/>
      <c r="C2466" s="183"/>
      <c r="D2466" s="183"/>
      <c r="E2466" s="183"/>
      <c r="F2466" s="183"/>
      <c r="G2466" s="183"/>
      <c r="H2466" s="485"/>
      <c r="I2466" s="485"/>
      <c r="J2466" s="485"/>
      <c r="K2466" s="485"/>
      <c r="L2466" s="512"/>
    </row>
    <row r="2467" spans="1:12" ht="20.100000000000001" customHeight="1" x14ac:dyDescent="0.25">
      <c r="A2467" s="486" t="s">
        <v>3236</v>
      </c>
      <c r="B2467" s="487"/>
      <c r="C2467" s="487"/>
      <c r="D2467" s="487"/>
      <c r="E2467" s="487"/>
      <c r="F2467" s="487"/>
      <c r="G2467" s="487"/>
      <c r="H2467" s="487"/>
      <c r="I2467" s="487"/>
      <c r="J2467" s="487"/>
      <c r="K2467" s="487"/>
      <c r="L2467" s="513"/>
    </row>
    <row r="2468" spans="1:12" ht="20.100000000000001" customHeight="1" x14ac:dyDescent="0.25">
      <c r="A2468" s="488" t="s">
        <v>1836</v>
      </c>
      <c r="B2468" s="489"/>
      <c r="C2468" s="489"/>
      <c r="D2468" s="489"/>
      <c r="E2468" s="489"/>
      <c r="F2468" s="489"/>
      <c r="G2468" s="233" t="s">
        <v>44</v>
      </c>
      <c r="H2468" s="515" t="s">
        <v>1837</v>
      </c>
      <c r="I2468" s="515"/>
      <c r="J2468" s="515" t="s">
        <v>1838</v>
      </c>
      <c r="K2468" s="515"/>
      <c r="L2468" s="169" t="s">
        <v>1839</v>
      </c>
    </row>
    <row r="2469" spans="1:12" ht="15" customHeight="1" x14ac:dyDescent="0.25">
      <c r="A2469" s="170" t="s">
        <v>1851</v>
      </c>
      <c r="B2469" s="490" t="s">
        <v>1852</v>
      </c>
      <c r="C2469" s="490"/>
      <c r="D2469" s="490"/>
      <c r="E2469" s="490"/>
      <c r="F2469" s="490"/>
      <c r="G2469" s="127" t="s">
        <v>1024</v>
      </c>
      <c r="H2469" s="524">
        <v>0.75</v>
      </c>
      <c r="I2469" s="524"/>
      <c r="J2469" s="517">
        <v>26.03</v>
      </c>
      <c r="K2469" s="517"/>
      <c r="L2469" s="370">
        <f>TRUNC(TRUNC(H2469,8)*J2469,2)</f>
        <v>19.52</v>
      </c>
    </row>
    <row r="2470" spans="1:12" ht="15" customHeight="1" x14ac:dyDescent="0.25">
      <c r="A2470" s="170" t="s">
        <v>1830</v>
      </c>
      <c r="B2470" s="490" t="s">
        <v>1831</v>
      </c>
      <c r="C2470" s="490"/>
      <c r="D2470" s="490"/>
      <c r="E2470" s="490"/>
      <c r="F2470" s="490"/>
      <c r="G2470" s="127" t="s">
        <v>1024</v>
      </c>
      <c r="H2470" s="524">
        <v>1.05</v>
      </c>
      <c r="I2470" s="524"/>
      <c r="J2470" s="517">
        <v>19.68</v>
      </c>
      <c r="K2470" s="517"/>
      <c r="L2470" s="370">
        <f>TRUNC(TRUNC(H2470,8)*J2470,2)</f>
        <v>20.66</v>
      </c>
    </row>
    <row r="2471" spans="1:12" ht="15" customHeight="1" x14ac:dyDescent="0.25">
      <c r="A2471" s="184"/>
      <c r="B2471" s="141"/>
      <c r="C2471" s="141"/>
      <c r="D2471" s="141"/>
      <c r="E2471" s="141"/>
      <c r="F2471" s="141"/>
      <c r="G2471" s="141"/>
      <c r="H2471" s="491" t="s">
        <v>1844</v>
      </c>
      <c r="I2471" s="491"/>
      <c r="J2471" s="491"/>
      <c r="K2471" s="491"/>
      <c r="L2471" s="369">
        <f>SUM(L2469:L2470)</f>
        <v>40.18</v>
      </c>
    </row>
    <row r="2472" spans="1:12" ht="15" customHeight="1" x14ac:dyDescent="0.25">
      <c r="A2472" s="182"/>
      <c r="B2472" s="183"/>
      <c r="C2472" s="183"/>
      <c r="D2472" s="183"/>
      <c r="E2472" s="183"/>
      <c r="F2472" s="183"/>
      <c r="G2472" s="183"/>
      <c r="H2472" s="482" t="s">
        <v>1845</v>
      </c>
      <c r="I2472" s="482"/>
      <c r="J2472" s="482"/>
      <c r="K2472" s="482"/>
      <c r="L2472" s="371">
        <f>SUM(L2471)</f>
        <v>40.18</v>
      </c>
    </row>
    <row r="2473" spans="1:12" ht="15" customHeight="1" x14ac:dyDescent="0.25">
      <c r="A2473" s="182"/>
      <c r="B2473" s="183"/>
      <c r="C2473" s="183"/>
      <c r="D2473" s="183"/>
      <c r="E2473" s="183"/>
      <c r="F2473" s="183"/>
      <c r="G2473" s="183"/>
      <c r="H2473" s="482" t="s">
        <v>1846</v>
      </c>
      <c r="I2473" s="482"/>
      <c r="J2473" s="482"/>
      <c r="K2473" s="482"/>
      <c r="L2473" s="374">
        <v>1</v>
      </c>
    </row>
    <row r="2474" spans="1:12" ht="15" customHeight="1" x14ac:dyDescent="0.25">
      <c r="A2474" s="182"/>
      <c r="B2474" s="183"/>
      <c r="C2474" s="183"/>
      <c r="D2474" s="183"/>
      <c r="E2474" s="183"/>
      <c r="F2474" s="183"/>
      <c r="G2474" s="183"/>
      <c r="H2474" s="482" t="s">
        <v>1847</v>
      </c>
      <c r="I2474" s="482"/>
      <c r="J2474" s="482"/>
      <c r="K2474" s="482"/>
      <c r="L2474" s="371">
        <f>TRUNC(L2472/L2473,4)</f>
        <v>40.18</v>
      </c>
    </row>
    <row r="2475" spans="1:12" ht="20.100000000000001" customHeight="1" x14ac:dyDescent="0.25">
      <c r="A2475" s="488" t="s">
        <v>1880</v>
      </c>
      <c r="B2475" s="489"/>
      <c r="C2475" s="489"/>
      <c r="D2475" s="489"/>
      <c r="E2475" s="489"/>
      <c r="F2475" s="489"/>
      <c r="G2475" s="233" t="s">
        <v>44</v>
      </c>
      <c r="H2475" s="515" t="s">
        <v>1837</v>
      </c>
      <c r="I2475" s="515"/>
      <c r="J2475" s="515" t="s">
        <v>1881</v>
      </c>
      <c r="K2475" s="515"/>
      <c r="L2475" s="169" t="s">
        <v>1882</v>
      </c>
    </row>
    <row r="2476" spans="1:12" ht="15" customHeight="1" x14ac:dyDescent="0.25">
      <c r="A2476" s="170" t="s">
        <v>2170</v>
      </c>
      <c r="B2476" s="492" t="s">
        <v>2171</v>
      </c>
      <c r="C2476" s="492"/>
      <c r="D2476" s="492"/>
      <c r="E2476" s="492"/>
      <c r="F2476" s="492"/>
      <c r="G2476" s="127" t="s">
        <v>85</v>
      </c>
      <c r="H2476" s="524">
        <v>3.6499999999999998E-2</v>
      </c>
      <c r="I2476" s="524"/>
      <c r="J2476" s="525">
        <v>152</v>
      </c>
      <c r="K2476" s="525"/>
      <c r="L2476" s="171">
        <f>TRUNC(TRUNC(H2476,8)*J2476,2)</f>
        <v>5.54</v>
      </c>
    </row>
    <row r="2477" spans="1:12" ht="15" customHeight="1" x14ac:dyDescent="0.25">
      <c r="A2477" s="170" t="s">
        <v>2263</v>
      </c>
      <c r="B2477" s="492" t="s">
        <v>2264</v>
      </c>
      <c r="C2477" s="492"/>
      <c r="D2477" s="492"/>
      <c r="E2477" s="492"/>
      <c r="F2477" s="492"/>
      <c r="G2477" s="127" t="s">
        <v>1817</v>
      </c>
      <c r="H2477" s="524">
        <v>14.58</v>
      </c>
      <c r="I2477" s="524"/>
      <c r="J2477" s="525">
        <v>0.56999999999999995</v>
      </c>
      <c r="K2477" s="525"/>
      <c r="L2477" s="171">
        <f>TRUNC(TRUNC(H2477,8)*J2477,2)</f>
        <v>8.31</v>
      </c>
    </row>
    <row r="2478" spans="1:12" ht="15" customHeight="1" x14ac:dyDescent="0.25">
      <c r="A2478" s="184"/>
      <c r="B2478" s="141"/>
      <c r="C2478" s="141"/>
      <c r="D2478" s="141"/>
      <c r="E2478" s="141"/>
      <c r="F2478" s="141"/>
      <c r="G2478" s="141"/>
      <c r="H2478" s="491" t="s">
        <v>1889</v>
      </c>
      <c r="I2478" s="491"/>
      <c r="J2478" s="491"/>
      <c r="K2478" s="491"/>
      <c r="L2478" s="375">
        <f>SUM(L2476:L2477)</f>
        <v>13.850000000000001</v>
      </c>
    </row>
    <row r="2479" spans="1:12" ht="15" customHeight="1" x14ac:dyDescent="0.25">
      <c r="A2479" s="182"/>
      <c r="B2479" s="183"/>
      <c r="C2479" s="183"/>
      <c r="D2479" s="183"/>
      <c r="E2479" s="183"/>
      <c r="F2479" s="183"/>
      <c r="G2479" s="183"/>
      <c r="H2479" s="482" t="s">
        <v>1848</v>
      </c>
      <c r="I2479" s="482"/>
      <c r="J2479" s="482"/>
      <c r="K2479" s="482"/>
      <c r="L2479" s="371">
        <f>SUM(L2474,L2478)</f>
        <v>54.03</v>
      </c>
    </row>
    <row r="2480" spans="1:12" ht="15" customHeight="1" x14ac:dyDescent="0.25">
      <c r="A2480" s="182"/>
      <c r="B2480" s="183"/>
      <c r="C2480" s="183"/>
      <c r="D2480" s="183"/>
      <c r="E2480" s="183"/>
      <c r="F2480" s="183"/>
      <c r="G2480" s="183"/>
      <c r="H2480" s="482" t="s">
        <v>1834</v>
      </c>
      <c r="I2480" s="482"/>
      <c r="J2480" s="482"/>
      <c r="K2480" s="482"/>
      <c r="L2480" s="369">
        <f>ROUND(SUM(L2479),2)</f>
        <v>54.03</v>
      </c>
    </row>
    <row r="2481" spans="1:12" ht="9.9499999999999993" customHeight="1" x14ac:dyDescent="0.25">
      <c r="A2481" s="182"/>
      <c r="B2481" s="183"/>
      <c r="C2481" s="183"/>
      <c r="D2481" s="183"/>
      <c r="E2481" s="183"/>
      <c r="F2481" s="183"/>
      <c r="G2481" s="183"/>
      <c r="H2481" s="485"/>
      <c r="I2481" s="485"/>
      <c r="J2481" s="485"/>
      <c r="K2481" s="485"/>
      <c r="L2481" s="512"/>
    </row>
    <row r="2482" spans="1:12" ht="20.100000000000001" customHeight="1" x14ac:dyDescent="0.25">
      <c r="A2482" s="486" t="s">
        <v>3237</v>
      </c>
      <c r="B2482" s="487"/>
      <c r="C2482" s="487"/>
      <c r="D2482" s="487"/>
      <c r="E2482" s="487"/>
      <c r="F2482" s="487"/>
      <c r="G2482" s="487"/>
      <c r="H2482" s="487"/>
      <c r="I2482" s="487"/>
      <c r="J2482" s="487"/>
      <c r="K2482" s="487"/>
      <c r="L2482" s="513"/>
    </row>
    <row r="2483" spans="1:12" ht="20.100000000000001" customHeight="1" x14ac:dyDescent="0.25">
      <c r="A2483" s="488" t="s">
        <v>1836</v>
      </c>
      <c r="B2483" s="489"/>
      <c r="C2483" s="489"/>
      <c r="D2483" s="489"/>
      <c r="E2483" s="489"/>
      <c r="F2483" s="489"/>
      <c r="G2483" s="233" t="s">
        <v>44</v>
      </c>
      <c r="H2483" s="515" t="s">
        <v>1837</v>
      </c>
      <c r="I2483" s="515"/>
      <c r="J2483" s="515" t="s">
        <v>1838</v>
      </c>
      <c r="K2483" s="515"/>
      <c r="L2483" s="169" t="s">
        <v>1839</v>
      </c>
    </row>
    <row r="2484" spans="1:12" ht="15" customHeight="1" x14ac:dyDescent="0.25">
      <c r="A2484" s="170" t="s">
        <v>3157</v>
      </c>
      <c r="B2484" s="490" t="s">
        <v>3158</v>
      </c>
      <c r="C2484" s="490"/>
      <c r="D2484" s="490"/>
      <c r="E2484" s="490"/>
      <c r="F2484" s="490"/>
      <c r="G2484" s="127" t="s">
        <v>1024</v>
      </c>
      <c r="H2484" s="524">
        <v>1</v>
      </c>
      <c r="I2484" s="524"/>
      <c r="J2484" s="517">
        <v>28.29</v>
      </c>
      <c r="K2484" s="517"/>
      <c r="L2484" s="370">
        <f>TRUNC(TRUNC(H2484,8)*J2484,2)</f>
        <v>28.29</v>
      </c>
    </row>
    <row r="2485" spans="1:12" ht="15" customHeight="1" x14ac:dyDescent="0.25">
      <c r="A2485" s="184"/>
      <c r="B2485" s="141"/>
      <c r="C2485" s="141"/>
      <c r="D2485" s="141"/>
      <c r="E2485" s="141"/>
      <c r="F2485" s="141"/>
      <c r="G2485" s="141"/>
      <c r="H2485" s="491" t="s">
        <v>1844</v>
      </c>
      <c r="I2485" s="491"/>
      <c r="J2485" s="491"/>
      <c r="K2485" s="491"/>
      <c r="L2485" s="369">
        <f>SUM(L2484:L2484)</f>
        <v>28.29</v>
      </c>
    </row>
    <row r="2486" spans="1:12" ht="15" customHeight="1" x14ac:dyDescent="0.25">
      <c r="A2486" s="182"/>
      <c r="B2486" s="183"/>
      <c r="C2486" s="183"/>
      <c r="D2486" s="183"/>
      <c r="E2486" s="183"/>
      <c r="F2486" s="183"/>
      <c r="G2486" s="183"/>
      <c r="H2486" s="482" t="s">
        <v>1845</v>
      </c>
      <c r="I2486" s="482"/>
      <c r="J2486" s="482"/>
      <c r="K2486" s="482"/>
      <c r="L2486" s="371">
        <f>SUM(L2485)</f>
        <v>28.29</v>
      </c>
    </row>
    <row r="2487" spans="1:12" ht="15" customHeight="1" x14ac:dyDescent="0.25">
      <c r="A2487" s="182"/>
      <c r="B2487" s="183"/>
      <c r="C2487" s="183"/>
      <c r="D2487" s="183"/>
      <c r="E2487" s="183"/>
      <c r="F2487" s="183"/>
      <c r="G2487" s="183"/>
      <c r="H2487" s="482" t="s">
        <v>1846</v>
      </c>
      <c r="I2487" s="482"/>
      <c r="J2487" s="482"/>
      <c r="K2487" s="482"/>
      <c r="L2487" s="374">
        <v>1</v>
      </c>
    </row>
    <row r="2488" spans="1:12" ht="15" customHeight="1" x14ac:dyDescent="0.25">
      <c r="A2488" s="182"/>
      <c r="B2488" s="183"/>
      <c r="C2488" s="183"/>
      <c r="D2488" s="183"/>
      <c r="E2488" s="183"/>
      <c r="F2488" s="183"/>
      <c r="G2488" s="183"/>
      <c r="H2488" s="482" t="s">
        <v>1847</v>
      </c>
      <c r="I2488" s="482"/>
      <c r="J2488" s="482"/>
      <c r="K2488" s="482"/>
      <c r="L2488" s="371">
        <f>TRUNC(L2486/L2487,4)</f>
        <v>28.29</v>
      </c>
    </row>
    <row r="2489" spans="1:12" ht="20.100000000000001" customHeight="1" x14ac:dyDescent="0.25">
      <c r="A2489" s="488" t="s">
        <v>2009</v>
      </c>
      <c r="B2489" s="489"/>
      <c r="C2489" s="489"/>
      <c r="D2489" s="489"/>
      <c r="E2489" s="489"/>
      <c r="F2489" s="489"/>
      <c r="G2489" s="233" t="s">
        <v>44</v>
      </c>
      <c r="H2489" s="515" t="s">
        <v>1837</v>
      </c>
      <c r="I2489" s="515"/>
      <c r="J2489" s="515" t="s">
        <v>1814</v>
      </c>
      <c r="K2489" s="515"/>
      <c r="L2489" s="169" t="s">
        <v>1882</v>
      </c>
    </row>
    <row r="2490" spans="1:12" ht="24" customHeight="1" x14ac:dyDescent="0.25">
      <c r="A2490" s="170" t="s">
        <v>3238</v>
      </c>
      <c r="B2490" s="492" t="s">
        <v>3239</v>
      </c>
      <c r="C2490" s="492"/>
      <c r="D2490" s="492"/>
      <c r="E2490" s="492"/>
      <c r="F2490" s="492"/>
      <c r="G2490" s="127"/>
      <c r="H2490" s="526">
        <v>1</v>
      </c>
      <c r="I2490" s="526"/>
      <c r="J2490" s="525">
        <v>23.49</v>
      </c>
      <c r="K2490" s="525"/>
      <c r="L2490" s="171">
        <f>TRUNC(TRUNC(H2490,8)*J2490,2)</f>
        <v>23.49</v>
      </c>
    </row>
    <row r="2491" spans="1:12" ht="24" customHeight="1" x14ac:dyDescent="0.25">
      <c r="A2491" s="170" t="s">
        <v>3240</v>
      </c>
      <c r="B2491" s="492" t="s">
        <v>3241</v>
      </c>
      <c r="C2491" s="492"/>
      <c r="D2491" s="492"/>
      <c r="E2491" s="492"/>
      <c r="F2491" s="492"/>
      <c r="G2491" s="127"/>
      <c r="H2491" s="526">
        <v>1</v>
      </c>
      <c r="I2491" s="526"/>
      <c r="J2491" s="525">
        <v>3.18</v>
      </c>
      <c r="K2491" s="525"/>
      <c r="L2491" s="171">
        <f>TRUNC(TRUNC(H2491,8)*J2491,2)</f>
        <v>3.18</v>
      </c>
    </row>
    <row r="2492" spans="1:12" ht="24" customHeight="1" x14ac:dyDescent="0.25">
      <c r="A2492" s="170" t="s">
        <v>3242</v>
      </c>
      <c r="B2492" s="492" t="s">
        <v>3243</v>
      </c>
      <c r="C2492" s="492"/>
      <c r="D2492" s="492"/>
      <c r="E2492" s="492"/>
      <c r="F2492" s="492"/>
      <c r="G2492" s="127"/>
      <c r="H2492" s="526">
        <v>1</v>
      </c>
      <c r="I2492" s="526"/>
      <c r="J2492" s="525">
        <v>29.36</v>
      </c>
      <c r="K2492" s="525"/>
      <c r="L2492" s="171">
        <f>TRUNC(TRUNC(H2492,8)*J2492,2)</f>
        <v>29.36</v>
      </c>
    </row>
    <row r="2493" spans="1:12" ht="24" customHeight="1" x14ac:dyDescent="0.25">
      <c r="A2493" s="170" t="s">
        <v>3244</v>
      </c>
      <c r="B2493" s="492" t="s">
        <v>3245</v>
      </c>
      <c r="C2493" s="492"/>
      <c r="D2493" s="492"/>
      <c r="E2493" s="492"/>
      <c r="F2493" s="492"/>
      <c r="G2493" s="127"/>
      <c r="H2493" s="526">
        <v>1</v>
      </c>
      <c r="I2493" s="526"/>
      <c r="J2493" s="525">
        <v>54.99</v>
      </c>
      <c r="K2493" s="525"/>
      <c r="L2493" s="171">
        <f>TRUNC(TRUNC(H2493,8)*J2493,2)</f>
        <v>54.99</v>
      </c>
    </row>
    <row r="2494" spans="1:12" ht="15" customHeight="1" x14ac:dyDescent="0.25">
      <c r="A2494" s="184"/>
      <c r="B2494" s="141"/>
      <c r="C2494" s="141"/>
      <c r="D2494" s="141"/>
      <c r="E2494" s="141"/>
      <c r="F2494" s="141"/>
      <c r="G2494" s="141"/>
      <c r="H2494" s="491" t="s">
        <v>2014</v>
      </c>
      <c r="I2494" s="491"/>
      <c r="J2494" s="491"/>
      <c r="K2494" s="491"/>
      <c r="L2494" s="375">
        <f>SUM(L2490:L2493)</f>
        <v>111.02000000000001</v>
      </c>
    </row>
    <row r="2495" spans="1:12" ht="15" customHeight="1" x14ac:dyDescent="0.25">
      <c r="A2495" s="182"/>
      <c r="B2495" s="183"/>
      <c r="C2495" s="183"/>
      <c r="D2495" s="183"/>
      <c r="E2495" s="183"/>
      <c r="F2495" s="183"/>
      <c r="G2495" s="183"/>
      <c r="H2495" s="482" t="s">
        <v>1848</v>
      </c>
      <c r="I2495" s="482"/>
      <c r="J2495" s="482"/>
      <c r="K2495" s="482"/>
      <c r="L2495" s="371">
        <f>SUM(L2488,L2494)</f>
        <v>139.31</v>
      </c>
    </row>
    <row r="2496" spans="1:12" ht="15" customHeight="1" x14ac:dyDescent="0.25">
      <c r="A2496" s="182"/>
      <c r="B2496" s="183"/>
      <c r="C2496" s="183"/>
      <c r="D2496" s="183"/>
      <c r="E2496" s="183"/>
      <c r="F2496" s="183"/>
      <c r="G2496" s="183"/>
      <c r="H2496" s="482" t="s">
        <v>1834</v>
      </c>
      <c r="I2496" s="482"/>
      <c r="J2496" s="482"/>
      <c r="K2496" s="482"/>
      <c r="L2496" s="369">
        <f>ROUND(SUM(L2495),2)</f>
        <v>139.31</v>
      </c>
    </row>
    <row r="2497" spans="1:12" ht="9.9499999999999993" customHeight="1" x14ac:dyDescent="0.25">
      <c r="A2497" s="182"/>
      <c r="B2497" s="183"/>
      <c r="C2497" s="183"/>
      <c r="D2497" s="183"/>
      <c r="E2497" s="183"/>
      <c r="F2497" s="183"/>
      <c r="G2497" s="183"/>
      <c r="H2497" s="485"/>
      <c r="I2497" s="485"/>
      <c r="J2497" s="485"/>
      <c r="K2497" s="485"/>
      <c r="L2497" s="512"/>
    </row>
    <row r="2498" spans="1:12" ht="20.100000000000001" customHeight="1" x14ac:dyDescent="0.25">
      <c r="A2498" s="486" t="s">
        <v>3246</v>
      </c>
      <c r="B2498" s="487"/>
      <c r="C2498" s="487"/>
      <c r="D2498" s="487"/>
      <c r="E2498" s="487"/>
      <c r="F2498" s="487"/>
      <c r="G2498" s="487"/>
      <c r="H2498" s="487"/>
      <c r="I2498" s="487"/>
      <c r="J2498" s="487"/>
      <c r="K2498" s="487"/>
      <c r="L2498" s="513"/>
    </row>
    <row r="2499" spans="1:12" ht="12.95" customHeight="1" x14ac:dyDescent="0.25">
      <c r="A2499" s="518" t="s">
        <v>2641</v>
      </c>
      <c r="B2499" s="519"/>
      <c r="C2499" s="519"/>
      <c r="D2499" s="520" t="s">
        <v>2642</v>
      </c>
      <c r="E2499" s="520"/>
      <c r="F2499" s="515" t="s">
        <v>2643</v>
      </c>
      <c r="G2499" s="515"/>
      <c r="H2499" s="515" t="s">
        <v>2644</v>
      </c>
      <c r="I2499" s="515"/>
      <c r="J2499" s="515"/>
      <c r="K2499" s="515"/>
      <c r="L2499" s="521" t="s">
        <v>1839</v>
      </c>
    </row>
    <row r="2500" spans="1:12" ht="12" customHeight="1" x14ac:dyDescent="0.25">
      <c r="A2500" s="518"/>
      <c r="B2500" s="519"/>
      <c r="C2500" s="519"/>
      <c r="D2500" s="520"/>
      <c r="E2500" s="520"/>
      <c r="F2500" s="230" t="s">
        <v>2645</v>
      </c>
      <c r="G2500" s="230" t="s">
        <v>2646</v>
      </c>
      <c r="H2500" s="476" t="s">
        <v>2645</v>
      </c>
      <c r="I2500" s="476"/>
      <c r="J2500" s="476" t="s">
        <v>2646</v>
      </c>
      <c r="K2500" s="476"/>
      <c r="L2500" s="521"/>
    </row>
    <row r="2501" spans="1:12" ht="39.950000000000003" customHeight="1" x14ac:dyDescent="0.25">
      <c r="A2501" s="170" t="s">
        <v>3247</v>
      </c>
      <c r="B2501" s="492" t="s">
        <v>3248</v>
      </c>
      <c r="C2501" s="492"/>
      <c r="D2501" s="524">
        <v>5.5999999999999999E-5</v>
      </c>
      <c r="E2501" s="524"/>
      <c r="F2501" s="244">
        <v>1</v>
      </c>
      <c r="G2501" s="244">
        <v>0</v>
      </c>
      <c r="H2501" s="523">
        <v>419487.79</v>
      </c>
      <c r="I2501" s="523"/>
      <c r="J2501" s="523">
        <v>0</v>
      </c>
      <c r="K2501" s="523"/>
      <c r="L2501" s="371">
        <f>TRUNC(D2501*(TRUNC(F2501*H2501,4)+TRUNC(G2501*J2501,4)),4)</f>
        <v>23.491299999999999</v>
      </c>
    </row>
    <row r="2502" spans="1:12" ht="15" customHeight="1" x14ac:dyDescent="0.25">
      <c r="A2502" s="184"/>
      <c r="B2502" s="141"/>
      <c r="C2502" s="141"/>
      <c r="D2502" s="141"/>
      <c r="E2502" s="141"/>
      <c r="F2502" s="141"/>
      <c r="G2502" s="141"/>
      <c r="H2502" s="491" t="s">
        <v>2649</v>
      </c>
      <c r="I2502" s="491"/>
      <c r="J2502" s="491"/>
      <c r="K2502" s="491"/>
      <c r="L2502" s="373">
        <f>SUM(L2500:L2501)</f>
        <v>23.491299999999999</v>
      </c>
    </row>
    <row r="2503" spans="1:12" ht="15" customHeight="1" x14ac:dyDescent="0.25">
      <c r="A2503" s="182"/>
      <c r="B2503" s="183"/>
      <c r="C2503" s="183"/>
      <c r="D2503" s="183"/>
      <c r="E2503" s="183"/>
      <c r="F2503" s="183"/>
      <c r="G2503" s="183"/>
      <c r="H2503" s="482" t="s">
        <v>1845</v>
      </c>
      <c r="I2503" s="482"/>
      <c r="J2503" s="482"/>
      <c r="K2503" s="482"/>
      <c r="L2503" s="371">
        <f>SUM(L2502)</f>
        <v>23.491299999999999</v>
      </c>
    </row>
    <row r="2504" spans="1:12" ht="15" customHeight="1" x14ac:dyDescent="0.25">
      <c r="A2504" s="182"/>
      <c r="B2504" s="183"/>
      <c r="C2504" s="183"/>
      <c r="D2504" s="183"/>
      <c r="E2504" s="183"/>
      <c r="F2504" s="183"/>
      <c r="G2504" s="183"/>
      <c r="H2504" s="482" t="s">
        <v>1846</v>
      </c>
      <c r="I2504" s="482"/>
      <c r="J2504" s="482"/>
      <c r="K2504" s="482"/>
      <c r="L2504" s="374">
        <v>1</v>
      </c>
    </row>
    <row r="2505" spans="1:12" ht="15" customHeight="1" x14ac:dyDescent="0.25">
      <c r="A2505" s="182"/>
      <c r="B2505" s="183"/>
      <c r="C2505" s="183"/>
      <c r="D2505" s="183"/>
      <c r="E2505" s="183"/>
      <c r="F2505" s="183"/>
      <c r="G2505" s="183"/>
      <c r="H2505" s="482" t="s">
        <v>1847</v>
      </c>
      <c r="I2505" s="482"/>
      <c r="J2505" s="482"/>
      <c r="K2505" s="482"/>
      <c r="L2505" s="371">
        <f>TRUNC(L2503/L2504,4)</f>
        <v>23.491299999999999</v>
      </c>
    </row>
    <row r="2506" spans="1:12" ht="15" customHeight="1" x14ac:dyDescent="0.25">
      <c r="A2506" s="182"/>
      <c r="B2506" s="183"/>
      <c r="C2506" s="183"/>
      <c r="D2506" s="183"/>
      <c r="E2506" s="183"/>
      <c r="F2506" s="183"/>
      <c r="G2506" s="183"/>
      <c r="H2506" s="482" t="s">
        <v>1848</v>
      </c>
      <c r="I2506" s="482"/>
      <c r="J2506" s="482"/>
      <c r="K2506" s="482"/>
      <c r="L2506" s="371">
        <f>SUM(L2505)</f>
        <v>23.491299999999999</v>
      </c>
    </row>
    <row r="2507" spans="1:12" ht="15" customHeight="1" x14ac:dyDescent="0.25">
      <c r="A2507" s="182"/>
      <c r="B2507" s="183"/>
      <c r="C2507" s="183"/>
      <c r="D2507" s="183"/>
      <c r="E2507" s="183"/>
      <c r="F2507" s="183"/>
      <c r="G2507" s="183"/>
      <c r="H2507" s="482" t="s">
        <v>1834</v>
      </c>
      <c r="I2507" s="482"/>
      <c r="J2507" s="482"/>
      <c r="K2507" s="482"/>
      <c r="L2507" s="369">
        <f>ROUND(SUM(L2506),2)</f>
        <v>23.49</v>
      </c>
    </row>
    <row r="2508" spans="1:12" ht="9.9499999999999993" customHeight="1" x14ac:dyDescent="0.25">
      <c r="A2508" s="182"/>
      <c r="B2508" s="183"/>
      <c r="C2508" s="183"/>
      <c r="D2508" s="183"/>
      <c r="E2508" s="183"/>
      <c r="F2508" s="183"/>
      <c r="G2508" s="183"/>
      <c r="H2508" s="485"/>
      <c r="I2508" s="485"/>
      <c r="J2508" s="485"/>
      <c r="K2508" s="485"/>
      <c r="L2508" s="512"/>
    </row>
    <row r="2509" spans="1:12" ht="20.100000000000001" customHeight="1" x14ac:dyDescent="0.25">
      <c r="A2509" s="486" t="s">
        <v>3249</v>
      </c>
      <c r="B2509" s="487"/>
      <c r="C2509" s="487"/>
      <c r="D2509" s="487"/>
      <c r="E2509" s="487"/>
      <c r="F2509" s="487"/>
      <c r="G2509" s="487"/>
      <c r="H2509" s="487"/>
      <c r="I2509" s="487"/>
      <c r="J2509" s="487"/>
      <c r="K2509" s="487"/>
      <c r="L2509" s="513"/>
    </row>
    <row r="2510" spans="1:12" ht="12.95" customHeight="1" x14ac:dyDescent="0.25">
      <c r="A2510" s="518" t="s">
        <v>2641</v>
      </c>
      <c r="B2510" s="519"/>
      <c r="C2510" s="519"/>
      <c r="D2510" s="520" t="s">
        <v>2642</v>
      </c>
      <c r="E2510" s="520"/>
      <c r="F2510" s="515" t="s">
        <v>2643</v>
      </c>
      <c r="G2510" s="515"/>
      <c r="H2510" s="515" t="s">
        <v>2644</v>
      </c>
      <c r="I2510" s="515"/>
      <c r="J2510" s="515"/>
      <c r="K2510" s="515"/>
      <c r="L2510" s="521" t="s">
        <v>1839</v>
      </c>
    </row>
    <row r="2511" spans="1:12" ht="12" customHeight="1" x14ac:dyDescent="0.25">
      <c r="A2511" s="518"/>
      <c r="B2511" s="519"/>
      <c r="C2511" s="519"/>
      <c r="D2511" s="520"/>
      <c r="E2511" s="520"/>
      <c r="F2511" s="230" t="s">
        <v>2645</v>
      </c>
      <c r="G2511" s="230" t="s">
        <v>2646</v>
      </c>
      <c r="H2511" s="476" t="s">
        <v>2645</v>
      </c>
      <c r="I2511" s="476"/>
      <c r="J2511" s="476" t="s">
        <v>2646</v>
      </c>
      <c r="K2511" s="476"/>
      <c r="L2511" s="521"/>
    </row>
    <row r="2512" spans="1:12" ht="39.950000000000003" customHeight="1" x14ac:dyDescent="0.25">
      <c r="A2512" s="170" t="s">
        <v>3247</v>
      </c>
      <c r="B2512" s="492" t="s">
        <v>3248</v>
      </c>
      <c r="C2512" s="492"/>
      <c r="D2512" s="524">
        <v>7.6000000000000001E-6</v>
      </c>
      <c r="E2512" s="524"/>
      <c r="F2512" s="244">
        <v>1</v>
      </c>
      <c r="G2512" s="244">
        <v>0</v>
      </c>
      <c r="H2512" s="523">
        <v>419487.79</v>
      </c>
      <c r="I2512" s="523"/>
      <c r="J2512" s="523">
        <v>0</v>
      </c>
      <c r="K2512" s="523"/>
      <c r="L2512" s="371">
        <f>TRUNC(D2512*(TRUNC(F2512*H2512,4)+TRUNC(G2512*J2512,4)),4)</f>
        <v>3.1880999999999999</v>
      </c>
    </row>
    <row r="2513" spans="1:12" ht="15" customHeight="1" x14ac:dyDescent="0.25">
      <c r="A2513" s="184"/>
      <c r="B2513" s="141"/>
      <c r="C2513" s="141"/>
      <c r="D2513" s="141"/>
      <c r="E2513" s="141"/>
      <c r="F2513" s="141"/>
      <c r="G2513" s="141"/>
      <c r="H2513" s="491" t="s">
        <v>2649</v>
      </c>
      <c r="I2513" s="491"/>
      <c r="J2513" s="491"/>
      <c r="K2513" s="491"/>
      <c r="L2513" s="373">
        <f>SUM(L2511:L2512)</f>
        <v>3.1880999999999999</v>
      </c>
    </row>
    <row r="2514" spans="1:12" ht="15" customHeight="1" x14ac:dyDescent="0.25">
      <c r="A2514" s="182"/>
      <c r="B2514" s="183"/>
      <c r="C2514" s="183"/>
      <c r="D2514" s="183"/>
      <c r="E2514" s="183"/>
      <c r="F2514" s="183"/>
      <c r="G2514" s="183"/>
      <c r="H2514" s="482" t="s">
        <v>1845</v>
      </c>
      <c r="I2514" s="482"/>
      <c r="J2514" s="482"/>
      <c r="K2514" s="482"/>
      <c r="L2514" s="371">
        <f>SUM(L2513)</f>
        <v>3.1880999999999999</v>
      </c>
    </row>
    <row r="2515" spans="1:12" ht="15" customHeight="1" x14ac:dyDescent="0.25">
      <c r="A2515" s="182"/>
      <c r="B2515" s="183"/>
      <c r="C2515" s="183"/>
      <c r="D2515" s="183"/>
      <c r="E2515" s="183"/>
      <c r="F2515" s="183"/>
      <c r="G2515" s="183"/>
      <c r="H2515" s="482" t="s">
        <v>1846</v>
      </c>
      <c r="I2515" s="482"/>
      <c r="J2515" s="482"/>
      <c r="K2515" s="482"/>
      <c r="L2515" s="374">
        <v>1</v>
      </c>
    </row>
    <row r="2516" spans="1:12" ht="15" customHeight="1" x14ac:dyDescent="0.25">
      <c r="A2516" s="182"/>
      <c r="B2516" s="183"/>
      <c r="C2516" s="183"/>
      <c r="D2516" s="183"/>
      <c r="E2516" s="183"/>
      <c r="F2516" s="183"/>
      <c r="G2516" s="183"/>
      <c r="H2516" s="482" t="s">
        <v>1847</v>
      </c>
      <c r="I2516" s="482"/>
      <c r="J2516" s="482"/>
      <c r="K2516" s="482"/>
      <c r="L2516" s="371">
        <f>TRUNC(L2514/L2515,4)</f>
        <v>3.1880999999999999</v>
      </c>
    </row>
    <row r="2517" spans="1:12" ht="15" customHeight="1" x14ac:dyDescent="0.25">
      <c r="A2517" s="182"/>
      <c r="B2517" s="183"/>
      <c r="C2517" s="183"/>
      <c r="D2517" s="183"/>
      <c r="E2517" s="183"/>
      <c r="F2517" s="183"/>
      <c r="G2517" s="183"/>
      <c r="H2517" s="482" t="s">
        <v>1848</v>
      </c>
      <c r="I2517" s="482"/>
      <c r="J2517" s="482"/>
      <c r="K2517" s="482"/>
      <c r="L2517" s="371">
        <f>SUM(L2516)</f>
        <v>3.1880999999999999</v>
      </c>
    </row>
    <row r="2518" spans="1:12" ht="15" customHeight="1" x14ac:dyDescent="0.25">
      <c r="A2518" s="182"/>
      <c r="B2518" s="183"/>
      <c r="C2518" s="183"/>
      <c r="D2518" s="183"/>
      <c r="E2518" s="183"/>
      <c r="F2518" s="183"/>
      <c r="G2518" s="183"/>
      <c r="H2518" s="482" t="s">
        <v>1834</v>
      </c>
      <c r="I2518" s="482"/>
      <c r="J2518" s="482"/>
      <c r="K2518" s="482"/>
      <c r="L2518" s="369">
        <f>ROUND(SUM(L2517),2)</f>
        <v>3.19</v>
      </c>
    </row>
    <row r="2519" spans="1:12" ht="9.9499999999999993" customHeight="1" x14ac:dyDescent="0.25">
      <c r="A2519" s="182"/>
      <c r="B2519" s="183"/>
      <c r="C2519" s="183"/>
      <c r="D2519" s="183"/>
      <c r="E2519" s="183"/>
      <c r="F2519" s="183"/>
      <c r="G2519" s="183"/>
      <c r="H2519" s="485"/>
      <c r="I2519" s="485"/>
      <c r="J2519" s="485"/>
      <c r="K2519" s="485"/>
      <c r="L2519" s="512"/>
    </row>
    <row r="2520" spans="1:12" ht="20.100000000000001" customHeight="1" x14ac:dyDescent="0.25">
      <c r="A2520" s="486" t="s">
        <v>3250</v>
      </c>
      <c r="B2520" s="487"/>
      <c r="C2520" s="487"/>
      <c r="D2520" s="487"/>
      <c r="E2520" s="487"/>
      <c r="F2520" s="487"/>
      <c r="G2520" s="487"/>
      <c r="H2520" s="487"/>
      <c r="I2520" s="487"/>
      <c r="J2520" s="487"/>
      <c r="K2520" s="487"/>
      <c r="L2520" s="513"/>
    </row>
    <row r="2521" spans="1:12" ht="12.95" customHeight="1" x14ac:dyDescent="0.25">
      <c r="A2521" s="518" t="s">
        <v>2641</v>
      </c>
      <c r="B2521" s="519"/>
      <c r="C2521" s="519"/>
      <c r="D2521" s="520" t="s">
        <v>2642</v>
      </c>
      <c r="E2521" s="520"/>
      <c r="F2521" s="515" t="s">
        <v>2643</v>
      </c>
      <c r="G2521" s="515"/>
      <c r="H2521" s="515" t="s">
        <v>2644</v>
      </c>
      <c r="I2521" s="515"/>
      <c r="J2521" s="515"/>
      <c r="K2521" s="515"/>
      <c r="L2521" s="521" t="s">
        <v>1839</v>
      </c>
    </row>
    <row r="2522" spans="1:12" ht="12" customHeight="1" x14ac:dyDescent="0.25">
      <c r="A2522" s="518"/>
      <c r="B2522" s="519"/>
      <c r="C2522" s="519"/>
      <c r="D2522" s="520"/>
      <c r="E2522" s="520"/>
      <c r="F2522" s="230" t="s">
        <v>2645</v>
      </c>
      <c r="G2522" s="230" t="s">
        <v>2646</v>
      </c>
      <c r="H2522" s="476" t="s">
        <v>2645</v>
      </c>
      <c r="I2522" s="476"/>
      <c r="J2522" s="476" t="s">
        <v>2646</v>
      </c>
      <c r="K2522" s="476"/>
      <c r="L2522" s="521"/>
    </row>
    <row r="2523" spans="1:12" ht="39.950000000000003" customHeight="1" x14ac:dyDescent="0.25">
      <c r="A2523" s="170" t="s">
        <v>3247</v>
      </c>
      <c r="B2523" s="492" t="s">
        <v>3248</v>
      </c>
      <c r="C2523" s="492"/>
      <c r="D2523" s="524">
        <v>6.9999999999999994E-5</v>
      </c>
      <c r="E2523" s="524"/>
      <c r="F2523" s="244">
        <v>1</v>
      </c>
      <c r="G2523" s="244">
        <v>0</v>
      </c>
      <c r="H2523" s="523">
        <v>419487.79</v>
      </c>
      <c r="I2523" s="523"/>
      <c r="J2523" s="523">
        <v>0</v>
      </c>
      <c r="K2523" s="523"/>
      <c r="L2523" s="371">
        <f>TRUNC(D2523*(TRUNC(F2523*H2523,4)+TRUNC(G2523*J2523,4)),4)</f>
        <v>29.364100000000001</v>
      </c>
    </row>
    <row r="2524" spans="1:12" ht="15" customHeight="1" x14ac:dyDescent="0.25">
      <c r="A2524" s="184"/>
      <c r="B2524" s="141"/>
      <c r="C2524" s="141"/>
      <c r="D2524" s="141"/>
      <c r="E2524" s="141"/>
      <c r="F2524" s="141"/>
      <c r="G2524" s="141"/>
      <c r="H2524" s="491" t="s">
        <v>2649</v>
      </c>
      <c r="I2524" s="491"/>
      <c r="J2524" s="491"/>
      <c r="K2524" s="491"/>
      <c r="L2524" s="373">
        <f>SUM(L2522:L2523)</f>
        <v>29.364100000000001</v>
      </c>
    </row>
    <row r="2525" spans="1:12" ht="15" customHeight="1" x14ac:dyDescent="0.25">
      <c r="A2525" s="182"/>
      <c r="B2525" s="183"/>
      <c r="C2525" s="183"/>
      <c r="D2525" s="183"/>
      <c r="E2525" s="183"/>
      <c r="F2525" s="183"/>
      <c r="G2525" s="183"/>
      <c r="H2525" s="482" t="s">
        <v>1845</v>
      </c>
      <c r="I2525" s="482"/>
      <c r="J2525" s="482"/>
      <c r="K2525" s="482"/>
      <c r="L2525" s="371">
        <f>SUM(L2524)</f>
        <v>29.364100000000001</v>
      </c>
    </row>
    <row r="2526" spans="1:12" ht="15" customHeight="1" x14ac:dyDescent="0.25">
      <c r="A2526" s="182"/>
      <c r="B2526" s="183"/>
      <c r="C2526" s="183"/>
      <c r="D2526" s="183"/>
      <c r="E2526" s="183"/>
      <c r="F2526" s="183"/>
      <c r="G2526" s="183"/>
      <c r="H2526" s="482" t="s">
        <v>1846</v>
      </c>
      <c r="I2526" s="482"/>
      <c r="J2526" s="482"/>
      <c r="K2526" s="482"/>
      <c r="L2526" s="374">
        <v>1</v>
      </c>
    </row>
    <row r="2527" spans="1:12" ht="15" customHeight="1" x14ac:dyDescent="0.25">
      <c r="A2527" s="182"/>
      <c r="B2527" s="183"/>
      <c r="C2527" s="183"/>
      <c r="D2527" s="183"/>
      <c r="E2527" s="183"/>
      <c r="F2527" s="183"/>
      <c r="G2527" s="183"/>
      <c r="H2527" s="482" t="s">
        <v>1847</v>
      </c>
      <c r="I2527" s="482"/>
      <c r="J2527" s="482"/>
      <c r="K2527" s="482"/>
      <c r="L2527" s="371">
        <f>TRUNC(L2525/L2526,4)</f>
        <v>29.364100000000001</v>
      </c>
    </row>
    <row r="2528" spans="1:12" ht="15" customHeight="1" x14ac:dyDescent="0.25">
      <c r="A2528" s="182"/>
      <c r="B2528" s="183"/>
      <c r="C2528" s="183"/>
      <c r="D2528" s="183"/>
      <c r="E2528" s="183"/>
      <c r="F2528" s="183"/>
      <c r="G2528" s="183"/>
      <c r="H2528" s="482" t="s">
        <v>1848</v>
      </c>
      <c r="I2528" s="482"/>
      <c r="J2528" s="482"/>
      <c r="K2528" s="482"/>
      <c r="L2528" s="371">
        <f>SUM(L2527)</f>
        <v>29.364100000000001</v>
      </c>
    </row>
    <row r="2529" spans="1:12" ht="15" customHeight="1" x14ac:dyDescent="0.25">
      <c r="A2529" s="182"/>
      <c r="B2529" s="183"/>
      <c r="C2529" s="183"/>
      <c r="D2529" s="183"/>
      <c r="E2529" s="183"/>
      <c r="F2529" s="183"/>
      <c r="G2529" s="183"/>
      <c r="H2529" s="482" t="s">
        <v>1834</v>
      </c>
      <c r="I2529" s="482"/>
      <c r="J2529" s="482"/>
      <c r="K2529" s="482"/>
      <c r="L2529" s="369">
        <f>ROUND(SUM(L2528),2)</f>
        <v>29.36</v>
      </c>
    </row>
    <row r="2530" spans="1:12" ht="9.9499999999999993" customHeight="1" x14ac:dyDescent="0.25">
      <c r="A2530" s="182"/>
      <c r="B2530" s="183"/>
      <c r="C2530" s="183"/>
      <c r="D2530" s="183"/>
      <c r="E2530" s="183"/>
      <c r="F2530" s="183"/>
      <c r="G2530" s="183"/>
      <c r="H2530" s="485"/>
      <c r="I2530" s="485"/>
      <c r="J2530" s="485"/>
      <c r="K2530" s="485"/>
      <c r="L2530" s="512"/>
    </row>
    <row r="2531" spans="1:12" ht="20.100000000000001" customHeight="1" x14ac:dyDescent="0.25">
      <c r="A2531" s="486" t="s">
        <v>3251</v>
      </c>
      <c r="B2531" s="487"/>
      <c r="C2531" s="487"/>
      <c r="D2531" s="487"/>
      <c r="E2531" s="487"/>
      <c r="F2531" s="487"/>
      <c r="G2531" s="487"/>
      <c r="H2531" s="487"/>
      <c r="I2531" s="487"/>
      <c r="J2531" s="487"/>
      <c r="K2531" s="487"/>
      <c r="L2531" s="513"/>
    </row>
    <row r="2532" spans="1:12" ht="20.100000000000001" customHeight="1" x14ac:dyDescent="0.25">
      <c r="A2532" s="488" t="s">
        <v>1880</v>
      </c>
      <c r="B2532" s="489"/>
      <c r="C2532" s="489"/>
      <c r="D2532" s="489"/>
      <c r="E2532" s="489"/>
      <c r="F2532" s="489"/>
      <c r="G2532" s="233" t="s">
        <v>44</v>
      </c>
      <c r="H2532" s="515" t="s">
        <v>1837</v>
      </c>
      <c r="I2532" s="515"/>
      <c r="J2532" s="515" t="s">
        <v>1881</v>
      </c>
      <c r="K2532" s="515"/>
      <c r="L2532" s="169" t="s">
        <v>1882</v>
      </c>
    </row>
    <row r="2533" spans="1:12" ht="15" customHeight="1" x14ac:dyDescent="0.25">
      <c r="A2533" s="170" t="s">
        <v>3252</v>
      </c>
      <c r="B2533" s="492" t="s">
        <v>3253</v>
      </c>
      <c r="C2533" s="492"/>
      <c r="D2533" s="492"/>
      <c r="E2533" s="492"/>
      <c r="F2533" s="492"/>
      <c r="G2533" s="127" t="s">
        <v>1006</v>
      </c>
      <c r="H2533" s="524">
        <v>7.66</v>
      </c>
      <c r="I2533" s="524"/>
      <c r="J2533" s="525">
        <v>7.18</v>
      </c>
      <c r="K2533" s="525"/>
      <c r="L2533" s="171">
        <f>TRUNC(TRUNC(H2533,8)*J2533,2)</f>
        <v>54.99</v>
      </c>
    </row>
    <row r="2534" spans="1:12" ht="15" customHeight="1" x14ac:dyDescent="0.25">
      <c r="A2534" s="184"/>
      <c r="B2534" s="141"/>
      <c r="C2534" s="141"/>
      <c r="D2534" s="141"/>
      <c r="E2534" s="141"/>
      <c r="F2534" s="141"/>
      <c r="G2534" s="141"/>
      <c r="H2534" s="491" t="s">
        <v>1889</v>
      </c>
      <c r="I2534" s="491"/>
      <c r="J2534" s="491"/>
      <c r="K2534" s="491"/>
      <c r="L2534" s="375">
        <f>SUM(L2533:L2533)</f>
        <v>54.99</v>
      </c>
    </row>
    <row r="2535" spans="1:12" ht="15" customHeight="1" x14ac:dyDescent="0.25">
      <c r="A2535" s="182"/>
      <c r="B2535" s="183"/>
      <c r="C2535" s="183"/>
      <c r="D2535" s="183"/>
      <c r="E2535" s="183"/>
      <c r="F2535" s="183"/>
      <c r="G2535" s="183"/>
      <c r="H2535" s="482" t="s">
        <v>1848</v>
      </c>
      <c r="I2535" s="482"/>
      <c r="J2535" s="482"/>
      <c r="K2535" s="482"/>
      <c r="L2535" s="371">
        <f>SUM(L2534)</f>
        <v>54.99</v>
      </c>
    </row>
    <row r="2536" spans="1:12" ht="15" customHeight="1" x14ac:dyDescent="0.25">
      <c r="A2536" s="182"/>
      <c r="B2536" s="183"/>
      <c r="C2536" s="183"/>
      <c r="D2536" s="183"/>
      <c r="E2536" s="183"/>
      <c r="F2536" s="183"/>
      <c r="G2536" s="183"/>
      <c r="H2536" s="482" t="s">
        <v>1834</v>
      </c>
      <c r="I2536" s="482"/>
      <c r="J2536" s="482"/>
      <c r="K2536" s="482"/>
      <c r="L2536" s="369">
        <f>ROUND(SUM(L2535),2)</f>
        <v>54.99</v>
      </c>
    </row>
    <row r="2537" spans="1:12" ht="36" customHeight="1" x14ac:dyDescent="0.25">
      <c r="A2537" s="182"/>
      <c r="B2537" s="183"/>
      <c r="C2537" s="183"/>
      <c r="D2537" s="183"/>
      <c r="E2537" s="183"/>
      <c r="F2537" s="183"/>
      <c r="G2537" s="183"/>
      <c r="H2537" s="340"/>
      <c r="I2537" s="340"/>
      <c r="J2537" s="340"/>
      <c r="K2537" s="340"/>
      <c r="L2537" s="381"/>
    </row>
    <row r="2538" spans="1:12" ht="26.1" customHeight="1" thickBot="1" x14ac:dyDescent="0.3">
      <c r="A2538" s="540" t="s">
        <v>25</v>
      </c>
      <c r="B2538" s="541"/>
      <c r="C2538" s="541"/>
      <c r="D2538" s="541"/>
      <c r="E2538" s="541"/>
      <c r="F2538" s="541"/>
      <c r="G2538" s="541"/>
      <c r="H2538" s="541"/>
      <c r="I2538" s="541"/>
      <c r="J2538" s="541"/>
      <c r="K2538" s="541"/>
      <c r="L2538" s="542"/>
    </row>
  </sheetData>
  <mergeCells count="6047">
    <mergeCell ref="J2:L2"/>
    <mergeCell ref="J3:L3"/>
    <mergeCell ref="J4:L4"/>
    <mergeCell ref="B2:I2"/>
    <mergeCell ref="B3:I3"/>
    <mergeCell ref="B4:I4"/>
    <mergeCell ref="A1:L1"/>
    <mergeCell ref="A2:A5"/>
    <mergeCell ref="B5:L5"/>
    <mergeCell ref="A2531:L2531"/>
    <mergeCell ref="A2532:F2532"/>
    <mergeCell ref="H2532:I2532"/>
    <mergeCell ref="J2532:K2532"/>
    <mergeCell ref="H2536:K2536"/>
    <mergeCell ref="A2538:L2538"/>
    <mergeCell ref="B2533:F2533"/>
    <mergeCell ref="H2533:I2533"/>
    <mergeCell ref="J2533:K2533"/>
    <mergeCell ref="H2534:K2534"/>
    <mergeCell ref="H2535:K2535"/>
    <mergeCell ref="A2521:C2522"/>
    <mergeCell ref="D2521:E2522"/>
    <mergeCell ref="F2521:G2521"/>
    <mergeCell ref="H2521:K2521"/>
    <mergeCell ref="L2521:L2522"/>
    <mergeCell ref="H2522:I2522"/>
    <mergeCell ref="J2522:K2522"/>
    <mergeCell ref="B2523:C2523"/>
    <mergeCell ref="D2523:E2523"/>
    <mergeCell ref="H2523:I2523"/>
    <mergeCell ref="J2523:K2523"/>
    <mergeCell ref="H2525:K2525"/>
    <mergeCell ref="H2526:K2526"/>
    <mergeCell ref="H2527:K2527"/>
    <mergeCell ref="H2528:K2528"/>
    <mergeCell ref="H2529:K2529"/>
    <mergeCell ref="H2530:L2530"/>
    <mergeCell ref="B2501:C2501"/>
    <mergeCell ref="D2501:E2501"/>
    <mergeCell ref="H2501:I2501"/>
    <mergeCell ref="J2501:K2501"/>
    <mergeCell ref="H2502:K2502"/>
    <mergeCell ref="H2524:K2524"/>
    <mergeCell ref="H2503:K2503"/>
    <mergeCell ref="H2504:K2504"/>
    <mergeCell ref="H2505:K2505"/>
    <mergeCell ref="H2506:K2506"/>
    <mergeCell ref="H2507:K2507"/>
    <mergeCell ref="H2508:L2508"/>
    <mergeCell ref="A2509:L2509"/>
    <mergeCell ref="A2510:C2511"/>
    <mergeCell ref="D2510:E2511"/>
    <mergeCell ref="F2510:G2510"/>
    <mergeCell ref="H2510:K2510"/>
    <mergeCell ref="L2510:L2511"/>
    <mergeCell ref="H2511:I2511"/>
    <mergeCell ref="J2511:K2511"/>
    <mergeCell ref="B2512:C2512"/>
    <mergeCell ref="D2512:E2512"/>
    <mergeCell ref="H2512:I2512"/>
    <mergeCell ref="J2512:K2512"/>
    <mergeCell ref="H2513:K2513"/>
    <mergeCell ref="H2514:K2514"/>
    <mergeCell ref="H2515:K2515"/>
    <mergeCell ref="H2516:K2516"/>
    <mergeCell ref="H2517:K2517"/>
    <mergeCell ref="H2518:K2518"/>
    <mergeCell ref="H2519:L2519"/>
    <mergeCell ref="A2520:L2520"/>
    <mergeCell ref="B2491:F2491"/>
    <mergeCell ref="H2491:I2491"/>
    <mergeCell ref="J2491:K2491"/>
    <mergeCell ref="B2492:F2492"/>
    <mergeCell ref="H2492:I2492"/>
    <mergeCell ref="J2492:K2492"/>
    <mergeCell ref="B2493:F2493"/>
    <mergeCell ref="H2493:I2493"/>
    <mergeCell ref="J2493:K2493"/>
    <mergeCell ref="H2494:K2494"/>
    <mergeCell ref="H2495:K2495"/>
    <mergeCell ref="H2496:K2496"/>
    <mergeCell ref="H2497:L2497"/>
    <mergeCell ref="A2498:L2498"/>
    <mergeCell ref="A2499:C2500"/>
    <mergeCell ref="D2499:E2500"/>
    <mergeCell ref="F2499:G2499"/>
    <mergeCell ref="H2499:K2499"/>
    <mergeCell ref="L2499:L2500"/>
    <mergeCell ref="H2500:I2500"/>
    <mergeCell ref="J2500:K2500"/>
    <mergeCell ref="H2480:K2480"/>
    <mergeCell ref="H2481:L2481"/>
    <mergeCell ref="A2482:L2482"/>
    <mergeCell ref="A2483:F2483"/>
    <mergeCell ref="H2483:I2483"/>
    <mergeCell ref="J2483:K2483"/>
    <mergeCell ref="B2484:F2484"/>
    <mergeCell ref="H2484:I2484"/>
    <mergeCell ref="J2484:K2484"/>
    <mergeCell ref="H2485:K2485"/>
    <mergeCell ref="H2486:K2486"/>
    <mergeCell ref="H2487:K2487"/>
    <mergeCell ref="H2488:K2488"/>
    <mergeCell ref="A2489:F2489"/>
    <mergeCell ref="H2489:I2489"/>
    <mergeCell ref="J2489:K2489"/>
    <mergeCell ref="B2490:F2490"/>
    <mergeCell ref="H2490:I2490"/>
    <mergeCell ref="J2490:K2490"/>
    <mergeCell ref="B2469:F2469"/>
    <mergeCell ref="H2469:I2469"/>
    <mergeCell ref="J2469:K2469"/>
    <mergeCell ref="B2470:F2470"/>
    <mergeCell ref="H2470:I2470"/>
    <mergeCell ref="J2470:K2470"/>
    <mergeCell ref="H2471:K2471"/>
    <mergeCell ref="H2472:K2472"/>
    <mergeCell ref="H2473:K2473"/>
    <mergeCell ref="B2476:F2476"/>
    <mergeCell ref="H2476:I2476"/>
    <mergeCell ref="J2476:K2476"/>
    <mergeCell ref="B2477:F2477"/>
    <mergeCell ref="H2477:I2477"/>
    <mergeCell ref="J2477:K2477"/>
    <mergeCell ref="H2478:K2478"/>
    <mergeCell ref="H2479:K2479"/>
    <mergeCell ref="H2451:L2451"/>
    <mergeCell ref="H2474:K2474"/>
    <mergeCell ref="A2475:F2475"/>
    <mergeCell ref="H2475:I2475"/>
    <mergeCell ref="J2475:K2475"/>
    <mergeCell ref="B2454:F2454"/>
    <mergeCell ref="H2454:I2454"/>
    <mergeCell ref="J2454:K2454"/>
    <mergeCell ref="B2455:F2455"/>
    <mergeCell ref="H2455:I2455"/>
    <mergeCell ref="J2455:K2455"/>
    <mergeCell ref="H2456:K2456"/>
    <mergeCell ref="H2457:K2457"/>
    <mergeCell ref="H2458:K2458"/>
    <mergeCell ref="H2459:K2459"/>
    <mergeCell ref="A2460:F2460"/>
    <mergeCell ref="H2460:I2460"/>
    <mergeCell ref="J2460:K2460"/>
    <mergeCell ref="B2461:F2461"/>
    <mergeCell ref="H2461:I2461"/>
    <mergeCell ref="J2461:K2461"/>
    <mergeCell ref="B2462:F2462"/>
    <mergeCell ref="H2462:I2462"/>
    <mergeCell ref="J2462:K2462"/>
    <mergeCell ref="H2463:K2463"/>
    <mergeCell ref="H2464:K2464"/>
    <mergeCell ref="H2465:K2465"/>
    <mergeCell ref="H2466:L2466"/>
    <mergeCell ref="A2467:L2467"/>
    <mergeCell ref="A2468:F2468"/>
    <mergeCell ref="H2468:I2468"/>
    <mergeCell ref="J2468:K2468"/>
    <mergeCell ref="H2438:K2438"/>
    <mergeCell ref="H2439:K2439"/>
    <mergeCell ref="H2440:K2440"/>
    <mergeCell ref="H2441:K2441"/>
    <mergeCell ref="H2442:K2442"/>
    <mergeCell ref="H2443:K2443"/>
    <mergeCell ref="H2444:L2444"/>
    <mergeCell ref="A2445:L2445"/>
    <mergeCell ref="A2446:F2446"/>
    <mergeCell ref="H2446:I2446"/>
    <mergeCell ref="J2446:K2446"/>
    <mergeCell ref="B2447:F2447"/>
    <mergeCell ref="H2447:I2447"/>
    <mergeCell ref="J2447:K2447"/>
    <mergeCell ref="H2448:K2448"/>
    <mergeCell ref="H2449:K2449"/>
    <mergeCell ref="H2450:K2450"/>
    <mergeCell ref="D2424:E2425"/>
    <mergeCell ref="F2424:G2424"/>
    <mergeCell ref="H2424:K2424"/>
    <mergeCell ref="L2424:L2425"/>
    <mergeCell ref="H2425:I2425"/>
    <mergeCell ref="J2425:K2425"/>
    <mergeCell ref="B2426:C2426"/>
    <mergeCell ref="D2426:E2426"/>
    <mergeCell ref="H2426:I2426"/>
    <mergeCell ref="J2426:K2426"/>
    <mergeCell ref="A2452:L2452"/>
    <mergeCell ref="A2453:F2453"/>
    <mergeCell ref="H2453:I2453"/>
    <mergeCell ref="J2453:K2453"/>
    <mergeCell ref="H2428:K2428"/>
    <mergeCell ref="H2429:K2429"/>
    <mergeCell ref="H2430:K2430"/>
    <mergeCell ref="H2431:K2431"/>
    <mergeCell ref="H2432:K2432"/>
    <mergeCell ref="H2433:L2433"/>
    <mergeCell ref="A2434:L2434"/>
    <mergeCell ref="A2435:C2436"/>
    <mergeCell ref="D2435:E2436"/>
    <mergeCell ref="F2435:G2435"/>
    <mergeCell ref="H2435:K2435"/>
    <mergeCell ref="L2435:L2436"/>
    <mergeCell ref="H2436:I2436"/>
    <mergeCell ref="J2436:K2436"/>
    <mergeCell ref="B2437:C2437"/>
    <mergeCell ref="D2437:E2437"/>
    <mergeCell ref="H2437:I2437"/>
    <mergeCell ref="J2437:K2437"/>
    <mergeCell ref="B2406:F2406"/>
    <mergeCell ref="H2406:I2406"/>
    <mergeCell ref="J2406:K2406"/>
    <mergeCell ref="B2407:F2407"/>
    <mergeCell ref="H2407:I2407"/>
    <mergeCell ref="J2407:K2407"/>
    <mergeCell ref="H2427:K2427"/>
    <mergeCell ref="H2408:K2408"/>
    <mergeCell ref="H2409:K2409"/>
    <mergeCell ref="H2410:K2410"/>
    <mergeCell ref="H2411:L2411"/>
    <mergeCell ref="A2412:L2412"/>
    <mergeCell ref="A2413:C2414"/>
    <mergeCell ref="D2413:E2414"/>
    <mergeCell ref="F2413:G2413"/>
    <mergeCell ref="H2413:K2413"/>
    <mergeCell ref="L2413:L2414"/>
    <mergeCell ref="H2414:I2414"/>
    <mergeCell ref="J2414:K2414"/>
    <mergeCell ref="B2415:C2415"/>
    <mergeCell ref="D2415:E2415"/>
    <mergeCell ref="H2415:I2415"/>
    <mergeCell ref="J2415:K2415"/>
    <mergeCell ref="H2416:K2416"/>
    <mergeCell ref="H2417:K2417"/>
    <mergeCell ref="H2418:K2418"/>
    <mergeCell ref="H2419:K2419"/>
    <mergeCell ref="H2420:K2420"/>
    <mergeCell ref="H2421:K2421"/>
    <mergeCell ref="H2422:L2422"/>
    <mergeCell ref="A2423:L2423"/>
    <mergeCell ref="A2424:C2425"/>
    <mergeCell ref="A2397:F2397"/>
    <mergeCell ref="H2397:I2397"/>
    <mergeCell ref="J2397:K2397"/>
    <mergeCell ref="B2398:F2398"/>
    <mergeCell ref="H2398:I2398"/>
    <mergeCell ref="J2398:K2398"/>
    <mergeCell ref="H2399:K2399"/>
    <mergeCell ref="H2400:K2400"/>
    <mergeCell ref="H2401:K2401"/>
    <mergeCell ref="H2402:K2402"/>
    <mergeCell ref="A2403:F2403"/>
    <mergeCell ref="H2403:I2403"/>
    <mergeCell ref="J2403:K2403"/>
    <mergeCell ref="B2404:F2404"/>
    <mergeCell ref="H2404:I2404"/>
    <mergeCell ref="J2404:K2404"/>
    <mergeCell ref="B2405:F2405"/>
    <mergeCell ref="H2405:I2405"/>
    <mergeCell ref="J2405:K2405"/>
    <mergeCell ref="B2384:F2384"/>
    <mergeCell ref="H2384:I2384"/>
    <mergeCell ref="J2384:K2384"/>
    <mergeCell ref="H2385:K2385"/>
    <mergeCell ref="H2386:K2386"/>
    <mergeCell ref="H2387:K2387"/>
    <mergeCell ref="B2390:F2390"/>
    <mergeCell ref="H2390:I2390"/>
    <mergeCell ref="J2390:K2390"/>
    <mergeCell ref="B2391:F2391"/>
    <mergeCell ref="H2391:I2391"/>
    <mergeCell ref="J2391:K2391"/>
    <mergeCell ref="H2392:K2392"/>
    <mergeCell ref="H2393:K2393"/>
    <mergeCell ref="H2394:K2394"/>
    <mergeCell ref="H2395:L2395"/>
    <mergeCell ref="A2396:L2396"/>
    <mergeCell ref="H2372:K2372"/>
    <mergeCell ref="H2373:K2373"/>
    <mergeCell ref="H2374:K2374"/>
    <mergeCell ref="H2375:K2375"/>
    <mergeCell ref="A2376:F2376"/>
    <mergeCell ref="H2376:I2376"/>
    <mergeCell ref="J2376:K2376"/>
    <mergeCell ref="B2377:F2377"/>
    <mergeCell ref="H2377:I2377"/>
    <mergeCell ref="J2377:K2377"/>
    <mergeCell ref="H2378:K2378"/>
    <mergeCell ref="H2379:K2379"/>
    <mergeCell ref="H2380:K2380"/>
    <mergeCell ref="H2381:L2381"/>
    <mergeCell ref="A2382:L2382"/>
    <mergeCell ref="A2383:F2383"/>
    <mergeCell ref="H2383:I2383"/>
    <mergeCell ref="J2383:K2383"/>
    <mergeCell ref="H2352:K2352"/>
    <mergeCell ref="H2353:K2353"/>
    <mergeCell ref="H2354:K2354"/>
    <mergeCell ref="H2355:L2355"/>
    <mergeCell ref="A2356:L2356"/>
    <mergeCell ref="A2357:F2357"/>
    <mergeCell ref="H2357:I2357"/>
    <mergeCell ref="J2357:K2357"/>
    <mergeCell ref="B2358:F2358"/>
    <mergeCell ref="H2358:I2358"/>
    <mergeCell ref="J2358:K2358"/>
    <mergeCell ref="H2359:K2359"/>
    <mergeCell ref="H2360:K2360"/>
    <mergeCell ref="H2361:K2361"/>
    <mergeCell ref="H2388:K2388"/>
    <mergeCell ref="A2389:F2389"/>
    <mergeCell ref="H2389:I2389"/>
    <mergeCell ref="J2389:K2389"/>
    <mergeCell ref="B2364:F2364"/>
    <mergeCell ref="H2364:I2364"/>
    <mergeCell ref="J2364:K2364"/>
    <mergeCell ref="H2365:K2365"/>
    <mergeCell ref="H2366:K2366"/>
    <mergeCell ref="H2367:K2367"/>
    <mergeCell ref="H2368:L2368"/>
    <mergeCell ref="A2369:L2369"/>
    <mergeCell ref="A2370:F2370"/>
    <mergeCell ref="H2370:I2370"/>
    <mergeCell ref="J2370:K2370"/>
    <mergeCell ref="B2371:F2371"/>
    <mergeCell ref="H2371:I2371"/>
    <mergeCell ref="J2371:K2371"/>
    <mergeCell ref="A2334:F2334"/>
    <mergeCell ref="H2334:I2334"/>
    <mergeCell ref="J2334:K2334"/>
    <mergeCell ref="B2335:F2335"/>
    <mergeCell ref="H2335:I2335"/>
    <mergeCell ref="J2335:K2335"/>
    <mergeCell ref="H2362:K2362"/>
    <mergeCell ref="A2363:F2363"/>
    <mergeCell ref="H2363:I2363"/>
    <mergeCell ref="J2363:K2363"/>
    <mergeCell ref="H2338:K2338"/>
    <mergeCell ref="H2339:K2339"/>
    <mergeCell ref="H2340:K2340"/>
    <mergeCell ref="H2341:K2341"/>
    <mergeCell ref="H2342:L2342"/>
    <mergeCell ref="A2343:L2343"/>
    <mergeCell ref="A2344:F2344"/>
    <mergeCell ref="H2344:I2344"/>
    <mergeCell ref="J2344:K2344"/>
    <mergeCell ref="B2345:F2345"/>
    <mergeCell ref="H2345:I2345"/>
    <mergeCell ref="J2345:K2345"/>
    <mergeCell ref="H2346:K2346"/>
    <mergeCell ref="H2347:K2347"/>
    <mergeCell ref="H2348:K2348"/>
    <mergeCell ref="H2349:K2349"/>
    <mergeCell ref="A2350:F2350"/>
    <mergeCell ref="H2350:I2350"/>
    <mergeCell ref="J2350:K2350"/>
    <mergeCell ref="B2351:F2351"/>
    <mergeCell ref="H2351:I2351"/>
    <mergeCell ref="J2351:K2351"/>
    <mergeCell ref="H2321:K2321"/>
    <mergeCell ref="H2322:K2322"/>
    <mergeCell ref="H2323:K2323"/>
    <mergeCell ref="H2324:K2324"/>
    <mergeCell ref="H2325:L2325"/>
    <mergeCell ref="A2326:L2326"/>
    <mergeCell ref="A2327:F2327"/>
    <mergeCell ref="H2327:I2327"/>
    <mergeCell ref="J2327:K2327"/>
    <mergeCell ref="B2328:F2328"/>
    <mergeCell ref="H2328:I2328"/>
    <mergeCell ref="J2328:K2328"/>
    <mergeCell ref="H2329:K2329"/>
    <mergeCell ref="H2330:K2330"/>
    <mergeCell ref="H2331:K2331"/>
    <mergeCell ref="H2332:L2332"/>
    <mergeCell ref="A2333:L2333"/>
    <mergeCell ref="A2305:C2306"/>
    <mergeCell ref="D2305:E2306"/>
    <mergeCell ref="F2305:G2305"/>
    <mergeCell ref="H2305:K2305"/>
    <mergeCell ref="L2305:L2306"/>
    <mergeCell ref="H2306:I2306"/>
    <mergeCell ref="J2306:K2306"/>
    <mergeCell ref="B2307:C2307"/>
    <mergeCell ref="D2307:E2307"/>
    <mergeCell ref="H2307:I2307"/>
    <mergeCell ref="J2307:K2307"/>
    <mergeCell ref="H2308:K2308"/>
    <mergeCell ref="H2309:K2309"/>
    <mergeCell ref="H2310:K2310"/>
    <mergeCell ref="H2311:K2311"/>
    <mergeCell ref="H2336:K2336"/>
    <mergeCell ref="H2337:K2337"/>
    <mergeCell ref="H2314:L2314"/>
    <mergeCell ref="A2315:L2315"/>
    <mergeCell ref="A2316:C2317"/>
    <mergeCell ref="D2316:E2317"/>
    <mergeCell ref="F2316:G2316"/>
    <mergeCell ref="H2316:K2316"/>
    <mergeCell ref="L2316:L2317"/>
    <mergeCell ref="H2317:I2317"/>
    <mergeCell ref="J2317:K2317"/>
    <mergeCell ref="B2318:C2318"/>
    <mergeCell ref="D2318:E2318"/>
    <mergeCell ref="H2318:I2318"/>
    <mergeCell ref="J2318:K2318"/>
    <mergeCell ref="H2319:K2319"/>
    <mergeCell ref="H2320:K2320"/>
    <mergeCell ref="B2287:F2287"/>
    <mergeCell ref="H2287:I2287"/>
    <mergeCell ref="J2287:K2287"/>
    <mergeCell ref="B2288:F2288"/>
    <mergeCell ref="H2288:I2288"/>
    <mergeCell ref="J2288:K2288"/>
    <mergeCell ref="H2289:K2289"/>
    <mergeCell ref="H2290:K2290"/>
    <mergeCell ref="H2291:K2291"/>
    <mergeCell ref="H2292:L2292"/>
    <mergeCell ref="A2293:L2293"/>
    <mergeCell ref="H2312:K2312"/>
    <mergeCell ref="H2313:K2313"/>
    <mergeCell ref="A2294:C2295"/>
    <mergeCell ref="D2294:E2295"/>
    <mergeCell ref="F2294:G2294"/>
    <mergeCell ref="H2294:K2294"/>
    <mergeCell ref="L2294:L2295"/>
    <mergeCell ref="H2295:I2295"/>
    <mergeCell ref="J2295:K2295"/>
    <mergeCell ref="B2296:C2296"/>
    <mergeCell ref="D2296:E2296"/>
    <mergeCell ref="H2296:I2296"/>
    <mergeCell ref="J2296:K2296"/>
    <mergeCell ref="H2297:K2297"/>
    <mergeCell ref="H2298:K2298"/>
    <mergeCell ref="H2299:K2299"/>
    <mergeCell ref="H2300:K2300"/>
    <mergeCell ref="H2301:K2301"/>
    <mergeCell ref="H2302:K2302"/>
    <mergeCell ref="H2303:L2303"/>
    <mergeCell ref="A2304:L2304"/>
    <mergeCell ref="B2278:F2278"/>
    <mergeCell ref="H2278:I2278"/>
    <mergeCell ref="J2278:K2278"/>
    <mergeCell ref="H2279:K2279"/>
    <mergeCell ref="H2280:K2280"/>
    <mergeCell ref="H2281:K2281"/>
    <mergeCell ref="H2282:L2282"/>
    <mergeCell ref="A2283:L2283"/>
    <mergeCell ref="A2284:F2284"/>
    <mergeCell ref="H2284:I2284"/>
    <mergeCell ref="J2284:K2284"/>
    <mergeCell ref="B2285:F2285"/>
    <mergeCell ref="H2285:I2285"/>
    <mergeCell ref="J2285:K2285"/>
    <mergeCell ref="B2286:F2286"/>
    <mergeCell ref="H2286:I2286"/>
    <mergeCell ref="J2286:K2286"/>
    <mergeCell ref="H2268:L2268"/>
    <mergeCell ref="A2269:L2269"/>
    <mergeCell ref="A2270:F2270"/>
    <mergeCell ref="H2270:I2270"/>
    <mergeCell ref="J2270:K2270"/>
    <mergeCell ref="B2271:F2271"/>
    <mergeCell ref="H2271:I2271"/>
    <mergeCell ref="J2271:K2271"/>
    <mergeCell ref="B2272:F2272"/>
    <mergeCell ref="H2272:I2272"/>
    <mergeCell ref="J2272:K2272"/>
    <mergeCell ref="H2273:K2273"/>
    <mergeCell ref="H2274:K2274"/>
    <mergeCell ref="H2275:K2275"/>
    <mergeCell ref="H2276:K2276"/>
    <mergeCell ref="A2277:F2277"/>
    <mergeCell ref="H2277:I2277"/>
    <mergeCell ref="J2277:K2277"/>
    <mergeCell ref="B2257:F2257"/>
    <mergeCell ref="H2257:I2257"/>
    <mergeCell ref="J2257:K2257"/>
    <mergeCell ref="H2258:K2258"/>
    <mergeCell ref="H2259:K2259"/>
    <mergeCell ref="H2260:K2260"/>
    <mergeCell ref="H2261:L2261"/>
    <mergeCell ref="A2262:L2262"/>
    <mergeCell ref="A2263:F2263"/>
    <mergeCell ref="H2263:I2263"/>
    <mergeCell ref="J2263:K2263"/>
    <mergeCell ref="B2264:F2264"/>
    <mergeCell ref="H2264:I2264"/>
    <mergeCell ref="J2264:K2264"/>
    <mergeCell ref="H2265:K2265"/>
    <mergeCell ref="H2266:K2266"/>
    <mergeCell ref="H2267:K2267"/>
    <mergeCell ref="H2247:L2247"/>
    <mergeCell ref="A2248:L2248"/>
    <mergeCell ref="A2249:C2250"/>
    <mergeCell ref="D2249:E2250"/>
    <mergeCell ref="F2249:G2249"/>
    <mergeCell ref="H2249:K2249"/>
    <mergeCell ref="L2249:L2250"/>
    <mergeCell ref="H2250:I2250"/>
    <mergeCell ref="J2250:K2250"/>
    <mergeCell ref="B2251:C2251"/>
    <mergeCell ref="D2251:E2251"/>
    <mergeCell ref="H2251:I2251"/>
    <mergeCell ref="J2251:K2251"/>
    <mergeCell ref="H2253:K2253"/>
    <mergeCell ref="H2254:K2254"/>
    <mergeCell ref="H2255:K2255"/>
    <mergeCell ref="A2256:F2256"/>
    <mergeCell ref="H2256:I2256"/>
    <mergeCell ref="J2256:K2256"/>
    <mergeCell ref="D2226:E2226"/>
    <mergeCell ref="H2226:I2226"/>
    <mergeCell ref="J2226:K2226"/>
    <mergeCell ref="H2227:K2227"/>
    <mergeCell ref="H2228:K2228"/>
    <mergeCell ref="H2229:K2229"/>
    <mergeCell ref="H2252:K2252"/>
    <mergeCell ref="B2232:F2232"/>
    <mergeCell ref="H2232:I2232"/>
    <mergeCell ref="J2232:K2232"/>
    <mergeCell ref="H2233:K2233"/>
    <mergeCell ref="H2234:K2234"/>
    <mergeCell ref="H2235:K2235"/>
    <mergeCell ref="H2236:L2236"/>
    <mergeCell ref="A2237:L2237"/>
    <mergeCell ref="A2238:C2239"/>
    <mergeCell ref="D2238:E2239"/>
    <mergeCell ref="F2238:G2238"/>
    <mergeCell ref="H2238:K2238"/>
    <mergeCell ref="L2238:L2239"/>
    <mergeCell ref="H2239:I2239"/>
    <mergeCell ref="J2239:K2239"/>
    <mergeCell ref="B2240:C2240"/>
    <mergeCell ref="D2240:E2240"/>
    <mergeCell ref="H2240:I2240"/>
    <mergeCell ref="J2240:K2240"/>
    <mergeCell ref="H2241:K2241"/>
    <mergeCell ref="H2242:K2242"/>
    <mergeCell ref="H2243:K2243"/>
    <mergeCell ref="H2244:K2244"/>
    <mergeCell ref="H2245:K2245"/>
    <mergeCell ref="H2246:K2246"/>
    <mergeCell ref="H2230:K2230"/>
    <mergeCell ref="A2231:F2231"/>
    <mergeCell ref="H2231:I2231"/>
    <mergeCell ref="J2231:K2231"/>
    <mergeCell ref="A2214:F2214"/>
    <mergeCell ref="H2214:I2214"/>
    <mergeCell ref="J2214:K2214"/>
    <mergeCell ref="B2215:F2215"/>
    <mergeCell ref="H2215:I2215"/>
    <mergeCell ref="J2215:K2215"/>
    <mergeCell ref="B2216:F2216"/>
    <mergeCell ref="H2216:I2216"/>
    <mergeCell ref="J2216:K2216"/>
    <mergeCell ref="B2217:F2217"/>
    <mergeCell ref="H2217:I2217"/>
    <mergeCell ref="J2217:K2217"/>
    <mergeCell ref="B2218:F2218"/>
    <mergeCell ref="H2218:I2218"/>
    <mergeCell ref="J2218:K2218"/>
    <mergeCell ref="H2219:K2219"/>
    <mergeCell ref="H2220:K2220"/>
    <mergeCell ref="H2221:K2221"/>
    <mergeCell ref="H2222:L2222"/>
    <mergeCell ref="A2223:L2223"/>
    <mergeCell ref="A2224:C2225"/>
    <mergeCell ref="D2224:E2225"/>
    <mergeCell ref="F2224:G2224"/>
    <mergeCell ref="H2224:K2224"/>
    <mergeCell ref="L2224:L2225"/>
    <mergeCell ref="H2225:I2225"/>
    <mergeCell ref="J2225:K2225"/>
    <mergeCell ref="B2226:C2226"/>
    <mergeCell ref="H2212:L2212"/>
    <mergeCell ref="A2213:L2213"/>
    <mergeCell ref="H2188:K2188"/>
    <mergeCell ref="H2189:K2189"/>
    <mergeCell ref="H2190:K2190"/>
    <mergeCell ref="H2191:K2191"/>
    <mergeCell ref="H2192:K2192"/>
    <mergeCell ref="H2193:L2193"/>
    <mergeCell ref="A2194:L2194"/>
    <mergeCell ref="A2195:C2196"/>
    <mergeCell ref="D2195:E2196"/>
    <mergeCell ref="F2195:G2195"/>
    <mergeCell ref="H2195:K2195"/>
    <mergeCell ref="L2195:L2196"/>
    <mergeCell ref="H2196:I2196"/>
    <mergeCell ref="J2196:K2196"/>
    <mergeCell ref="B2197:C2197"/>
    <mergeCell ref="D2197:E2197"/>
    <mergeCell ref="H2197:I2197"/>
    <mergeCell ref="J2197:K2197"/>
    <mergeCell ref="H2198:K2198"/>
    <mergeCell ref="H2199:K2199"/>
    <mergeCell ref="H2200:K2200"/>
    <mergeCell ref="H2201:K2201"/>
    <mergeCell ref="H2202:K2202"/>
    <mergeCell ref="H2203:K2203"/>
    <mergeCell ref="H2204:L2204"/>
    <mergeCell ref="A2205:L2205"/>
    <mergeCell ref="A2206:F2206"/>
    <mergeCell ref="H2206:I2206"/>
    <mergeCell ref="J2206:K2206"/>
    <mergeCell ref="B2207:F2207"/>
    <mergeCell ref="H2180:K2180"/>
    <mergeCell ref="H2181:K2181"/>
    <mergeCell ref="H2182:L2182"/>
    <mergeCell ref="A2183:L2183"/>
    <mergeCell ref="A2184:C2185"/>
    <mergeCell ref="D2184:E2185"/>
    <mergeCell ref="F2184:G2184"/>
    <mergeCell ref="H2184:K2184"/>
    <mergeCell ref="L2184:L2185"/>
    <mergeCell ref="H2185:I2185"/>
    <mergeCell ref="J2185:K2185"/>
    <mergeCell ref="B2186:C2186"/>
    <mergeCell ref="D2186:E2186"/>
    <mergeCell ref="H2186:I2186"/>
    <mergeCell ref="J2186:K2186"/>
    <mergeCell ref="H2210:K2210"/>
    <mergeCell ref="H2211:K2211"/>
    <mergeCell ref="H2207:I2207"/>
    <mergeCell ref="J2207:K2207"/>
    <mergeCell ref="B2208:F2208"/>
    <mergeCell ref="H2208:I2208"/>
    <mergeCell ref="J2208:K2208"/>
    <mergeCell ref="H2209:K2209"/>
    <mergeCell ref="H2161:K2161"/>
    <mergeCell ref="H2162:K2162"/>
    <mergeCell ref="H2163:K2163"/>
    <mergeCell ref="H2164:L2164"/>
    <mergeCell ref="A2165:L2165"/>
    <mergeCell ref="H2187:K2187"/>
    <mergeCell ref="A2166:C2167"/>
    <mergeCell ref="D2166:E2167"/>
    <mergeCell ref="F2166:G2166"/>
    <mergeCell ref="H2166:K2166"/>
    <mergeCell ref="L2166:L2167"/>
    <mergeCell ref="H2167:I2167"/>
    <mergeCell ref="J2167:K2167"/>
    <mergeCell ref="B2168:C2168"/>
    <mergeCell ref="D2168:E2168"/>
    <mergeCell ref="H2168:I2168"/>
    <mergeCell ref="J2168:K2168"/>
    <mergeCell ref="H2169:K2169"/>
    <mergeCell ref="H2170:K2170"/>
    <mergeCell ref="H2171:K2171"/>
    <mergeCell ref="H2172:K2172"/>
    <mergeCell ref="H2173:K2173"/>
    <mergeCell ref="H2174:K2174"/>
    <mergeCell ref="H2175:L2175"/>
    <mergeCell ref="A2176:L2176"/>
    <mergeCell ref="A2177:F2177"/>
    <mergeCell ref="H2177:I2177"/>
    <mergeCell ref="J2177:K2177"/>
    <mergeCell ref="B2178:F2178"/>
    <mergeCell ref="H2178:I2178"/>
    <mergeCell ref="J2178:K2178"/>
    <mergeCell ref="H2179:K2179"/>
    <mergeCell ref="H2152:K2152"/>
    <mergeCell ref="H2153:K2153"/>
    <mergeCell ref="H2154:K2154"/>
    <mergeCell ref="H2155:K2155"/>
    <mergeCell ref="A2156:F2156"/>
    <mergeCell ref="H2156:I2156"/>
    <mergeCell ref="J2156:K2156"/>
    <mergeCell ref="B2157:F2157"/>
    <mergeCell ref="H2157:I2157"/>
    <mergeCell ref="J2157:K2157"/>
    <mergeCell ref="B2158:F2158"/>
    <mergeCell ref="H2158:I2158"/>
    <mergeCell ref="J2158:K2158"/>
    <mergeCell ref="B2159:F2159"/>
    <mergeCell ref="H2159:I2159"/>
    <mergeCell ref="J2159:K2159"/>
    <mergeCell ref="B2160:F2160"/>
    <mergeCell ref="H2160:I2160"/>
    <mergeCell ref="J2160:K2160"/>
    <mergeCell ref="H2140:K2140"/>
    <mergeCell ref="H2141:K2141"/>
    <mergeCell ref="A2142:F2142"/>
    <mergeCell ref="H2142:I2142"/>
    <mergeCell ref="J2142:K2142"/>
    <mergeCell ref="B2143:F2143"/>
    <mergeCell ref="H2143:I2143"/>
    <mergeCell ref="J2143:K2143"/>
    <mergeCell ref="H2145:K2145"/>
    <mergeCell ref="H2146:K2146"/>
    <mergeCell ref="H2147:K2147"/>
    <mergeCell ref="H2148:L2148"/>
    <mergeCell ref="A2149:L2149"/>
    <mergeCell ref="A2150:F2150"/>
    <mergeCell ref="H2150:I2150"/>
    <mergeCell ref="J2150:K2150"/>
    <mergeCell ref="B2151:F2151"/>
    <mergeCell ref="H2151:I2151"/>
    <mergeCell ref="J2151:K2151"/>
    <mergeCell ref="J2129:K2129"/>
    <mergeCell ref="B2130:F2130"/>
    <mergeCell ref="H2130:I2130"/>
    <mergeCell ref="J2130:K2130"/>
    <mergeCell ref="H2131:K2131"/>
    <mergeCell ref="H2132:K2132"/>
    <mergeCell ref="H2133:K2133"/>
    <mergeCell ref="H2134:L2134"/>
    <mergeCell ref="A2135:L2135"/>
    <mergeCell ref="A2136:F2136"/>
    <mergeCell ref="H2136:I2136"/>
    <mergeCell ref="J2136:K2136"/>
    <mergeCell ref="B2137:F2137"/>
    <mergeCell ref="H2137:I2137"/>
    <mergeCell ref="J2137:K2137"/>
    <mergeCell ref="H2138:K2138"/>
    <mergeCell ref="H2139:K2139"/>
    <mergeCell ref="H2110:K2110"/>
    <mergeCell ref="H2111:K2111"/>
    <mergeCell ref="H2112:K2112"/>
    <mergeCell ref="H2113:K2113"/>
    <mergeCell ref="H2114:K2114"/>
    <mergeCell ref="H2115:K2115"/>
    <mergeCell ref="H2116:L2116"/>
    <mergeCell ref="A2117:L2117"/>
    <mergeCell ref="A2118:C2119"/>
    <mergeCell ref="D2118:E2119"/>
    <mergeCell ref="F2118:G2118"/>
    <mergeCell ref="H2118:K2118"/>
    <mergeCell ref="L2118:L2119"/>
    <mergeCell ref="H2119:I2119"/>
    <mergeCell ref="J2119:K2119"/>
    <mergeCell ref="B2144:F2144"/>
    <mergeCell ref="H2144:I2144"/>
    <mergeCell ref="J2144:K2144"/>
    <mergeCell ref="B2120:C2120"/>
    <mergeCell ref="D2120:E2120"/>
    <mergeCell ref="H2120:I2120"/>
    <mergeCell ref="J2120:K2120"/>
    <mergeCell ref="H2121:K2121"/>
    <mergeCell ref="H2122:K2122"/>
    <mergeCell ref="H2123:K2123"/>
    <mergeCell ref="H2124:K2124"/>
    <mergeCell ref="H2125:K2125"/>
    <mergeCell ref="H2126:K2126"/>
    <mergeCell ref="H2127:L2127"/>
    <mergeCell ref="A2128:L2128"/>
    <mergeCell ref="A2129:F2129"/>
    <mergeCell ref="H2129:I2129"/>
    <mergeCell ref="H2101:K2101"/>
    <mergeCell ref="H2102:K2102"/>
    <mergeCell ref="H2103:K2103"/>
    <mergeCell ref="H2104:K2104"/>
    <mergeCell ref="H2105:L2105"/>
    <mergeCell ref="A2106:L2106"/>
    <mergeCell ref="A2107:C2108"/>
    <mergeCell ref="D2107:E2108"/>
    <mergeCell ref="F2107:G2107"/>
    <mergeCell ref="H2107:K2107"/>
    <mergeCell ref="L2107:L2108"/>
    <mergeCell ref="H2108:I2108"/>
    <mergeCell ref="J2108:K2108"/>
    <mergeCell ref="B2109:C2109"/>
    <mergeCell ref="D2109:E2109"/>
    <mergeCell ref="H2109:I2109"/>
    <mergeCell ref="J2109:K2109"/>
    <mergeCell ref="H2092:K2092"/>
    <mergeCell ref="H2093:K2093"/>
    <mergeCell ref="H2094:L2094"/>
    <mergeCell ref="A2095:L2095"/>
    <mergeCell ref="A2096:C2097"/>
    <mergeCell ref="D2096:E2097"/>
    <mergeCell ref="F2096:G2096"/>
    <mergeCell ref="H2096:K2096"/>
    <mergeCell ref="L2096:L2097"/>
    <mergeCell ref="H2097:I2097"/>
    <mergeCell ref="J2097:K2097"/>
    <mergeCell ref="B2098:C2098"/>
    <mergeCell ref="D2098:E2098"/>
    <mergeCell ref="H2098:I2098"/>
    <mergeCell ref="J2098:K2098"/>
    <mergeCell ref="H2099:K2099"/>
    <mergeCell ref="H2100:K2100"/>
    <mergeCell ref="A2085:L2085"/>
    <mergeCell ref="A2086:F2086"/>
    <mergeCell ref="H2086:I2086"/>
    <mergeCell ref="J2086:K2086"/>
    <mergeCell ref="B2087:F2087"/>
    <mergeCell ref="H2087:I2087"/>
    <mergeCell ref="J2087:K2087"/>
    <mergeCell ref="B2088:F2088"/>
    <mergeCell ref="H2088:I2088"/>
    <mergeCell ref="J2088:K2088"/>
    <mergeCell ref="B2089:F2089"/>
    <mergeCell ref="H2089:I2089"/>
    <mergeCell ref="J2089:K2089"/>
    <mergeCell ref="B2090:F2090"/>
    <mergeCell ref="H2090:I2090"/>
    <mergeCell ref="J2090:K2090"/>
    <mergeCell ref="H2091:K2091"/>
    <mergeCell ref="H2074:K2074"/>
    <mergeCell ref="H2075:K2075"/>
    <mergeCell ref="H2076:L2076"/>
    <mergeCell ref="A2077:L2077"/>
    <mergeCell ref="A2078:F2078"/>
    <mergeCell ref="H2078:I2078"/>
    <mergeCell ref="J2078:K2078"/>
    <mergeCell ref="B2079:F2079"/>
    <mergeCell ref="H2079:I2079"/>
    <mergeCell ref="J2079:K2079"/>
    <mergeCell ref="B2080:F2080"/>
    <mergeCell ref="H2080:I2080"/>
    <mergeCell ref="J2080:K2080"/>
    <mergeCell ref="H2081:K2081"/>
    <mergeCell ref="H2082:K2082"/>
    <mergeCell ref="H2083:K2083"/>
    <mergeCell ref="H2084:L2084"/>
    <mergeCell ref="B2067:F2067"/>
    <mergeCell ref="H2067:I2067"/>
    <mergeCell ref="J2067:K2067"/>
    <mergeCell ref="B2068:F2068"/>
    <mergeCell ref="H2068:I2068"/>
    <mergeCell ref="J2068:K2068"/>
    <mergeCell ref="H2069:K2069"/>
    <mergeCell ref="A2070:F2070"/>
    <mergeCell ref="H2070:I2070"/>
    <mergeCell ref="J2070:K2070"/>
    <mergeCell ref="B2071:F2071"/>
    <mergeCell ref="H2071:I2071"/>
    <mergeCell ref="J2071:K2071"/>
    <mergeCell ref="B2072:F2072"/>
    <mergeCell ref="H2072:I2072"/>
    <mergeCell ref="J2072:K2072"/>
    <mergeCell ref="H2073:K2073"/>
    <mergeCell ref="A2058:L2058"/>
    <mergeCell ref="A2059:F2059"/>
    <mergeCell ref="H2059:I2059"/>
    <mergeCell ref="J2059:K2059"/>
    <mergeCell ref="B2060:F2060"/>
    <mergeCell ref="H2060:I2060"/>
    <mergeCell ref="J2060:K2060"/>
    <mergeCell ref="B2061:F2061"/>
    <mergeCell ref="H2061:I2061"/>
    <mergeCell ref="J2061:K2061"/>
    <mergeCell ref="H2062:K2062"/>
    <mergeCell ref="H2063:K2063"/>
    <mergeCell ref="H2064:K2064"/>
    <mergeCell ref="H2065:K2065"/>
    <mergeCell ref="A2066:F2066"/>
    <mergeCell ref="H2066:I2066"/>
    <mergeCell ref="J2066:K2066"/>
    <mergeCell ref="A2047:F2047"/>
    <mergeCell ref="H2047:I2047"/>
    <mergeCell ref="J2047:K2047"/>
    <mergeCell ref="B2050:F2050"/>
    <mergeCell ref="H2050:I2050"/>
    <mergeCell ref="J2050:K2050"/>
    <mergeCell ref="H2051:K2051"/>
    <mergeCell ref="A2052:F2052"/>
    <mergeCell ref="H2052:I2052"/>
    <mergeCell ref="J2052:K2052"/>
    <mergeCell ref="B2053:F2053"/>
    <mergeCell ref="H2053:I2053"/>
    <mergeCell ref="J2053:K2053"/>
    <mergeCell ref="H2054:K2054"/>
    <mergeCell ref="H2055:K2055"/>
    <mergeCell ref="H2056:K2056"/>
    <mergeCell ref="H2057:L2057"/>
    <mergeCell ref="D2036:F2036"/>
    <mergeCell ref="H2036:I2036"/>
    <mergeCell ref="J2036:K2036"/>
    <mergeCell ref="H2037:K2037"/>
    <mergeCell ref="H2038:K2038"/>
    <mergeCell ref="H2039:L2039"/>
    <mergeCell ref="A2040:L2040"/>
    <mergeCell ref="A2041:F2041"/>
    <mergeCell ref="H2041:I2041"/>
    <mergeCell ref="J2041:K2041"/>
    <mergeCell ref="B2042:F2042"/>
    <mergeCell ref="H2042:I2042"/>
    <mergeCell ref="J2042:K2042"/>
    <mergeCell ref="H2043:K2043"/>
    <mergeCell ref="H2044:K2044"/>
    <mergeCell ref="H2045:K2045"/>
    <mergeCell ref="H2046:K2046"/>
    <mergeCell ref="D2027:F2027"/>
    <mergeCell ref="H2027:I2027"/>
    <mergeCell ref="J2027:K2027"/>
    <mergeCell ref="B2028:C2028"/>
    <mergeCell ref="D2028:F2028"/>
    <mergeCell ref="H2028:I2028"/>
    <mergeCell ref="J2028:K2028"/>
    <mergeCell ref="B2029:C2029"/>
    <mergeCell ref="D2029:F2029"/>
    <mergeCell ref="H2029:I2029"/>
    <mergeCell ref="J2029:K2029"/>
    <mergeCell ref="B2048:F2048"/>
    <mergeCell ref="H2048:I2048"/>
    <mergeCell ref="J2048:K2048"/>
    <mergeCell ref="B2049:F2049"/>
    <mergeCell ref="H2049:I2049"/>
    <mergeCell ref="J2049:K2049"/>
    <mergeCell ref="H2031:K2031"/>
    <mergeCell ref="A2032:C2032"/>
    <mergeCell ref="D2032:F2032"/>
    <mergeCell ref="H2032:I2032"/>
    <mergeCell ref="J2032:K2032"/>
    <mergeCell ref="B2033:C2033"/>
    <mergeCell ref="D2033:F2033"/>
    <mergeCell ref="H2033:I2033"/>
    <mergeCell ref="J2033:K2033"/>
    <mergeCell ref="H2034:K2034"/>
    <mergeCell ref="A2035:C2035"/>
    <mergeCell ref="D2035:F2035"/>
    <mergeCell ref="H2035:I2035"/>
    <mergeCell ref="J2035:K2035"/>
    <mergeCell ref="B2036:C2036"/>
    <mergeCell ref="B2030:C2030"/>
    <mergeCell ref="D2030:F2030"/>
    <mergeCell ref="H2030:I2030"/>
    <mergeCell ref="J2030:K2030"/>
    <mergeCell ref="H2015:K2015"/>
    <mergeCell ref="H2016:L2016"/>
    <mergeCell ref="A2017:L2017"/>
    <mergeCell ref="A2018:C2018"/>
    <mergeCell ref="D2018:F2018"/>
    <mergeCell ref="H2018:I2018"/>
    <mergeCell ref="J2018:K2018"/>
    <mergeCell ref="B2019:C2019"/>
    <mergeCell ref="D2019:F2019"/>
    <mergeCell ref="H2019:I2019"/>
    <mergeCell ref="J2019:K2019"/>
    <mergeCell ref="H2020:K2020"/>
    <mergeCell ref="H2021:K2021"/>
    <mergeCell ref="H2022:L2022"/>
    <mergeCell ref="A2023:L2023"/>
    <mergeCell ref="A2024:C2024"/>
    <mergeCell ref="D2024:F2024"/>
    <mergeCell ref="H2024:I2024"/>
    <mergeCell ref="J2024:K2024"/>
    <mergeCell ref="B2025:C2025"/>
    <mergeCell ref="D2025:F2025"/>
    <mergeCell ref="H2025:I2025"/>
    <mergeCell ref="J2025:K2025"/>
    <mergeCell ref="B2026:C2026"/>
    <mergeCell ref="D2026:F2026"/>
    <mergeCell ref="H2026:I2026"/>
    <mergeCell ref="J2026:K2026"/>
    <mergeCell ref="B2027:C2027"/>
    <mergeCell ref="B2007:C2007"/>
    <mergeCell ref="D2007:F2007"/>
    <mergeCell ref="H2007:I2007"/>
    <mergeCell ref="J2007:K2007"/>
    <mergeCell ref="H2008:K2008"/>
    <mergeCell ref="H2009:K2009"/>
    <mergeCell ref="H2010:L2010"/>
    <mergeCell ref="A2011:L2011"/>
    <mergeCell ref="A2012:C2012"/>
    <mergeCell ref="D2012:F2012"/>
    <mergeCell ref="H2012:I2012"/>
    <mergeCell ref="J2012:K2012"/>
    <mergeCell ref="B2013:C2013"/>
    <mergeCell ref="D2013:F2013"/>
    <mergeCell ref="H2013:I2013"/>
    <mergeCell ref="J2013:K2013"/>
    <mergeCell ref="H2014:K2014"/>
    <mergeCell ref="A1999:L1999"/>
    <mergeCell ref="A2000:C2000"/>
    <mergeCell ref="D2000:F2000"/>
    <mergeCell ref="H2000:I2000"/>
    <mergeCell ref="J2000:K2000"/>
    <mergeCell ref="B2001:C2001"/>
    <mergeCell ref="D2001:F2001"/>
    <mergeCell ref="H2001:I2001"/>
    <mergeCell ref="J2001:K2001"/>
    <mergeCell ref="H2002:K2002"/>
    <mergeCell ref="H2003:K2003"/>
    <mergeCell ref="H2004:L2004"/>
    <mergeCell ref="A2005:L2005"/>
    <mergeCell ref="A2006:C2006"/>
    <mergeCell ref="D2006:F2006"/>
    <mergeCell ref="H2006:I2006"/>
    <mergeCell ref="J2006:K2006"/>
    <mergeCell ref="H1991:I1991"/>
    <mergeCell ref="J1991:K1991"/>
    <mergeCell ref="B1992:C1992"/>
    <mergeCell ref="D1992:F1992"/>
    <mergeCell ref="H1992:I1992"/>
    <mergeCell ref="J1992:K1992"/>
    <mergeCell ref="B1993:C1993"/>
    <mergeCell ref="D1993:F1993"/>
    <mergeCell ref="H1993:I1993"/>
    <mergeCell ref="J1993:K1993"/>
    <mergeCell ref="B1994:C1994"/>
    <mergeCell ref="D1994:F1994"/>
    <mergeCell ref="H1994:I1994"/>
    <mergeCell ref="J1994:K1994"/>
    <mergeCell ref="H1996:K1996"/>
    <mergeCell ref="H1997:K1997"/>
    <mergeCell ref="H1998:L1998"/>
    <mergeCell ref="L1973:L1974"/>
    <mergeCell ref="D1975:E1975"/>
    <mergeCell ref="D1976:E1976"/>
    <mergeCell ref="D1977:E1977"/>
    <mergeCell ref="D1978:E1978"/>
    <mergeCell ref="B1995:C1995"/>
    <mergeCell ref="D1995:F1995"/>
    <mergeCell ref="H1995:I1995"/>
    <mergeCell ref="J1995:K1995"/>
    <mergeCell ref="H1979:K1979"/>
    <mergeCell ref="H1980:K1980"/>
    <mergeCell ref="H1981:K1981"/>
    <mergeCell ref="H1982:L1982"/>
    <mergeCell ref="A1983:L1983"/>
    <mergeCell ref="A1984:C1984"/>
    <mergeCell ref="D1984:F1984"/>
    <mergeCell ref="H1984:I1984"/>
    <mergeCell ref="J1984:K1984"/>
    <mergeCell ref="B1985:C1985"/>
    <mergeCell ref="D1985:F1985"/>
    <mergeCell ref="H1985:I1985"/>
    <mergeCell ref="J1985:K1985"/>
    <mergeCell ref="B1986:C1986"/>
    <mergeCell ref="D1986:F1986"/>
    <mergeCell ref="H1986:I1986"/>
    <mergeCell ref="J1986:K1986"/>
    <mergeCell ref="H1987:K1987"/>
    <mergeCell ref="H1988:K1988"/>
    <mergeCell ref="H1989:L1989"/>
    <mergeCell ref="A1990:L1990"/>
    <mergeCell ref="A1991:C1991"/>
    <mergeCell ref="D1991:F1991"/>
    <mergeCell ref="B1969:C1969"/>
    <mergeCell ref="D1969:E1969"/>
    <mergeCell ref="F1969:G1969"/>
    <mergeCell ref="H1969:I1969"/>
    <mergeCell ref="J1969:K1969"/>
    <mergeCell ref="B1971:C1971"/>
    <mergeCell ref="D1971:E1971"/>
    <mergeCell ref="F1971:G1971"/>
    <mergeCell ref="H1971:I1971"/>
    <mergeCell ref="J1971:K1971"/>
    <mergeCell ref="H1972:K1972"/>
    <mergeCell ref="A1973:B1974"/>
    <mergeCell ref="C1973:C1974"/>
    <mergeCell ref="D1973:E1974"/>
    <mergeCell ref="F1973:G1973"/>
    <mergeCell ref="H1973:I1973"/>
    <mergeCell ref="J1973:K1973"/>
    <mergeCell ref="H1963:I1963"/>
    <mergeCell ref="J1963:K1963"/>
    <mergeCell ref="B1964:F1964"/>
    <mergeCell ref="H1964:I1964"/>
    <mergeCell ref="J1964:K1964"/>
    <mergeCell ref="B1965:F1965"/>
    <mergeCell ref="H1965:I1965"/>
    <mergeCell ref="J1965:K1965"/>
    <mergeCell ref="H1966:K1966"/>
    <mergeCell ref="A1967:C1967"/>
    <mergeCell ref="D1967:E1967"/>
    <mergeCell ref="F1967:G1967"/>
    <mergeCell ref="H1967:I1967"/>
    <mergeCell ref="J1967:K1967"/>
    <mergeCell ref="B1968:C1968"/>
    <mergeCell ref="D1968:E1968"/>
    <mergeCell ref="F1968:G1968"/>
    <mergeCell ref="H1968:I1968"/>
    <mergeCell ref="J1968:K1968"/>
    <mergeCell ref="B1951:C1951"/>
    <mergeCell ref="D1951:E1951"/>
    <mergeCell ref="H1951:I1951"/>
    <mergeCell ref="J1951:K1951"/>
    <mergeCell ref="B1952:C1952"/>
    <mergeCell ref="D1952:E1952"/>
    <mergeCell ref="H1952:I1952"/>
    <mergeCell ref="J1952:K1952"/>
    <mergeCell ref="H1953:K1953"/>
    <mergeCell ref="A1954:F1954"/>
    <mergeCell ref="H1954:I1954"/>
    <mergeCell ref="J1954:K1954"/>
    <mergeCell ref="B1955:F1955"/>
    <mergeCell ref="H1955:I1955"/>
    <mergeCell ref="J1955:K1955"/>
    <mergeCell ref="B1970:C1970"/>
    <mergeCell ref="D1970:E1970"/>
    <mergeCell ref="F1970:G1970"/>
    <mergeCell ref="H1970:I1970"/>
    <mergeCell ref="J1970:K1970"/>
    <mergeCell ref="H1956:K1956"/>
    <mergeCell ref="H1957:K1957"/>
    <mergeCell ref="H1958:K1958"/>
    <mergeCell ref="H1959:K1959"/>
    <mergeCell ref="H1960:K1960"/>
    <mergeCell ref="A1961:F1961"/>
    <mergeCell ref="H1961:I1961"/>
    <mergeCell ref="J1961:K1961"/>
    <mergeCell ref="B1962:F1962"/>
    <mergeCell ref="H1962:I1962"/>
    <mergeCell ref="J1962:K1962"/>
    <mergeCell ref="B1963:F1963"/>
    <mergeCell ref="H1940:K1940"/>
    <mergeCell ref="H1941:K1941"/>
    <mergeCell ref="H1942:K1942"/>
    <mergeCell ref="H1943:K1943"/>
    <mergeCell ref="H1944:K1944"/>
    <mergeCell ref="H1945:K1945"/>
    <mergeCell ref="H1946:L1946"/>
    <mergeCell ref="A1947:L1947"/>
    <mergeCell ref="A1948:C1949"/>
    <mergeCell ref="D1948:E1949"/>
    <mergeCell ref="F1948:G1948"/>
    <mergeCell ref="H1948:K1948"/>
    <mergeCell ref="L1948:L1949"/>
    <mergeCell ref="H1949:I1949"/>
    <mergeCell ref="J1949:K1949"/>
    <mergeCell ref="B1950:C1950"/>
    <mergeCell ref="D1950:E1950"/>
    <mergeCell ref="H1950:I1950"/>
    <mergeCell ref="J1950:K1950"/>
    <mergeCell ref="H1928:K1928"/>
    <mergeCell ref="H1929:K1929"/>
    <mergeCell ref="H1930:K1930"/>
    <mergeCell ref="H1931:K1931"/>
    <mergeCell ref="H1932:K1932"/>
    <mergeCell ref="H1933:K1933"/>
    <mergeCell ref="H1934:K1934"/>
    <mergeCell ref="H1935:L1935"/>
    <mergeCell ref="A1936:L1936"/>
    <mergeCell ref="A1937:C1938"/>
    <mergeCell ref="D1937:E1938"/>
    <mergeCell ref="F1937:G1937"/>
    <mergeCell ref="H1937:K1937"/>
    <mergeCell ref="L1937:L1938"/>
    <mergeCell ref="H1938:I1938"/>
    <mergeCell ref="J1938:K1938"/>
    <mergeCell ref="B1939:C1939"/>
    <mergeCell ref="D1939:E1939"/>
    <mergeCell ref="H1939:I1939"/>
    <mergeCell ref="J1939:K1939"/>
    <mergeCell ref="H1918:K1918"/>
    <mergeCell ref="H1919:K1919"/>
    <mergeCell ref="H1920:K1920"/>
    <mergeCell ref="H1921:K1921"/>
    <mergeCell ref="H1922:K1922"/>
    <mergeCell ref="H1923:L1923"/>
    <mergeCell ref="A1924:L1924"/>
    <mergeCell ref="A1925:C1926"/>
    <mergeCell ref="D1925:E1926"/>
    <mergeCell ref="F1925:G1925"/>
    <mergeCell ref="H1925:K1925"/>
    <mergeCell ref="L1925:L1926"/>
    <mergeCell ref="H1926:I1926"/>
    <mergeCell ref="J1926:K1926"/>
    <mergeCell ref="B1927:C1927"/>
    <mergeCell ref="D1927:E1927"/>
    <mergeCell ref="H1927:I1927"/>
    <mergeCell ref="J1927:K1927"/>
    <mergeCell ref="H1909:K1909"/>
    <mergeCell ref="H1910:K1910"/>
    <mergeCell ref="H1911:L1911"/>
    <mergeCell ref="A1912:L1912"/>
    <mergeCell ref="A1913:C1914"/>
    <mergeCell ref="D1913:E1914"/>
    <mergeCell ref="F1913:G1913"/>
    <mergeCell ref="H1913:K1913"/>
    <mergeCell ref="L1913:L1914"/>
    <mergeCell ref="H1914:I1914"/>
    <mergeCell ref="J1914:K1914"/>
    <mergeCell ref="B1915:C1915"/>
    <mergeCell ref="D1915:E1915"/>
    <mergeCell ref="H1915:I1915"/>
    <mergeCell ref="J1915:K1915"/>
    <mergeCell ref="H1916:K1916"/>
    <mergeCell ref="H1917:K1917"/>
    <mergeCell ref="J1903:K1903"/>
    <mergeCell ref="B1904:C1904"/>
    <mergeCell ref="D1904:F1904"/>
    <mergeCell ref="H1904:I1904"/>
    <mergeCell ref="J1904:K1904"/>
    <mergeCell ref="A1906:C1906"/>
    <mergeCell ref="D1906:F1906"/>
    <mergeCell ref="H1906:I1906"/>
    <mergeCell ref="J1906:K1906"/>
    <mergeCell ref="B1907:C1907"/>
    <mergeCell ref="D1907:F1907"/>
    <mergeCell ref="H1907:I1907"/>
    <mergeCell ref="J1907:K1907"/>
    <mergeCell ref="B1908:C1908"/>
    <mergeCell ref="D1908:F1908"/>
    <mergeCell ref="H1908:I1908"/>
    <mergeCell ref="J1908:K1908"/>
    <mergeCell ref="H1905:K1905"/>
    <mergeCell ref="H1891:I1891"/>
    <mergeCell ref="J1891:K1891"/>
    <mergeCell ref="B1892:F1892"/>
    <mergeCell ref="H1892:I1892"/>
    <mergeCell ref="J1892:K1892"/>
    <mergeCell ref="H1893:K1893"/>
    <mergeCell ref="H1894:K1894"/>
    <mergeCell ref="H1895:K1895"/>
    <mergeCell ref="H1896:L1896"/>
    <mergeCell ref="A1897:L1897"/>
    <mergeCell ref="A1898:C1898"/>
    <mergeCell ref="D1898:F1898"/>
    <mergeCell ref="H1898:I1898"/>
    <mergeCell ref="J1898:K1898"/>
    <mergeCell ref="B1899:C1899"/>
    <mergeCell ref="D1899:F1899"/>
    <mergeCell ref="H1899:I1899"/>
    <mergeCell ref="J1899:K1899"/>
    <mergeCell ref="B1900:C1900"/>
    <mergeCell ref="D1900:F1900"/>
    <mergeCell ref="H1900:I1900"/>
    <mergeCell ref="J1900:K1900"/>
    <mergeCell ref="H1901:K1901"/>
    <mergeCell ref="A1902:C1902"/>
    <mergeCell ref="D1902:F1902"/>
    <mergeCell ref="H1902:I1902"/>
    <mergeCell ref="J1902:K1902"/>
    <mergeCell ref="B1903:C1903"/>
    <mergeCell ref="D1903:F1903"/>
    <mergeCell ref="H1903:I1903"/>
    <mergeCell ref="B1884:F1884"/>
    <mergeCell ref="H1884:I1884"/>
    <mergeCell ref="J1884:K1884"/>
    <mergeCell ref="B1885:F1885"/>
    <mergeCell ref="H1885:I1885"/>
    <mergeCell ref="J1885:K1885"/>
    <mergeCell ref="B1886:F1886"/>
    <mergeCell ref="H1886:I1886"/>
    <mergeCell ref="J1886:K1886"/>
    <mergeCell ref="B1887:F1887"/>
    <mergeCell ref="H1887:I1887"/>
    <mergeCell ref="J1887:K1887"/>
    <mergeCell ref="H1888:K1888"/>
    <mergeCell ref="A1889:F1889"/>
    <mergeCell ref="H1889:I1889"/>
    <mergeCell ref="J1889:K1889"/>
    <mergeCell ref="B1890:F1890"/>
    <mergeCell ref="H1890:I1890"/>
    <mergeCell ref="J1890:K1890"/>
    <mergeCell ref="B1891:F1891"/>
    <mergeCell ref="H1873:K1873"/>
    <mergeCell ref="H1874:K1874"/>
    <mergeCell ref="H1875:L1875"/>
    <mergeCell ref="A1876:L1876"/>
    <mergeCell ref="A1877:F1877"/>
    <mergeCell ref="H1877:I1877"/>
    <mergeCell ref="J1877:K1877"/>
    <mergeCell ref="B1878:F1878"/>
    <mergeCell ref="H1878:I1878"/>
    <mergeCell ref="J1878:K1878"/>
    <mergeCell ref="H1879:K1879"/>
    <mergeCell ref="H1880:K1880"/>
    <mergeCell ref="H1881:K1881"/>
    <mergeCell ref="H1882:K1882"/>
    <mergeCell ref="A1883:F1883"/>
    <mergeCell ref="H1883:I1883"/>
    <mergeCell ref="J1883:K1883"/>
    <mergeCell ref="A1868:C1868"/>
    <mergeCell ref="D1868:F1868"/>
    <mergeCell ref="H1868:I1868"/>
    <mergeCell ref="J1868:K1868"/>
    <mergeCell ref="B1869:C1869"/>
    <mergeCell ref="D1869:F1869"/>
    <mergeCell ref="H1869:I1869"/>
    <mergeCell ref="J1869:K1869"/>
    <mergeCell ref="H1870:K1870"/>
    <mergeCell ref="A1871:C1871"/>
    <mergeCell ref="D1871:F1871"/>
    <mergeCell ref="H1871:I1871"/>
    <mergeCell ref="J1871:K1871"/>
    <mergeCell ref="B1872:C1872"/>
    <mergeCell ref="D1872:F1872"/>
    <mergeCell ref="H1872:I1872"/>
    <mergeCell ref="J1872:K1872"/>
    <mergeCell ref="B1862:C1862"/>
    <mergeCell ref="D1862:F1862"/>
    <mergeCell ref="H1862:I1862"/>
    <mergeCell ref="J1862:K1862"/>
    <mergeCell ref="B1863:C1863"/>
    <mergeCell ref="D1863:F1863"/>
    <mergeCell ref="H1863:I1863"/>
    <mergeCell ref="J1863:K1863"/>
    <mergeCell ref="B1864:C1864"/>
    <mergeCell ref="D1864:F1864"/>
    <mergeCell ref="H1864:I1864"/>
    <mergeCell ref="J1864:K1864"/>
    <mergeCell ref="B1865:C1865"/>
    <mergeCell ref="D1865:F1865"/>
    <mergeCell ref="H1865:I1865"/>
    <mergeCell ref="J1865:K1865"/>
    <mergeCell ref="H1867:K1867"/>
    <mergeCell ref="B1849:C1849"/>
    <mergeCell ref="D1849:F1849"/>
    <mergeCell ref="H1849:I1849"/>
    <mergeCell ref="J1849:K1849"/>
    <mergeCell ref="H1850:K1850"/>
    <mergeCell ref="B1866:C1866"/>
    <mergeCell ref="D1866:F1866"/>
    <mergeCell ref="H1866:I1866"/>
    <mergeCell ref="J1866:K1866"/>
    <mergeCell ref="H1851:K1851"/>
    <mergeCell ref="H1852:L1852"/>
    <mergeCell ref="A1853:L1853"/>
    <mergeCell ref="A1854:C1854"/>
    <mergeCell ref="D1854:F1854"/>
    <mergeCell ref="H1854:I1854"/>
    <mergeCell ref="J1854:K1854"/>
    <mergeCell ref="B1855:C1855"/>
    <mergeCell ref="D1855:F1855"/>
    <mergeCell ref="H1855:I1855"/>
    <mergeCell ref="J1855:K1855"/>
    <mergeCell ref="H1856:K1856"/>
    <mergeCell ref="H1857:K1857"/>
    <mergeCell ref="H1858:L1858"/>
    <mergeCell ref="A1859:L1859"/>
    <mergeCell ref="A1860:C1860"/>
    <mergeCell ref="D1860:F1860"/>
    <mergeCell ref="H1860:I1860"/>
    <mergeCell ref="J1860:K1860"/>
    <mergeCell ref="B1861:C1861"/>
    <mergeCell ref="D1861:F1861"/>
    <mergeCell ref="H1861:I1861"/>
    <mergeCell ref="J1861:K1861"/>
    <mergeCell ref="H1840:L1840"/>
    <mergeCell ref="A1841:L1841"/>
    <mergeCell ref="A1842:C1842"/>
    <mergeCell ref="D1842:F1842"/>
    <mergeCell ref="H1842:I1842"/>
    <mergeCell ref="J1842:K1842"/>
    <mergeCell ref="B1843:C1843"/>
    <mergeCell ref="D1843:F1843"/>
    <mergeCell ref="H1843:I1843"/>
    <mergeCell ref="J1843:K1843"/>
    <mergeCell ref="H1844:K1844"/>
    <mergeCell ref="H1845:K1845"/>
    <mergeCell ref="H1846:L1846"/>
    <mergeCell ref="A1847:L1847"/>
    <mergeCell ref="A1848:C1848"/>
    <mergeCell ref="D1848:F1848"/>
    <mergeCell ref="H1848:I1848"/>
    <mergeCell ref="J1848:K1848"/>
    <mergeCell ref="B1831:C1831"/>
    <mergeCell ref="D1831:F1831"/>
    <mergeCell ref="H1831:I1831"/>
    <mergeCell ref="J1831:K1831"/>
    <mergeCell ref="H1833:K1833"/>
    <mergeCell ref="H1834:L1834"/>
    <mergeCell ref="A1835:L1835"/>
    <mergeCell ref="A1836:C1836"/>
    <mergeCell ref="D1836:F1836"/>
    <mergeCell ref="H1836:I1836"/>
    <mergeCell ref="J1836:K1836"/>
    <mergeCell ref="B1837:C1837"/>
    <mergeCell ref="D1837:F1837"/>
    <mergeCell ref="H1837:I1837"/>
    <mergeCell ref="J1837:K1837"/>
    <mergeCell ref="H1838:K1838"/>
    <mergeCell ref="H1839:K1839"/>
    <mergeCell ref="D1825:F1825"/>
    <mergeCell ref="H1825:I1825"/>
    <mergeCell ref="J1825:K1825"/>
    <mergeCell ref="H1826:K1826"/>
    <mergeCell ref="A1827:C1827"/>
    <mergeCell ref="D1827:F1827"/>
    <mergeCell ref="H1827:I1827"/>
    <mergeCell ref="J1827:K1827"/>
    <mergeCell ref="B1828:C1828"/>
    <mergeCell ref="D1828:F1828"/>
    <mergeCell ref="H1828:I1828"/>
    <mergeCell ref="J1828:K1828"/>
    <mergeCell ref="B1829:C1829"/>
    <mergeCell ref="D1829:F1829"/>
    <mergeCell ref="H1829:I1829"/>
    <mergeCell ref="J1829:K1829"/>
    <mergeCell ref="B1830:C1830"/>
    <mergeCell ref="D1830:F1830"/>
    <mergeCell ref="H1830:I1830"/>
    <mergeCell ref="J1830:K1830"/>
    <mergeCell ref="A1813:L1813"/>
    <mergeCell ref="A1814:C1814"/>
    <mergeCell ref="D1814:F1814"/>
    <mergeCell ref="H1814:I1814"/>
    <mergeCell ref="J1814:K1814"/>
    <mergeCell ref="B1815:C1815"/>
    <mergeCell ref="D1815:F1815"/>
    <mergeCell ref="H1815:I1815"/>
    <mergeCell ref="J1815:K1815"/>
    <mergeCell ref="H1816:K1816"/>
    <mergeCell ref="A1817:C1817"/>
    <mergeCell ref="D1817:F1817"/>
    <mergeCell ref="H1817:I1817"/>
    <mergeCell ref="J1817:K1817"/>
    <mergeCell ref="H1832:K1832"/>
    <mergeCell ref="B1818:C1818"/>
    <mergeCell ref="D1818:F1818"/>
    <mergeCell ref="H1818:I1818"/>
    <mergeCell ref="J1818:K1818"/>
    <mergeCell ref="B1819:C1819"/>
    <mergeCell ref="D1819:F1819"/>
    <mergeCell ref="H1819:I1819"/>
    <mergeCell ref="J1819:K1819"/>
    <mergeCell ref="H1820:K1820"/>
    <mergeCell ref="H1821:K1821"/>
    <mergeCell ref="H1822:L1822"/>
    <mergeCell ref="A1823:L1823"/>
    <mergeCell ref="A1824:C1824"/>
    <mergeCell ref="D1824:F1824"/>
    <mergeCell ref="H1824:I1824"/>
    <mergeCell ref="J1824:K1824"/>
    <mergeCell ref="B1825:C1825"/>
    <mergeCell ref="B1806:C1806"/>
    <mergeCell ref="D1806:F1806"/>
    <mergeCell ref="H1806:I1806"/>
    <mergeCell ref="J1806:K1806"/>
    <mergeCell ref="H1807:K1807"/>
    <mergeCell ref="A1808:C1808"/>
    <mergeCell ref="D1808:F1808"/>
    <mergeCell ref="H1808:I1808"/>
    <mergeCell ref="J1808:K1808"/>
    <mergeCell ref="B1809:C1809"/>
    <mergeCell ref="D1809:F1809"/>
    <mergeCell ref="H1809:I1809"/>
    <mergeCell ref="J1809:K1809"/>
    <mergeCell ref="H1810:K1810"/>
    <mergeCell ref="A1811:D1811"/>
    <mergeCell ref="H1811:K1811"/>
    <mergeCell ref="H1812:L1812"/>
    <mergeCell ref="D1797:F1797"/>
    <mergeCell ref="H1797:I1797"/>
    <mergeCell ref="J1797:K1797"/>
    <mergeCell ref="H1798:K1798"/>
    <mergeCell ref="A1799:C1799"/>
    <mergeCell ref="D1799:F1799"/>
    <mergeCell ref="H1799:I1799"/>
    <mergeCell ref="J1799:K1799"/>
    <mergeCell ref="B1800:C1800"/>
    <mergeCell ref="D1800:F1800"/>
    <mergeCell ref="H1800:I1800"/>
    <mergeCell ref="J1800:K1800"/>
    <mergeCell ref="H1802:K1802"/>
    <mergeCell ref="H1803:L1803"/>
    <mergeCell ref="A1804:L1804"/>
    <mergeCell ref="A1805:C1805"/>
    <mergeCell ref="D1805:F1805"/>
    <mergeCell ref="H1805:I1805"/>
    <mergeCell ref="J1805:K1805"/>
    <mergeCell ref="H1781:I1781"/>
    <mergeCell ref="J1781:K1781"/>
    <mergeCell ref="B1782:F1782"/>
    <mergeCell ref="H1782:I1782"/>
    <mergeCell ref="J1782:K1782"/>
    <mergeCell ref="H1783:K1783"/>
    <mergeCell ref="H1784:K1784"/>
    <mergeCell ref="H1785:K1785"/>
    <mergeCell ref="H1801:K1801"/>
    <mergeCell ref="A1790:L1790"/>
    <mergeCell ref="A1791:C1791"/>
    <mergeCell ref="D1791:F1791"/>
    <mergeCell ref="H1791:I1791"/>
    <mergeCell ref="J1791:K1791"/>
    <mergeCell ref="B1792:C1792"/>
    <mergeCell ref="D1792:F1792"/>
    <mergeCell ref="H1792:I1792"/>
    <mergeCell ref="J1792:K1792"/>
    <mergeCell ref="B1793:C1793"/>
    <mergeCell ref="D1793:F1793"/>
    <mergeCell ref="H1793:I1793"/>
    <mergeCell ref="J1793:K1793"/>
    <mergeCell ref="H1794:K1794"/>
    <mergeCell ref="A1795:C1795"/>
    <mergeCell ref="D1795:F1795"/>
    <mergeCell ref="H1795:I1795"/>
    <mergeCell ref="J1795:K1795"/>
    <mergeCell ref="B1796:C1796"/>
    <mergeCell ref="D1796:F1796"/>
    <mergeCell ref="H1796:I1796"/>
    <mergeCell ref="J1796:K1796"/>
    <mergeCell ref="B1797:C1797"/>
    <mergeCell ref="H1786:K1786"/>
    <mergeCell ref="H1787:K1787"/>
    <mergeCell ref="H1788:K1788"/>
    <mergeCell ref="H1789:L1789"/>
    <mergeCell ref="H1766:K1766"/>
    <mergeCell ref="H1767:L1767"/>
    <mergeCell ref="A1768:L1768"/>
    <mergeCell ref="A1769:C1769"/>
    <mergeCell ref="D1769:F1769"/>
    <mergeCell ref="H1769:I1769"/>
    <mergeCell ref="J1769:K1769"/>
    <mergeCell ref="B1770:C1770"/>
    <mergeCell ref="D1770:F1770"/>
    <mergeCell ref="H1770:I1770"/>
    <mergeCell ref="J1770:K1770"/>
    <mergeCell ref="H1771:K1771"/>
    <mergeCell ref="H1772:K1772"/>
    <mergeCell ref="H1773:L1773"/>
    <mergeCell ref="A1774:L1774"/>
    <mergeCell ref="A1775:C1775"/>
    <mergeCell ref="D1775:F1775"/>
    <mergeCell ref="H1775:I1775"/>
    <mergeCell ref="J1775:K1775"/>
    <mergeCell ref="B1776:C1776"/>
    <mergeCell ref="D1776:F1776"/>
    <mergeCell ref="H1776:I1776"/>
    <mergeCell ref="J1776:K1776"/>
    <mergeCell ref="H1777:K1777"/>
    <mergeCell ref="H1778:K1778"/>
    <mergeCell ref="H1779:L1779"/>
    <mergeCell ref="A1780:L1780"/>
    <mergeCell ref="A1781:F1781"/>
    <mergeCell ref="B1758:C1758"/>
    <mergeCell ref="D1758:F1758"/>
    <mergeCell ref="H1758:I1758"/>
    <mergeCell ref="J1758:K1758"/>
    <mergeCell ref="H1759:K1759"/>
    <mergeCell ref="H1760:K1760"/>
    <mergeCell ref="H1761:L1761"/>
    <mergeCell ref="A1762:L1762"/>
    <mergeCell ref="A1763:C1763"/>
    <mergeCell ref="D1763:F1763"/>
    <mergeCell ref="H1763:I1763"/>
    <mergeCell ref="J1763:K1763"/>
    <mergeCell ref="B1764:C1764"/>
    <mergeCell ref="D1764:F1764"/>
    <mergeCell ref="H1764:I1764"/>
    <mergeCell ref="J1764:K1764"/>
    <mergeCell ref="H1765:K1765"/>
    <mergeCell ref="B1750:C1750"/>
    <mergeCell ref="D1750:F1750"/>
    <mergeCell ref="H1750:I1750"/>
    <mergeCell ref="J1750:K1750"/>
    <mergeCell ref="B1751:C1751"/>
    <mergeCell ref="D1751:F1751"/>
    <mergeCell ref="H1751:I1751"/>
    <mergeCell ref="J1751:K1751"/>
    <mergeCell ref="B1752:C1752"/>
    <mergeCell ref="D1752:F1752"/>
    <mergeCell ref="H1752:I1752"/>
    <mergeCell ref="J1752:K1752"/>
    <mergeCell ref="H1753:K1753"/>
    <mergeCell ref="H1754:K1754"/>
    <mergeCell ref="H1755:L1755"/>
    <mergeCell ref="A1756:L1756"/>
    <mergeCell ref="A1757:C1757"/>
    <mergeCell ref="D1757:F1757"/>
    <mergeCell ref="H1757:I1757"/>
    <mergeCell ref="J1757:K1757"/>
    <mergeCell ref="A1744:L1744"/>
    <mergeCell ref="A1745:C1745"/>
    <mergeCell ref="D1745:F1745"/>
    <mergeCell ref="H1745:I1745"/>
    <mergeCell ref="J1745:K1745"/>
    <mergeCell ref="B1746:C1746"/>
    <mergeCell ref="D1746:F1746"/>
    <mergeCell ref="H1746:I1746"/>
    <mergeCell ref="J1746:K1746"/>
    <mergeCell ref="H1747:K1747"/>
    <mergeCell ref="A1748:C1748"/>
    <mergeCell ref="D1748:F1748"/>
    <mergeCell ref="H1748:I1748"/>
    <mergeCell ref="J1748:K1748"/>
    <mergeCell ref="B1749:C1749"/>
    <mergeCell ref="D1749:F1749"/>
    <mergeCell ref="H1749:I1749"/>
    <mergeCell ref="J1749:K1749"/>
    <mergeCell ref="H1736:I1736"/>
    <mergeCell ref="J1736:K1736"/>
    <mergeCell ref="H1737:K1737"/>
    <mergeCell ref="A1738:C1738"/>
    <mergeCell ref="D1738:F1738"/>
    <mergeCell ref="H1738:I1738"/>
    <mergeCell ref="J1738:K1738"/>
    <mergeCell ref="B1739:C1739"/>
    <mergeCell ref="D1739:F1739"/>
    <mergeCell ref="H1739:I1739"/>
    <mergeCell ref="J1739:K1739"/>
    <mergeCell ref="B1740:C1740"/>
    <mergeCell ref="D1740:F1740"/>
    <mergeCell ref="H1740:I1740"/>
    <mergeCell ref="J1740:K1740"/>
    <mergeCell ref="H1742:K1742"/>
    <mergeCell ref="H1743:L1743"/>
    <mergeCell ref="A1720:L1720"/>
    <mergeCell ref="A1721:F1721"/>
    <mergeCell ref="H1721:I1721"/>
    <mergeCell ref="J1721:K1721"/>
    <mergeCell ref="B1722:F1722"/>
    <mergeCell ref="H1722:I1722"/>
    <mergeCell ref="J1722:K1722"/>
    <mergeCell ref="B1723:F1723"/>
    <mergeCell ref="H1723:I1723"/>
    <mergeCell ref="J1723:K1723"/>
    <mergeCell ref="H1741:K1741"/>
    <mergeCell ref="H1724:K1724"/>
    <mergeCell ref="H1725:K1725"/>
    <mergeCell ref="H1726:K1726"/>
    <mergeCell ref="H1727:K1727"/>
    <mergeCell ref="A1728:F1728"/>
    <mergeCell ref="H1728:I1728"/>
    <mergeCell ref="J1728:K1728"/>
    <mergeCell ref="B1729:F1729"/>
    <mergeCell ref="H1729:I1729"/>
    <mergeCell ref="J1729:K1729"/>
    <mergeCell ref="H1730:K1730"/>
    <mergeCell ref="H1731:K1731"/>
    <mergeCell ref="H1732:K1732"/>
    <mergeCell ref="H1733:L1733"/>
    <mergeCell ref="A1734:L1734"/>
    <mergeCell ref="A1735:C1735"/>
    <mergeCell ref="D1735:F1735"/>
    <mergeCell ref="H1735:I1735"/>
    <mergeCell ref="J1735:K1735"/>
    <mergeCell ref="B1736:C1736"/>
    <mergeCell ref="D1736:F1736"/>
    <mergeCell ref="H1711:K1711"/>
    <mergeCell ref="A1712:F1712"/>
    <mergeCell ref="H1712:I1712"/>
    <mergeCell ref="J1712:K1712"/>
    <mergeCell ref="B1713:F1713"/>
    <mergeCell ref="H1713:I1713"/>
    <mergeCell ref="J1713:K1713"/>
    <mergeCell ref="B1715:F1715"/>
    <mergeCell ref="H1715:I1715"/>
    <mergeCell ref="J1715:K1715"/>
    <mergeCell ref="H1716:K1716"/>
    <mergeCell ref="H1717:K1717"/>
    <mergeCell ref="H1718:K1718"/>
    <mergeCell ref="B1714:F1714"/>
    <mergeCell ref="H1714:I1714"/>
    <mergeCell ref="J1714:K1714"/>
    <mergeCell ref="H1719:L1719"/>
    <mergeCell ref="B1700:F1700"/>
    <mergeCell ref="H1700:I1700"/>
    <mergeCell ref="J1700:K1700"/>
    <mergeCell ref="J1707:K1707"/>
    <mergeCell ref="H1708:K1708"/>
    <mergeCell ref="H1709:K1709"/>
    <mergeCell ref="H1701:K1701"/>
    <mergeCell ref="H1702:K1702"/>
    <mergeCell ref="H1703:K1703"/>
    <mergeCell ref="H1704:L1704"/>
    <mergeCell ref="A1705:L1705"/>
    <mergeCell ref="A1706:F1706"/>
    <mergeCell ref="H1706:I1706"/>
    <mergeCell ref="J1706:K1706"/>
    <mergeCell ref="B1707:F1707"/>
    <mergeCell ref="H1707:I1707"/>
    <mergeCell ref="H1710:K1710"/>
    <mergeCell ref="B1691:F1691"/>
    <mergeCell ref="H1691:I1691"/>
    <mergeCell ref="J1691:K1691"/>
    <mergeCell ref="H1695:K1695"/>
    <mergeCell ref="H1696:K1696"/>
    <mergeCell ref="A1697:F1697"/>
    <mergeCell ref="H1697:I1697"/>
    <mergeCell ref="J1697:K1697"/>
    <mergeCell ref="B1698:F1698"/>
    <mergeCell ref="H1698:I1698"/>
    <mergeCell ref="J1698:K1698"/>
    <mergeCell ref="B1699:F1699"/>
    <mergeCell ref="H1699:I1699"/>
    <mergeCell ref="J1699:K1699"/>
    <mergeCell ref="B1692:F1692"/>
    <mergeCell ref="H1692:I1692"/>
    <mergeCell ref="J1692:K1692"/>
    <mergeCell ref="H1693:K1693"/>
    <mergeCell ref="H1694:K1694"/>
    <mergeCell ref="H1676:K1676"/>
    <mergeCell ref="H1677:K1677"/>
    <mergeCell ref="H1678:K1678"/>
    <mergeCell ref="A1679:F1679"/>
    <mergeCell ref="H1679:I1679"/>
    <mergeCell ref="J1679:K1679"/>
    <mergeCell ref="B1680:F1680"/>
    <mergeCell ref="H1680:I1680"/>
    <mergeCell ref="J1680:K1680"/>
    <mergeCell ref="B1681:F1681"/>
    <mergeCell ref="H1681:I1681"/>
    <mergeCell ref="J1681:K1681"/>
    <mergeCell ref="H1682:K1682"/>
    <mergeCell ref="A1689:L1689"/>
    <mergeCell ref="A1690:F1690"/>
    <mergeCell ref="H1690:I1690"/>
    <mergeCell ref="J1690:K1690"/>
    <mergeCell ref="A1683:F1683"/>
    <mergeCell ref="H1683:I1683"/>
    <mergeCell ref="J1683:K1683"/>
    <mergeCell ref="B1684:F1684"/>
    <mergeCell ref="H1684:I1684"/>
    <mergeCell ref="J1684:K1684"/>
    <mergeCell ref="H1685:K1685"/>
    <mergeCell ref="H1686:K1686"/>
    <mergeCell ref="H1687:K1687"/>
    <mergeCell ref="H1688:L1688"/>
    <mergeCell ref="B1666:C1666"/>
    <mergeCell ref="D1666:F1666"/>
    <mergeCell ref="H1666:I1666"/>
    <mergeCell ref="J1666:K1666"/>
    <mergeCell ref="B1667:C1667"/>
    <mergeCell ref="D1667:F1667"/>
    <mergeCell ref="H1667:I1667"/>
    <mergeCell ref="J1667:K1667"/>
    <mergeCell ref="H1668:K1668"/>
    <mergeCell ref="H1669:K1669"/>
    <mergeCell ref="H1670:L1670"/>
    <mergeCell ref="A1671:L1671"/>
    <mergeCell ref="A1672:F1672"/>
    <mergeCell ref="H1672:I1672"/>
    <mergeCell ref="J1672:K1672"/>
    <mergeCell ref="B1673:F1673"/>
    <mergeCell ref="H1673:I1673"/>
    <mergeCell ref="J1673:K1673"/>
    <mergeCell ref="B1674:F1674"/>
    <mergeCell ref="H1674:I1674"/>
    <mergeCell ref="J1674:K1674"/>
    <mergeCell ref="H1675:K1675"/>
    <mergeCell ref="J1660:K1660"/>
    <mergeCell ref="B1661:C1661"/>
    <mergeCell ref="D1661:F1661"/>
    <mergeCell ref="H1661:I1661"/>
    <mergeCell ref="J1661:K1661"/>
    <mergeCell ref="B1662:C1662"/>
    <mergeCell ref="D1662:F1662"/>
    <mergeCell ref="H1662:I1662"/>
    <mergeCell ref="J1662:K1662"/>
    <mergeCell ref="B1663:C1663"/>
    <mergeCell ref="D1663:F1663"/>
    <mergeCell ref="H1663:I1663"/>
    <mergeCell ref="J1663:K1663"/>
    <mergeCell ref="A1665:C1665"/>
    <mergeCell ref="D1665:F1665"/>
    <mergeCell ref="H1665:I1665"/>
    <mergeCell ref="J1665:K1665"/>
    <mergeCell ref="H1647:K1647"/>
    <mergeCell ref="H1648:L1648"/>
    <mergeCell ref="A1649:L1649"/>
    <mergeCell ref="A1650:C1650"/>
    <mergeCell ref="D1650:F1650"/>
    <mergeCell ref="H1650:I1650"/>
    <mergeCell ref="J1650:K1650"/>
    <mergeCell ref="H1664:K1664"/>
    <mergeCell ref="B1651:C1651"/>
    <mergeCell ref="D1651:F1651"/>
    <mergeCell ref="H1651:I1651"/>
    <mergeCell ref="J1651:K1651"/>
    <mergeCell ref="B1652:C1652"/>
    <mergeCell ref="D1652:F1652"/>
    <mergeCell ref="H1652:I1652"/>
    <mergeCell ref="J1652:K1652"/>
    <mergeCell ref="H1653:K1653"/>
    <mergeCell ref="A1654:C1654"/>
    <mergeCell ref="D1654:F1654"/>
    <mergeCell ref="H1654:I1654"/>
    <mergeCell ref="J1654:K1654"/>
    <mergeCell ref="B1655:C1655"/>
    <mergeCell ref="D1655:F1655"/>
    <mergeCell ref="H1655:I1655"/>
    <mergeCell ref="J1655:K1655"/>
    <mergeCell ref="H1656:K1656"/>
    <mergeCell ref="H1657:K1657"/>
    <mergeCell ref="H1658:L1658"/>
    <mergeCell ref="A1659:L1659"/>
    <mergeCell ref="A1660:C1660"/>
    <mergeCell ref="D1660:F1660"/>
    <mergeCell ref="H1660:I1660"/>
    <mergeCell ref="B1639:C1639"/>
    <mergeCell ref="D1639:F1639"/>
    <mergeCell ref="H1639:I1639"/>
    <mergeCell ref="J1639:K1639"/>
    <mergeCell ref="H1640:K1640"/>
    <mergeCell ref="H1641:K1641"/>
    <mergeCell ref="H1642:L1642"/>
    <mergeCell ref="A1643:L1643"/>
    <mergeCell ref="A1644:C1644"/>
    <mergeCell ref="D1644:F1644"/>
    <mergeCell ref="H1644:I1644"/>
    <mergeCell ref="J1644:K1644"/>
    <mergeCell ref="B1645:C1645"/>
    <mergeCell ref="D1645:F1645"/>
    <mergeCell ref="H1645:I1645"/>
    <mergeCell ref="J1645:K1645"/>
    <mergeCell ref="H1646:K1646"/>
    <mergeCell ref="B1632:C1632"/>
    <mergeCell ref="D1632:F1632"/>
    <mergeCell ref="H1632:I1632"/>
    <mergeCell ref="J1632:K1632"/>
    <mergeCell ref="H1634:K1634"/>
    <mergeCell ref="A1635:C1635"/>
    <mergeCell ref="D1635:F1635"/>
    <mergeCell ref="H1635:I1635"/>
    <mergeCell ref="J1635:K1635"/>
    <mergeCell ref="B1636:C1636"/>
    <mergeCell ref="D1636:F1636"/>
    <mergeCell ref="H1636:I1636"/>
    <mergeCell ref="J1636:K1636"/>
    <mergeCell ref="H1637:K1637"/>
    <mergeCell ref="A1638:C1638"/>
    <mergeCell ref="D1638:F1638"/>
    <mergeCell ref="H1638:I1638"/>
    <mergeCell ref="J1638:K1638"/>
    <mergeCell ref="H1627:I1627"/>
    <mergeCell ref="J1627:K1627"/>
    <mergeCell ref="B1628:C1628"/>
    <mergeCell ref="D1628:F1628"/>
    <mergeCell ref="H1628:I1628"/>
    <mergeCell ref="J1628:K1628"/>
    <mergeCell ref="B1629:C1629"/>
    <mergeCell ref="D1629:F1629"/>
    <mergeCell ref="H1629:I1629"/>
    <mergeCell ref="J1629:K1629"/>
    <mergeCell ref="B1630:C1630"/>
    <mergeCell ref="D1630:F1630"/>
    <mergeCell ref="H1630:I1630"/>
    <mergeCell ref="J1630:K1630"/>
    <mergeCell ref="B1631:C1631"/>
    <mergeCell ref="D1631:F1631"/>
    <mergeCell ref="H1631:I1631"/>
    <mergeCell ref="J1631:K1631"/>
    <mergeCell ref="B1615:C1615"/>
    <mergeCell ref="D1615:F1615"/>
    <mergeCell ref="H1615:I1615"/>
    <mergeCell ref="J1615:K1615"/>
    <mergeCell ref="B1616:C1616"/>
    <mergeCell ref="D1616:F1616"/>
    <mergeCell ref="H1616:I1616"/>
    <mergeCell ref="J1616:K1616"/>
    <mergeCell ref="H1617:K1617"/>
    <mergeCell ref="B1633:C1633"/>
    <mergeCell ref="D1633:F1633"/>
    <mergeCell ref="H1633:I1633"/>
    <mergeCell ref="J1633:K1633"/>
    <mergeCell ref="B1619:C1619"/>
    <mergeCell ref="D1619:F1619"/>
    <mergeCell ref="H1619:I1619"/>
    <mergeCell ref="J1619:K1619"/>
    <mergeCell ref="H1620:K1620"/>
    <mergeCell ref="A1621:C1621"/>
    <mergeCell ref="D1621:F1621"/>
    <mergeCell ref="H1621:I1621"/>
    <mergeCell ref="J1621:K1621"/>
    <mergeCell ref="B1622:C1622"/>
    <mergeCell ref="D1622:F1622"/>
    <mergeCell ref="H1622:I1622"/>
    <mergeCell ref="J1622:K1622"/>
    <mergeCell ref="H1623:K1623"/>
    <mergeCell ref="H1624:K1624"/>
    <mergeCell ref="H1625:L1625"/>
    <mergeCell ref="A1626:L1626"/>
    <mergeCell ref="A1627:C1627"/>
    <mergeCell ref="D1627:F1627"/>
    <mergeCell ref="H1610:I1610"/>
    <mergeCell ref="J1610:K1610"/>
    <mergeCell ref="B1611:C1611"/>
    <mergeCell ref="D1611:F1611"/>
    <mergeCell ref="H1611:I1611"/>
    <mergeCell ref="J1611:K1611"/>
    <mergeCell ref="B1612:C1612"/>
    <mergeCell ref="D1612:F1612"/>
    <mergeCell ref="H1612:I1612"/>
    <mergeCell ref="J1612:K1612"/>
    <mergeCell ref="B1613:C1613"/>
    <mergeCell ref="D1613:F1613"/>
    <mergeCell ref="H1613:I1613"/>
    <mergeCell ref="J1613:K1613"/>
    <mergeCell ref="B1614:C1614"/>
    <mergeCell ref="D1614:F1614"/>
    <mergeCell ref="H1614:I1614"/>
    <mergeCell ref="J1614:K1614"/>
    <mergeCell ref="J1598:K1598"/>
    <mergeCell ref="B1599:C1599"/>
    <mergeCell ref="D1599:F1599"/>
    <mergeCell ref="H1599:I1599"/>
    <mergeCell ref="J1599:K1599"/>
    <mergeCell ref="H1600:K1600"/>
    <mergeCell ref="A1601:C1601"/>
    <mergeCell ref="D1601:F1601"/>
    <mergeCell ref="H1601:I1601"/>
    <mergeCell ref="J1601:K1601"/>
    <mergeCell ref="B1602:C1602"/>
    <mergeCell ref="D1602:F1602"/>
    <mergeCell ref="H1602:I1602"/>
    <mergeCell ref="J1602:K1602"/>
    <mergeCell ref="A1618:C1618"/>
    <mergeCell ref="D1618:F1618"/>
    <mergeCell ref="H1618:I1618"/>
    <mergeCell ref="J1618:K1618"/>
    <mergeCell ref="A1604:C1604"/>
    <mergeCell ref="D1604:F1604"/>
    <mergeCell ref="H1604:I1604"/>
    <mergeCell ref="J1604:K1604"/>
    <mergeCell ref="B1605:C1605"/>
    <mergeCell ref="D1605:F1605"/>
    <mergeCell ref="H1605:I1605"/>
    <mergeCell ref="J1605:K1605"/>
    <mergeCell ref="H1606:K1606"/>
    <mergeCell ref="H1607:K1607"/>
    <mergeCell ref="H1608:L1608"/>
    <mergeCell ref="A1609:L1609"/>
    <mergeCell ref="A1610:C1610"/>
    <mergeCell ref="D1610:F1610"/>
    <mergeCell ref="B1588:C1588"/>
    <mergeCell ref="D1588:F1588"/>
    <mergeCell ref="H1588:I1588"/>
    <mergeCell ref="J1588:K1588"/>
    <mergeCell ref="H1603:K1603"/>
    <mergeCell ref="H1589:K1589"/>
    <mergeCell ref="H1590:K1590"/>
    <mergeCell ref="H1591:L1591"/>
    <mergeCell ref="A1592:L1592"/>
    <mergeCell ref="A1593:C1593"/>
    <mergeCell ref="D1593:F1593"/>
    <mergeCell ref="H1593:I1593"/>
    <mergeCell ref="J1593:K1593"/>
    <mergeCell ref="B1594:C1594"/>
    <mergeCell ref="D1594:F1594"/>
    <mergeCell ref="H1594:I1594"/>
    <mergeCell ref="J1594:K1594"/>
    <mergeCell ref="B1595:C1595"/>
    <mergeCell ref="D1595:F1595"/>
    <mergeCell ref="H1595:I1595"/>
    <mergeCell ref="J1595:K1595"/>
    <mergeCell ref="B1596:C1596"/>
    <mergeCell ref="D1596:F1596"/>
    <mergeCell ref="H1596:I1596"/>
    <mergeCell ref="J1596:K1596"/>
    <mergeCell ref="B1597:C1597"/>
    <mergeCell ref="D1597:F1597"/>
    <mergeCell ref="H1597:I1597"/>
    <mergeCell ref="J1597:K1597"/>
    <mergeCell ref="B1598:C1598"/>
    <mergeCell ref="D1598:F1598"/>
    <mergeCell ref="H1598:I1598"/>
    <mergeCell ref="B1581:C1581"/>
    <mergeCell ref="D1581:F1581"/>
    <mergeCell ref="H1581:I1581"/>
    <mergeCell ref="J1581:K1581"/>
    <mergeCell ref="H1583:K1583"/>
    <mergeCell ref="A1584:C1584"/>
    <mergeCell ref="D1584:F1584"/>
    <mergeCell ref="H1584:I1584"/>
    <mergeCell ref="J1584:K1584"/>
    <mergeCell ref="B1585:C1585"/>
    <mergeCell ref="D1585:F1585"/>
    <mergeCell ref="H1585:I1585"/>
    <mergeCell ref="J1585:K1585"/>
    <mergeCell ref="H1586:K1586"/>
    <mergeCell ref="A1587:C1587"/>
    <mergeCell ref="D1587:F1587"/>
    <mergeCell ref="H1587:I1587"/>
    <mergeCell ref="J1587:K1587"/>
    <mergeCell ref="H1576:I1576"/>
    <mergeCell ref="J1576:K1576"/>
    <mergeCell ref="B1577:C1577"/>
    <mergeCell ref="D1577:F1577"/>
    <mergeCell ref="H1577:I1577"/>
    <mergeCell ref="J1577:K1577"/>
    <mergeCell ref="B1578:C1578"/>
    <mergeCell ref="D1578:F1578"/>
    <mergeCell ref="H1578:I1578"/>
    <mergeCell ref="J1578:K1578"/>
    <mergeCell ref="B1579:C1579"/>
    <mergeCell ref="D1579:F1579"/>
    <mergeCell ref="H1579:I1579"/>
    <mergeCell ref="J1579:K1579"/>
    <mergeCell ref="B1580:C1580"/>
    <mergeCell ref="D1580:F1580"/>
    <mergeCell ref="H1580:I1580"/>
    <mergeCell ref="J1580:K1580"/>
    <mergeCell ref="B1564:C1564"/>
    <mergeCell ref="D1564:F1564"/>
    <mergeCell ref="H1564:I1564"/>
    <mergeCell ref="J1564:K1564"/>
    <mergeCell ref="B1565:C1565"/>
    <mergeCell ref="D1565:F1565"/>
    <mergeCell ref="H1565:I1565"/>
    <mergeCell ref="J1565:K1565"/>
    <mergeCell ref="H1566:K1566"/>
    <mergeCell ref="B1582:C1582"/>
    <mergeCell ref="D1582:F1582"/>
    <mergeCell ref="H1582:I1582"/>
    <mergeCell ref="J1582:K1582"/>
    <mergeCell ref="B1568:C1568"/>
    <mergeCell ref="D1568:F1568"/>
    <mergeCell ref="H1568:I1568"/>
    <mergeCell ref="J1568:K1568"/>
    <mergeCell ref="H1569:K1569"/>
    <mergeCell ref="A1570:C1570"/>
    <mergeCell ref="D1570:F1570"/>
    <mergeCell ref="H1570:I1570"/>
    <mergeCell ref="J1570:K1570"/>
    <mergeCell ref="B1571:C1571"/>
    <mergeCell ref="D1571:F1571"/>
    <mergeCell ref="H1571:I1571"/>
    <mergeCell ref="J1571:K1571"/>
    <mergeCell ref="H1572:K1572"/>
    <mergeCell ref="H1573:K1573"/>
    <mergeCell ref="H1574:L1574"/>
    <mergeCell ref="A1575:L1575"/>
    <mergeCell ref="A1576:C1576"/>
    <mergeCell ref="D1576:F1576"/>
    <mergeCell ref="H1559:I1559"/>
    <mergeCell ref="J1559:K1559"/>
    <mergeCell ref="B1560:C1560"/>
    <mergeCell ref="D1560:F1560"/>
    <mergeCell ref="H1560:I1560"/>
    <mergeCell ref="J1560:K1560"/>
    <mergeCell ref="B1561:C1561"/>
    <mergeCell ref="D1561:F1561"/>
    <mergeCell ref="H1561:I1561"/>
    <mergeCell ref="J1561:K1561"/>
    <mergeCell ref="B1562:C1562"/>
    <mergeCell ref="D1562:F1562"/>
    <mergeCell ref="H1562:I1562"/>
    <mergeCell ref="J1562:K1562"/>
    <mergeCell ref="B1563:C1563"/>
    <mergeCell ref="D1563:F1563"/>
    <mergeCell ref="H1563:I1563"/>
    <mergeCell ref="J1563:K1563"/>
    <mergeCell ref="J1547:K1547"/>
    <mergeCell ref="B1548:C1548"/>
    <mergeCell ref="D1548:F1548"/>
    <mergeCell ref="H1548:I1548"/>
    <mergeCell ref="J1548:K1548"/>
    <mergeCell ref="H1549:K1549"/>
    <mergeCell ref="A1550:C1550"/>
    <mergeCell ref="D1550:F1550"/>
    <mergeCell ref="H1550:I1550"/>
    <mergeCell ref="J1550:K1550"/>
    <mergeCell ref="B1551:C1551"/>
    <mergeCell ref="D1551:F1551"/>
    <mergeCell ref="H1551:I1551"/>
    <mergeCell ref="J1551:K1551"/>
    <mergeCell ref="A1567:C1567"/>
    <mergeCell ref="D1567:F1567"/>
    <mergeCell ref="H1567:I1567"/>
    <mergeCell ref="J1567:K1567"/>
    <mergeCell ref="A1553:C1553"/>
    <mergeCell ref="D1553:F1553"/>
    <mergeCell ref="H1553:I1553"/>
    <mergeCell ref="J1553:K1553"/>
    <mergeCell ref="B1554:C1554"/>
    <mergeCell ref="D1554:F1554"/>
    <mergeCell ref="H1554:I1554"/>
    <mergeCell ref="J1554:K1554"/>
    <mergeCell ref="H1555:K1555"/>
    <mergeCell ref="H1556:K1556"/>
    <mergeCell ref="H1557:L1557"/>
    <mergeCell ref="A1558:L1558"/>
    <mergeCell ref="A1559:C1559"/>
    <mergeCell ref="D1559:F1559"/>
    <mergeCell ref="B1537:C1537"/>
    <mergeCell ref="D1537:F1537"/>
    <mergeCell ref="H1537:I1537"/>
    <mergeCell ref="J1537:K1537"/>
    <mergeCell ref="H1552:K1552"/>
    <mergeCell ref="H1538:K1538"/>
    <mergeCell ref="H1539:K1539"/>
    <mergeCell ref="H1540:L1540"/>
    <mergeCell ref="A1541:L1541"/>
    <mergeCell ref="A1542:C1542"/>
    <mergeCell ref="D1542:F1542"/>
    <mergeCell ref="H1542:I1542"/>
    <mergeCell ref="J1542:K1542"/>
    <mergeCell ref="B1543:C1543"/>
    <mergeCell ref="D1543:F1543"/>
    <mergeCell ref="H1543:I1543"/>
    <mergeCell ref="J1543:K1543"/>
    <mergeCell ref="B1544:C1544"/>
    <mergeCell ref="D1544:F1544"/>
    <mergeCell ref="H1544:I1544"/>
    <mergeCell ref="J1544:K1544"/>
    <mergeCell ref="B1545:C1545"/>
    <mergeCell ref="D1545:F1545"/>
    <mergeCell ref="H1545:I1545"/>
    <mergeCell ref="J1545:K1545"/>
    <mergeCell ref="B1546:C1546"/>
    <mergeCell ref="D1546:F1546"/>
    <mergeCell ref="H1546:I1546"/>
    <mergeCell ref="J1546:K1546"/>
    <mergeCell ref="B1547:C1547"/>
    <mergeCell ref="D1547:F1547"/>
    <mergeCell ref="H1547:I1547"/>
    <mergeCell ref="B1530:C1530"/>
    <mergeCell ref="D1530:F1530"/>
    <mergeCell ref="H1530:I1530"/>
    <mergeCell ref="J1530:K1530"/>
    <mergeCell ref="H1532:K1532"/>
    <mergeCell ref="A1533:C1533"/>
    <mergeCell ref="D1533:F1533"/>
    <mergeCell ref="H1533:I1533"/>
    <mergeCell ref="J1533:K1533"/>
    <mergeCell ref="B1534:C1534"/>
    <mergeCell ref="D1534:F1534"/>
    <mergeCell ref="H1534:I1534"/>
    <mergeCell ref="J1534:K1534"/>
    <mergeCell ref="H1535:K1535"/>
    <mergeCell ref="A1536:C1536"/>
    <mergeCell ref="D1536:F1536"/>
    <mergeCell ref="H1536:I1536"/>
    <mergeCell ref="J1536:K1536"/>
    <mergeCell ref="H1525:I1525"/>
    <mergeCell ref="J1525:K1525"/>
    <mergeCell ref="B1526:C1526"/>
    <mergeCell ref="D1526:F1526"/>
    <mergeCell ref="H1526:I1526"/>
    <mergeCell ref="J1526:K1526"/>
    <mergeCell ref="B1527:C1527"/>
    <mergeCell ref="D1527:F1527"/>
    <mergeCell ref="H1527:I1527"/>
    <mergeCell ref="J1527:K1527"/>
    <mergeCell ref="B1528:C1528"/>
    <mergeCell ref="D1528:F1528"/>
    <mergeCell ref="H1528:I1528"/>
    <mergeCell ref="J1528:K1528"/>
    <mergeCell ref="B1529:C1529"/>
    <mergeCell ref="D1529:F1529"/>
    <mergeCell ref="H1529:I1529"/>
    <mergeCell ref="J1529:K1529"/>
    <mergeCell ref="B1513:C1513"/>
    <mergeCell ref="D1513:F1513"/>
    <mergeCell ref="H1513:I1513"/>
    <mergeCell ref="J1513:K1513"/>
    <mergeCell ref="B1514:C1514"/>
    <mergeCell ref="D1514:F1514"/>
    <mergeCell ref="H1514:I1514"/>
    <mergeCell ref="J1514:K1514"/>
    <mergeCell ref="H1515:K1515"/>
    <mergeCell ref="B1531:C1531"/>
    <mergeCell ref="D1531:F1531"/>
    <mergeCell ref="H1531:I1531"/>
    <mergeCell ref="J1531:K1531"/>
    <mergeCell ref="B1517:C1517"/>
    <mergeCell ref="D1517:F1517"/>
    <mergeCell ref="H1517:I1517"/>
    <mergeCell ref="J1517:K1517"/>
    <mergeCell ref="H1518:K1518"/>
    <mergeCell ref="A1519:C1519"/>
    <mergeCell ref="D1519:F1519"/>
    <mergeCell ref="H1519:I1519"/>
    <mergeCell ref="J1519:K1519"/>
    <mergeCell ref="B1520:C1520"/>
    <mergeCell ref="D1520:F1520"/>
    <mergeCell ref="H1520:I1520"/>
    <mergeCell ref="J1520:K1520"/>
    <mergeCell ref="H1521:K1521"/>
    <mergeCell ref="H1522:K1522"/>
    <mergeCell ref="H1523:L1523"/>
    <mergeCell ref="A1524:L1524"/>
    <mergeCell ref="A1525:C1525"/>
    <mergeCell ref="D1525:F1525"/>
    <mergeCell ref="H1508:I1508"/>
    <mergeCell ref="J1508:K1508"/>
    <mergeCell ref="B1509:C1509"/>
    <mergeCell ref="D1509:F1509"/>
    <mergeCell ref="H1509:I1509"/>
    <mergeCell ref="J1509:K1509"/>
    <mergeCell ref="B1510:C1510"/>
    <mergeCell ref="D1510:F1510"/>
    <mergeCell ref="H1510:I1510"/>
    <mergeCell ref="J1510:K1510"/>
    <mergeCell ref="B1511:C1511"/>
    <mergeCell ref="D1511:F1511"/>
    <mergeCell ref="H1511:I1511"/>
    <mergeCell ref="J1511:K1511"/>
    <mergeCell ref="B1512:C1512"/>
    <mergeCell ref="D1512:F1512"/>
    <mergeCell ref="H1512:I1512"/>
    <mergeCell ref="J1512:K1512"/>
    <mergeCell ref="J1496:K1496"/>
    <mergeCell ref="B1497:C1497"/>
    <mergeCell ref="D1497:F1497"/>
    <mergeCell ref="H1497:I1497"/>
    <mergeCell ref="J1497:K1497"/>
    <mergeCell ref="H1498:K1498"/>
    <mergeCell ref="A1499:C1499"/>
    <mergeCell ref="D1499:F1499"/>
    <mergeCell ref="H1499:I1499"/>
    <mergeCell ref="J1499:K1499"/>
    <mergeCell ref="B1500:C1500"/>
    <mergeCell ref="D1500:F1500"/>
    <mergeCell ref="H1500:I1500"/>
    <mergeCell ref="J1500:K1500"/>
    <mergeCell ref="A1516:C1516"/>
    <mergeCell ref="D1516:F1516"/>
    <mergeCell ref="H1516:I1516"/>
    <mergeCell ref="J1516:K1516"/>
    <mergeCell ref="A1502:C1502"/>
    <mergeCell ref="D1502:F1502"/>
    <mergeCell ref="H1502:I1502"/>
    <mergeCell ref="J1502:K1502"/>
    <mergeCell ref="B1503:C1503"/>
    <mergeCell ref="D1503:F1503"/>
    <mergeCell ref="H1503:I1503"/>
    <mergeCell ref="J1503:K1503"/>
    <mergeCell ref="H1504:K1504"/>
    <mergeCell ref="H1505:K1505"/>
    <mergeCell ref="H1506:L1506"/>
    <mergeCell ref="A1507:L1507"/>
    <mergeCell ref="A1508:C1508"/>
    <mergeCell ref="D1508:F1508"/>
    <mergeCell ref="B1486:C1486"/>
    <mergeCell ref="D1486:F1486"/>
    <mergeCell ref="H1486:I1486"/>
    <mergeCell ref="J1486:K1486"/>
    <mergeCell ref="H1501:K1501"/>
    <mergeCell ref="H1487:K1487"/>
    <mergeCell ref="H1488:K1488"/>
    <mergeCell ref="H1489:L1489"/>
    <mergeCell ref="A1490:L1490"/>
    <mergeCell ref="A1491:C1491"/>
    <mergeCell ref="D1491:F1491"/>
    <mergeCell ref="H1491:I1491"/>
    <mergeCell ref="J1491:K1491"/>
    <mergeCell ref="B1492:C1492"/>
    <mergeCell ref="D1492:F1492"/>
    <mergeCell ref="H1492:I1492"/>
    <mergeCell ref="J1492:K1492"/>
    <mergeCell ref="B1493:C1493"/>
    <mergeCell ref="D1493:F1493"/>
    <mergeCell ref="H1493:I1493"/>
    <mergeCell ref="J1493:K1493"/>
    <mergeCell ref="B1494:C1494"/>
    <mergeCell ref="D1494:F1494"/>
    <mergeCell ref="H1494:I1494"/>
    <mergeCell ref="J1494:K1494"/>
    <mergeCell ref="B1495:C1495"/>
    <mergeCell ref="D1495:F1495"/>
    <mergeCell ref="H1495:I1495"/>
    <mergeCell ref="J1495:K1495"/>
    <mergeCell ref="B1496:C1496"/>
    <mergeCell ref="D1496:F1496"/>
    <mergeCell ref="H1496:I1496"/>
    <mergeCell ref="B1479:C1479"/>
    <mergeCell ref="D1479:F1479"/>
    <mergeCell ref="H1479:I1479"/>
    <mergeCell ref="J1479:K1479"/>
    <mergeCell ref="H1481:K1481"/>
    <mergeCell ref="A1482:C1482"/>
    <mergeCell ref="D1482:F1482"/>
    <mergeCell ref="H1482:I1482"/>
    <mergeCell ref="J1482:K1482"/>
    <mergeCell ref="B1483:C1483"/>
    <mergeCell ref="D1483:F1483"/>
    <mergeCell ref="H1483:I1483"/>
    <mergeCell ref="J1483:K1483"/>
    <mergeCell ref="H1484:K1484"/>
    <mergeCell ref="A1485:C1485"/>
    <mergeCell ref="D1485:F1485"/>
    <mergeCell ref="H1485:I1485"/>
    <mergeCell ref="J1485:K1485"/>
    <mergeCell ref="D1474:F1474"/>
    <mergeCell ref="H1474:I1474"/>
    <mergeCell ref="J1474:K1474"/>
    <mergeCell ref="B1475:C1475"/>
    <mergeCell ref="D1475:F1475"/>
    <mergeCell ref="H1475:I1475"/>
    <mergeCell ref="J1475:K1475"/>
    <mergeCell ref="B1476:C1476"/>
    <mergeCell ref="D1476:F1476"/>
    <mergeCell ref="H1476:I1476"/>
    <mergeCell ref="J1476:K1476"/>
    <mergeCell ref="B1477:C1477"/>
    <mergeCell ref="D1477:F1477"/>
    <mergeCell ref="H1477:I1477"/>
    <mergeCell ref="J1477:K1477"/>
    <mergeCell ref="B1478:C1478"/>
    <mergeCell ref="D1478:F1478"/>
    <mergeCell ref="H1478:I1478"/>
    <mergeCell ref="J1478:K1478"/>
    <mergeCell ref="J1461:K1461"/>
    <mergeCell ref="B1462:C1462"/>
    <mergeCell ref="D1462:F1462"/>
    <mergeCell ref="H1462:I1462"/>
    <mergeCell ref="J1462:K1462"/>
    <mergeCell ref="H1463:K1463"/>
    <mergeCell ref="A1464:C1464"/>
    <mergeCell ref="D1464:F1464"/>
    <mergeCell ref="H1464:I1464"/>
    <mergeCell ref="J1464:K1464"/>
    <mergeCell ref="B1480:C1480"/>
    <mergeCell ref="D1480:F1480"/>
    <mergeCell ref="H1480:I1480"/>
    <mergeCell ref="J1480:K1480"/>
    <mergeCell ref="B1466:C1466"/>
    <mergeCell ref="D1466:F1466"/>
    <mergeCell ref="H1466:I1466"/>
    <mergeCell ref="J1466:K1466"/>
    <mergeCell ref="H1467:K1467"/>
    <mergeCell ref="A1468:C1468"/>
    <mergeCell ref="D1468:F1468"/>
    <mergeCell ref="H1468:I1468"/>
    <mergeCell ref="J1468:K1468"/>
    <mergeCell ref="B1469:C1469"/>
    <mergeCell ref="D1469:F1469"/>
    <mergeCell ref="H1469:I1469"/>
    <mergeCell ref="J1469:K1469"/>
    <mergeCell ref="H1470:K1470"/>
    <mergeCell ref="H1471:K1471"/>
    <mergeCell ref="H1472:L1472"/>
    <mergeCell ref="A1473:L1473"/>
    <mergeCell ref="A1474:C1474"/>
    <mergeCell ref="B1465:C1465"/>
    <mergeCell ref="D1465:F1465"/>
    <mergeCell ref="H1465:I1465"/>
    <mergeCell ref="J1465:K1465"/>
    <mergeCell ref="A1451:C1451"/>
    <mergeCell ref="D1451:F1451"/>
    <mergeCell ref="H1451:I1451"/>
    <mergeCell ref="J1451:K1451"/>
    <mergeCell ref="B1452:C1452"/>
    <mergeCell ref="D1452:F1452"/>
    <mergeCell ref="H1452:I1452"/>
    <mergeCell ref="J1452:K1452"/>
    <mergeCell ref="H1453:K1453"/>
    <mergeCell ref="H1454:K1454"/>
    <mergeCell ref="H1455:L1455"/>
    <mergeCell ref="A1456:L1456"/>
    <mergeCell ref="A1457:C1457"/>
    <mergeCell ref="D1457:F1457"/>
    <mergeCell ref="H1457:I1457"/>
    <mergeCell ref="J1457:K1457"/>
    <mergeCell ref="B1458:C1458"/>
    <mergeCell ref="D1458:F1458"/>
    <mergeCell ref="H1458:I1458"/>
    <mergeCell ref="J1458:K1458"/>
    <mergeCell ref="H1459:K1459"/>
    <mergeCell ref="A1460:C1460"/>
    <mergeCell ref="D1460:F1460"/>
    <mergeCell ref="H1460:I1460"/>
    <mergeCell ref="J1460:K1460"/>
    <mergeCell ref="B1461:C1461"/>
    <mergeCell ref="D1461:F1461"/>
    <mergeCell ref="H1461:I1461"/>
    <mergeCell ref="H1444:I1444"/>
    <mergeCell ref="J1444:K1444"/>
    <mergeCell ref="B1445:C1445"/>
    <mergeCell ref="D1445:F1445"/>
    <mergeCell ref="H1445:I1445"/>
    <mergeCell ref="J1445:K1445"/>
    <mergeCell ref="B1446:C1446"/>
    <mergeCell ref="D1446:F1446"/>
    <mergeCell ref="H1446:I1446"/>
    <mergeCell ref="J1446:K1446"/>
    <mergeCell ref="H1447:K1447"/>
    <mergeCell ref="A1448:C1448"/>
    <mergeCell ref="D1448:F1448"/>
    <mergeCell ref="H1448:I1448"/>
    <mergeCell ref="J1448:K1448"/>
    <mergeCell ref="B1449:C1449"/>
    <mergeCell ref="D1449:F1449"/>
    <mergeCell ref="H1449:I1449"/>
    <mergeCell ref="J1449:K1449"/>
    <mergeCell ref="H1433:K1433"/>
    <mergeCell ref="A1434:C1434"/>
    <mergeCell ref="D1434:F1434"/>
    <mergeCell ref="H1434:I1434"/>
    <mergeCell ref="J1434:K1434"/>
    <mergeCell ref="B1435:C1435"/>
    <mergeCell ref="D1435:F1435"/>
    <mergeCell ref="H1435:I1435"/>
    <mergeCell ref="J1435:K1435"/>
    <mergeCell ref="H1450:K1450"/>
    <mergeCell ref="H1436:K1436"/>
    <mergeCell ref="H1437:K1437"/>
    <mergeCell ref="H1438:L1438"/>
    <mergeCell ref="A1439:L1439"/>
    <mergeCell ref="A1440:C1440"/>
    <mergeCell ref="D1440:F1440"/>
    <mergeCell ref="H1440:I1440"/>
    <mergeCell ref="J1440:K1440"/>
    <mergeCell ref="B1441:C1441"/>
    <mergeCell ref="D1441:F1441"/>
    <mergeCell ref="H1441:I1441"/>
    <mergeCell ref="J1441:K1441"/>
    <mergeCell ref="B1442:C1442"/>
    <mergeCell ref="D1442:F1442"/>
    <mergeCell ref="H1442:I1442"/>
    <mergeCell ref="J1442:K1442"/>
    <mergeCell ref="B1443:C1443"/>
    <mergeCell ref="D1443:F1443"/>
    <mergeCell ref="H1443:I1443"/>
    <mergeCell ref="J1443:K1443"/>
    <mergeCell ref="B1444:C1444"/>
    <mergeCell ref="D1444:F1444"/>
    <mergeCell ref="D1426:F1426"/>
    <mergeCell ref="H1426:I1426"/>
    <mergeCell ref="J1426:K1426"/>
    <mergeCell ref="B1427:C1427"/>
    <mergeCell ref="D1427:F1427"/>
    <mergeCell ref="H1427:I1427"/>
    <mergeCell ref="J1427:K1427"/>
    <mergeCell ref="B1428:C1428"/>
    <mergeCell ref="D1428:F1428"/>
    <mergeCell ref="H1428:I1428"/>
    <mergeCell ref="J1428:K1428"/>
    <mergeCell ref="H1430:K1430"/>
    <mergeCell ref="A1431:C1431"/>
    <mergeCell ref="D1431:F1431"/>
    <mergeCell ref="H1431:I1431"/>
    <mergeCell ref="J1431:K1431"/>
    <mergeCell ref="B1432:C1432"/>
    <mergeCell ref="D1432:F1432"/>
    <mergeCell ref="H1432:I1432"/>
    <mergeCell ref="J1432:K1432"/>
    <mergeCell ref="B1429:C1429"/>
    <mergeCell ref="D1429:F1429"/>
    <mergeCell ref="H1429:I1429"/>
    <mergeCell ref="J1429:K1429"/>
    <mergeCell ref="B1425:C1425"/>
    <mergeCell ref="D1425:F1425"/>
    <mergeCell ref="H1425:I1425"/>
    <mergeCell ref="J1425:K1425"/>
    <mergeCell ref="B1426:C1426"/>
    <mergeCell ref="B1406:C1406"/>
    <mergeCell ref="D1406:F1406"/>
    <mergeCell ref="H1406:I1406"/>
    <mergeCell ref="J1406:K1406"/>
    <mergeCell ref="H1407:K1407"/>
    <mergeCell ref="H1408:K1408"/>
    <mergeCell ref="H1409:L1409"/>
    <mergeCell ref="A1410:L1410"/>
    <mergeCell ref="A1411:C1411"/>
    <mergeCell ref="D1411:F1411"/>
    <mergeCell ref="H1411:I1411"/>
    <mergeCell ref="J1411:K1411"/>
    <mergeCell ref="B1412:C1412"/>
    <mergeCell ref="D1412:F1412"/>
    <mergeCell ref="H1412:I1412"/>
    <mergeCell ref="J1412:K1412"/>
    <mergeCell ref="H1413:K1413"/>
    <mergeCell ref="H1414:K1414"/>
    <mergeCell ref="H1415:L1415"/>
    <mergeCell ref="A1416:L1416"/>
    <mergeCell ref="A1417:C1417"/>
    <mergeCell ref="D1417:F1417"/>
    <mergeCell ref="H1417:I1417"/>
    <mergeCell ref="J1417:K1417"/>
    <mergeCell ref="B1418:C1418"/>
    <mergeCell ref="D1418:F1418"/>
    <mergeCell ref="H1418:I1418"/>
    <mergeCell ref="A1399:C1399"/>
    <mergeCell ref="D1399:F1399"/>
    <mergeCell ref="H1399:I1399"/>
    <mergeCell ref="J1399:K1399"/>
    <mergeCell ref="B1400:C1400"/>
    <mergeCell ref="D1400:F1400"/>
    <mergeCell ref="H1400:I1400"/>
    <mergeCell ref="J1400:K1400"/>
    <mergeCell ref="H1401:K1401"/>
    <mergeCell ref="H1402:K1402"/>
    <mergeCell ref="H1403:L1403"/>
    <mergeCell ref="A1404:L1404"/>
    <mergeCell ref="A1405:C1405"/>
    <mergeCell ref="D1405:F1405"/>
    <mergeCell ref="H1405:I1405"/>
    <mergeCell ref="J1405:K1405"/>
    <mergeCell ref="B1424:C1424"/>
    <mergeCell ref="D1424:F1424"/>
    <mergeCell ref="H1424:I1424"/>
    <mergeCell ref="J1424:K1424"/>
    <mergeCell ref="J1418:K1418"/>
    <mergeCell ref="H1419:K1419"/>
    <mergeCell ref="H1420:K1420"/>
    <mergeCell ref="H1421:L1421"/>
    <mergeCell ref="A1422:L1422"/>
    <mergeCell ref="A1423:C1423"/>
    <mergeCell ref="D1423:F1423"/>
    <mergeCell ref="H1423:I1423"/>
    <mergeCell ref="J1423:K1423"/>
    <mergeCell ref="H1391:I1391"/>
    <mergeCell ref="J1391:K1391"/>
    <mergeCell ref="B1392:C1392"/>
    <mergeCell ref="D1392:F1392"/>
    <mergeCell ref="H1392:I1392"/>
    <mergeCell ref="J1392:K1392"/>
    <mergeCell ref="B1393:C1393"/>
    <mergeCell ref="D1393:F1393"/>
    <mergeCell ref="H1393:I1393"/>
    <mergeCell ref="J1393:K1393"/>
    <mergeCell ref="B1394:C1394"/>
    <mergeCell ref="D1394:F1394"/>
    <mergeCell ref="H1394:I1394"/>
    <mergeCell ref="J1394:K1394"/>
    <mergeCell ref="H1396:K1396"/>
    <mergeCell ref="H1397:L1397"/>
    <mergeCell ref="A1398:L1398"/>
    <mergeCell ref="A1380:C1380"/>
    <mergeCell ref="D1380:F1380"/>
    <mergeCell ref="H1380:I1380"/>
    <mergeCell ref="J1380:K1380"/>
    <mergeCell ref="B1381:C1381"/>
    <mergeCell ref="D1381:F1381"/>
    <mergeCell ref="H1381:I1381"/>
    <mergeCell ref="J1381:K1381"/>
    <mergeCell ref="H1395:K1395"/>
    <mergeCell ref="B1382:C1382"/>
    <mergeCell ref="D1382:F1382"/>
    <mergeCell ref="H1382:I1382"/>
    <mergeCell ref="J1382:K1382"/>
    <mergeCell ref="H1383:K1383"/>
    <mergeCell ref="H1384:K1384"/>
    <mergeCell ref="H1385:L1385"/>
    <mergeCell ref="A1386:L1386"/>
    <mergeCell ref="A1387:C1387"/>
    <mergeCell ref="D1387:F1387"/>
    <mergeCell ref="H1387:I1387"/>
    <mergeCell ref="J1387:K1387"/>
    <mergeCell ref="B1388:C1388"/>
    <mergeCell ref="D1388:F1388"/>
    <mergeCell ref="H1388:I1388"/>
    <mergeCell ref="J1388:K1388"/>
    <mergeCell ref="H1389:K1389"/>
    <mergeCell ref="A1390:C1390"/>
    <mergeCell ref="D1390:F1390"/>
    <mergeCell ref="H1390:I1390"/>
    <mergeCell ref="J1390:K1390"/>
    <mergeCell ref="B1391:C1391"/>
    <mergeCell ref="D1391:F1391"/>
    <mergeCell ref="B1372:C1372"/>
    <mergeCell ref="D1372:F1372"/>
    <mergeCell ref="H1372:I1372"/>
    <mergeCell ref="J1372:K1372"/>
    <mergeCell ref="H1373:K1373"/>
    <mergeCell ref="H1374:K1374"/>
    <mergeCell ref="H1375:L1375"/>
    <mergeCell ref="A1376:L1376"/>
    <mergeCell ref="A1377:C1377"/>
    <mergeCell ref="D1377:F1377"/>
    <mergeCell ref="H1377:I1377"/>
    <mergeCell ref="J1377:K1377"/>
    <mergeCell ref="B1378:C1378"/>
    <mergeCell ref="D1378:F1378"/>
    <mergeCell ref="H1378:I1378"/>
    <mergeCell ref="J1378:K1378"/>
    <mergeCell ref="H1379:K1379"/>
    <mergeCell ref="H1361:K1361"/>
    <mergeCell ref="H1362:K1362"/>
    <mergeCell ref="H1363:L1363"/>
    <mergeCell ref="A1364:L1364"/>
    <mergeCell ref="A1365:C1365"/>
    <mergeCell ref="D1365:F1365"/>
    <mergeCell ref="H1365:I1365"/>
    <mergeCell ref="J1365:K1365"/>
    <mergeCell ref="B1366:C1366"/>
    <mergeCell ref="D1366:F1366"/>
    <mergeCell ref="H1366:I1366"/>
    <mergeCell ref="J1366:K1366"/>
    <mergeCell ref="H1367:K1367"/>
    <mergeCell ref="H1368:K1368"/>
    <mergeCell ref="H1369:L1369"/>
    <mergeCell ref="A1370:L1370"/>
    <mergeCell ref="A1371:C1371"/>
    <mergeCell ref="D1371:F1371"/>
    <mergeCell ref="H1371:I1371"/>
    <mergeCell ref="J1371:K1371"/>
    <mergeCell ref="B1353:C1353"/>
    <mergeCell ref="D1353:F1353"/>
    <mergeCell ref="H1353:I1353"/>
    <mergeCell ref="J1353:K1353"/>
    <mergeCell ref="H1355:K1355"/>
    <mergeCell ref="H1356:K1356"/>
    <mergeCell ref="H1357:L1357"/>
    <mergeCell ref="A1358:L1358"/>
    <mergeCell ref="A1359:C1359"/>
    <mergeCell ref="D1359:F1359"/>
    <mergeCell ref="H1359:I1359"/>
    <mergeCell ref="J1359:K1359"/>
    <mergeCell ref="B1354:C1354"/>
    <mergeCell ref="D1354:F1354"/>
    <mergeCell ref="H1354:I1354"/>
    <mergeCell ref="J1354:K1354"/>
    <mergeCell ref="B1360:C1360"/>
    <mergeCell ref="D1360:F1360"/>
    <mergeCell ref="H1360:I1360"/>
    <mergeCell ref="J1360:K1360"/>
    <mergeCell ref="J1342:K1342"/>
    <mergeCell ref="B1343:C1343"/>
    <mergeCell ref="D1343:F1343"/>
    <mergeCell ref="H1343:I1343"/>
    <mergeCell ref="J1343:K1343"/>
    <mergeCell ref="H1344:K1344"/>
    <mergeCell ref="H1345:K1345"/>
    <mergeCell ref="H1346:L1346"/>
    <mergeCell ref="A1347:L1347"/>
    <mergeCell ref="A1348:C1348"/>
    <mergeCell ref="D1348:F1348"/>
    <mergeCell ref="H1348:I1348"/>
    <mergeCell ref="J1348:K1348"/>
    <mergeCell ref="J1351:K1351"/>
    <mergeCell ref="B1352:C1352"/>
    <mergeCell ref="D1352:F1352"/>
    <mergeCell ref="H1352:I1352"/>
    <mergeCell ref="J1352:K1352"/>
    <mergeCell ref="B1349:C1349"/>
    <mergeCell ref="D1349:F1349"/>
    <mergeCell ref="H1349:I1349"/>
    <mergeCell ref="J1349:K1349"/>
    <mergeCell ref="H1350:K1350"/>
    <mergeCell ref="A1351:C1351"/>
    <mergeCell ref="D1351:F1351"/>
    <mergeCell ref="H1351:I1351"/>
    <mergeCell ref="J1332:K1332"/>
    <mergeCell ref="B1333:C1333"/>
    <mergeCell ref="D1333:F1333"/>
    <mergeCell ref="H1333:I1333"/>
    <mergeCell ref="J1333:K1333"/>
    <mergeCell ref="H1334:K1334"/>
    <mergeCell ref="H1335:K1335"/>
    <mergeCell ref="H1336:L1336"/>
    <mergeCell ref="A1337:L1337"/>
    <mergeCell ref="A1338:C1338"/>
    <mergeCell ref="D1338:F1338"/>
    <mergeCell ref="H1338:I1338"/>
    <mergeCell ref="J1338:K1338"/>
    <mergeCell ref="B1339:C1339"/>
    <mergeCell ref="D1339:F1339"/>
    <mergeCell ref="H1339:I1339"/>
    <mergeCell ref="J1339:K1339"/>
    <mergeCell ref="A1341:C1341"/>
    <mergeCell ref="D1341:F1341"/>
    <mergeCell ref="H1341:I1341"/>
    <mergeCell ref="J1341:K1341"/>
    <mergeCell ref="B1342:C1342"/>
    <mergeCell ref="D1342:F1342"/>
    <mergeCell ref="H1342:I1342"/>
    <mergeCell ref="H1322:I1322"/>
    <mergeCell ref="J1322:K1322"/>
    <mergeCell ref="B1323:C1323"/>
    <mergeCell ref="D1323:F1323"/>
    <mergeCell ref="H1323:I1323"/>
    <mergeCell ref="J1323:K1323"/>
    <mergeCell ref="B1324:C1324"/>
    <mergeCell ref="D1324:F1324"/>
    <mergeCell ref="H1324:I1324"/>
    <mergeCell ref="J1324:K1324"/>
    <mergeCell ref="H1340:K1340"/>
    <mergeCell ref="B1326:C1326"/>
    <mergeCell ref="D1326:F1326"/>
    <mergeCell ref="H1326:I1326"/>
    <mergeCell ref="J1326:K1326"/>
    <mergeCell ref="B1327:C1327"/>
    <mergeCell ref="D1327:F1327"/>
    <mergeCell ref="H1327:I1327"/>
    <mergeCell ref="J1327:K1327"/>
    <mergeCell ref="H1328:K1328"/>
    <mergeCell ref="A1329:C1329"/>
    <mergeCell ref="D1329:F1329"/>
    <mergeCell ref="H1329:I1329"/>
    <mergeCell ref="J1329:K1329"/>
    <mergeCell ref="B1330:C1330"/>
    <mergeCell ref="D1330:F1330"/>
    <mergeCell ref="H1330:I1330"/>
    <mergeCell ref="J1330:K1330"/>
    <mergeCell ref="H1331:K1331"/>
    <mergeCell ref="A1332:C1332"/>
    <mergeCell ref="D1332:F1332"/>
    <mergeCell ref="H1332:I1332"/>
    <mergeCell ref="B1325:C1325"/>
    <mergeCell ref="D1325:F1325"/>
    <mergeCell ref="H1325:I1325"/>
    <mergeCell ref="J1325:K1325"/>
    <mergeCell ref="H1311:K1311"/>
    <mergeCell ref="A1312:C1312"/>
    <mergeCell ref="D1312:F1312"/>
    <mergeCell ref="H1312:I1312"/>
    <mergeCell ref="J1312:K1312"/>
    <mergeCell ref="B1313:C1313"/>
    <mergeCell ref="D1313:F1313"/>
    <mergeCell ref="H1313:I1313"/>
    <mergeCell ref="J1313:K1313"/>
    <mergeCell ref="H1314:K1314"/>
    <mergeCell ref="A1315:C1315"/>
    <mergeCell ref="D1315:F1315"/>
    <mergeCell ref="H1315:I1315"/>
    <mergeCell ref="J1315:K1315"/>
    <mergeCell ref="B1316:C1316"/>
    <mergeCell ref="D1316:F1316"/>
    <mergeCell ref="H1316:I1316"/>
    <mergeCell ref="J1316:K1316"/>
    <mergeCell ref="H1317:K1317"/>
    <mergeCell ref="H1318:K1318"/>
    <mergeCell ref="H1319:L1319"/>
    <mergeCell ref="A1320:L1320"/>
    <mergeCell ref="A1321:C1321"/>
    <mergeCell ref="D1321:F1321"/>
    <mergeCell ref="H1321:I1321"/>
    <mergeCell ref="J1321:K1321"/>
    <mergeCell ref="B1322:C1322"/>
    <mergeCell ref="D1322:F1322"/>
    <mergeCell ref="D1305:F1305"/>
    <mergeCell ref="H1305:I1305"/>
    <mergeCell ref="J1305:K1305"/>
    <mergeCell ref="B1306:C1306"/>
    <mergeCell ref="D1306:F1306"/>
    <mergeCell ref="H1306:I1306"/>
    <mergeCell ref="J1306:K1306"/>
    <mergeCell ref="B1307:C1307"/>
    <mergeCell ref="D1307:F1307"/>
    <mergeCell ref="H1307:I1307"/>
    <mergeCell ref="J1307:K1307"/>
    <mergeCell ref="B1308:C1308"/>
    <mergeCell ref="D1308:F1308"/>
    <mergeCell ref="H1308:I1308"/>
    <mergeCell ref="J1308:K1308"/>
    <mergeCell ref="B1309:C1309"/>
    <mergeCell ref="D1309:F1309"/>
    <mergeCell ref="H1309:I1309"/>
    <mergeCell ref="J1309:K1309"/>
    <mergeCell ref="H1294:I1294"/>
    <mergeCell ref="J1294:K1294"/>
    <mergeCell ref="B1295:C1295"/>
    <mergeCell ref="D1295:F1295"/>
    <mergeCell ref="H1295:I1295"/>
    <mergeCell ref="J1295:K1295"/>
    <mergeCell ref="B1310:C1310"/>
    <mergeCell ref="D1310:F1310"/>
    <mergeCell ref="H1310:I1310"/>
    <mergeCell ref="J1310:K1310"/>
    <mergeCell ref="A1297:C1297"/>
    <mergeCell ref="D1297:F1297"/>
    <mergeCell ref="H1297:I1297"/>
    <mergeCell ref="J1297:K1297"/>
    <mergeCell ref="B1298:C1298"/>
    <mergeCell ref="D1298:F1298"/>
    <mergeCell ref="H1298:I1298"/>
    <mergeCell ref="J1298:K1298"/>
    <mergeCell ref="B1299:C1299"/>
    <mergeCell ref="D1299:F1299"/>
    <mergeCell ref="H1299:I1299"/>
    <mergeCell ref="J1299:K1299"/>
    <mergeCell ref="H1300:K1300"/>
    <mergeCell ref="A1301:D1301"/>
    <mergeCell ref="H1301:K1301"/>
    <mergeCell ref="H1302:L1302"/>
    <mergeCell ref="A1303:L1303"/>
    <mergeCell ref="A1304:C1304"/>
    <mergeCell ref="D1304:F1304"/>
    <mergeCell ref="H1304:I1304"/>
    <mergeCell ref="J1304:K1304"/>
    <mergeCell ref="B1305:C1305"/>
    <mergeCell ref="H1296:K1296"/>
    <mergeCell ref="B1283:C1283"/>
    <mergeCell ref="D1283:F1283"/>
    <mergeCell ref="H1283:I1283"/>
    <mergeCell ref="J1283:K1283"/>
    <mergeCell ref="H1284:K1284"/>
    <mergeCell ref="A1285:C1285"/>
    <mergeCell ref="D1285:F1285"/>
    <mergeCell ref="H1285:I1285"/>
    <mergeCell ref="J1285:K1285"/>
    <mergeCell ref="B1286:C1286"/>
    <mergeCell ref="D1286:F1286"/>
    <mergeCell ref="H1286:I1286"/>
    <mergeCell ref="J1286:K1286"/>
    <mergeCell ref="B1287:C1287"/>
    <mergeCell ref="D1287:F1287"/>
    <mergeCell ref="H1287:I1287"/>
    <mergeCell ref="J1287:K1287"/>
    <mergeCell ref="H1288:K1288"/>
    <mergeCell ref="H1289:K1289"/>
    <mergeCell ref="H1290:L1290"/>
    <mergeCell ref="A1291:L1291"/>
    <mergeCell ref="A1292:C1292"/>
    <mergeCell ref="D1292:F1292"/>
    <mergeCell ref="H1292:I1292"/>
    <mergeCell ref="J1292:K1292"/>
    <mergeCell ref="B1293:C1293"/>
    <mergeCell ref="D1293:F1293"/>
    <mergeCell ref="H1293:I1293"/>
    <mergeCell ref="J1293:K1293"/>
    <mergeCell ref="B1294:C1294"/>
    <mergeCell ref="D1294:F1294"/>
    <mergeCell ref="H1272:K1272"/>
    <mergeCell ref="H1273:K1273"/>
    <mergeCell ref="H1274:L1274"/>
    <mergeCell ref="A1275:L1275"/>
    <mergeCell ref="A1276:C1276"/>
    <mergeCell ref="D1276:F1276"/>
    <mergeCell ref="H1276:I1276"/>
    <mergeCell ref="J1276:K1276"/>
    <mergeCell ref="B1277:C1277"/>
    <mergeCell ref="D1277:F1277"/>
    <mergeCell ref="H1277:I1277"/>
    <mergeCell ref="J1277:K1277"/>
    <mergeCell ref="H1278:K1278"/>
    <mergeCell ref="H1279:K1279"/>
    <mergeCell ref="H1280:L1280"/>
    <mergeCell ref="A1281:L1281"/>
    <mergeCell ref="A1282:C1282"/>
    <mergeCell ref="D1282:F1282"/>
    <mergeCell ref="H1282:I1282"/>
    <mergeCell ref="J1282:K1282"/>
    <mergeCell ref="B1263:C1263"/>
    <mergeCell ref="D1263:F1263"/>
    <mergeCell ref="H1263:I1263"/>
    <mergeCell ref="J1263:K1263"/>
    <mergeCell ref="B1264:C1264"/>
    <mergeCell ref="D1264:F1264"/>
    <mergeCell ref="H1264:I1264"/>
    <mergeCell ref="J1264:K1264"/>
    <mergeCell ref="H1265:K1265"/>
    <mergeCell ref="H1266:K1266"/>
    <mergeCell ref="H1267:L1267"/>
    <mergeCell ref="A1268:L1268"/>
    <mergeCell ref="A1269:C1269"/>
    <mergeCell ref="D1269:F1269"/>
    <mergeCell ref="H1269:I1269"/>
    <mergeCell ref="J1269:K1269"/>
    <mergeCell ref="B1270:C1270"/>
    <mergeCell ref="D1270:F1270"/>
    <mergeCell ref="H1270:I1270"/>
    <mergeCell ref="J1270:K1270"/>
    <mergeCell ref="B1249:C1249"/>
    <mergeCell ref="D1249:F1249"/>
    <mergeCell ref="H1249:I1249"/>
    <mergeCell ref="J1249:K1249"/>
    <mergeCell ref="B1271:C1271"/>
    <mergeCell ref="D1271:F1271"/>
    <mergeCell ref="H1271:I1271"/>
    <mergeCell ref="J1271:K1271"/>
    <mergeCell ref="H1251:K1251"/>
    <mergeCell ref="H1252:K1252"/>
    <mergeCell ref="H1253:L1253"/>
    <mergeCell ref="A1254:L1254"/>
    <mergeCell ref="A1255:C1255"/>
    <mergeCell ref="D1255:F1255"/>
    <mergeCell ref="H1255:I1255"/>
    <mergeCell ref="J1255:K1255"/>
    <mergeCell ref="B1256:C1256"/>
    <mergeCell ref="D1256:F1256"/>
    <mergeCell ref="H1256:I1256"/>
    <mergeCell ref="J1256:K1256"/>
    <mergeCell ref="B1257:C1257"/>
    <mergeCell ref="D1257:F1257"/>
    <mergeCell ref="H1257:I1257"/>
    <mergeCell ref="J1257:K1257"/>
    <mergeCell ref="H1258:K1258"/>
    <mergeCell ref="H1259:K1259"/>
    <mergeCell ref="H1260:L1260"/>
    <mergeCell ref="A1261:L1261"/>
    <mergeCell ref="A1262:C1262"/>
    <mergeCell ref="D1262:F1262"/>
    <mergeCell ref="H1262:I1262"/>
    <mergeCell ref="J1262:K1262"/>
    <mergeCell ref="D1241:F1241"/>
    <mergeCell ref="H1241:I1241"/>
    <mergeCell ref="J1241:K1241"/>
    <mergeCell ref="B1242:C1242"/>
    <mergeCell ref="D1242:F1242"/>
    <mergeCell ref="H1242:I1242"/>
    <mergeCell ref="J1242:K1242"/>
    <mergeCell ref="B1243:C1243"/>
    <mergeCell ref="D1243:F1243"/>
    <mergeCell ref="H1243:I1243"/>
    <mergeCell ref="J1243:K1243"/>
    <mergeCell ref="H1244:K1244"/>
    <mergeCell ref="H1245:K1245"/>
    <mergeCell ref="H1246:L1246"/>
    <mergeCell ref="A1247:L1247"/>
    <mergeCell ref="A1248:C1248"/>
    <mergeCell ref="D1248:F1248"/>
    <mergeCell ref="H1248:I1248"/>
    <mergeCell ref="J1248:K1248"/>
    <mergeCell ref="J1228:K1228"/>
    <mergeCell ref="B1229:C1229"/>
    <mergeCell ref="D1229:F1229"/>
    <mergeCell ref="H1229:I1229"/>
    <mergeCell ref="J1229:K1229"/>
    <mergeCell ref="B1230:C1230"/>
    <mergeCell ref="D1230:F1230"/>
    <mergeCell ref="H1230:I1230"/>
    <mergeCell ref="J1230:K1230"/>
    <mergeCell ref="H1231:K1231"/>
    <mergeCell ref="B1250:C1250"/>
    <mergeCell ref="D1250:F1250"/>
    <mergeCell ref="H1250:I1250"/>
    <mergeCell ref="J1250:K1250"/>
    <mergeCell ref="B1236:C1236"/>
    <mergeCell ref="D1236:F1236"/>
    <mergeCell ref="H1236:I1236"/>
    <mergeCell ref="J1236:K1236"/>
    <mergeCell ref="H1237:K1237"/>
    <mergeCell ref="A1238:C1238"/>
    <mergeCell ref="D1238:F1238"/>
    <mergeCell ref="H1238:I1238"/>
    <mergeCell ref="J1238:K1238"/>
    <mergeCell ref="B1239:C1239"/>
    <mergeCell ref="D1239:F1239"/>
    <mergeCell ref="H1239:I1239"/>
    <mergeCell ref="J1239:K1239"/>
    <mergeCell ref="B1240:C1240"/>
    <mergeCell ref="D1240:F1240"/>
    <mergeCell ref="H1240:I1240"/>
    <mergeCell ref="J1240:K1240"/>
    <mergeCell ref="B1241:C1241"/>
    <mergeCell ref="H1214:K1214"/>
    <mergeCell ref="H1232:K1232"/>
    <mergeCell ref="H1233:L1233"/>
    <mergeCell ref="A1234:L1234"/>
    <mergeCell ref="A1235:C1235"/>
    <mergeCell ref="D1235:F1235"/>
    <mergeCell ref="H1235:I1235"/>
    <mergeCell ref="J1235:K1235"/>
    <mergeCell ref="B1219:C1219"/>
    <mergeCell ref="D1219:F1219"/>
    <mergeCell ref="H1219:I1219"/>
    <mergeCell ref="J1219:K1219"/>
    <mergeCell ref="H1220:K1220"/>
    <mergeCell ref="H1221:K1221"/>
    <mergeCell ref="H1222:L1222"/>
    <mergeCell ref="A1223:L1223"/>
    <mergeCell ref="A1224:C1224"/>
    <mergeCell ref="D1224:F1224"/>
    <mergeCell ref="H1224:I1224"/>
    <mergeCell ref="J1224:K1224"/>
    <mergeCell ref="B1225:C1225"/>
    <mergeCell ref="D1225:F1225"/>
    <mergeCell ref="H1225:I1225"/>
    <mergeCell ref="J1225:K1225"/>
    <mergeCell ref="H1226:K1226"/>
    <mergeCell ref="A1227:C1227"/>
    <mergeCell ref="D1227:F1227"/>
    <mergeCell ref="H1227:I1227"/>
    <mergeCell ref="J1227:K1227"/>
    <mergeCell ref="B1228:C1228"/>
    <mergeCell ref="D1228:F1228"/>
    <mergeCell ref="H1228:I1228"/>
    <mergeCell ref="B1206:C1206"/>
    <mergeCell ref="D1206:F1206"/>
    <mergeCell ref="H1206:I1206"/>
    <mergeCell ref="J1206:K1206"/>
    <mergeCell ref="H1207:K1207"/>
    <mergeCell ref="H1208:K1208"/>
    <mergeCell ref="H1209:L1209"/>
    <mergeCell ref="A1210:L1210"/>
    <mergeCell ref="A1211:C1211"/>
    <mergeCell ref="D1211:F1211"/>
    <mergeCell ref="H1211:I1211"/>
    <mergeCell ref="J1211:K1211"/>
    <mergeCell ref="B1212:C1212"/>
    <mergeCell ref="D1212:F1212"/>
    <mergeCell ref="H1212:I1212"/>
    <mergeCell ref="J1212:K1212"/>
    <mergeCell ref="B1213:C1213"/>
    <mergeCell ref="D1213:F1213"/>
    <mergeCell ref="H1213:I1213"/>
    <mergeCell ref="J1213:K1213"/>
    <mergeCell ref="B1192:C1192"/>
    <mergeCell ref="D1192:F1192"/>
    <mergeCell ref="H1192:I1192"/>
    <mergeCell ref="J1192:K1192"/>
    <mergeCell ref="H1193:K1193"/>
    <mergeCell ref="H1215:K1215"/>
    <mergeCell ref="H1216:L1216"/>
    <mergeCell ref="A1217:L1217"/>
    <mergeCell ref="A1218:C1218"/>
    <mergeCell ref="D1218:F1218"/>
    <mergeCell ref="H1218:I1218"/>
    <mergeCell ref="J1218:K1218"/>
    <mergeCell ref="B1198:C1198"/>
    <mergeCell ref="D1198:F1198"/>
    <mergeCell ref="H1198:I1198"/>
    <mergeCell ref="J1198:K1198"/>
    <mergeCell ref="B1199:C1199"/>
    <mergeCell ref="D1199:F1199"/>
    <mergeCell ref="H1199:I1199"/>
    <mergeCell ref="J1199:K1199"/>
    <mergeCell ref="H1200:K1200"/>
    <mergeCell ref="H1201:K1201"/>
    <mergeCell ref="H1202:L1202"/>
    <mergeCell ref="A1203:L1203"/>
    <mergeCell ref="A1204:C1204"/>
    <mergeCell ref="D1204:F1204"/>
    <mergeCell ref="H1204:I1204"/>
    <mergeCell ref="J1204:K1204"/>
    <mergeCell ref="B1205:C1205"/>
    <mergeCell ref="D1205:F1205"/>
    <mergeCell ref="H1205:I1205"/>
    <mergeCell ref="J1205:K1205"/>
    <mergeCell ref="B1184:C1184"/>
    <mergeCell ref="D1184:F1184"/>
    <mergeCell ref="H1184:I1184"/>
    <mergeCell ref="J1184:K1184"/>
    <mergeCell ref="B1185:C1185"/>
    <mergeCell ref="D1185:F1185"/>
    <mergeCell ref="H1185:I1185"/>
    <mergeCell ref="J1185:K1185"/>
    <mergeCell ref="H1186:K1186"/>
    <mergeCell ref="H1187:K1187"/>
    <mergeCell ref="H1188:L1188"/>
    <mergeCell ref="A1189:L1189"/>
    <mergeCell ref="A1190:C1190"/>
    <mergeCell ref="D1190:F1190"/>
    <mergeCell ref="H1190:I1190"/>
    <mergeCell ref="J1190:K1190"/>
    <mergeCell ref="B1191:C1191"/>
    <mergeCell ref="D1191:F1191"/>
    <mergeCell ref="H1191:I1191"/>
    <mergeCell ref="J1191:K1191"/>
    <mergeCell ref="A1176:L1176"/>
    <mergeCell ref="A1177:C1177"/>
    <mergeCell ref="D1177:F1177"/>
    <mergeCell ref="H1177:I1177"/>
    <mergeCell ref="J1177:K1177"/>
    <mergeCell ref="B1178:C1178"/>
    <mergeCell ref="D1178:F1178"/>
    <mergeCell ref="H1178:I1178"/>
    <mergeCell ref="J1178:K1178"/>
    <mergeCell ref="H1194:K1194"/>
    <mergeCell ref="H1195:L1195"/>
    <mergeCell ref="A1196:L1196"/>
    <mergeCell ref="A1197:C1197"/>
    <mergeCell ref="D1197:F1197"/>
    <mergeCell ref="H1197:I1197"/>
    <mergeCell ref="J1197:K1197"/>
    <mergeCell ref="A1180:C1180"/>
    <mergeCell ref="D1180:F1180"/>
    <mergeCell ref="H1180:I1180"/>
    <mergeCell ref="J1180:K1180"/>
    <mergeCell ref="B1181:C1181"/>
    <mergeCell ref="D1181:F1181"/>
    <mergeCell ref="H1181:I1181"/>
    <mergeCell ref="J1181:K1181"/>
    <mergeCell ref="B1182:C1182"/>
    <mergeCell ref="D1182:F1182"/>
    <mergeCell ref="H1182:I1182"/>
    <mergeCell ref="J1182:K1182"/>
    <mergeCell ref="B1183:C1183"/>
    <mergeCell ref="D1183:F1183"/>
    <mergeCell ref="H1183:I1183"/>
    <mergeCell ref="J1183:K1183"/>
    <mergeCell ref="H1179:K1179"/>
    <mergeCell ref="H1163:K1163"/>
    <mergeCell ref="H1164:L1164"/>
    <mergeCell ref="A1165:L1165"/>
    <mergeCell ref="A1166:C1166"/>
    <mergeCell ref="D1166:F1166"/>
    <mergeCell ref="H1166:I1166"/>
    <mergeCell ref="J1166:K1166"/>
    <mergeCell ref="B1167:C1167"/>
    <mergeCell ref="D1167:F1167"/>
    <mergeCell ref="H1167:I1167"/>
    <mergeCell ref="J1167:K1167"/>
    <mergeCell ref="H1168:K1168"/>
    <mergeCell ref="A1169:C1169"/>
    <mergeCell ref="D1169:F1169"/>
    <mergeCell ref="H1169:I1169"/>
    <mergeCell ref="J1169:K1169"/>
    <mergeCell ref="B1170:C1170"/>
    <mergeCell ref="D1170:F1170"/>
    <mergeCell ref="H1170:I1170"/>
    <mergeCell ref="J1170:K1170"/>
    <mergeCell ref="B1171:C1171"/>
    <mergeCell ref="D1171:F1171"/>
    <mergeCell ref="H1171:I1171"/>
    <mergeCell ref="J1171:K1171"/>
    <mergeCell ref="B1172:C1172"/>
    <mergeCell ref="D1172:F1172"/>
    <mergeCell ref="H1172:I1172"/>
    <mergeCell ref="J1172:K1172"/>
    <mergeCell ref="H1173:K1173"/>
    <mergeCell ref="H1174:K1174"/>
    <mergeCell ref="H1175:L1175"/>
    <mergeCell ref="B1155:C1155"/>
    <mergeCell ref="D1155:F1155"/>
    <mergeCell ref="H1155:I1155"/>
    <mergeCell ref="J1155:K1155"/>
    <mergeCell ref="H1156:K1156"/>
    <mergeCell ref="H1157:K1157"/>
    <mergeCell ref="H1158:L1158"/>
    <mergeCell ref="A1159:L1159"/>
    <mergeCell ref="A1160:C1160"/>
    <mergeCell ref="D1160:F1160"/>
    <mergeCell ref="H1160:I1160"/>
    <mergeCell ref="J1160:K1160"/>
    <mergeCell ref="B1161:C1161"/>
    <mergeCell ref="D1161:F1161"/>
    <mergeCell ref="H1161:I1161"/>
    <mergeCell ref="J1161:K1161"/>
    <mergeCell ref="H1162:K1162"/>
    <mergeCell ref="H1145:K1145"/>
    <mergeCell ref="H1146:L1146"/>
    <mergeCell ref="A1147:L1147"/>
    <mergeCell ref="A1148:C1148"/>
    <mergeCell ref="D1148:F1148"/>
    <mergeCell ref="H1148:I1148"/>
    <mergeCell ref="J1148:K1148"/>
    <mergeCell ref="B1149:C1149"/>
    <mergeCell ref="D1149:F1149"/>
    <mergeCell ref="H1149:I1149"/>
    <mergeCell ref="J1149:K1149"/>
    <mergeCell ref="H1150:K1150"/>
    <mergeCell ref="H1151:K1151"/>
    <mergeCell ref="H1152:L1152"/>
    <mergeCell ref="A1153:L1153"/>
    <mergeCell ref="A1154:C1154"/>
    <mergeCell ref="D1154:F1154"/>
    <mergeCell ref="H1154:I1154"/>
    <mergeCell ref="J1154:K1154"/>
    <mergeCell ref="B1137:C1137"/>
    <mergeCell ref="D1137:F1137"/>
    <mergeCell ref="H1137:I1137"/>
    <mergeCell ref="J1137:K1137"/>
    <mergeCell ref="H1138:K1138"/>
    <mergeCell ref="H1139:K1139"/>
    <mergeCell ref="H1140:L1140"/>
    <mergeCell ref="A1141:L1141"/>
    <mergeCell ref="A1142:C1142"/>
    <mergeCell ref="D1142:F1142"/>
    <mergeCell ref="H1142:I1142"/>
    <mergeCell ref="J1142:K1142"/>
    <mergeCell ref="B1143:C1143"/>
    <mergeCell ref="D1143:F1143"/>
    <mergeCell ref="H1143:I1143"/>
    <mergeCell ref="J1143:K1143"/>
    <mergeCell ref="H1144:K1144"/>
    <mergeCell ref="A1136:C1136"/>
    <mergeCell ref="D1136:F1136"/>
    <mergeCell ref="H1136:I1136"/>
    <mergeCell ref="J1136:K1136"/>
    <mergeCell ref="H1119:K1119"/>
    <mergeCell ref="H1120:K1120"/>
    <mergeCell ref="H1121:L1121"/>
    <mergeCell ref="A1122:L1122"/>
    <mergeCell ref="A1123:C1123"/>
    <mergeCell ref="D1123:F1123"/>
    <mergeCell ref="H1123:I1123"/>
    <mergeCell ref="J1123:K1123"/>
    <mergeCell ref="B1124:C1124"/>
    <mergeCell ref="D1124:F1124"/>
    <mergeCell ref="H1124:I1124"/>
    <mergeCell ref="J1124:K1124"/>
    <mergeCell ref="H1125:K1125"/>
    <mergeCell ref="A1126:C1126"/>
    <mergeCell ref="D1126:F1126"/>
    <mergeCell ref="H1126:I1126"/>
    <mergeCell ref="J1126:K1126"/>
    <mergeCell ref="B1127:C1127"/>
    <mergeCell ref="D1127:F1127"/>
    <mergeCell ref="H1127:I1127"/>
    <mergeCell ref="J1127:K1127"/>
    <mergeCell ref="B1128:C1128"/>
    <mergeCell ref="D1128:F1128"/>
    <mergeCell ref="H1128:I1128"/>
    <mergeCell ref="J1128:K1128"/>
    <mergeCell ref="B1129:C1129"/>
    <mergeCell ref="D1129:F1129"/>
    <mergeCell ref="H1129:I1129"/>
    <mergeCell ref="J1113:K1113"/>
    <mergeCell ref="H1114:K1114"/>
    <mergeCell ref="A1115:C1115"/>
    <mergeCell ref="D1115:F1115"/>
    <mergeCell ref="H1115:I1115"/>
    <mergeCell ref="J1115:K1115"/>
    <mergeCell ref="B1116:C1116"/>
    <mergeCell ref="D1116:F1116"/>
    <mergeCell ref="H1116:I1116"/>
    <mergeCell ref="J1116:K1116"/>
    <mergeCell ref="B1117:C1117"/>
    <mergeCell ref="D1117:F1117"/>
    <mergeCell ref="H1117:I1117"/>
    <mergeCell ref="J1117:K1117"/>
    <mergeCell ref="H1133:K1133"/>
    <mergeCell ref="H1134:L1134"/>
    <mergeCell ref="A1135:L1135"/>
    <mergeCell ref="J1129:K1129"/>
    <mergeCell ref="B1130:C1130"/>
    <mergeCell ref="D1130:F1130"/>
    <mergeCell ref="H1130:I1130"/>
    <mergeCell ref="J1130:K1130"/>
    <mergeCell ref="B1131:C1131"/>
    <mergeCell ref="D1131:F1131"/>
    <mergeCell ref="H1131:I1131"/>
    <mergeCell ref="J1131:K1131"/>
    <mergeCell ref="H1132:K1132"/>
    <mergeCell ref="B1103:C1103"/>
    <mergeCell ref="D1103:F1103"/>
    <mergeCell ref="H1103:I1103"/>
    <mergeCell ref="J1103:K1103"/>
    <mergeCell ref="H1104:K1104"/>
    <mergeCell ref="B1118:C1118"/>
    <mergeCell ref="D1118:F1118"/>
    <mergeCell ref="H1118:I1118"/>
    <mergeCell ref="J1118:K1118"/>
    <mergeCell ref="A1105:C1105"/>
    <mergeCell ref="D1105:F1105"/>
    <mergeCell ref="H1105:I1105"/>
    <mergeCell ref="J1105:K1105"/>
    <mergeCell ref="B1106:C1106"/>
    <mergeCell ref="D1106:F1106"/>
    <mergeCell ref="H1106:I1106"/>
    <mergeCell ref="J1106:K1106"/>
    <mergeCell ref="B1107:C1107"/>
    <mergeCell ref="D1107:F1107"/>
    <mergeCell ref="H1107:I1107"/>
    <mergeCell ref="J1107:K1107"/>
    <mergeCell ref="H1108:K1108"/>
    <mergeCell ref="H1109:K1109"/>
    <mergeCell ref="H1110:L1110"/>
    <mergeCell ref="A1111:L1111"/>
    <mergeCell ref="A1112:C1112"/>
    <mergeCell ref="D1112:F1112"/>
    <mergeCell ref="H1112:I1112"/>
    <mergeCell ref="J1112:K1112"/>
    <mergeCell ref="B1113:C1113"/>
    <mergeCell ref="D1113:F1113"/>
    <mergeCell ref="H1113:I1113"/>
    <mergeCell ref="H1092:K1092"/>
    <mergeCell ref="H1093:L1093"/>
    <mergeCell ref="A1094:L1094"/>
    <mergeCell ref="A1095:F1095"/>
    <mergeCell ref="H1095:I1095"/>
    <mergeCell ref="J1095:K1095"/>
    <mergeCell ref="B1096:F1096"/>
    <mergeCell ref="H1096:I1096"/>
    <mergeCell ref="J1096:K1096"/>
    <mergeCell ref="H1097:K1097"/>
    <mergeCell ref="H1098:K1098"/>
    <mergeCell ref="H1099:K1099"/>
    <mergeCell ref="H1100:L1100"/>
    <mergeCell ref="A1101:L1101"/>
    <mergeCell ref="A1102:C1102"/>
    <mergeCell ref="D1102:F1102"/>
    <mergeCell ref="H1102:I1102"/>
    <mergeCell ref="J1102:K1102"/>
    <mergeCell ref="B1086:C1086"/>
    <mergeCell ref="D1086:F1086"/>
    <mergeCell ref="H1086:I1086"/>
    <mergeCell ref="J1086:K1086"/>
    <mergeCell ref="A1088:C1088"/>
    <mergeCell ref="D1088:F1088"/>
    <mergeCell ref="H1088:I1088"/>
    <mergeCell ref="J1088:K1088"/>
    <mergeCell ref="B1089:C1089"/>
    <mergeCell ref="D1089:F1089"/>
    <mergeCell ref="H1089:I1089"/>
    <mergeCell ref="J1089:K1089"/>
    <mergeCell ref="B1090:C1090"/>
    <mergeCell ref="D1090:F1090"/>
    <mergeCell ref="H1090:I1090"/>
    <mergeCell ref="J1090:K1090"/>
    <mergeCell ref="H1091:K1091"/>
    <mergeCell ref="D1081:F1081"/>
    <mergeCell ref="H1081:I1081"/>
    <mergeCell ref="J1081:K1081"/>
    <mergeCell ref="B1082:C1082"/>
    <mergeCell ref="D1082:F1082"/>
    <mergeCell ref="H1082:I1082"/>
    <mergeCell ref="J1082:K1082"/>
    <mergeCell ref="B1083:C1083"/>
    <mergeCell ref="D1083:F1083"/>
    <mergeCell ref="H1083:I1083"/>
    <mergeCell ref="J1083:K1083"/>
    <mergeCell ref="B1084:C1084"/>
    <mergeCell ref="D1084:F1084"/>
    <mergeCell ref="H1084:I1084"/>
    <mergeCell ref="J1084:K1084"/>
    <mergeCell ref="B1085:C1085"/>
    <mergeCell ref="D1085:F1085"/>
    <mergeCell ref="H1085:I1085"/>
    <mergeCell ref="J1085:K1085"/>
    <mergeCell ref="H1064:K1064"/>
    <mergeCell ref="H1065:L1065"/>
    <mergeCell ref="A1066:L1066"/>
    <mergeCell ref="A1067:F1067"/>
    <mergeCell ref="H1067:I1067"/>
    <mergeCell ref="J1067:K1067"/>
    <mergeCell ref="B1068:F1068"/>
    <mergeCell ref="H1068:I1068"/>
    <mergeCell ref="J1068:K1068"/>
    <mergeCell ref="H1069:K1069"/>
    <mergeCell ref="H1070:K1070"/>
    <mergeCell ref="H1071:K1071"/>
    <mergeCell ref="H1072:K1072"/>
    <mergeCell ref="H1073:K1073"/>
    <mergeCell ref="H1074:K1074"/>
    <mergeCell ref="H1075:L1075"/>
    <mergeCell ref="H1087:K1087"/>
    <mergeCell ref="A1076:L1076"/>
    <mergeCell ref="A1077:C1077"/>
    <mergeCell ref="D1077:F1077"/>
    <mergeCell ref="H1077:I1077"/>
    <mergeCell ref="J1077:K1077"/>
    <mergeCell ref="B1078:C1078"/>
    <mergeCell ref="D1078:F1078"/>
    <mergeCell ref="H1078:I1078"/>
    <mergeCell ref="J1078:K1078"/>
    <mergeCell ref="B1079:C1079"/>
    <mergeCell ref="D1079:F1079"/>
    <mergeCell ref="H1079:I1079"/>
    <mergeCell ref="J1079:K1079"/>
    <mergeCell ref="H1080:K1080"/>
    <mergeCell ref="A1081:C1081"/>
    <mergeCell ref="B1059:C1059"/>
    <mergeCell ref="D1059:F1059"/>
    <mergeCell ref="H1059:I1059"/>
    <mergeCell ref="J1059:K1059"/>
    <mergeCell ref="B1060:C1060"/>
    <mergeCell ref="D1060:F1060"/>
    <mergeCell ref="H1060:I1060"/>
    <mergeCell ref="J1060:K1060"/>
    <mergeCell ref="B1061:C1061"/>
    <mergeCell ref="D1061:F1061"/>
    <mergeCell ref="H1061:I1061"/>
    <mergeCell ref="J1061:K1061"/>
    <mergeCell ref="H1063:K1063"/>
    <mergeCell ref="B1062:C1062"/>
    <mergeCell ref="D1062:F1062"/>
    <mergeCell ref="H1062:I1062"/>
    <mergeCell ref="J1062:K1062"/>
    <mergeCell ref="B1052:C1052"/>
    <mergeCell ref="D1052:F1052"/>
    <mergeCell ref="H1052:I1052"/>
    <mergeCell ref="J1052:K1052"/>
    <mergeCell ref="B1053:C1053"/>
    <mergeCell ref="D1053:F1053"/>
    <mergeCell ref="H1053:I1053"/>
    <mergeCell ref="J1053:K1053"/>
    <mergeCell ref="B1054:C1054"/>
    <mergeCell ref="D1054:F1054"/>
    <mergeCell ref="H1054:I1054"/>
    <mergeCell ref="J1054:K1054"/>
    <mergeCell ref="B1055:C1055"/>
    <mergeCell ref="D1055:F1055"/>
    <mergeCell ref="H1055:I1055"/>
    <mergeCell ref="J1055:K1055"/>
    <mergeCell ref="B1058:C1058"/>
    <mergeCell ref="D1058:F1058"/>
    <mergeCell ref="H1058:I1058"/>
    <mergeCell ref="J1058:K1058"/>
    <mergeCell ref="B1056:C1056"/>
    <mergeCell ref="D1056:F1056"/>
    <mergeCell ref="H1056:I1056"/>
    <mergeCell ref="J1056:K1056"/>
    <mergeCell ref="B1057:C1057"/>
    <mergeCell ref="D1057:F1057"/>
    <mergeCell ref="H1057:I1057"/>
    <mergeCell ref="J1057:K1057"/>
    <mergeCell ref="B1045:C1045"/>
    <mergeCell ref="D1045:F1045"/>
    <mergeCell ref="H1045:I1045"/>
    <mergeCell ref="J1045:K1045"/>
    <mergeCell ref="B1046:C1046"/>
    <mergeCell ref="D1046:F1046"/>
    <mergeCell ref="H1046:I1046"/>
    <mergeCell ref="J1046:K1046"/>
    <mergeCell ref="B1047:C1047"/>
    <mergeCell ref="D1047:F1047"/>
    <mergeCell ref="H1047:I1047"/>
    <mergeCell ref="J1047:K1047"/>
    <mergeCell ref="B1048:C1048"/>
    <mergeCell ref="D1048:F1048"/>
    <mergeCell ref="H1048:I1048"/>
    <mergeCell ref="J1048:K1048"/>
    <mergeCell ref="B1049:C1049"/>
    <mergeCell ref="D1049:F1049"/>
    <mergeCell ref="H1049:I1049"/>
    <mergeCell ref="J1049:K1049"/>
    <mergeCell ref="B1051:C1051"/>
    <mergeCell ref="D1051:F1051"/>
    <mergeCell ref="H1051:I1051"/>
    <mergeCell ref="J1051:K1051"/>
    <mergeCell ref="B1034:C1034"/>
    <mergeCell ref="D1034:F1034"/>
    <mergeCell ref="H1034:I1034"/>
    <mergeCell ref="J1034:K1034"/>
    <mergeCell ref="B1035:C1035"/>
    <mergeCell ref="D1035:F1035"/>
    <mergeCell ref="H1035:I1035"/>
    <mergeCell ref="J1035:K1035"/>
    <mergeCell ref="B1050:C1050"/>
    <mergeCell ref="D1050:F1050"/>
    <mergeCell ref="H1050:I1050"/>
    <mergeCell ref="J1050:K1050"/>
    <mergeCell ref="B1037:C1037"/>
    <mergeCell ref="D1037:F1037"/>
    <mergeCell ref="H1037:I1037"/>
    <mergeCell ref="J1037:K1037"/>
    <mergeCell ref="B1038:C1038"/>
    <mergeCell ref="D1038:F1038"/>
    <mergeCell ref="H1038:I1038"/>
    <mergeCell ref="J1038:K1038"/>
    <mergeCell ref="B1039:C1039"/>
    <mergeCell ref="D1039:F1039"/>
    <mergeCell ref="H1039:I1039"/>
    <mergeCell ref="J1039:K1039"/>
    <mergeCell ref="H1040:K1040"/>
    <mergeCell ref="H1041:K1041"/>
    <mergeCell ref="H1042:L1042"/>
    <mergeCell ref="A1043:L1043"/>
    <mergeCell ref="A1044:C1044"/>
    <mergeCell ref="D1044:F1044"/>
    <mergeCell ref="H1044:I1044"/>
    <mergeCell ref="J1044:K1044"/>
    <mergeCell ref="B1029:C1029"/>
    <mergeCell ref="D1029:F1029"/>
    <mergeCell ref="H1029:I1029"/>
    <mergeCell ref="J1029:K1029"/>
    <mergeCell ref="B1030:C1030"/>
    <mergeCell ref="D1030:F1030"/>
    <mergeCell ref="H1030:I1030"/>
    <mergeCell ref="J1030:K1030"/>
    <mergeCell ref="B1031:C1031"/>
    <mergeCell ref="D1031:F1031"/>
    <mergeCell ref="H1031:I1031"/>
    <mergeCell ref="J1031:K1031"/>
    <mergeCell ref="B1032:C1032"/>
    <mergeCell ref="D1032:F1032"/>
    <mergeCell ref="H1032:I1032"/>
    <mergeCell ref="J1032:K1032"/>
    <mergeCell ref="B1033:C1033"/>
    <mergeCell ref="D1033:F1033"/>
    <mergeCell ref="H1033:I1033"/>
    <mergeCell ref="J1033:K1033"/>
    <mergeCell ref="B1021:C1021"/>
    <mergeCell ref="D1021:F1021"/>
    <mergeCell ref="H1021:I1021"/>
    <mergeCell ref="J1021:K1021"/>
    <mergeCell ref="B1022:C1022"/>
    <mergeCell ref="D1022:F1022"/>
    <mergeCell ref="H1022:I1022"/>
    <mergeCell ref="J1022:K1022"/>
    <mergeCell ref="B1023:C1023"/>
    <mergeCell ref="D1023:F1023"/>
    <mergeCell ref="H1023:I1023"/>
    <mergeCell ref="J1023:K1023"/>
    <mergeCell ref="B1036:C1036"/>
    <mergeCell ref="D1036:F1036"/>
    <mergeCell ref="H1036:I1036"/>
    <mergeCell ref="J1036:K1036"/>
    <mergeCell ref="B1025:C1025"/>
    <mergeCell ref="D1025:F1025"/>
    <mergeCell ref="H1025:I1025"/>
    <mergeCell ref="J1025:K1025"/>
    <mergeCell ref="B1026:C1026"/>
    <mergeCell ref="D1026:F1026"/>
    <mergeCell ref="H1026:I1026"/>
    <mergeCell ref="J1026:K1026"/>
    <mergeCell ref="B1027:C1027"/>
    <mergeCell ref="D1027:F1027"/>
    <mergeCell ref="H1027:I1027"/>
    <mergeCell ref="J1027:K1027"/>
    <mergeCell ref="B1028:C1028"/>
    <mergeCell ref="D1028:F1028"/>
    <mergeCell ref="H1028:I1028"/>
    <mergeCell ref="J1028:K1028"/>
    <mergeCell ref="B1016:C1016"/>
    <mergeCell ref="D1016:F1016"/>
    <mergeCell ref="H1016:I1016"/>
    <mergeCell ref="J1016:K1016"/>
    <mergeCell ref="B1017:C1017"/>
    <mergeCell ref="D1017:F1017"/>
    <mergeCell ref="H1017:I1017"/>
    <mergeCell ref="J1017:K1017"/>
    <mergeCell ref="B1018:C1018"/>
    <mergeCell ref="D1018:F1018"/>
    <mergeCell ref="H1018:I1018"/>
    <mergeCell ref="J1018:K1018"/>
    <mergeCell ref="B1019:C1019"/>
    <mergeCell ref="D1019:F1019"/>
    <mergeCell ref="H1019:I1019"/>
    <mergeCell ref="J1019:K1019"/>
    <mergeCell ref="B1020:C1020"/>
    <mergeCell ref="D1020:F1020"/>
    <mergeCell ref="H1020:I1020"/>
    <mergeCell ref="J1020:K1020"/>
    <mergeCell ref="B1005:C1005"/>
    <mergeCell ref="D1005:F1005"/>
    <mergeCell ref="H1005:I1005"/>
    <mergeCell ref="J1005:K1005"/>
    <mergeCell ref="B1006:C1006"/>
    <mergeCell ref="D1006:F1006"/>
    <mergeCell ref="H1006:I1006"/>
    <mergeCell ref="J1006:K1006"/>
    <mergeCell ref="B1007:C1007"/>
    <mergeCell ref="D1007:F1007"/>
    <mergeCell ref="H1007:I1007"/>
    <mergeCell ref="J1007:K1007"/>
    <mergeCell ref="B1008:C1008"/>
    <mergeCell ref="D1008:F1008"/>
    <mergeCell ref="H1008:I1008"/>
    <mergeCell ref="J1008:K1008"/>
    <mergeCell ref="B1024:C1024"/>
    <mergeCell ref="D1024:F1024"/>
    <mergeCell ref="H1024:I1024"/>
    <mergeCell ref="J1024:K1024"/>
    <mergeCell ref="H1010:K1010"/>
    <mergeCell ref="H1011:K1011"/>
    <mergeCell ref="H1012:L1012"/>
    <mergeCell ref="A1013:L1013"/>
    <mergeCell ref="A1014:C1014"/>
    <mergeCell ref="D1014:F1014"/>
    <mergeCell ref="H1014:I1014"/>
    <mergeCell ref="J1014:K1014"/>
    <mergeCell ref="B1015:C1015"/>
    <mergeCell ref="D1015:F1015"/>
    <mergeCell ref="H1015:I1015"/>
    <mergeCell ref="J1015:K1015"/>
    <mergeCell ref="B1009:C1009"/>
    <mergeCell ref="D1009:F1009"/>
    <mergeCell ref="H1009:I1009"/>
    <mergeCell ref="J1009:K1009"/>
    <mergeCell ref="B998:C998"/>
    <mergeCell ref="D998:F998"/>
    <mergeCell ref="H998:I998"/>
    <mergeCell ref="J998:K998"/>
    <mergeCell ref="B999:C999"/>
    <mergeCell ref="D999:F999"/>
    <mergeCell ref="H999:I999"/>
    <mergeCell ref="J999:K999"/>
    <mergeCell ref="B1000:C1000"/>
    <mergeCell ref="D1000:F1000"/>
    <mergeCell ref="H1000:I1000"/>
    <mergeCell ref="J1000:K1000"/>
    <mergeCell ref="B1001:C1001"/>
    <mergeCell ref="D1001:F1001"/>
    <mergeCell ref="H1001:I1001"/>
    <mergeCell ref="J1001:K1001"/>
    <mergeCell ref="B1002:C1002"/>
    <mergeCell ref="D1002:F1002"/>
    <mergeCell ref="H1002:I1002"/>
    <mergeCell ref="J1002:K1002"/>
    <mergeCell ref="B1003:C1003"/>
    <mergeCell ref="D1003:F1003"/>
    <mergeCell ref="H1003:I1003"/>
    <mergeCell ref="J1003:K1003"/>
    <mergeCell ref="B1004:C1004"/>
    <mergeCell ref="D1004:F1004"/>
    <mergeCell ref="H1004:I1004"/>
    <mergeCell ref="J1004:K1004"/>
    <mergeCell ref="B992:C992"/>
    <mergeCell ref="D992:F992"/>
    <mergeCell ref="H992:I992"/>
    <mergeCell ref="J992:K992"/>
    <mergeCell ref="B993:C993"/>
    <mergeCell ref="D993:F993"/>
    <mergeCell ref="H993:I993"/>
    <mergeCell ref="J993:K993"/>
    <mergeCell ref="B994:C994"/>
    <mergeCell ref="D994:F994"/>
    <mergeCell ref="H994:I994"/>
    <mergeCell ref="J994:K994"/>
    <mergeCell ref="B995:C995"/>
    <mergeCell ref="D995:F995"/>
    <mergeCell ref="H995:I995"/>
    <mergeCell ref="J995:K995"/>
    <mergeCell ref="B996:C996"/>
    <mergeCell ref="D996:F996"/>
    <mergeCell ref="H996:I996"/>
    <mergeCell ref="J996:K996"/>
    <mergeCell ref="B981:C981"/>
    <mergeCell ref="D981:F981"/>
    <mergeCell ref="H981:I981"/>
    <mergeCell ref="J981:K981"/>
    <mergeCell ref="B982:C982"/>
    <mergeCell ref="D982:F982"/>
    <mergeCell ref="H982:I982"/>
    <mergeCell ref="J982:K982"/>
    <mergeCell ref="B997:C997"/>
    <mergeCell ref="D997:F997"/>
    <mergeCell ref="H997:I997"/>
    <mergeCell ref="J997:K997"/>
    <mergeCell ref="B984:C984"/>
    <mergeCell ref="D984:F984"/>
    <mergeCell ref="H984:I984"/>
    <mergeCell ref="J984:K984"/>
    <mergeCell ref="H985:K985"/>
    <mergeCell ref="H986:K986"/>
    <mergeCell ref="H987:L987"/>
    <mergeCell ref="A988:L988"/>
    <mergeCell ref="A989:C989"/>
    <mergeCell ref="D989:F989"/>
    <mergeCell ref="H989:I989"/>
    <mergeCell ref="J989:K989"/>
    <mergeCell ref="B990:C990"/>
    <mergeCell ref="D990:F990"/>
    <mergeCell ref="H990:I990"/>
    <mergeCell ref="J990:K990"/>
    <mergeCell ref="B991:C991"/>
    <mergeCell ref="D991:F991"/>
    <mergeCell ref="H991:I991"/>
    <mergeCell ref="J991:K991"/>
    <mergeCell ref="B976:C976"/>
    <mergeCell ref="D976:F976"/>
    <mergeCell ref="H976:I976"/>
    <mergeCell ref="J976:K976"/>
    <mergeCell ref="B977:C977"/>
    <mergeCell ref="D977:F977"/>
    <mergeCell ref="H977:I977"/>
    <mergeCell ref="J977:K977"/>
    <mergeCell ref="B978:C978"/>
    <mergeCell ref="D978:F978"/>
    <mergeCell ref="H978:I978"/>
    <mergeCell ref="J978:K978"/>
    <mergeCell ref="B979:C979"/>
    <mergeCell ref="D979:F979"/>
    <mergeCell ref="H979:I979"/>
    <mergeCell ref="J979:K979"/>
    <mergeCell ref="B980:C980"/>
    <mergeCell ref="D980:F980"/>
    <mergeCell ref="H980:I980"/>
    <mergeCell ref="J980:K980"/>
    <mergeCell ref="B968:C968"/>
    <mergeCell ref="D968:F968"/>
    <mergeCell ref="H968:I968"/>
    <mergeCell ref="J968:K968"/>
    <mergeCell ref="B969:C969"/>
    <mergeCell ref="D969:F969"/>
    <mergeCell ref="H969:I969"/>
    <mergeCell ref="J969:K969"/>
    <mergeCell ref="B970:C970"/>
    <mergeCell ref="D970:F970"/>
    <mergeCell ref="H970:I970"/>
    <mergeCell ref="J970:K970"/>
    <mergeCell ref="B983:C983"/>
    <mergeCell ref="D983:F983"/>
    <mergeCell ref="H983:I983"/>
    <mergeCell ref="J983:K983"/>
    <mergeCell ref="B972:C972"/>
    <mergeCell ref="D972:F972"/>
    <mergeCell ref="H972:I972"/>
    <mergeCell ref="J972:K972"/>
    <mergeCell ref="B973:C973"/>
    <mergeCell ref="D973:F973"/>
    <mergeCell ref="H973:I973"/>
    <mergeCell ref="J973:K973"/>
    <mergeCell ref="B974:C974"/>
    <mergeCell ref="D974:F974"/>
    <mergeCell ref="H974:I974"/>
    <mergeCell ref="J974:K974"/>
    <mergeCell ref="B975:C975"/>
    <mergeCell ref="D975:F975"/>
    <mergeCell ref="H975:I975"/>
    <mergeCell ref="J975:K975"/>
    <mergeCell ref="B963:C963"/>
    <mergeCell ref="D963:F963"/>
    <mergeCell ref="H963:I963"/>
    <mergeCell ref="J963:K963"/>
    <mergeCell ref="B964:C964"/>
    <mergeCell ref="D964:F964"/>
    <mergeCell ref="H964:I964"/>
    <mergeCell ref="J964:K964"/>
    <mergeCell ref="B965:C965"/>
    <mergeCell ref="D965:F965"/>
    <mergeCell ref="H965:I965"/>
    <mergeCell ref="J965:K965"/>
    <mergeCell ref="B966:C966"/>
    <mergeCell ref="D966:F966"/>
    <mergeCell ref="H966:I966"/>
    <mergeCell ref="J966:K966"/>
    <mergeCell ref="B967:C967"/>
    <mergeCell ref="D967:F967"/>
    <mergeCell ref="H967:I967"/>
    <mergeCell ref="J967:K967"/>
    <mergeCell ref="D951:F951"/>
    <mergeCell ref="H951:I951"/>
    <mergeCell ref="J951:K951"/>
    <mergeCell ref="B952:C952"/>
    <mergeCell ref="D952:F952"/>
    <mergeCell ref="H952:I952"/>
    <mergeCell ref="J952:K952"/>
    <mergeCell ref="B953:C953"/>
    <mergeCell ref="D953:F953"/>
    <mergeCell ref="H953:I953"/>
    <mergeCell ref="J953:K953"/>
    <mergeCell ref="B954:C954"/>
    <mergeCell ref="D954:F954"/>
    <mergeCell ref="H954:I954"/>
    <mergeCell ref="J954:K954"/>
    <mergeCell ref="H955:K955"/>
    <mergeCell ref="B971:C971"/>
    <mergeCell ref="D971:F971"/>
    <mergeCell ref="H971:I971"/>
    <mergeCell ref="J971:K971"/>
    <mergeCell ref="B960:C960"/>
    <mergeCell ref="D960:F960"/>
    <mergeCell ref="H960:I960"/>
    <mergeCell ref="J960:K960"/>
    <mergeCell ref="B961:C961"/>
    <mergeCell ref="D961:F961"/>
    <mergeCell ref="H961:I961"/>
    <mergeCell ref="J961:K961"/>
    <mergeCell ref="B962:C962"/>
    <mergeCell ref="D962:F962"/>
    <mergeCell ref="H962:I962"/>
    <mergeCell ref="J962:K962"/>
    <mergeCell ref="H956:K956"/>
    <mergeCell ref="H957:L957"/>
    <mergeCell ref="A958:L958"/>
    <mergeCell ref="A959:C959"/>
    <mergeCell ref="D959:F959"/>
    <mergeCell ref="H959:I959"/>
    <mergeCell ref="J959:K959"/>
    <mergeCell ref="B945:C945"/>
    <mergeCell ref="D945:F945"/>
    <mergeCell ref="H945:I945"/>
    <mergeCell ref="J945:K945"/>
    <mergeCell ref="B946:C946"/>
    <mergeCell ref="D946:F946"/>
    <mergeCell ref="H946:I946"/>
    <mergeCell ref="J946:K946"/>
    <mergeCell ref="B947:C947"/>
    <mergeCell ref="D947:F947"/>
    <mergeCell ref="H947:I947"/>
    <mergeCell ref="J947:K947"/>
    <mergeCell ref="B948:C948"/>
    <mergeCell ref="D948:F948"/>
    <mergeCell ref="H948:I948"/>
    <mergeCell ref="J948:K948"/>
    <mergeCell ref="B949:C949"/>
    <mergeCell ref="D949:F949"/>
    <mergeCell ref="H949:I949"/>
    <mergeCell ref="J949:K949"/>
    <mergeCell ref="B950:C950"/>
    <mergeCell ref="D950:F950"/>
    <mergeCell ref="H950:I950"/>
    <mergeCell ref="J950:K950"/>
    <mergeCell ref="B951:C951"/>
    <mergeCell ref="B939:C939"/>
    <mergeCell ref="D939:F939"/>
    <mergeCell ref="H939:I939"/>
    <mergeCell ref="J939:K939"/>
    <mergeCell ref="B940:C940"/>
    <mergeCell ref="D940:F940"/>
    <mergeCell ref="H940:I940"/>
    <mergeCell ref="J940:K940"/>
    <mergeCell ref="B941:C941"/>
    <mergeCell ref="D941:F941"/>
    <mergeCell ref="H941:I941"/>
    <mergeCell ref="J941:K941"/>
    <mergeCell ref="B942:C942"/>
    <mergeCell ref="D942:F942"/>
    <mergeCell ref="H942:I942"/>
    <mergeCell ref="J942:K942"/>
    <mergeCell ref="B943:C943"/>
    <mergeCell ref="D943:F943"/>
    <mergeCell ref="H943:I943"/>
    <mergeCell ref="J943:K943"/>
    <mergeCell ref="B928:C928"/>
    <mergeCell ref="D928:F928"/>
    <mergeCell ref="H928:I928"/>
    <mergeCell ref="J928:K928"/>
    <mergeCell ref="B944:C944"/>
    <mergeCell ref="D944:F944"/>
    <mergeCell ref="H944:I944"/>
    <mergeCell ref="J944:K944"/>
    <mergeCell ref="H930:K930"/>
    <mergeCell ref="H931:K931"/>
    <mergeCell ref="H932:L932"/>
    <mergeCell ref="A933:L933"/>
    <mergeCell ref="A934:C934"/>
    <mergeCell ref="D934:F934"/>
    <mergeCell ref="H934:I934"/>
    <mergeCell ref="J934:K934"/>
    <mergeCell ref="B935:C935"/>
    <mergeCell ref="D935:F935"/>
    <mergeCell ref="H935:I935"/>
    <mergeCell ref="J935:K935"/>
    <mergeCell ref="B936:C936"/>
    <mergeCell ref="D936:F936"/>
    <mergeCell ref="H936:I936"/>
    <mergeCell ref="J936:K936"/>
    <mergeCell ref="B937:C937"/>
    <mergeCell ref="D937:F937"/>
    <mergeCell ref="H937:I937"/>
    <mergeCell ref="J937:K937"/>
    <mergeCell ref="B938:C938"/>
    <mergeCell ref="D938:F938"/>
    <mergeCell ref="H938:I938"/>
    <mergeCell ref="J938:K938"/>
    <mergeCell ref="B923:C923"/>
    <mergeCell ref="D923:F923"/>
    <mergeCell ref="H923:I923"/>
    <mergeCell ref="J923:K923"/>
    <mergeCell ref="B924:C924"/>
    <mergeCell ref="D924:F924"/>
    <mergeCell ref="H924:I924"/>
    <mergeCell ref="J924:K924"/>
    <mergeCell ref="B925:C925"/>
    <mergeCell ref="D925:F925"/>
    <mergeCell ref="H925:I925"/>
    <mergeCell ref="J925:K925"/>
    <mergeCell ref="B926:C926"/>
    <mergeCell ref="D926:F926"/>
    <mergeCell ref="H926:I926"/>
    <mergeCell ref="J926:K926"/>
    <mergeCell ref="B927:C927"/>
    <mergeCell ref="D927:F927"/>
    <mergeCell ref="H927:I927"/>
    <mergeCell ref="J927:K927"/>
    <mergeCell ref="B915:C915"/>
    <mergeCell ref="D915:F915"/>
    <mergeCell ref="H915:I915"/>
    <mergeCell ref="J915:K915"/>
    <mergeCell ref="B916:C916"/>
    <mergeCell ref="D916:F916"/>
    <mergeCell ref="H916:I916"/>
    <mergeCell ref="J916:K916"/>
    <mergeCell ref="B929:C929"/>
    <mergeCell ref="D929:F929"/>
    <mergeCell ref="H929:I929"/>
    <mergeCell ref="J929:K929"/>
    <mergeCell ref="B918:C918"/>
    <mergeCell ref="D918:F918"/>
    <mergeCell ref="H918:I918"/>
    <mergeCell ref="J918:K918"/>
    <mergeCell ref="B919:C919"/>
    <mergeCell ref="D919:F919"/>
    <mergeCell ref="H919:I919"/>
    <mergeCell ref="J919:K919"/>
    <mergeCell ref="B920:C920"/>
    <mergeCell ref="D920:F920"/>
    <mergeCell ref="H920:I920"/>
    <mergeCell ref="J920:K920"/>
    <mergeCell ref="B921:C921"/>
    <mergeCell ref="D921:F921"/>
    <mergeCell ref="H921:I921"/>
    <mergeCell ref="J921:K921"/>
    <mergeCell ref="B922:C922"/>
    <mergeCell ref="D922:F922"/>
    <mergeCell ref="H922:I922"/>
    <mergeCell ref="J922:K922"/>
    <mergeCell ref="B910:C910"/>
    <mergeCell ref="D910:F910"/>
    <mergeCell ref="H910:I910"/>
    <mergeCell ref="J910:K910"/>
    <mergeCell ref="B911:C911"/>
    <mergeCell ref="D911:F911"/>
    <mergeCell ref="H911:I911"/>
    <mergeCell ref="J911:K911"/>
    <mergeCell ref="B912:C912"/>
    <mergeCell ref="D912:F912"/>
    <mergeCell ref="H912:I912"/>
    <mergeCell ref="J912:K912"/>
    <mergeCell ref="B913:C913"/>
    <mergeCell ref="D913:F913"/>
    <mergeCell ref="H913:I913"/>
    <mergeCell ref="J913:K913"/>
    <mergeCell ref="B914:C914"/>
    <mergeCell ref="D914:F914"/>
    <mergeCell ref="H914:I914"/>
    <mergeCell ref="J914:K914"/>
    <mergeCell ref="B899:C899"/>
    <mergeCell ref="D899:F899"/>
    <mergeCell ref="H899:I899"/>
    <mergeCell ref="J899:K899"/>
    <mergeCell ref="B900:C900"/>
    <mergeCell ref="D900:F900"/>
    <mergeCell ref="H900:I900"/>
    <mergeCell ref="J900:K900"/>
    <mergeCell ref="B901:C901"/>
    <mergeCell ref="D901:F901"/>
    <mergeCell ref="H901:I901"/>
    <mergeCell ref="J901:K901"/>
    <mergeCell ref="B902:C902"/>
    <mergeCell ref="D902:F902"/>
    <mergeCell ref="H902:I902"/>
    <mergeCell ref="J902:K902"/>
    <mergeCell ref="B917:C917"/>
    <mergeCell ref="D917:F917"/>
    <mergeCell ref="H917:I917"/>
    <mergeCell ref="J917:K917"/>
    <mergeCell ref="B904:C904"/>
    <mergeCell ref="D904:F904"/>
    <mergeCell ref="H904:I904"/>
    <mergeCell ref="J904:K904"/>
    <mergeCell ref="H905:K905"/>
    <mergeCell ref="H906:K906"/>
    <mergeCell ref="H907:L907"/>
    <mergeCell ref="A908:L908"/>
    <mergeCell ref="A909:C909"/>
    <mergeCell ref="D909:F909"/>
    <mergeCell ref="H909:I909"/>
    <mergeCell ref="J909:K909"/>
    <mergeCell ref="B903:C903"/>
    <mergeCell ref="D903:F903"/>
    <mergeCell ref="H903:I903"/>
    <mergeCell ref="J903:K903"/>
    <mergeCell ref="B892:C892"/>
    <mergeCell ref="D892:F892"/>
    <mergeCell ref="H892:I892"/>
    <mergeCell ref="J892:K892"/>
    <mergeCell ref="B893:C893"/>
    <mergeCell ref="D893:F893"/>
    <mergeCell ref="H893:I893"/>
    <mergeCell ref="J893:K893"/>
    <mergeCell ref="B894:C894"/>
    <mergeCell ref="D894:F894"/>
    <mergeCell ref="H894:I894"/>
    <mergeCell ref="J894:K894"/>
    <mergeCell ref="B895:C895"/>
    <mergeCell ref="D895:F895"/>
    <mergeCell ref="H895:I895"/>
    <mergeCell ref="J895:K895"/>
    <mergeCell ref="B896:C896"/>
    <mergeCell ref="D896:F896"/>
    <mergeCell ref="H896:I896"/>
    <mergeCell ref="J896:K896"/>
    <mergeCell ref="B897:C897"/>
    <mergeCell ref="D897:F897"/>
    <mergeCell ref="H897:I897"/>
    <mergeCell ref="J897:K897"/>
    <mergeCell ref="B898:C898"/>
    <mergeCell ref="D898:F898"/>
    <mergeCell ref="H898:I898"/>
    <mergeCell ref="J898:K898"/>
    <mergeCell ref="H886:I886"/>
    <mergeCell ref="J886:K886"/>
    <mergeCell ref="B887:C887"/>
    <mergeCell ref="D887:F887"/>
    <mergeCell ref="H887:I887"/>
    <mergeCell ref="J887:K887"/>
    <mergeCell ref="B888:C888"/>
    <mergeCell ref="D888:F888"/>
    <mergeCell ref="H888:I888"/>
    <mergeCell ref="J888:K888"/>
    <mergeCell ref="B889:C889"/>
    <mergeCell ref="D889:F889"/>
    <mergeCell ref="H889:I889"/>
    <mergeCell ref="J889:K889"/>
    <mergeCell ref="B890:C890"/>
    <mergeCell ref="D890:F890"/>
    <mergeCell ref="H890:I890"/>
    <mergeCell ref="J890:K890"/>
    <mergeCell ref="B874:F874"/>
    <mergeCell ref="H874:I874"/>
    <mergeCell ref="J874:K874"/>
    <mergeCell ref="B875:F875"/>
    <mergeCell ref="H875:I875"/>
    <mergeCell ref="J875:K875"/>
    <mergeCell ref="B891:C891"/>
    <mergeCell ref="D891:F891"/>
    <mergeCell ref="H891:I891"/>
    <mergeCell ref="J891:K891"/>
    <mergeCell ref="H876:K876"/>
    <mergeCell ref="A877:F877"/>
    <mergeCell ref="H877:I877"/>
    <mergeCell ref="J877:K877"/>
    <mergeCell ref="B878:F878"/>
    <mergeCell ref="H878:I878"/>
    <mergeCell ref="J878:K878"/>
    <mergeCell ref="H879:K879"/>
    <mergeCell ref="H880:K880"/>
    <mergeCell ref="H881:K881"/>
    <mergeCell ref="H882:L882"/>
    <mergeCell ref="A883:L883"/>
    <mergeCell ref="A884:C884"/>
    <mergeCell ref="D884:F884"/>
    <mergeCell ref="H884:I884"/>
    <mergeCell ref="J884:K884"/>
    <mergeCell ref="B885:C885"/>
    <mergeCell ref="D885:F885"/>
    <mergeCell ref="H885:I885"/>
    <mergeCell ref="J885:K885"/>
    <mergeCell ref="B886:C886"/>
    <mergeCell ref="D886:F886"/>
    <mergeCell ref="H863:K863"/>
    <mergeCell ref="H864:L864"/>
    <mergeCell ref="A865:L865"/>
    <mergeCell ref="A866:F866"/>
    <mergeCell ref="H866:I866"/>
    <mergeCell ref="J866:K866"/>
    <mergeCell ref="B867:F867"/>
    <mergeCell ref="H867:I867"/>
    <mergeCell ref="J867:K867"/>
    <mergeCell ref="B868:F868"/>
    <mergeCell ref="H868:I868"/>
    <mergeCell ref="J868:K868"/>
    <mergeCell ref="H869:K869"/>
    <mergeCell ref="H870:K870"/>
    <mergeCell ref="H871:K871"/>
    <mergeCell ref="H872:K872"/>
    <mergeCell ref="A873:F873"/>
    <mergeCell ref="H873:I873"/>
    <mergeCell ref="J873:K873"/>
    <mergeCell ref="B855:C855"/>
    <mergeCell ref="D855:F855"/>
    <mergeCell ref="H855:I855"/>
    <mergeCell ref="J855:K855"/>
    <mergeCell ref="H856:K856"/>
    <mergeCell ref="H857:K857"/>
    <mergeCell ref="H858:L858"/>
    <mergeCell ref="A859:L859"/>
    <mergeCell ref="A860:C860"/>
    <mergeCell ref="D860:F860"/>
    <mergeCell ref="H860:I860"/>
    <mergeCell ref="J860:K860"/>
    <mergeCell ref="B861:C861"/>
    <mergeCell ref="D861:F861"/>
    <mergeCell ref="H861:I861"/>
    <mergeCell ref="J861:K861"/>
    <mergeCell ref="H862:K862"/>
    <mergeCell ref="H844:K844"/>
    <mergeCell ref="H845:K845"/>
    <mergeCell ref="H846:L846"/>
    <mergeCell ref="A847:L847"/>
    <mergeCell ref="A848:C848"/>
    <mergeCell ref="D848:F848"/>
    <mergeCell ref="H848:I848"/>
    <mergeCell ref="J848:K848"/>
    <mergeCell ref="B849:C849"/>
    <mergeCell ref="D849:F849"/>
    <mergeCell ref="H849:I849"/>
    <mergeCell ref="J849:K849"/>
    <mergeCell ref="H850:K850"/>
    <mergeCell ref="H851:K851"/>
    <mergeCell ref="H852:L852"/>
    <mergeCell ref="A853:L853"/>
    <mergeCell ref="A854:C854"/>
    <mergeCell ref="D854:F854"/>
    <mergeCell ref="H854:I854"/>
    <mergeCell ref="J854:K854"/>
    <mergeCell ref="H836:I836"/>
    <mergeCell ref="J836:K836"/>
    <mergeCell ref="B837:C837"/>
    <mergeCell ref="D837:F837"/>
    <mergeCell ref="H837:I837"/>
    <mergeCell ref="J837:K837"/>
    <mergeCell ref="H839:K839"/>
    <mergeCell ref="H840:L840"/>
    <mergeCell ref="A841:L841"/>
    <mergeCell ref="A842:C842"/>
    <mergeCell ref="D842:F842"/>
    <mergeCell ref="H842:I842"/>
    <mergeCell ref="J842:K842"/>
    <mergeCell ref="B843:C843"/>
    <mergeCell ref="D843:F843"/>
    <mergeCell ref="H843:I843"/>
    <mergeCell ref="J843:K843"/>
    <mergeCell ref="H838:K838"/>
    <mergeCell ref="B825:C825"/>
    <mergeCell ref="D825:F825"/>
    <mergeCell ref="H825:I825"/>
    <mergeCell ref="J825:K825"/>
    <mergeCell ref="H826:K826"/>
    <mergeCell ref="H827:K827"/>
    <mergeCell ref="H828:L828"/>
    <mergeCell ref="A829:L829"/>
    <mergeCell ref="A830:C830"/>
    <mergeCell ref="D830:F830"/>
    <mergeCell ref="H830:I830"/>
    <mergeCell ref="J830:K830"/>
    <mergeCell ref="B831:C831"/>
    <mergeCell ref="D831:F831"/>
    <mergeCell ref="H831:I831"/>
    <mergeCell ref="J831:K831"/>
    <mergeCell ref="H832:K832"/>
    <mergeCell ref="A833:C833"/>
    <mergeCell ref="D833:F833"/>
    <mergeCell ref="H833:I833"/>
    <mergeCell ref="J833:K833"/>
    <mergeCell ref="B834:C834"/>
    <mergeCell ref="D834:F834"/>
    <mergeCell ref="H834:I834"/>
    <mergeCell ref="J834:K834"/>
    <mergeCell ref="B835:C835"/>
    <mergeCell ref="D835:F835"/>
    <mergeCell ref="H835:I835"/>
    <mergeCell ref="J835:K835"/>
    <mergeCell ref="B836:C836"/>
    <mergeCell ref="D836:F836"/>
    <mergeCell ref="H817:K817"/>
    <mergeCell ref="H818:L818"/>
    <mergeCell ref="A819:L819"/>
    <mergeCell ref="A820:C820"/>
    <mergeCell ref="D820:F820"/>
    <mergeCell ref="H820:I820"/>
    <mergeCell ref="J820:K820"/>
    <mergeCell ref="B821:C821"/>
    <mergeCell ref="D821:F821"/>
    <mergeCell ref="H821:I821"/>
    <mergeCell ref="J821:K821"/>
    <mergeCell ref="H822:K822"/>
    <mergeCell ref="A823:C823"/>
    <mergeCell ref="D823:F823"/>
    <mergeCell ref="H823:I823"/>
    <mergeCell ref="J823:K823"/>
    <mergeCell ref="B824:C824"/>
    <mergeCell ref="D824:F824"/>
    <mergeCell ref="H824:I824"/>
    <mergeCell ref="J824:K824"/>
    <mergeCell ref="B809:C809"/>
    <mergeCell ref="D809:F809"/>
    <mergeCell ref="H809:I809"/>
    <mergeCell ref="J809:K809"/>
    <mergeCell ref="H810:K810"/>
    <mergeCell ref="H811:K811"/>
    <mergeCell ref="H812:L812"/>
    <mergeCell ref="A813:L813"/>
    <mergeCell ref="A814:C814"/>
    <mergeCell ref="D814:F814"/>
    <mergeCell ref="H814:I814"/>
    <mergeCell ref="J814:K814"/>
    <mergeCell ref="B815:C815"/>
    <mergeCell ref="D815:F815"/>
    <mergeCell ref="H815:I815"/>
    <mergeCell ref="J815:K815"/>
    <mergeCell ref="H816:K816"/>
    <mergeCell ref="H799:K799"/>
    <mergeCell ref="H800:L800"/>
    <mergeCell ref="A801:L801"/>
    <mergeCell ref="A802:C802"/>
    <mergeCell ref="D802:F802"/>
    <mergeCell ref="H802:I802"/>
    <mergeCell ref="J802:K802"/>
    <mergeCell ref="B803:C803"/>
    <mergeCell ref="D803:F803"/>
    <mergeCell ref="H803:I803"/>
    <mergeCell ref="J803:K803"/>
    <mergeCell ref="H804:K804"/>
    <mergeCell ref="H805:K805"/>
    <mergeCell ref="H806:L806"/>
    <mergeCell ref="A807:L807"/>
    <mergeCell ref="A808:C808"/>
    <mergeCell ref="D808:F808"/>
    <mergeCell ref="H808:I808"/>
    <mergeCell ref="J808:K808"/>
    <mergeCell ref="B791:C791"/>
    <mergeCell ref="D791:F791"/>
    <mergeCell ref="H791:I791"/>
    <mergeCell ref="J791:K791"/>
    <mergeCell ref="H792:K792"/>
    <mergeCell ref="H793:K793"/>
    <mergeCell ref="H794:L794"/>
    <mergeCell ref="A795:L795"/>
    <mergeCell ref="A796:C796"/>
    <mergeCell ref="D796:F796"/>
    <mergeCell ref="H796:I796"/>
    <mergeCell ref="J796:K796"/>
    <mergeCell ref="B797:C797"/>
    <mergeCell ref="D797:F797"/>
    <mergeCell ref="H797:I797"/>
    <mergeCell ref="J797:K797"/>
    <mergeCell ref="H798:K798"/>
    <mergeCell ref="J784:K784"/>
    <mergeCell ref="B785:C785"/>
    <mergeCell ref="D785:F785"/>
    <mergeCell ref="H785:I785"/>
    <mergeCell ref="J785:K785"/>
    <mergeCell ref="H786:K786"/>
    <mergeCell ref="A787:C787"/>
    <mergeCell ref="D787:F787"/>
    <mergeCell ref="H787:I787"/>
    <mergeCell ref="J787:K787"/>
    <mergeCell ref="B788:C788"/>
    <mergeCell ref="D788:F788"/>
    <mergeCell ref="H788:I788"/>
    <mergeCell ref="J788:K788"/>
    <mergeCell ref="B789:C789"/>
    <mergeCell ref="D789:F789"/>
    <mergeCell ref="H789:I789"/>
    <mergeCell ref="J789:K789"/>
    <mergeCell ref="A774:C774"/>
    <mergeCell ref="D774:F774"/>
    <mergeCell ref="H774:I774"/>
    <mergeCell ref="J774:K774"/>
    <mergeCell ref="B775:C775"/>
    <mergeCell ref="D775:F775"/>
    <mergeCell ref="H775:I775"/>
    <mergeCell ref="J775:K775"/>
    <mergeCell ref="H776:K776"/>
    <mergeCell ref="B790:C790"/>
    <mergeCell ref="D790:F790"/>
    <mergeCell ref="H790:I790"/>
    <mergeCell ref="J790:K790"/>
    <mergeCell ref="A777:C777"/>
    <mergeCell ref="D777:F777"/>
    <mergeCell ref="H777:I777"/>
    <mergeCell ref="J777:K777"/>
    <mergeCell ref="B778:C778"/>
    <mergeCell ref="D778:F778"/>
    <mergeCell ref="H778:I778"/>
    <mergeCell ref="J778:K778"/>
    <mergeCell ref="B779:C779"/>
    <mergeCell ref="D779:F779"/>
    <mergeCell ref="H779:I779"/>
    <mergeCell ref="J779:K779"/>
    <mergeCell ref="H780:K780"/>
    <mergeCell ref="H781:K781"/>
    <mergeCell ref="H782:L782"/>
    <mergeCell ref="A783:L783"/>
    <mergeCell ref="A784:C784"/>
    <mergeCell ref="D784:F784"/>
    <mergeCell ref="H784:I784"/>
    <mergeCell ref="J761:K761"/>
    <mergeCell ref="B762:C762"/>
    <mergeCell ref="D762:F762"/>
    <mergeCell ref="H762:I762"/>
    <mergeCell ref="J762:K762"/>
    <mergeCell ref="H763:K763"/>
    <mergeCell ref="H764:K764"/>
    <mergeCell ref="H765:L765"/>
    <mergeCell ref="A766:L766"/>
    <mergeCell ref="B768:F768"/>
    <mergeCell ref="H768:I768"/>
    <mergeCell ref="J768:K768"/>
    <mergeCell ref="H769:K769"/>
    <mergeCell ref="H770:K770"/>
    <mergeCell ref="H771:K771"/>
    <mergeCell ref="H772:L772"/>
    <mergeCell ref="A773:L773"/>
    <mergeCell ref="A767:F767"/>
    <mergeCell ref="H767:I767"/>
    <mergeCell ref="J767:K767"/>
    <mergeCell ref="B753:C753"/>
    <mergeCell ref="D753:F753"/>
    <mergeCell ref="H753:I753"/>
    <mergeCell ref="J753:K753"/>
    <mergeCell ref="B754:C754"/>
    <mergeCell ref="D754:F754"/>
    <mergeCell ref="H754:I754"/>
    <mergeCell ref="J754:K754"/>
    <mergeCell ref="B755:C755"/>
    <mergeCell ref="D755:F755"/>
    <mergeCell ref="H755:I755"/>
    <mergeCell ref="J755:K755"/>
    <mergeCell ref="B756:C756"/>
    <mergeCell ref="D756:F756"/>
    <mergeCell ref="H756:I756"/>
    <mergeCell ref="J756:K756"/>
    <mergeCell ref="H757:K757"/>
    <mergeCell ref="A758:C758"/>
    <mergeCell ref="D758:F758"/>
    <mergeCell ref="H758:I758"/>
    <mergeCell ref="J758:K758"/>
    <mergeCell ref="B759:C759"/>
    <mergeCell ref="D759:F759"/>
    <mergeCell ref="H759:I759"/>
    <mergeCell ref="J759:K759"/>
    <mergeCell ref="H760:K760"/>
    <mergeCell ref="A761:C761"/>
    <mergeCell ref="D761:F761"/>
    <mergeCell ref="H761:I761"/>
    <mergeCell ref="B745:C745"/>
    <mergeCell ref="D745:F745"/>
    <mergeCell ref="H745:I745"/>
    <mergeCell ref="J745:K745"/>
    <mergeCell ref="H746:K746"/>
    <mergeCell ref="H747:K747"/>
    <mergeCell ref="H748:L748"/>
    <mergeCell ref="A749:L749"/>
    <mergeCell ref="A750:C750"/>
    <mergeCell ref="D750:F750"/>
    <mergeCell ref="H750:I750"/>
    <mergeCell ref="J750:K750"/>
    <mergeCell ref="B751:C751"/>
    <mergeCell ref="D751:F751"/>
    <mergeCell ref="H751:I751"/>
    <mergeCell ref="J751:K751"/>
    <mergeCell ref="B752:C752"/>
    <mergeCell ref="D752:F752"/>
    <mergeCell ref="H752:I752"/>
    <mergeCell ref="J752:K752"/>
    <mergeCell ref="H738:L738"/>
    <mergeCell ref="A739:L739"/>
    <mergeCell ref="A740:C740"/>
    <mergeCell ref="D740:F740"/>
    <mergeCell ref="H740:I740"/>
    <mergeCell ref="J740:K740"/>
    <mergeCell ref="B741:C741"/>
    <mergeCell ref="D741:F741"/>
    <mergeCell ref="H741:I741"/>
    <mergeCell ref="J741:K741"/>
    <mergeCell ref="H742:K742"/>
    <mergeCell ref="A743:C743"/>
    <mergeCell ref="D743:F743"/>
    <mergeCell ref="H743:I743"/>
    <mergeCell ref="J743:K743"/>
    <mergeCell ref="B744:C744"/>
    <mergeCell ref="D744:F744"/>
    <mergeCell ref="H744:I744"/>
    <mergeCell ref="J744:K744"/>
    <mergeCell ref="D731:F731"/>
    <mergeCell ref="H731:I731"/>
    <mergeCell ref="J731:K731"/>
    <mergeCell ref="H732:K732"/>
    <mergeCell ref="A733:C733"/>
    <mergeCell ref="D733:F733"/>
    <mergeCell ref="H733:I733"/>
    <mergeCell ref="J733:K733"/>
    <mergeCell ref="B734:C734"/>
    <mergeCell ref="D734:F734"/>
    <mergeCell ref="H734:I734"/>
    <mergeCell ref="J734:K734"/>
    <mergeCell ref="B735:C735"/>
    <mergeCell ref="D735:F735"/>
    <mergeCell ref="H735:I735"/>
    <mergeCell ref="J735:K735"/>
    <mergeCell ref="H737:K737"/>
    <mergeCell ref="B718:C718"/>
    <mergeCell ref="D718:F718"/>
    <mergeCell ref="H718:I718"/>
    <mergeCell ref="J718:K718"/>
    <mergeCell ref="B719:C719"/>
    <mergeCell ref="D719:F719"/>
    <mergeCell ref="H719:I719"/>
    <mergeCell ref="J719:K719"/>
    <mergeCell ref="H720:K720"/>
    <mergeCell ref="H736:K736"/>
    <mergeCell ref="B722:C722"/>
    <mergeCell ref="D722:F722"/>
    <mergeCell ref="H722:I722"/>
    <mergeCell ref="J722:K722"/>
    <mergeCell ref="H723:K723"/>
    <mergeCell ref="A724:C724"/>
    <mergeCell ref="D724:F724"/>
    <mergeCell ref="H724:I724"/>
    <mergeCell ref="J724:K724"/>
    <mergeCell ref="B725:C725"/>
    <mergeCell ref="D725:F725"/>
    <mergeCell ref="H725:I725"/>
    <mergeCell ref="J725:K725"/>
    <mergeCell ref="H726:K726"/>
    <mergeCell ref="H727:K727"/>
    <mergeCell ref="H728:L728"/>
    <mergeCell ref="A729:L729"/>
    <mergeCell ref="A730:C730"/>
    <mergeCell ref="D730:F730"/>
    <mergeCell ref="H730:I730"/>
    <mergeCell ref="J730:K730"/>
    <mergeCell ref="B731:C731"/>
    <mergeCell ref="A721:C721"/>
    <mergeCell ref="D721:F721"/>
    <mergeCell ref="H721:I721"/>
    <mergeCell ref="J721:K721"/>
    <mergeCell ref="H705:K705"/>
    <mergeCell ref="H706:K706"/>
    <mergeCell ref="H707:K707"/>
    <mergeCell ref="H708:K708"/>
    <mergeCell ref="H709:K709"/>
    <mergeCell ref="H710:K710"/>
    <mergeCell ref="H711:L711"/>
    <mergeCell ref="A712:L712"/>
    <mergeCell ref="A713:C713"/>
    <mergeCell ref="D713:F713"/>
    <mergeCell ref="H713:I713"/>
    <mergeCell ref="J713:K713"/>
    <mergeCell ref="B714:C714"/>
    <mergeCell ref="D714:F714"/>
    <mergeCell ref="H714:I714"/>
    <mergeCell ref="J714:K714"/>
    <mergeCell ref="B715:C715"/>
    <mergeCell ref="D715:F715"/>
    <mergeCell ref="H715:I715"/>
    <mergeCell ref="J715:K715"/>
    <mergeCell ref="B716:C716"/>
    <mergeCell ref="D716:F716"/>
    <mergeCell ref="H716:I716"/>
    <mergeCell ref="J716:K716"/>
    <mergeCell ref="B717:C717"/>
    <mergeCell ref="D717:F717"/>
    <mergeCell ref="H717:I717"/>
    <mergeCell ref="J717:K717"/>
    <mergeCell ref="D696:F696"/>
    <mergeCell ref="H696:I696"/>
    <mergeCell ref="J696:K696"/>
    <mergeCell ref="B697:C697"/>
    <mergeCell ref="D697:F697"/>
    <mergeCell ref="H697:I697"/>
    <mergeCell ref="J697:K697"/>
    <mergeCell ref="H698:K698"/>
    <mergeCell ref="H699:K699"/>
    <mergeCell ref="H700:L700"/>
    <mergeCell ref="A701:L701"/>
    <mergeCell ref="A702:F702"/>
    <mergeCell ref="H702:I702"/>
    <mergeCell ref="J702:K702"/>
    <mergeCell ref="B703:F703"/>
    <mergeCell ref="H703:I703"/>
    <mergeCell ref="J703:K703"/>
    <mergeCell ref="J680:K680"/>
    <mergeCell ref="B681:C681"/>
    <mergeCell ref="D681:E681"/>
    <mergeCell ref="H681:I681"/>
    <mergeCell ref="J681:K681"/>
    <mergeCell ref="H682:K682"/>
    <mergeCell ref="H683:K683"/>
    <mergeCell ref="H684:K684"/>
    <mergeCell ref="B704:F704"/>
    <mergeCell ref="H704:I704"/>
    <mergeCell ref="J704:K704"/>
    <mergeCell ref="H688:K688"/>
    <mergeCell ref="H689:L689"/>
    <mergeCell ref="A690:L690"/>
    <mergeCell ref="A691:C691"/>
    <mergeCell ref="D691:F691"/>
    <mergeCell ref="H691:I691"/>
    <mergeCell ref="J691:K691"/>
    <mergeCell ref="B692:C692"/>
    <mergeCell ref="D692:F692"/>
    <mergeCell ref="H692:I692"/>
    <mergeCell ref="J692:K692"/>
    <mergeCell ref="B693:C693"/>
    <mergeCell ref="D693:F693"/>
    <mergeCell ref="H693:I693"/>
    <mergeCell ref="J693:K693"/>
    <mergeCell ref="H694:K694"/>
    <mergeCell ref="A695:C695"/>
    <mergeCell ref="D695:F695"/>
    <mergeCell ref="H695:I695"/>
    <mergeCell ref="J695:K695"/>
    <mergeCell ref="B696:C696"/>
    <mergeCell ref="H685:K685"/>
    <mergeCell ref="H686:K686"/>
    <mergeCell ref="H687:K687"/>
    <mergeCell ref="H664:K664"/>
    <mergeCell ref="H665:L665"/>
    <mergeCell ref="A666:L666"/>
    <mergeCell ref="A667:C668"/>
    <mergeCell ref="D667:E668"/>
    <mergeCell ref="F667:G667"/>
    <mergeCell ref="H667:K667"/>
    <mergeCell ref="L667:L668"/>
    <mergeCell ref="H668:I668"/>
    <mergeCell ref="J668:K668"/>
    <mergeCell ref="B669:C669"/>
    <mergeCell ref="D669:E669"/>
    <mergeCell ref="H669:I669"/>
    <mergeCell ref="J669:K669"/>
    <mergeCell ref="H670:K670"/>
    <mergeCell ref="H671:K671"/>
    <mergeCell ref="H672:K672"/>
    <mergeCell ref="H673:K673"/>
    <mergeCell ref="H674:K674"/>
    <mergeCell ref="H675:K675"/>
    <mergeCell ref="H676:K676"/>
    <mergeCell ref="H677:L677"/>
    <mergeCell ref="A678:L678"/>
    <mergeCell ref="A679:C680"/>
    <mergeCell ref="D679:E680"/>
    <mergeCell ref="F679:G679"/>
    <mergeCell ref="H679:K679"/>
    <mergeCell ref="L679:L680"/>
    <mergeCell ref="H680:I680"/>
    <mergeCell ref="H652:I652"/>
    <mergeCell ref="J652:K652"/>
    <mergeCell ref="H653:K653"/>
    <mergeCell ref="H654:K654"/>
    <mergeCell ref="H655:K655"/>
    <mergeCell ref="H656:K656"/>
    <mergeCell ref="H657:K657"/>
    <mergeCell ref="H658:K658"/>
    <mergeCell ref="H659:L659"/>
    <mergeCell ref="A660:L660"/>
    <mergeCell ref="A661:C661"/>
    <mergeCell ref="D661:F661"/>
    <mergeCell ref="H661:I661"/>
    <mergeCell ref="J661:K661"/>
    <mergeCell ref="B662:C662"/>
    <mergeCell ref="D662:F662"/>
    <mergeCell ref="H662:I662"/>
    <mergeCell ref="J662:K662"/>
    <mergeCell ref="H636:K636"/>
    <mergeCell ref="H637:L637"/>
    <mergeCell ref="A638:L638"/>
    <mergeCell ref="A639:C639"/>
    <mergeCell ref="D639:F639"/>
    <mergeCell ref="H639:I639"/>
    <mergeCell ref="J639:K639"/>
    <mergeCell ref="B640:C640"/>
    <mergeCell ref="D640:F640"/>
    <mergeCell ref="H640:I640"/>
    <mergeCell ref="J640:K640"/>
    <mergeCell ref="H641:K641"/>
    <mergeCell ref="H663:K663"/>
    <mergeCell ref="H642:K642"/>
    <mergeCell ref="H643:L643"/>
    <mergeCell ref="A644:L644"/>
    <mergeCell ref="A645:C645"/>
    <mergeCell ref="D645:F645"/>
    <mergeCell ref="H645:I645"/>
    <mergeCell ref="J645:K645"/>
    <mergeCell ref="B646:C646"/>
    <mergeCell ref="D646:F646"/>
    <mergeCell ref="H646:I646"/>
    <mergeCell ref="J646:K646"/>
    <mergeCell ref="H647:K647"/>
    <mergeCell ref="H648:K648"/>
    <mergeCell ref="H649:L649"/>
    <mergeCell ref="A650:L650"/>
    <mergeCell ref="A651:F651"/>
    <mergeCell ref="H651:I651"/>
    <mergeCell ref="J651:K651"/>
    <mergeCell ref="B652:F652"/>
    <mergeCell ref="B628:C628"/>
    <mergeCell ref="D628:F628"/>
    <mergeCell ref="H628:I628"/>
    <mergeCell ref="J628:K628"/>
    <mergeCell ref="H629:K629"/>
    <mergeCell ref="H630:K630"/>
    <mergeCell ref="H631:L631"/>
    <mergeCell ref="A632:L632"/>
    <mergeCell ref="A633:C633"/>
    <mergeCell ref="D633:F633"/>
    <mergeCell ref="H633:I633"/>
    <mergeCell ref="J633:K633"/>
    <mergeCell ref="B634:C634"/>
    <mergeCell ref="D634:F634"/>
    <mergeCell ref="H634:I634"/>
    <mergeCell ref="J634:K634"/>
    <mergeCell ref="H635:K635"/>
    <mergeCell ref="H618:K618"/>
    <mergeCell ref="H619:L619"/>
    <mergeCell ref="A620:L620"/>
    <mergeCell ref="A621:C621"/>
    <mergeCell ref="D621:F621"/>
    <mergeCell ref="H621:I621"/>
    <mergeCell ref="J621:K621"/>
    <mergeCell ref="B622:C622"/>
    <mergeCell ref="D622:F622"/>
    <mergeCell ref="H622:I622"/>
    <mergeCell ref="J622:K622"/>
    <mergeCell ref="H623:K623"/>
    <mergeCell ref="H624:K624"/>
    <mergeCell ref="H625:L625"/>
    <mergeCell ref="A626:L626"/>
    <mergeCell ref="A627:C627"/>
    <mergeCell ref="D627:F627"/>
    <mergeCell ref="H627:I627"/>
    <mergeCell ref="J627:K627"/>
    <mergeCell ref="B610:C610"/>
    <mergeCell ref="D610:F610"/>
    <mergeCell ref="H610:I610"/>
    <mergeCell ref="J610:K610"/>
    <mergeCell ref="H611:K611"/>
    <mergeCell ref="H612:K612"/>
    <mergeCell ref="H613:L613"/>
    <mergeCell ref="A614:L614"/>
    <mergeCell ref="A615:C615"/>
    <mergeCell ref="D615:F615"/>
    <mergeCell ref="H615:I615"/>
    <mergeCell ref="J615:K615"/>
    <mergeCell ref="B616:C616"/>
    <mergeCell ref="D616:F616"/>
    <mergeCell ref="H616:I616"/>
    <mergeCell ref="J616:K616"/>
    <mergeCell ref="H617:K617"/>
    <mergeCell ref="H600:K600"/>
    <mergeCell ref="H601:L601"/>
    <mergeCell ref="A602:L602"/>
    <mergeCell ref="A603:C603"/>
    <mergeCell ref="D603:F603"/>
    <mergeCell ref="H603:I603"/>
    <mergeCell ref="J603:K603"/>
    <mergeCell ref="B604:C604"/>
    <mergeCell ref="D604:F604"/>
    <mergeCell ref="H604:I604"/>
    <mergeCell ref="J604:K604"/>
    <mergeCell ref="H605:K605"/>
    <mergeCell ref="H606:K606"/>
    <mergeCell ref="H607:L607"/>
    <mergeCell ref="A608:L608"/>
    <mergeCell ref="A609:C609"/>
    <mergeCell ref="D609:F609"/>
    <mergeCell ref="H609:I609"/>
    <mergeCell ref="J609:K609"/>
    <mergeCell ref="B592:C592"/>
    <mergeCell ref="D592:F592"/>
    <mergeCell ref="H592:I592"/>
    <mergeCell ref="J592:K592"/>
    <mergeCell ref="H593:K593"/>
    <mergeCell ref="H594:K594"/>
    <mergeCell ref="H595:L595"/>
    <mergeCell ref="A596:L596"/>
    <mergeCell ref="A597:C597"/>
    <mergeCell ref="D597:F597"/>
    <mergeCell ref="H597:I597"/>
    <mergeCell ref="J597:K597"/>
    <mergeCell ref="B598:C598"/>
    <mergeCell ref="D598:F598"/>
    <mergeCell ref="H598:I598"/>
    <mergeCell ref="J598:K598"/>
    <mergeCell ref="H599:K599"/>
    <mergeCell ref="H582:K582"/>
    <mergeCell ref="H583:L583"/>
    <mergeCell ref="A584:L584"/>
    <mergeCell ref="A585:C585"/>
    <mergeCell ref="D585:F585"/>
    <mergeCell ref="H585:I585"/>
    <mergeCell ref="J585:K585"/>
    <mergeCell ref="B586:C586"/>
    <mergeCell ref="D586:F586"/>
    <mergeCell ref="H586:I586"/>
    <mergeCell ref="J586:K586"/>
    <mergeCell ref="H587:K587"/>
    <mergeCell ref="H588:K588"/>
    <mergeCell ref="H589:L589"/>
    <mergeCell ref="A590:L590"/>
    <mergeCell ref="A591:C591"/>
    <mergeCell ref="D591:F591"/>
    <mergeCell ref="H591:I591"/>
    <mergeCell ref="J591:K591"/>
    <mergeCell ref="B574:C574"/>
    <mergeCell ref="D574:F574"/>
    <mergeCell ref="H574:I574"/>
    <mergeCell ref="J574:K574"/>
    <mergeCell ref="H575:K575"/>
    <mergeCell ref="H576:K576"/>
    <mergeCell ref="H577:L577"/>
    <mergeCell ref="A578:L578"/>
    <mergeCell ref="A579:C579"/>
    <mergeCell ref="D579:F579"/>
    <mergeCell ref="H579:I579"/>
    <mergeCell ref="J579:K579"/>
    <mergeCell ref="B580:C580"/>
    <mergeCell ref="D580:F580"/>
    <mergeCell ref="H580:I580"/>
    <mergeCell ref="J580:K580"/>
    <mergeCell ref="H581:K581"/>
    <mergeCell ref="H564:K564"/>
    <mergeCell ref="H565:L565"/>
    <mergeCell ref="A566:L566"/>
    <mergeCell ref="A567:C567"/>
    <mergeCell ref="D567:F567"/>
    <mergeCell ref="H567:I567"/>
    <mergeCell ref="J567:K567"/>
    <mergeCell ref="B568:C568"/>
    <mergeCell ref="D568:F568"/>
    <mergeCell ref="H568:I568"/>
    <mergeCell ref="J568:K568"/>
    <mergeCell ref="H569:K569"/>
    <mergeCell ref="H570:K570"/>
    <mergeCell ref="H571:L571"/>
    <mergeCell ref="A572:L572"/>
    <mergeCell ref="A573:C573"/>
    <mergeCell ref="D573:F573"/>
    <mergeCell ref="H573:I573"/>
    <mergeCell ref="J573:K573"/>
    <mergeCell ref="B556:C556"/>
    <mergeCell ref="D556:F556"/>
    <mergeCell ref="H556:I556"/>
    <mergeCell ref="J556:K556"/>
    <mergeCell ref="H557:K557"/>
    <mergeCell ref="H558:K558"/>
    <mergeCell ref="H559:L559"/>
    <mergeCell ref="A560:L560"/>
    <mergeCell ref="A561:C561"/>
    <mergeCell ref="D561:F561"/>
    <mergeCell ref="H561:I561"/>
    <mergeCell ref="J561:K561"/>
    <mergeCell ref="B562:C562"/>
    <mergeCell ref="D562:F562"/>
    <mergeCell ref="H562:I562"/>
    <mergeCell ref="J562:K562"/>
    <mergeCell ref="H563:K563"/>
    <mergeCell ref="H546:K546"/>
    <mergeCell ref="H547:L547"/>
    <mergeCell ref="A548:L548"/>
    <mergeCell ref="A549:C549"/>
    <mergeCell ref="D549:F549"/>
    <mergeCell ref="H549:I549"/>
    <mergeCell ref="J549:K549"/>
    <mergeCell ref="B550:C550"/>
    <mergeCell ref="D550:F550"/>
    <mergeCell ref="H550:I550"/>
    <mergeCell ref="J550:K550"/>
    <mergeCell ref="H551:K551"/>
    <mergeCell ref="H552:K552"/>
    <mergeCell ref="H553:L553"/>
    <mergeCell ref="A554:L554"/>
    <mergeCell ref="A555:C555"/>
    <mergeCell ref="D555:F555"/>
    <mergeCell ref="H555:I555"/>
    <mergeCell ref="J555:K555"/>
    <mergeCell ref="B538:C538"/>
    <mergeCell ref="D538:F538"/>
    <mergeCell ref="H538:I538"/>
    <mergeCell ref="J538:K538"/>
    <mergeCell ref="H539:K539"/>
    <mergeCell ref="H540:K540"/>
    <mergeCell ref="H541:L541"/>
    <mergeCell ref="A542:L542"/>
    <mergeCell ref="A543:C543"/>
    <mergeCell ref="D543:F543"/>
    <mergeCell ref="H543:I543"/>
    <mergeCell ref="J543:K543"/>
    <mergeCell ref="B544:C544"/>
    <mergeCell ref="D544:F544"/>
    <mergeCell ref="H544:I544"/>
    <mergeCell ref="J544:K544"/>
    <mergeCell ref="H545:K545"/>
    <mergeCell ref="H528:K528"/>
    <mergeCell ref="H529:L529"/>
    <mergeCell ref="A530:L530"/>
    <mergeCell ref="A531:C531"/>
    <mergeCell ref="D531:F531"/>
    <mergeCell ref="H531:I531"/>
    <mergeCell ref="J531:K531"/>
    <mergeCell ref="B532:C532"/>
    <mergeCell ref="D532:F532"/>
    <mergeCell ref="H532:I532"/>
    <mergeCell ref="J532:K532"/>
    <mergeCell ref="H533:K533"/>
    <mergeCell ref="H534:K534"/>
    <mergeCell ref="H535:L535"/>
    <mergeCell ref="A536:L536"/>
    <mergeCell ref="A537:C537"/>
    <mergeCell ref="D537:F537"/>
    <mergeCell ref="H537:I537"/>
    <mergeCell ref="J537:K537"/>
    <mergeCell ref="B520:C520"/>
    <mergeCell ref="D520:F520"/>
    <mergeCell ref="H520:I520"/>
    <mergeCell ref="J520:K520"/>
    <mergeCell ref="H521:K521"/>
    <mergeCell ref="H522:K522"/>
    <mergeCell ref="H523:L523"/>
    <mergeCell ref="A524:L524"/>
    <mergeCell ref="A525:C525"/>
    <mergeCell ref="D525:F525"/>
    <mergeCell ref="H525:I525"/>
    <mergeCell ref="J525:K525"/>
    <mergeCell ref="B526:C526"/>
    <mergeCell ref="D526:F526"/>
    <mergeCell ref="H526:I526"/>
    <mergeCell ref="J526:K526"/>
    <mergeCell ref="H527:K527"/>
    <mergeCell ref="H510:K510"/>
    <mergeCell ref="H511:L511"/>
    <mergeCell ref="A512:L512"/>
    <mergeCell ref="A513:C513"/>
    <mergeCell ref="D513:F513"/>
    <mergeCell ref="H513:I513"/>
    <mergeCell ref="J513:K513"/>
    <mergeCell ref="B514:C514"/>
    <mergeCell ref="D514:F514"/>
    <mergeCell ref="H514:I514"/>
    <mergeCell ref="J514:K514"/>
    <mergeCell ref="H515:K515"/>
    <mergeCell ref="H516:K516"/>
    <mergeCell ref="H517:L517"/>
    <mergeCell ref="A518:L518"/>
    <mergeCell ref="A519:C519"/>
    <mergeCell ref="D519:F519"/>
    <mergeCell ref="H519:I519"/>
    <mergeCell ref="J519:K519"/>
    <mergeCell ref="B502:C502"/>
    <mergeCell ref="D502:F502"/>
    <mergeCell ref="H502:I502"/>
    <mergeCell ref="J502:K502"/>
    <mergeCell ref="H503:K503"/>
    <mergeCell ref="H504:K504"/>
    <mergeCell ref="H505:L505"/>
    <mergeCell ref="A506:L506"/>
    <mergeCell ref="A507:C507"/>
    <mergeCell ref="D507:F507"/>
    <mergeCell ref="H507:I507"/>
    <mergeCell ref="J507:K507"/>
    <mergeCell ref="B508:C508"/>
    <mergeCell ref="D508:F508"/>
    <mergeCell ref="H508:I508"/>
    <mergeCell ref="J508:K508"/>
    <mergeCell ref="H509:K509"/>
    <mergeCell ref="D494:F494"/>
    <mergeCell ref="H494:I494"/>
    <mergeCell ref="J494:K494"/>
    <mergeCell ref="B495:C495"/>
    <mergeCell ref="D495:F495"/>
    <mergeCell ref="H495:I495"/>
    <mergeCell ref="J495:K495"/>
    <mergeCell ref="B496:C496"/>
    <mergeCell ref="D496:F496"/>
    <mergeCell ref="H496:I496"/>
    <mergeCell ref="J496:K496"/>
    <mergeCell ref="H498:K498"/>
    <mergeCell ref="H499:L499"/>
    <mergeCell ref="A500:L500"/>
    <mergeCell ref="A501:C501"/>
    <mergeCell ref="D501:F501"/>
    <mergeCell ref="H501:I501"/>
    <mergeCell ref="J501:K501"/>
    <mergeCell ref="B482:C482"/>
    <mergeCell ref="D482:F482"/>
    <mergeCell ref="H482:I482"/>
    <mergeCell ref="J482:K482"/>
    <mergeCell ref="H483:K483"/>
    <mergeCell ref="H497:K497"/>
    <mergeCell ref="A484:C484"/>
    <mergeCell ref="D484:F484"/>
    <mergeCell ref="H484:I484"/>
    <mergeCell ref="J484:K484"/>
    <mergeCell ref="B485:C485"/>
    <mergeCell ref="D485:F485"/>
    <mergeCell ref="H485:I485"/>
    <mergeCell ref="J485:K485"/>
    <mergeCell ref="B486:C486"/>
    <mergeCell ref="D486:F486"/>
    <mergeCell ref="H486:I486"/>
    <mergeCell ref="J486:K486"/>
    <mergeCell ref="H487:K487"/>
    <mergeCell ref="H488:K488"/>
    <mergeCell ref="H489:L489"/>
    <mergeCell ref="A490:L490"/>
    <mergeCell ref="A491:C491"/>
    <mergeCell ref="D491:F491"/>
    <mergeCell ref="H491:I491"/>
    <mergeCell ref="J491:K491"/>
    <mergeCell ref="B492:C492"/>
    <mergeCell ref="D492:F492"/>
    <mergeCell ref="H492:I492"/>
    <mergeCell ref="J492:K492"/>
    <mergeCell ref="H493:K493"/>
    <mergeCell ref="A494:C494"/>
    <mergeCell ref="A474:C474"/>
    <mergeCell ref="D474:F474"/>
    <mergeCell ref="H474:I474"/>
    <mergeCell ref="J474:K474"/>
    <mergeCell ref="B475:C475"/>
    <mergeCell ref="D475:F475"/>
    <mergeCell ref="H475:I475"/>
    <mergeCell ref="J475:K475"/>
    <mergeCell ref="B476:C476"/>
    <mergeCell ref="D476:F476"/>
    <mergeCell ref="H476:I476"/>
    <mergeCell ref="J476:K476"/>
    <mergeCell ref="H477:K477"/>
    <mergeCell ref="H478:K478"/>
    <mergeCell ref="H479:L479"/>
    <mergeCell ref="A480:L480"/>
    <mergeCell ref="A481:C481"/>
    <mergeCell ref="D481:F481"/>
    <mergeCell ref="H481:I481"/>
    <mergeCell ref="J481:K481"/>
    <mergeCell ref="B466:C466"/>
    <mergeCell ref="D466:F466"/>
    <mergeCell ref="H466:I466"/>
    <mergeCell ref="J466:K466"/>
    <mergeCell ref="H468:K468"/>
    <mergeCell ref="H469:L469"/>
    <mergeCell ref="A470:L470"/>
    <mergeCell ref="A471:C471"/>
    <mergeCell ref="D471:F471"/>
    <mergeCell ref="H471:I471"/>
    <mergeCell ref="J471:K471"/>
    <mergeCell ref="B472:C472"/>
    <mergeCell ref="D472:F472"/>
    <mergeCell ref="H472:I472"/>
    <mergeCell ref="J472:K472"/>
    <mergeCell ref="H467:K467"/>
    <mergeCell ref="H473:K473"/>
    <mergeCell ref="H458:K458"/>
    <mergeCell ref="H459:L459"/>
    <mergeCell ref="A460:L460"/>
    <mergeCell ref="A461:C461"/>
    <mergeCell ref="D461:F461"/>
    <mergeCell ref="H461:I461"/>
    <mergeCell ref="J461:K461"/>
    <mergeCell ref="H465:I465"/>
    <mergeCell ref="J465:K465"/>
    <mergeCell ref="B462:C462"/>
    <mergeCell ref="D462:F462"/>
    <mergeCell ref="H462:I462"/>
    <mergeCell ref="J462:K462"/>
    <mergeCell ref="H463:K463"/>
    <mergeCell ref="A464:C464"/>
    <mergeCell ref="D464:F464"/>
    <mergeCell ref="H464:I464"/>
    <mergeCell ref="J464:K464"/>
    <mergeCell ref="B465:C465"/>
    <mergeCell ref="D465:F465"/>
    <mergeCell ref="D451:F451"/>
    <mergeCell ref="H451:I451"/>
    <mergeCell ref="J451:K451"/>
    <mergeCell ref="B452:C452"/>
    <mergeCell ref="D452:F452"/>
    <mergeCell ref="H452:I452"/>
    <mergeCell ref="J452:K452"/>
    <mergeCell ref="H453:K453"/>
    <mergeCell ref="B455:C455"/>
    <mergeCell ref="D455:F455"/>
    <mergeCell ref="H455:I455"/>
    <mergeCell ref="J455:K455"/>
    <mergeCell ref="B456:C456"/>
    <mergeCell ref="D456:F456"/>
    <mergeCell ref="H456:I456"/>
    <mergeCell ref="J456:K456"/>
    <mergeCell ref="H457:K457"/>
    <mergeCell ref="A454:C454"/>
    <mergeCell ref="D454:F454"/>
    <mergeCell ref="H454:I454"/>
    <mergeCell ref="J454:K454"/>
    <mergeCell ref="H439:I439"/>
    <mergeCell ref="J439:K439"/>
    <mergeCell ref="B440:C440"/>
    <mergeCell ref="D440:F440"/>
    <mergeCell ref="H440:I440"/>
    <mergeCell ref="J440:K440"/>
    <mergeCell ref="B441:C441"/>
    <mergeCell ref="D441:F441"/>
    <mergeCell ref="H441:I441"/>
    <mergeCell ref="J441:K441"/>
    <mergeCell ref="B442:C442"/>
    <mergeCell ref="D442:F442"/>
    <mergeCell ref="H442:I442"/>
    <mergeCell ref="J442:K442"/>
    <mergeCell ref="H443:K443"/>
    <mergeCell ref="A444:C444"/>
    <mergeCell ref="D444:F444"/>
    <mergeCell ref="H444:I444"/>
    <mergeCell ref="J444:K444"/>
    <mergeCell ref="B446:C446"/>
    <mergeCell ref="D446:F446"/>
    <mergeCell ref="H446:I446"/>
    <mergeCell ref="J446:K446"/>
    <mergeCell ref="H447:K447"/>
    <mergeCell ref="H448:K448"/>
    <mergeCell ref="H449:L449"/>
    <mergeCell ref="A450:L450"/>
    <mergeCell ref="A451:C451"/>
    <mergeCell ref="J427:K427"/>
    <mergeCell ref="B428:C428"/>
    <mergeCell ref="D428:F428"/>
    <mergeCell ref="H428:I428"/>
    <mergeCell ref="J428:K428"/>
    <mergeCell ref="B429:C429"/>
    <mergeCell ref="D429:F429"/>
    <mergeCell ref="H429:I429"/>
    <mergeCell ref="J429:K429"/>
    <mergeCell ref="B445:C445"/>
    <mergeCell ref="D445:F445"/>
    <mergeCell ref="H445:I445"/>
    <mergeCell ref="J445:K445"/>
    <mergeCell ref="H431:K431"/>
    <mergeCell ref="H432:K432"/>
    <mergeCell ref="H433:L433"/>
    <mergeCell ref="A434:L434"/>
    <mergeCell ref="A435:C435"/>
    <mergeCell ref="D435:F435"/>
    <mergeCell ref="H435:I435"/>
    <mergeCell ref="J435:K435"/>
    <mergeCell ref="B436:C436"/>
    <mergeCell ref="D436:F436"/>
    <mergeCell ref="H436:I436"/>
    <mergeCell ref="J436:K436"/>
    <mergeCell ref="B437:C437"/>
    <mergeCell ref="D437:F437"/>
    <mergeCell ref="H437:I437"/>
    <mergeCell ref="J437:K437"/>
    <mergeCell ref="H438:K438"/>
    <mergeCell ref="A439:C439"/>
    <mergeCell ref="D439:F439"/>
    <mergeCell ref="B430:C430"/>
    <mergeCell ref="D430:F430"/>
    <mergeCell ref="H430:I430"/>
    <mergeCell ref="J430:K430"/>
    <mergeCell ref="H417:K417"/>
    <mergeCell ref="H418:L418"/>
    <mergeCell ref="A419:L419"/>
    <mergeCell ref="A420:C420"/>
    <mergeCell ref="D420:F420"/>
    <mergeCell ref="H420:I420"/>
    <mergeCell ref="J420:K420"/>
    <mergeCell ref="B421:C421"/>
    <mergeCell ref="D421:F421"/>
    <mergeCell ref="H421:I421"/>
    <mergeCell ref="J421:K421"/>
    <mergeCell ref="B422:C422"/>
    <mergeCell ref="D422:F422"/>
    <mergeCell ref="H422:I422"/>
    <mergeCell ref="J422:K422"/>
    <mergeCell ref="H423:K423"/>
    <mergeCell ref="A424:C424"/>
    <mergeCell ref="D424:F424"/>
    <mergeCell ref="H424:I424"/>
    <mergeCell ref="J424:K424"/>
    <mergeCell ref="B425:C425"/>
    <mergeCell ref="D425:F425"/>
    <mergeCell ref="H425:I425"/>
    <mergeCell ref="J425:K425"/>
    <mergeCell ref="H426:K426"/>
    <mergeCell ref="A427:C427"/>
    <mergeCell ref="D427:F427"/>
    <mergeCell ref="H427:I427"/>
    <mergeCell ref="B409:C409"/>
    <mergeCell ref="D409:F409"/>
    <mergeCell ref="H409:I409"/>
    <mergeCell ref="J409:K409"/>
    <mergeCell ref="H410:K410"/>
    <mergeCell ref="H411:K411"/>
    <mergeCell ref="H412:L412"/>
    <mergeCell ref="A413:L413"/>
    <mergeCell ref="A414:C414"/>
    <mergeCell ref="D414:F414"/>
    <mergeCell ref="H414:I414"/>
    <mergeCell ref="J414:K414"/>
    <mergeCell ref="B415:C415"/>
    <mergeCell ref="D415:F415"/>
    <mergeCell ref="H415:I415"/>
    <mergeCell ref="J415:K415"/>
    <mergeCell ref="H416:K416"/>
    <mergeCell ref="H399:K399"/>
    <mergeCell ref="H400:L400"/>
    <mergeCell ref="A401:L401"/>
    <mergeCell ref="A402:C402"/>
    <mergeCell ref="D402:F402"/>
    <mergeCell ref="H402:I402"/>
    <mergeCell ref="J402:K402"/>
    <mergeCell ref="B403:C403"/>
    <mergeCell ref="D403:F403"/>
    <mergeCell ref="H403:I403"/>
    <mergeCell ref="J403:K403"/>
    <mergeCell ref="H404:K404"/>
    <mergeCell ref="H405:K405"/>
    <mergeCell ref="H406:L406"/>
    <mergeCell ref="A407:L407"/>
    <mergeCell ref="A408:C408"/>
    <mergeCell ref="D408:F408"/>
    <mergeCell ref="H408:I408"/>
    <mergeCell ref="J408:K408"/>
    <mergeCell ref="B390:C390"/>
    <mergeCell ref="D390:F390"/>
    <mergeCell ref="H390:I390"/>
    <mergeCell ref="J390:K390"/>
    <mergeCell ref="B391:C391"/>
    <mergeCell ref="D391:F391"/>
    <mergeCell ref="H391:I391"/>
    <mergeCell ref="J391:K391"/>
    <mergeCell ref="H392:K392"/>
    <mergeCell ref="H393:K393"/>
    <mergeCell ref="H394:L394"/>
    <mergeCell ref="A395:L395"/>
    <mergeCell ref="A396:C396"/>
    <mergeCell ref="D396:F396"/>
    <mergeCell ref="H396:I396"/>
    <mergeCell ref="J396:K396"/>
    <mergeCell ref="B397:C397"/>
    <mergeCell ref="D397:F397"/>
    <mergeCell ref="H397:I397"/>
    <mergeCell ref="J397:K397"/>
    <mergeCell ref="H377:K377"/>
    <mergeCell ref="H378:L378"/>
    <mergeCell ref="A379:L379"/>
    <mergeCell ref="A380:C380"/>
    <mergeCell ref="D380:F380"/>
    <mergeCell ref="H380:I380"/>
    <mergeCell ref="J380:K380"/>
    <mergeCell ref="H398:K398"/>
    <mergeCell ref="B381:C381"/>
    <mergeCell ref="D381:F381"/>
    <mergeCell ref="H381:I381"/>
    <mergeCell ref="J381:K381"/>
    <mergeCell ref="B382:C382"/>
    <mergeCell ref="D382:F382"/>
    <mergeCell ref="H382:I382"/>
    <mergeCell ref="J382:K382"/>
    <mergeCell ref="H383:K383"/>
    <mergeCell ref="H384:K384"/>
    <mergeCell ref="H385:L385"/>
    <mergeCell ref="A386:L386"/>
    <mergeCell ref="A387:C387"/>
    <mergeCell ref="D387:F387"/>
    <mergeCell ref="H387:I387"/>
    <mergeCell ref="J387:K387"/>
    <mergeCell ref="B388:C388"/>
    <mergeCell ref="D388:F388"/>
    <mergeCell ref="H388:I388"/>
    <mergeCell ref="J388:K388"/>
    <mergeCell ref="B389:C389"/>
    <mergeCell ref="D389:F389"/>
    <mergeCell ref="H389:I389"/>
    <mergeCell ref="J389:K389"/>
    <mergeCell ref="B369:C369"/>
    <mergeCell ref="D369:F369"/>
    <mergeCell ref="H369:I369"/>
    <mergeCell ref="J369:K369"/>
    <mergeCell ref="H370:K370"/>
    <mergeCell ref="H371:K371"/>
    <mergeCell ref="H372:L372"/>
    <mergeCell ref="A373:L373"/>
    <mergeCell ref="A374:C374"/>
    <mergeCell ref="D374:F374"/>
    <mergeCell ref="H374:I374"/>
    <mergeCell ref="J374:K374"/>
    <mergeCell ref="B375:C375"/>
    <mergeCell ref="D375:F375"/>
    <mergeCell ref="H375:I375"/>
    <mergeCell ref="J375:K375"/>
    <mergeCell ref="H376:K376"/>
    <mergeCell ref="H360:L360"/>
    <mergeCell ref="A361:L361"/>
    <mergeCell ref="A362:C362"/>
    <mergeCell ref="D362:F362"/>
    <mergeCell ref="H362:I362"/>
    <mergeCell ref="J362:K362"/>
    <mergeCell ref="B363:C363"/>
    <mergeCell ref="D363:F363"/>
    <mergeCell ref="H363:I363"/>
    <mergeCell ref="J363:K363"/>
    <mergeCell ref="H364:K364"/>
    <mergeCell ref="H365:K365"/>
    <mergeCell ref="H366:L366"/>
    <mergeCell ref="A367:L367"/>
    <mergeCell ref="A368:C368"/>
    <mergeCell ref="D368:F368"/>
    <mergeCell ref="H368:I368"/>
    <mergeCell ref="J368:K368"/>
    <mergeCell ref="B351:C351"/>
    <mergeCell ref="D351:F351"/>
    <mergeCell ref="H351:I351"/>
    <mergeCell ref="J351:K351"/>
    <mergeCell ref="H353:K353"/>
    <mergeCell ref="H354:L354"/>
    <mergeCell ref="A355:L355"/>
    <mergeCell ref="A356:C356"/>
    <mergeCell ref="D356:F356"/>
    <mergeCell ref="H356:I356"/>
    <mergeCell ref="J356:K356"/>
    <mergeCell ref="B357:C357"/>
    <mergeCell ref="D357:F357"/>
    <mergeCell ref="H357:I357"/>
    <mergeCell ref="J357:K357"/>
    <mergeCell ref="H358:K358"/>
    <mergeCell ref="H359:K359"/>
    <mergeCell ref="H345:I345"/>
    <mergeCell ref="J345:K345"/>
    <mergeCell ref="H346:K346"/>
    <mergeCell ref="A347:C347"/>
    <mergeCell ref="D347:F347"/>
    <mergeCell ref="H347:I347"/>
    <mergeCell ref="J347:K347"/>
    <mergeCell ref="B348:C348"/>
    <mergeCell ref="D348:F348"/>
    <mergeCell ref="H348:I348"/>
    <mergeCell ref="J348:K348"/>
    <mergeCell ref="B349:C349"/>
    <mergeCell ref="D349:F349"/>
    <mergeCell ref="H349:I349"/>
    <mergeCell ref="J349:K349"/>
    <mergeCell ref="B350:C350"/>
    <mergeCell ref="D350:F350"/>
    <mergeCell ref="H350:I350"/>
    <mergeCell ref="J350:K350"/>
    <mergeCell ref="B333:C333"/>
    <mergeCell ref="D333:F333"/>
    <mergeCell ref="H333:I333"/>
    <mergeCell ref="J333:K333"/>
    <mergeCell ref="H334:K334"/>
    <mergeCell ref="A335:C335"/>
    <mergeCell ref="D335:F335"/>
    <mergeCell ref="H335:I335"/>
    <mergeCell ref="J335:K335"/>
    <mergeCell ref="B336:C336"/>
    <mergeCell ref="D336:F336"/>
    <mergeCell ref="H336:I336"/>
    <mergeCell ref="J336:K336"/>
    <mergeCell ref="H352:K352"/>
    <mergeCell ref="A338:C338"/>
    <mergeCell ref="D338:F338"/>
    <mergeCell ref="H338:I338"/>
    <mergeCell ref="J338:K338"/>
    <mergeCell ref="B339:C339"/>
    <mergeCell ref="D339:F339"/>
    <mergeCell ref="H339:I339"/>
    <mergeCell ref="J339:K339"/>
    <mergeCell ref="H340:K340"/>
    <mergeCell ref="H341:K341"/>
    <mergeCell ref="H342:L342"/>
    <mergeCell ref="A343:L343"/>
    <mergeCell ref="A344:C344"/>
    <mergeCell ref="D344:F344"/>
    <mergeCell ref="H344:I344"/>
    <mergeCell ref="J344:K344"/>
    <mergeCell ref="B345:C345"/>
    <mergeCell ref="D345:F345"/>
    <mergeCell ref="B322:C322"/>
    <mergeCell ref="D322:F322"/>
    <mergeCell ref="H322:I322"/>
    <mergeCell ref="J322:K322"/>
    <mergeCell ref="H337:K337"/>
    <mergeCell ref="H324:K324"/>
    <mergeCell ref="H325:L325"/>
    <mergeCell ref="A326:L326"/>
    <mergeCell ref="A327:C327"/>
    <mergeCell ref="D327:F327"/>
    <mergeCell ref="H327:I327"/>
    <mergeCell ref="J327:K327"/>
    <mergeCell ref="B328:C328"/>
    <mergeCell ref="D328:F328"/>
    <mergeCell ref="H328:I328"/>
    <mergeCell ref="J328:K328"/>
    <mergeCell ref="B329:C329"/>
    <mergeCell ref="D329:F329"/>
    <mergeCell ref="H329:I329"/>
    <mergeCell ref="J329:K329"/>
    <mergeCell ref="B330:C330"/>
    <mergeCell ref="D330:F330"/>
    <mergeCell ref="H330:I330"/>
    <mergeCell ref="J330:K330"/>
    <mergeCell ref="B331:C331"/>
    <mergeCell ref="D331:F331"/>
    <mergeCell ref="H331:I331"/>
    <mergeCell ref="J331:K331"/>
    <mergeCell ref="B332:C332"/>
    <mergeCell ref="D332:F332"/>
    <mergeCell ref="H332:I332"/>
    <mergeCell ref="J332:K332"/>
    <mergeCell ref="D314:F314"/>
    <mergeCell ref="H314:I314"/>
    <mergeCell ref="J314:K314"/>
    <mergeCell ref="B315:C315"/>
    <mergeCell ref="D315:F315"/>
    <mergeCell ref="H315:I315"/>
    <mergeCell ref="J315:K315"/>
    <mergeCell ref="B316:C316"/>
    <mergeCell ref="D316:F316"/>
    <mergeCell ref="H316:I316"/>
    <mergeCell ref="J316:K316"/>
    <mergeCell ref="H317:K317"/>
    <mergeCell ref="H318:K318"/>
    <mergeCell ref="H319:L319"/>
    <mergeCell ref="A320:L320"/>
    <mergeCell ref="A321:C321"/>
    <mergeCell ref="D321:F321"/>
    <mergeCell ref="H321:I321"/>
    <mergeCell ref="J321:K321"/>
    <mergeCell ref="H298:L298"/>
    <mergeCell ref="A299:L299"/>
    <mergeCell ref="A300:C300"/>
    <mergeCell ref="D300:F300"/>
    <mergeCell ref="H300:I300"/>
    <mergeCell ref="J300:K300"/>
    <mergeCell ref="B301:C301"/>
    <mergeCell ref="D301:F301"/>
    <mergeCell ref="H301:I301"/>
    <mergeCell ref="J301:K301"/>
    <mergeCell ref="H323:K323"/>
    <mergeCell ref="H303:K303"/>
    <mergeCell ref="H304:K304"/>
    <mergeCell ref="H305:L305"/>
    <mergeCell ref="A306:L306"/>
    <mergeCell ref="A307:C307"/>
    <mergeCell ref="D307:F307"/>
    <mergeCell ref="H307:I307"/>
    <mergeCell ref="J307:K307"/>
    <mergeCell ref="B308:C308"/>
    <mergeCell ref="D308:F308"/>
    <mergeCell ref="H308:I308"/>
    <mergeCell ref="J308:K308"/>
    <mergeCell ref="B309:C309"/>
    <mergeCell ref="D309:F309"/>
    <mergeCell ref="H309:I309"/>
    <mergeCell ref="J309:K309"/>
    <mergeCell ref="H310:K310"/>
    <mergeCell ref="H311:K311"/>
    <mergeCell ref="H312:L312"/>
    <mergeCell ref="A313:L313"/>
    <mergeCell ref="A314:C314"/>
    <mergeCell ref="H290:K290"/>
    <mergeCell ref="H291:L291"/>
    <mergeCell ref="A292:L292"/>
    <mergeCell ref="A293:C293"/>
    <mergeCell ref="D293:F293"/>
    <mergeCell ref="H293:I293"/>
    <mergeCell ref="J293:K293"/>
    <mergeCell ref="B294:C294"/>
    <mergeCell ref="D294:F294"/>
    <mergeCell ref="H294:I294"/>
    <mergeCell ref="J294:K294"/>
    <mergeCell ref="B295:C295"/>
    <mergeCell ref="D295:F295"/>
    <mergeCell ref="H295:I295"/>
    <mergeCell ref="J295:K295"/>
    <mergeCell ref="H296:K296"/>
    <mergeCell ref="H297:K297"/>
    <mergeCell ref="H280:I280"/>
    <mergeCell ref="J280:K280"/>
    <mergeCell ref="B281:C281"/>
    <mergeCell ref="D281:F281"/>
    <mergeCell ref="H281:I281"/>
    <mergeCell ref="J281:K281"/>
    <mergeCell ref="H282:K282"/>
    <mergeCell ref="A283:C283"/>
    <mergeCell ref="D283:F283"/>
    <mergeCell ref="H283:I283"/>
    <mergeCell ref="J283:K283"/>
    <mergeCell ref="B302:C302"/>
    <mergeCell ref="D302:F302"/>
    <mergeCell ref="H302:I302"/>
    <mergeCell ref="J302:K302"/>
    <mergeCell ref="B285:C285"/>
    <mergeCell ref="D285:F285"/>
    <mergeCell ref="H285:I285"/>
    <mergeCell ref="J285:K285"/>
    <mergeCell ref="B286:C286"/>
    <mergeCell ref="D286:F286"/>
    <mergeCell ref="H286:I286"/>
    <mergeCell ref="J286:K286"/>
    <mergeCell ref="B287:C287"/>
    <mergeCell ref="D287:F287"/>
    <mergeCell ref="H287:I287"/>
    <mergeCell ref="J287:K287"/>
    <mergeCell ref="B288:C288"/>
    <mergeCell ref="D288:F288"/>
    <mergeCell ref="H288:I288"/>
    <mergeCell ref="J288:K288"/>
    <mergeCell ref="H289:K289"/>
    <mergeCell ref="A268:L268"/>
    <mergeCell ref="B284:C284"/>
    <mergeCell ref="D284:F284"/>
    <mergeCell ref="H284:I284"/>
    <mergeCell ref="J284:K284"/>
    <mergeCell ref="B270:C270"/>
    <mergeCell ref="D270:F270"/>
    <mergeCell ref="H270:I270"/>
    <mergeCell ref="J270:K270"/>
    <mergeCell ref="H271:K271"/>
    <mergeCell ref="A272:C272"/>
    <mergeCell ref="D272:F272"/>
    <mergeCell ref="H272:I272"/>
    <mergeCell ref="J272:K272"/>
    <mergeCell ref="B273:C273"/>
    <mergeCell ref="D273:F273"/>
    <mergeCell ref="H273:I273"/>
    <mergeCell ref="J273:K273"/>
    <mergeCell ref="B274:C274"/>
    <mergeCell ref="D274:F274"/>
    <mergeCell ref="H274:I274"/>
    <mergeCell ref="J274:K274"/>
    <mergeCell ref="B275:C275"/>
    <mergeCell ref="D275:F275"/>
    <mergeCell ref="H275:I275"/>
    <mergeCell ref="J275:K275"/>
    <mergeCell ref="H276:K276"/>
    <mergeCell ref="H277:K277"/>
    <mergeCell ref="H278:L278"/>
    <mergeCell ref="A279:L279"/>
    <mergeCell ref="A280:C280"/>
    <mergeCell ref="D280:F280"/>
    <mergeCell ref="J260:K260"/>
    <mergeCell ref="H261:K261"/>
    <mergeCell ref="A262:C262"/>
    <mergeCell ref="D262:F262"/>
    <mergeCell ref="H262:I262"/>
    <mergeCell ref="J262:K262"/>
    <mergeCell ref="B263:C263"/>
    <mergeCell ref="D263:F263"/>
    <mergeCell ref="H263:I263"/>
    <mergeCell ref="J263:K263"/>
    <mergeCell ref="B264:C264"/>
    <mergeCell ref="D264:F264"/>
    <mergeCell ref="H264:I264"/>
    <mergeCell ref="J264:K264"/>
    <mergeCell ref="H265:K265"/>
    <mergeCell ref="H266:K266"/>
    <mergeCell ref="H267:L267"/>
    <mergeCell ref="B249:C249"/>
    <mergeCell ref="D249:F249"/>
    <mergeCell ref="H249:I249"/>
    <mergeCell ref="J249:K249"/>
    <mergeCell ref="H250:K250"/>
    <mergeCell ref="A251:C251"/>
    <mergeCell ref="D251:F251"/>
    <mergeCell ref="H251:I251"/>
    <mergeCell ref="J251:K251"/>
    <mergeCell ref="A269:C269"/>
    <mergeCell ref="D269:F269"/>
    <mergeCell ref="H269:I269"/>
    <mergeCell ref="J269:K269"/>
    <mergeCell ref="B253:C253"/>
    <mergeCell ref="D253:F253"/>
    <mergeCell ref="H253:I253"/>
    <mergeCell ref="J253:K253"/>
    <mergeCell ref="H254:K254"/>
    <mergeCell ref="H255:K255"/>
    <mergeCell ref="H256:L256"/>
    <mergeCell ref="A257:L257"/>
    <mergeCell ref="A258:C258"/>
    <mergeCell ref="D258:F258"/>
    <mergeCell ref="H258:I258"/>
    <mergeCell ref="J258:K258"/>
    <mergeCell ref="B259:C259"/>
    <mergeCell ref="D259:F259"/>
    <mergeCell ref="H259:I259"/>
    <mergeCell ref="J259:K259"/>
    <mergeCell ref="B260:C260"/>
    <mergeCell ref="D260:F260"/>
    <mergeCell ref="H260:I260"/>
    <mergeCell ref="B252:C252"/>
    <mergeCell ref="D252:F252"/>
    <mergeCell ref="H252:I252"/>
    <mergeCell ref="J252:K252"/>
    <mergeCell ref="B239:C239"/>
    <mergeCell ref="D239:F239"/>
    <mergeCell ref="H239:I239"/>
    <mergeCell ref="J239:K239"/>
    <mergeCell ref="H240:K240"/>
    <mergeCell ref="H241:K241"/>
    <mergeCell ref="H242:L242"/>
    <mergeCell ref="A243:L243"/>
    <mergeCell ref="A244:C244"/>
    <mergeCell ref="D244:F244"/>
    <mergeCell ref="H244:I244"/>
    <mergeCell ref="J244:K244"/>
    <mergeCell ref="B245:C245"/>
    <mergeCell ref="D245:F245"/>
    <mergeCell ref="H245:I245"/>
    <mergeCell ref="J245:K245"/>
    <mergeCell ref="B246:C246"/>
    <mergeCell ref="D246:F246"/>
    <mergeCell ref="H246:I246"/>
    <mergeCell ref="J246:K246"/>
    <mergeCell ref="B247:C247"/>
    <mergeCell ref="D247:F247"/>
    <mergeCell ref="H247:I247"/>
    <mergeCell ref="J247:K247"/>
    <mergeCell ref="B248:C248"/>
    <mergeCell ref="D248:F248"/>
    <mergeCell ref="H248:I248"/>
    <mergeCell ref="J248:K248"/>
    <mergeCell ref="H229:K229"/>
    <mergeCell ref="H230:L230"/>
    <mergeCell ref="A231:L231"/>
    <mergeCell ref="A232:C232"/>
    <mergeCell ref="D232:F232"/>
    <mergeCell ref="H232:I232"/>
    <mergeCell ref="J232:K232"/>
    <mergeCell ref="B233:C233"/>
    <mergeCell ref="D233:F233"/>
    <mergeCell ref="H233:I233"/>
    <mergeCell ref="J233:K233"/>
    <mergeCell ref="H234:K234"/>
    <mergeCell ref="H235:K235"/>
    <mergeCell ref="H236:L236"/>
    <mergeCell ref="A237:L237"/>
    <mergeCell ref="A238:C238"/>
    <mergeCell ref="D238:F238"/>
    <mergeCell ref="H238:I238"/>
    <mergeCell ref="J238:K238"/>
    <mergeCell ref="B221:C221"/>
    <mergeCell ref="D221:F221"/>
    <mergeCell ref="H221:I221"/>
    <mergeCell ref="J221:K221"/>
    <mergeCell ref="H222:K222"/>
    <mergeCell ref="H223:K223"/>
    <mergeCell ref="H224:L224"/>
    <mergeCell ref="A225:L225"/>
    <mergeCell ref="A226:C226"/>
    <mergeCell ref="D226:F226"/>
    <mergeCell ref="H226:I226"/>
    <mergeCell ref="J226:K226"/>
    <mergeCell ref="B227:C227"/>
    <mergeCell ref="D227:F227"/>
    <mergeCell ref="H227:I227"/>
    <mergeCell ref="J227:K227"/>
    <mergeCell ref="H228:K228"/>
    <mergeCell ref="A220:C220"/>
    <mergeCell ref="D220:F220"/>
    <mergeCell ref="H220:I220"/>
    <mergeCell ref="J220:K220"/>
    <mergeCell ref="H201:K201"/>
    <mergeCell ref="H202:L202"/>
    <mergeCell ref="A203:L203"/>
    <mergeCell ref="A204:C204"/>
    <mergeCell ref="D204:F204"/>
    <mergeCell ref="H204:I204"/>
    <mergeCell ref="J204:K204"/>
    <mergeCell ref="B205:C205"/>
    <mergeCell ref="D205:F205"/>
    <mergeCell ref="H205:I205"/>
    <mergeCell ref="J205:K205"/>
    <mergeCell ref="B206:C206"/>
    <mergeCell ref="D206:F206"/>
    <mergeCell ref="H206:I206"/>
    <mergeCell ref="J206:K206"/>
    <mergeCell ref="H207:K207"/>
    <mergeCell ref="H208:K208"/>
    <mergeCell ref="H209:L209"/>
    <mergeCell ref="A210:L210"/>
    <mergeCell ref="A211:C211"/>
    <mergeCell ref="D211:F211"/>
    <mergeCell ref="H211:I211"/>
    <mergeCell ref="J211:K211"/>
    <mergeCell ref="B212:C212"/>
    <mergeCell ref="D212:F212"/>
    <mergeCell ref="H212:I212"/>
    <mergeCell ref="J212:K212"/>
    <mergeCell ref="B213:C213"/>
    <mergeCell ref="J195:K195"/>
    <mergeCell ref="B196:C196"/>
    <mergeCell ref="D196:F196"/>
    <mergeCell ref="H196:I196"/>
    <mergeCell ref="J196:K196"/>
    <mergeCell ref="H197:K197"/>
    <mergeCell ref="A198:C198"/>
    <mergeCell ref="D198:F198"/>
    <mergeCell ref="H198:I198"/>
    <mergeCell ref="J198:K198"/>
    <mergeCell ref="B199:C199"/>
    <mergeCell ref="D199:F199"/>
    <mergeCell ref="H199:I199"/>
    <mergeCell ref="J199:K199"/>
    <mergeCell ref="H217:K217"/>
    <mergeCell ref="H218:L218"/>
    <mergeCell ref="A219:L219"/>
    <mergeCell ref="D213:F213"/>
    <mergeCell ref="H213:I213"/>
    <mergeCell ref="J213:K213"/>
    <mergeCell ref="B214:C214"/>
    <mergeCell ref="D214:F214"/>
    <mergeCell ref="H214:I214"/>
    <mergeCell ref="J214:K214"/>
    <mergeCell ref="B215:C215"/>
    <mergeCell ref="D215:F215"/>
    <mergeCell ref="H215:I215"/>
    <mergeCell ref="J215:K215"/>
    <mergeCell ref="H216:K216"/>
    <mergeCell ref="D183:F183"/>
    <mergeCell ref="H183:I183"/>
    <mergeCell ref="J183:K183"/>
    <mergeCell ref="B184:C184"/>
    <mergeCell ref="D184:F184"/>
    <mergeCell ref="H184:I184"/>
    <mergeCell ref="J184:K184"/>
    <mergeCell ref="H200:K200"/>
    <mergeCell ref="A186:C186"/>
    <mergeCell ref="D186:F186"/>
    <mergeCell ref="H186:I186"/>
    <mergeCell ref="J186:K186"/>
    <mergeCell ref="B187:C187"/>
    <mergeCell ref="D187:F187"/>
    <mergeCell ref="H187:I187"/>
    <mergeCell ref="J187:K187"/>
    <mergeCell ref="H188:K188"/>
    <mergeCell ref="H189:K189"/>
    <mergeCell ref="H190:L190"/>
    <mergeCell ref="A191:L191"/>
    <mergeCell ref="A192:C192"/>
    <mergeCell ref="D192:F192"/>
    <mergeCell ref="H192:I192"/>
    <mergeCell ref="J192:K192"/>
    <mergeCell ref="B193:C193"/>
    <mergeCell ref="D193:F193"/>
    <mergeCell ref="H193:I193"/>
    <mergeCell ref="J193:K193"/>
    <mergeCell ref="H194:K194"/>
    <mergeCell ref="A195:C195"/>
    <mergeCell ref="D195:F195"/>
    <mergeCell ref="H195:I195"/>
    <mergeCell ref="H185:K185"/>
    <mergeCell ref="B171:C171"/>
    <mergeCell ref="D171:F171"/>
    <mergeCell ref="H171:I171"/>
    <mergeCell ref="J171:K171"/>
    <mergeCell ref="H172:K172"/>
    <mergeCell ref="A173:C173"/>
    <mergeCell ref="D173:F173"/>
    <mergeCell ref="H173:I173"/>
    <mergeCell ref="J173:K173"/>
    <mergeCell ref="B174:C174"/>
    <mergeCell ref="D174:F174"/>
    <mergeCell ref="H174:I174"/>
    <mergeCell ref="J174:K174"/>
    <mergeCell ref="H175:K175"/>
    <mergeCell ref="H176:K176"/>
    <mergeCell ref="H177:L177"/>
    <mergeCell ref="A178:L178"/>
    <mergeCell ref="A179:C179"/>
    <mergeCell ref="D179:F179"/>
    <mergeCell ref="H179:I179"/>
    <mergeCell ref="J179:K179"/>
    <mergeCell ref="B180:C180"/>
    <mergeCell ref="D180:F180"/>
    <mergeCell ref="H180:I180"/>
    <mergeCell ref="J180:K180"/>
    <mergeCell ref="H181:K181"/>
    <mergeCell ref="A182:C182"/>
    <mergeCell ref="D182:F182"/>
    <mergeCell ref="H182:I182"/>
    <mergeCell ref="J182:K182"/>
    <mergeCell ref="B183:C183"/>
    <mergeCell ref="B165:C165"/>
    <mergeCell ref="D165:F165"/>
    <mergeCell ref="H165:I165"/>
    <mergeCell ref="J165:K165"/>
    <mergeCell ref="B166:C166"/>
    <mergeCell ref="D166:F166"/>
    <mergeCell ref="H166:I166"/>
    <mergeCell ref="J166:K166"/>
    <mergeCell ref="B167:C167"/>
    <mergeCell ref="D167:F167"/>
    <mergeCell ref="H167:I167"/>
    <mergeCell ref="J167:K167"/>
    <mergeCell ref="B168:C168"/>
    <mergeCell ref="D168:F168"/>
    <mergeCell ref="H168:I168"/>
    <mergeCell ref="J168:K168"/>
    <mergeCell ref="H169:K169"/>
    <mergeCell ref="B154:C154"/>
    <mergeCell ref="D154:F154"/>
    <mergeCell ref="H154:I154"/>
    <mergeCell ref="J154:K154"/>
    <mergeCell ref="A170:C170"/>
    <mergeCell ref="D170:F170"/>
    <mergeCell ref="H170:I170"/>
    <mergeCell ref="J170:K170"/>
    <mergeCell ref="A156:C156"/>
    <mergeCell ref="D156:F156"/>
    <mergeCell ref="H156:I156"/>
    <mergeCell ref="J156:K156"/>
    <mergeCell ref="B157:C157"/>
    <mergeCell ref="D157:F157"/>
    <mergeCell ref="H157:I157"/>
    <mergeCell ref="J157:K157"/>
    <mergeCell ref="H158:K158"/>
    <mergeCell ref="H159:K159"/>
    <mergeCell ref="H160:L160"/>
    <mergeCell ref="A161:L161"/>
    <mergeCell ref="A162:C162"/>
    <mergeCell ref="D162:F162"/>
    <mergeCell ref="H162:I162"/>
    <mergeCell ref="J162:K162"/>
    <mergeCell ref="B163:C163"/>
    <mergeCell ref="D163:F163"/>
    <mergeCell ref="H163:I163"/>
    <mergeCell ref="J163:K163"/>
    <mergeCell ref="B164:C164"/>
    <mergeCell ref="D164:F164"/>
    <mergeCell ref="H164:I164"/>
    <mergeCell ref="J164:K164"/>
    <mergeCell ref="H148:I148"/>
    <mergeCell ref="J148:K148"/>
    <mergeCell ref="B149:C149"/>
    <mergeCell ref="D149:F149"/>
    <mergeCell ref="H149:I149"/>
    <mergeCell ref="J149:K149"/>
    <mergeCell ref="B150:C150"/>
    <mergeCell ref="D150:F150"/>
    <mergeCell ref="H150:I150"/>
    <mergeCell ref="J150:K150"/>
    <mergeCell ref="B151:C151"/>
    <mergeCell ref="D151:F151"/>
    <mergeCell ref="H151:I151"/>
    <mergeCell ref="J151:K151"/>
    <mergeCell ref="H152:K152"/>
    <mergeCell ref="A153:C153"/>
    <mergeCell ref="D153:F153"/>
    <mergeCell ref="H153:I153"/>
    <mergeCell ref="J153:K153"/>
    <mergeCell ref="B137:C137"/>
    <mergeCell ref="D137:F137"/>
    <mergeCell ref="H137:I137"/>
    <mergeCell ref="J137:K137"/>
    <mergeCell ref="H138:K138"/>
    <mergeCell ref="A139:C139"/>
    <mergeCell ref="D139:F139"/>
    <mergeCell ref="H139:I139"/>
    <mergeCell ref="J139:K139"/>
    <mergeCell ref="B140:C140"/>
    <mergeCell ref="D140:F140"/>
    <mergeCell ref="H140:I140"/>
    <mergeCell ref="J140:K140"/>
    <mergeCell ref="H155:K155"/>
    <mergeCell ref="H141:K141"/>
    <mergeCell ref="H142:K142"/>
    <mergeCell ref="H143:L143"/>
    <mergeCell ref="A144:L144"/>
    <mergeCell ref="A145:C145"/>
    <mergeCell ref="D145:F145"/>
    <mergeCell ref="H145:I145"/>
    <mergeCell ref="J145:K145"/>
    <mergeCell ref="B146:C146"/>
    <mergeCell ref="D146:F146"/>
    <mergeCell ref="H146:I146"/>
    <mergeCell ref="J146:K146"/>
    <mergeCell ref="B147:C147"/>
    <mergeCell ref="D147:F147"/>
    <mergeCell ref="H147:I147"/>
    <mergeCell ref="J147:K147"/>
    <mergeCell ref="B148:C148"/>
    <mergeCell ref="D148:F148"/>
    <mergeCell ref="J130:K130"/>
    <mergeCell ref="B131:C131"/>
    <mergeCell ref="D131:F131"/>
    <mergeCell ref="H131:I131"/>
    <mergeCell ref="J131:K131"/>
    <mergeCell ref="B132:C132"/>
    <mergeCell ref="D132:F132"/>
    <mergeCell ref="H132:I132"/>
    <mergeCell ref="J132:K132"/>
    <mergeCell ref="B133:C133"/>
    <mergeCell ref="D133:F133"/>
    <mergeCell ref="H133:I133"/>
    <mergeCell ref="J133:K133"/>
    <mergeCell ref="H135:K135"/>
    <mergeCell ref="A136:C136"/>
    <mergeCell ref="D136:F136"/>
    <mergeCell ref="H136:I136"/>
    <mergeCell ref="J136:K136"/>
    <mergeCell ref="B119:C119"/>
    <mergeCell ref="D119:F119"/>
    <mergeCell ref="H119:I119"/>
    <mergeCell ref="J119:K119"/>
    <mergeCell ref="B134:C134"/>
    <mergeCell ref="D134:F134"/>
    <mergeCell ref="H134:I134"/>
    <mergeCell ref="J134:K134"/>
    <mergeCell ref="H121:K121"/>
    <mergeCell ref="A122:C122"/>
    <mergeCell ref="D122:F122"/>
    <mergeCell ref="H122:I122"/>
    <mergeCell ref="J122:K122"/>
    <mergeCell ref="B123:C123"/>
    <mergeCell ref="D123:F123"/>
    <mergeCell ref="H123:I123"/>
    <mergeCell ref="J123:K123"/>
    <mergeCell ref="H124:K124"/>
    <mergeCell ref="H125:K125"/>
    <mergeCell ref="H126:L126"/>
    <mergeCell ref="A127:L127"/>
    <mergeCell ref="A128:C128"/>
    <mergeCell ref="D128:F128"/>
    <mergeCell ref="H128:I128"/>
    <mergeCell ref="J128:K128"/>
    <mergeCell ref="B129:C129"/>
    <mergeCell ref="D129:F129"/>
    <mergeCell ref="H129:I129"/>
    <mergeCell ref="J129:K129"/>
    <mergeCell ref="B130:C130"/>
    <mergeCell ref="D130:F130"/>
    <mergeCell ref="H130:I130"/>
    <mergeCell ref="A113:L113"/>
    <mergeCell ref="A114:C114"/>
    <mergeCell ref="D114:F114"/>
    <mergeCell ref="H114:I114"/>
    <mergeCell ref="J114:K114"/>
    <mergeCell ref="B115:C115"/>
    <mergeCell ref="D115:F115"/>
    <mergeCell ref="H115:I115"/>
    <mergeCell ref="J115:K115"/>
    <mergeCell ref="B116:C116"/>
    <mergeCell ref="D116:F116"/>
    <mergeCell ref="H116:I116"/>
    <mergeCell ref="J116:K116"/>
    <mergeCell ref="H117:K117"/>
    <mergeCell ref="A118:C118"/>
    <mergeCell ref="D118:F118"/>
    <mergeCell ref="H118:I118"/>
    <mergeCell ref="J118:K118"/>
    <mergeCell ref="D101:F101"/>
    <mergeCell ref="H101:I101"/>
    <mergeCell ref="J101:K101"/>
    <mergeCell ref="B102:C102"/>
    <mergeCell ref="D102:F102"/>
    <mergeCell ref="H102:I102"/>
    <mergeCell ref="J102:K102"/>
    <mergeCell ref="H103:K103"/>
    <mergeCell ref="A104:C104"/>
    <mergeCell ref="D104:F104"/>
    <mergeCell ref="H104:I104"/>
    <mergeCell ref="J104:K104"/>
    <mergeCell ref="B105:C105"/>
    <mergeCell ref="D105:F105"/>
    <mergeCell ref="H105:I105"/>
    <mergeCell ref="J105:K105"/>
    <mergeCell ref="B120:C120"/>
    <mergeCell ref="D120:F120"/>
    <mergeCell ref="H120:I120"/>
    <mergeCell ref="J120:K120"/>
    <mergeCell ref="H107:K107"/>
    <mergeCell ref="A108:C108"/>
    <mergeCell ref="D108:F108"/>
    <mergeCell ref="H108:I108"/>
    <mergeCell ref="J108:K108"/>
    <mergeCell ref="B109:C109"/>
    <mergeCell ref="D109:F109"/>
    <mergeCell ref="H109:I109"/>
    <mergeCell ref="J109:K109"/>
    <mergeCell ref="H110:K110"/>
    <mergeCell ref="H111:K111"/>
    <mergeCell ref="H112:L112"/>
    <mergeCell ref="J88:K88"/>
    <mergeCell ref="H89:K89"/>
    <mergeCell ref="A90:C90"/>
    <mergeCell ref="D90:F90"/>
    <mergeCell ref="H90:I90"/>
    <mergeCell ref="J90:K90"/>
    <mergeCell ref="B91:C91"/>
    <mergeCell ref="D91:F91"/>
    <mergeCell ref="H91:I91"/>
    <mergeCell ref="J91:K91"/>
    <mergeCell ref="B106:C106"/>
    <mergeCell ref="D106:F106"/>
    <mergeCell ref="H106:I106"/>
    <mergeCell ref="J106:K106"/>
    <mergeCell ref="H93:K93"/>
    <mergeCell ref="A94:C94"/>
    <mergeCell ref="D94:F94"/>
    <mergeCell ref="H94:I94"/>
    <mergeCell ref="J94:K94"/>
    <mergeCell ref="B95:C95"/>
    <mergeCell ref="D95:F95"/>
    <mergeCell ref="H95:I95"/>
    <mergeCell ref="J95:K95"/>
    <mergeCell ref="H96:K96"/>
    <mergeCell ref="H97:K97"/>
    <mergeCell ref="H98:L98"/>
    <mergeCell ref="A99:L99"/>
    <mergeCell ref="A100:C100"/>
    <mergeCell ref="D100:F100"/>
    <mergeCell ref="H100:I100"/>
    <mergeCell ref="J100:K100"/>
    <mergeCell ref="B101:C101"/>
    <mergeCell ref="B92:C92"/>
    <mergeCell ref="D92:F92"/>
    <mergeCell ref="H92:I92"/>
    <mergeCell ref="J92:K92"/>
    <mergeCell ref="B78:C78"/>
    <mergeCell ref="D78:F78"/>
    <mergeCell ref="H78:I78"/>
    <mergeCell ref="J78:K78"/>
    <mergeCell ref="H79:K79"/>
    <mergeCell ref="A80:C80"/>
    <mergeCell ref="D80:F80"/>
    <mergeCell ref="H80:I80"/>
    <mergeCell ref="J80:K80"/>
    <mergeCell ref="B81:C81"/>
    <mergeCell ref="D81:F81"/>
    <mergeCell ref="H81:I81"/>
    <mergeCell ref="J81:K81"/>
    <mergeCell ref="H82:K82"/>
    <mergeCell ref="H83:K83"/>
    <mergeCell ref="H84:L84"/>
    <mergeCell ref="A85:L85"/>
    <mergeCell ref="A86:C86"/>
    <mergeCell ref="D86:F86"/>
    <mergeCell ref="H86:I86"/>
    <mergeCell ref="J86:K86"/>
    <mergeCell ref="B87:C87"/>
    <mergeCell ref="D87:F87"/>
    <mergeCell ref="H87:I87"/>
    <mergeCell ref="J87:K87"/>
    <mergeCell ref="B88:C88"/>
    <mergeCell ref="D88:F88"/>
    <mergeCell ref="H88:I88"/>
    <mergeCell ref="B72:C72"/>
    <mergeCell ref="D72:F72"/>
    <mergeCell ref="H72:I72"/>
    <mergeCell ref="J72:K72"/>
    <mergeCell ref="B73:C73"/>
    <mergeCell ref="D73:F73"/>
    <mergeCell ref="H73:I73"/>
    <mergeCell ref="J73:K73"/>
    <mergeCell ref="B74:C74"/>
    <mergeCell ref="D74:F74"/>
    <mergeCell ref="H74:I74"/>
    <mergeCell ref="J74:K74"/>
    <mergeCell ref="B75:C75"/>
    <mergeCell ref="D75:F75"/>
    <mergeCell ref="H75:I75"/>
    <mergeCell ref="J75:K75"/>
    <mergeCell ref="H76:K76"/>
    <mergeCell ref="B61:C61"/>
    <mergeCell ref="D61:F61"/>
    <mergeCell ref="H61:I61"/>
    <mergeCell ref="J61:K61"/>
    <mergeCell ref="A77:C77"/>
    <mergeCell ref="D77:F77"/>
    <mergeCell ref="H77:I77"/>
    <mergeCell ref="J77:K77"/>
    <mergeCell ref="A63:C63"/>
    <mergeCell ref="D63:F63"/>
    <mergeCell ref="H63:I63"/>
    <mergeCell ref="J63:K63"/>
    <mergeCell ref="B64:C64"/>
    <mergeCell ref="D64:F64"/>
    <mergeCell ref="H64:I64"/>
    <mergeCell ref="J64:K64"/>
    <mergeCell ref="H65:K65"/>
    <mergeCell ref="H66:K66"/>
    <mergeCell ref="H67:L67"/>
    <mergeCell ref="A68:L68"/>
    <mergeCell ref="A69:C69"/>
    <mergeCell ref="D69:F69"/>
    <mergeCell ref="H69:I69"/>
    <mergeCell ref="J69:K69"/>
    <mergeCell ref="B70:C70"/>
    <mergeCell ref="D70:F70"/>
    <mergeCell ref="H70:I70"/>
    <mergeCell ref="J70:K70"/>
    <mergeCell ref="B71:C71"/>
    <mergeCell ref="D71:F71"/>
    <mergeCell ref="H71:I71"/>
    <mergeCell ref="J71:K71"/>
    <mergeCell ref="J53:K53"/>
    <mergeCell ref="H54:K54"/>
    <mergeCell ref="H55:K55"/>
    <mergeCell ref="H56:L56"/>
    <mergeCell ref="A57:L57"/>
    <mergeCell ref="A58:C58"/>
    <mergeCell ref="D58:F58"/>
    <mergeCell ref="H58:I58"/>
    <mergeCell ref="J58:K58"/>
    <mergeCell ref="B59:C59"/>
    <mergeCell ref="D59:F59"/>
    <mergeCell ref="H59:I59"/>
    <mergeCell ref="J59:K59"/>
    <mergeCell ref="B60:C60"/>
    <mergeCell ref="D60:F60"/>
    <mergeCell ref="H60:I60"/>
    <mergeCell ref="J60:K60"/>
    <mergeCell ref="H43:I43"/>
    <mergeCell ref="J43:K43"/>
    <mergeCell ref="B44:C44"/>
    <mergeCell ref="D44:F44"/>
    <mergeCell ref="H44:I44"/>
    <mergeCell ref="J44:K44"/>
    <mergeCell ref="B45:C45"/>
    <mergeCell ref="D45:F45"/>
    <mergeCell ref="H45:I45"/>
    <mergeCell ref="J45:K45"/>
    <mergeCell ref="B46:C46"/>
    <mergeCell ref="D46:F46"/>
    <mergeCell ref="H46:I46"/>
    <mergeCell ref="J46:K46"/>
    <mergeCell ref="H62:K62"/>
    <mergeCell ref="H48:K48"/>
    <mergeCell ref="A49:C49"/>
    <mergeCell ref="D49:F49"/>
    <mergeCell ref="H49:I49"/>
    <mergeCell ref="J49:K49"/>
    <mergeCell ref="B50:C50"/>
    <mergeCell ref="D50:F50"/>
    <mergeCell ref="H50:I50"/>
    <mergeCell ref="J50:K50"/>
    <mergeCell ref="H51:K51"/>
    <mergeCell ref="A52:C52"/>
    <mergeCell ref="D52:F52"/>
    <mergeCell ref="H52:I52"/>
    <mergeCell ref="J52:K52"/>
    <mergeCell ref="B53:C53"/>
    <mergeCell ref="D53:F53"/>
    <mergeCell ref="H53:I53"/>
    <mergeCell ref="H31:K31"/>
    <mergeCell ref="B47:C47"/>
    <mergeCell ref="D47:F47"/>
    <mergeCell ref="H47:I47"/>
    <mergeCell ref="J47:K47"/>
    <mergeCell ref="B33:C33"/>
    <mergeCell ref="D33:F33"/>
    <mergeCell ref="H33:I33"/>
    <mergeCell ref="J33:K33"/>
    <mergeCell ref="H34:K34"/>
    <mergeCell ref="A35:C35"/>
    <mergeCell ref="D35:F35"/>
    <mergeCell ref="H35:I35"/>
    <mergeCell ref="J35:K35"/>
    <mergeCell ref="B36:C36"/>
    <mergeCell ref="D36:F36"/>
    <mergeCell ref="H36:I36"/>
    <mergeCell ref="J36:K36"/>
    <mergeCell ref="H37:K37"/>
    <mergeCell ref="H38:K38"/>
    <mergeCell ref="H39:L39"/>
    <mergeCell ref="A40:L40"/>
    <mergeCell ref="A41:C41"/>
    <mergeCell ref="D41:F41"/>
    <mergeCell ref="H41:I41"/>
    <mergeCell ref="J41:K41"/>
    <mergeCell ref="B42:C42"/>
    <mergeCell ref="D42:F42"/>
    <mergeCell ref="H42:I42"/>
    <mergeCell ref="J42:K42"/>
    <mergeCell ref="B43:C43"/>
    <mergeCell ref="D43:F43"/>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D15:F15"/>
    <mergeCell ref="H15:I15"/>
    <mergeCell ref="J15:K15"/>
    <mergeCell ref="B16:C16"/>
    <mergeCell ref="D16:F16"/>
    <mergeCell ref="H16:I16"/>
    <mergeCell ref="J16:K16"/>
    <mergeCell ref="A32:C32"/>
    <mergeCell ref="D32:F32"/>
    <mergeCell ref="H32:I32"/>
    <mergeCell ref="J32:K32"/>
    <mergeCell ref="A18:C18"/>
    <mergeCell ref="D18:F18"/>
    <mergeCell ref="H18:I18"/>
    <mergeCell ref="J18:K18"/>
    <mergeCell ref="B19:C19"/>
    <mergeCell ref="D19:F19"/>
    <mergeCell ref="H19:I19"/>
    <mergeCell ref="J19:K19"/>
    <mergeCell ref="H20:K20"/>
    <mergeCell ref="H21:K21"/>
    <mergeCell ref="H22:L22"/>
    <mergeCell ref="A23:L23"/>
    <mergeCell ref="A24:C24"/>
    <mergeCell ref="D24:F24"/>
    <mergeCell ref="H24:I24"/>
    <mergeCell ref="J24:K24"/>
    <mergeCell ref="B25:C25"/>
    <mergeCell ref="D25:F25"/>
    <mergeCell ref="H25:I25"/>
    <mergeCell ref="J25:K25"/>
    <mergeCell ref="B26:C26"/>
    <mergeCell ref="H17:K17"/>
    <mergeCell ref="A6:L6"/>
    <mergeCell ref="A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H14:K14"/>
    <mergeCell ref="A15:C15"/>
  </mergeCells>
  <pageMargins left="0.7" right="0.7" top="0.75" bottom="0.75" header="0.3" footer="0.3"/>
  <pageSetup paperSize="9" scale="62"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80"/>
  <sheetViews>
    <sheetView view="pageBreakPreview" topLeftCell="A2547" zoomScale="60" zoomScaleNormal="100" workbookViewId="0">
      <selection activeCell="X2571" sqref="X2571"/>
    </sheetView>
  </sheetViews>
  <sheetFormatPr defaultRowHeight="15" x14ac:dyDescent="0.25"/>
  <cols>
    <col min="1" max="1" width="25.140625" customWidth="1"/>
    <col min="2" max="2" width="39.42578125" customWidth="1"/>
    <col min="3" max="3" width="6.140625" customWidth="1"/>
    <col min="4" max="4" width="3" customWidth="1"/>
    <col min="5" max="10" width="6.140625" customWidth="1"/>
    <col min="11" max="11" width="6.85546875" customWidth="1"/>
    <col min="12" max="12" width="29.28515625" customWidth="1"/>
  </cols>
  <sheetData>
    <row r="1" spans="1:12" x14ac:dyDescent="0.25">
      <c r="A1" s="537" t="s">
        <v>4706</v>
      </c>
      <c r="B1" s="538"/>
      <c r="C1" s="538"/>
      <c r="D1" s="538"/>
      <c r="E1" s="538"/>
      <c r="F1" s="538"/>
      <c r="G1" s="538"/>
      <c r="H1" s="538"/>
      <c r="I1" s="538"/>
      <c r="J1" s="538"/>
      <c r="K1" s="538"/>
      <c r="L1" s="539"/>
    </row>
    <row r="2" spans="1:12" x14ac:dyDescent="0.25">
      <c r="A2" s="426"/>
      <c r="B2" s="417" t="s">
        <v>4698</v>
      </c>
      <c r="C2" s="417"/>
      <c r="D2" s="417"/>
      <c r="E2" s="417"/>
      <c r="F2" s="417"/>
      <c r="G2" s="417"/>
      <c r="H2" s="417"/>
      <c r="I2" s="417"/>
      <c r="J2" s="417" t="s">
        <v>4696</v>
      </c>
      <c r="K2" s="417"/>
      <c r="L2" s="418"/>
    </row>
    <row r="3" spans="1:12" x14ac:dyDescent="0.25">
      <c r="A3" s="426"/>
      <c r="B3" s="417" t="s">
        <v>4699</v>
      </c>
      <c r="C3" s="417"/>
      <c r="D3" s="417"/>
      <c r="E3" s="417"/>
      <c r="F3" s="417"/>
      <c r="G3" s="417"/>
      <c r="H3" s="417"/>
      <c r="I3" s="417"/>
      <c r="J3" s="417" t="s">
        <v>4709</v>
      </c>
      <c r="K3" s="417"/>
      <c r="L3" s="418"/>
    </row>
    <row r="4" spans="1:12" ht="102" customHeight="1" x14ac:dyDescent="0.25">
      <c r="A4" s="426"/>
      <c r="B4" s="467" t="s">
        <v>4700</v>
      </c>
      <c r="C4" s="467"/>
      <c r="D4" s="467"/>
      <c r="E4" s="467"/>
      <c r="F4" s="467"/>
      <c r="G4" s="467"/>
      <c r="H4" s="467"/>
      <c r="I4" s="467"/>
      <c r="J4" s="467" t="s">
        <v>4697</v>
      </c>
      <c r="K4" s="467"/>
      <c r="L4" s="471"/>
    </row>
    <row r="5" spans="1:12" ht="15.75" customHeight="1" x14ac:dyDescent="0.25">
      <c r="A5" s="426"/>
      <c r="B5" s="417" t="s">
        <v>4701</v>
      </c>
      <c r="C5" s="417"/>
      <c r="D5" s="417"/>
      <c r="E5" s="417"/>
      <c r="F5" s="417"/>
      <c r="G5" s="417"/>
      <c r="H5" s="417"/>
      <c r="I5" s="417"/>
      <c r="J5" s="417"/>
      <c r="K5" s="417"/>
      <c r="L5" s="418"/>
    </row>
    <row r="6" spans="1:12" ht="20.100000000000001" customHeight="1" x14ac:dyDescent="0.25">
      <c r="A6" s="486" t="s">
        <v>3254</v>
      </c>
      <c r="B6" s="487"/>
      <c r="C6" s="487"/>
      <c r="D6" s="487"/>
      <c r="E6" s="487"/>
      <c r="F6" s="487"/>
      <c r="G6" s="487"/>
      <c r="H6" s="487"/>
      <c r="I6" s="487"/>
      <c r="J6" s="487"/>
      <c r="K6" s="487"/>
      <c r="L6" s="513"/>
    </row>
    <row r="7" spans="1:12" ht="20.100000000000001" customHeight="1" x14ac:dyDescent="0.25">
      <c r="A7" s="488" t="s">
        <v>1836</v>
      </c>
      <c r="B7" s="489"/>
      <c r="C7" s="489"/>
      <c r="D7" s="489"/>
      <c r="E7" s="489"/>
      <c r="F7" s="489"/>
      <c r="G7" s="233" t="s">
        <v>44</v>
      </c>
      <c r="H7" s="515" t="s">
        <v>1837</v>
      </c>
      <c r="I7" s="515"/>
      <c r="J7" s="515" t="s">
        <v>1838</v>
      </c>
      <c r="K7" s="515"/>
      <c r="L7" s="169" t="s">
        <v>1839</v>
      </c>
    </row>
    <row r="8" spans="1:12" ht="15" customHeight="1" x14ac:dyDescent="0.25">
      <c r="A8" s="170" t="s">
        <v>1828</v>
      </c>
      <c r="B8" s="490" t="s">
        <v>1829</v>
      </c>
      <c r="C8" s="490"/>
      <c r="D8" s="490"/>
      <c r="E8" s="490"/>
      <c r="F8" s="490"/>
      <c r="G8" s="127" t="s">
        <v>1024</v>
      </c>
      <c r="H8" s="524">
        <v>0.5</v>
      </c>
      <c r="I8" s="524"/>
      <c r="J8" s="517">
        <v>26.03</v>
      </c>
      <c r="K8" s="517"/>
      <c r="L8" s="370">
        <f>TRUNC(TRUNC(H8,8)*J8,2)</f>
        <v>13.01</v>
      </c>
    </row>
    <row r="9" spans="1:12" ht="15" customHeight="1" x14ac:dyDescent="0.25">
      <c r="A9" s="170" t="s">
        <v>1830</v>
      </c>
      <c r="B9" s="490" t="s">
        <v>1831</v>
      </c>
      <c r="C9" s="490"/>
      <c r="D9" s="490"/>
      <c r="E9" s="490"/>
      <c r="F9" s="490"/>
      <c r="G9" s="127" t="s">
        <v>1024</v>
      </c>
      <c r="H9" s="524">
        <v>0.5</v>
      </c>
      <c r="I9" s="524"/>
      <c r="J9" s="517">
        <v>19.68</v>
      </c>
      <c r="K9" s="517"/>
      <c r="L9" s="370">
        <f>TRUNC(TRUNC(H9,8)*J9,2)</f>
        <v>9.84</v>
      </c>
    </row>
    <row r="10" spans="1:12" ht="15" customHeight="1" x14ac:dyDescent="0.25">
      <c r="A10" s="184"/>
      <c r="B10" s="141"/>
      <c r="C10" s="141"/>
      <c r="D10" s="141"/>
      <c r="E10" s="141"/>
      <c r="F10" s="141"/>
      <c r="G10" s="141"/>
      <c r="H10" s="491" t="s">
        <v>1844</v>
      </c>
      <c r="I10" s="491"/>
      <c r="J10" s="491"/>
      <c r="K10" s="491"/>
      <c r="L10" s="369">
        <f>SUM(L8:L9)</f>
        <v>22.85</v>
      </c>
    </row>
    <row r="11" spans="1:12" ht="15" customHeight="1" x14ac:dyDescent="0.25">
      <c r="A11" s="182"/>
      <c r="B11" s="183"/>
      <c r="C11" s="183"/>
      <c r="D11" s="183"/>
      <c r="E11" s="183"/>
      <c r="F11" s="183"/>
      <c r="G11" s="183"/>
      <c r="H11" s="482" t="s">
        <v>1845</v>
      </c>
      <c r="I11" s="482"/>
      <c r="J11" s="482"/>
      <c r="K11" s="482"/>
      <c r="L11" s="371">
        <f>SUM(L10)</f>
        <v>22.85</v>
      </c>
    </row>
    <row r="12" spans="1:12" ht="15" customHeight="1" x14ac:dyDescent="0.25">
      <c r="A12" s="182"/>
      <c r="B12" s="183"/>
      <c r="C12" s="183"/>
      <c r="D12" s="183"/>
      <c r="E12" s="183"/>
      <c r="F12" s="183"/>
      <c r="G12" s="183"/>
      <c r="H12" s="482" t="s">
        <v>1846</v>
      </c>
      <c r="I12" s="482"/>
      <c r="J12" s="482"/>
      <c r="K12" s="482"/>
      <c r="L12" s="374">
        <v>1</v>
      </c>
    </row>
    <row r="13" spans="1:12" ht="15" customHeight="1" x14ac:dyDescent="0.25">
      <c r="A13" s="182"/>
      <c r="B13" s="183"/>
      <c r="C13" s="183"/>
      <c r="D13" s="183"/>
      <c r="E13" s="183"/>
      <c r="F13" s="183"/>
      <c r="G13" s="183"/>
      <c r="H13" s="482" t="s">
        <v>1847</v>
      </c>
      <c r="I13" s="482"/>
      <c r="J13" s="482"/>
      <c r="K13" s="482"/>
      <c r="L13" s="371">
        <f>TRUNC(L11/L12,4)</f>
        <v>22.85</v>
      </c>
    </row>
    <row r="14" spans="1:12" ht="20.100000000000001" customHeight="1" x14ac:dyDescent="0.25">
      <c r="A14" s="488" t="s">
        <v>1880</v>
      </c>
      <c r="B14" s="489"/>
      <c r="C14" s="489"/>
      <c r="D14" s="489"/>
      <c r="E14" s="489"/>
      <c r="F14" s="489"/>
      <c r="G14" s="233" t="s">
        <v>44</v>
      </c>
      <c r="H14" s="515" t="s">
        <v>1837</v>
      </c>
      <c r="I14" s="515"/>
      <c r="J14" s="515" t="s">
        <v>1881</v>
      </c>
      <c r="K14" s="515"/>
      <c r="L14" s="169" t="s">
        <v>1882</v>
      </c>
    </row>
    <row r="15" spans="1:12" ht="15.95" customHeight="1" x14ac:dyDescent="0.25">
      <c r="A15" s="170" t="s">
        <v>3255</v>
      </c>
      <c r="B15" s="492" t="s">
        <v>3256</v>
      </c>
      <c r="C15" s="492"/>
      <c r="D15" s="492"/>
      <c r="E15" s="492"/>
      <c r="F15" s="492"/>
      <c r="G15" s="127" t="s">
        <v>122</v>
      </c>
      <c r="H15" s="524">
        <v>1</v>
      </c>
      <c r="I15" s="524"/>
      <c r="J15" s="525">
        <v>203.33</v>
      </c>
      <c r="K15" s="525"/>
      <c r="L15" s="171">
        <f>TRUNC(TRUNC(H15,8)*J15,2)</f>
        <v>203.33</v>
      </c>
    </row>
    <row r="16" spans="1:12" ht="15" customHeight="1" x14ac:dyDescent="0.25">
      <c r="A16" s="170" t="s">
        <v>3257</v>
      </c>
      <c r="B16" s="492" t="s">
        <v>3258</v>
      </c>
      <c r="C16" s="492"/>
      <c r="D16" s="492"/>
      <c r="E16" s="492"/>
      <c r="F16" s="492"/>
      <c r="G16" s="127" t="s">
        <v>188</v>
      </c>
      <c r="H16" s="524">
        <v>1.5</v>
      </c>
      <c r="I16" s="524"/>
      <c r="J16" s="525">
        <v>8.6999999999999993</v>
      </c>
      <c r="K16" s="525"/>
      <c r="L16" s="171">
        <f>TRUNC(TRUNC(H16,8)*J16,2)</f>
        <v>13.05</v>
      </c>
    </row>
    <row r="17" spans="1:12" ht="15" customHeight="1" x14ac:dyDescent="0.25">
      <c r="A17" s="170" t="s">
        <v>3259</v>
      </c>
      <c r="B17" s="492" t="s">
        <v>3260</v>
      </c>
      <c r="C17" s="492"/>
      <c r="D17" s="492"/>
      <c r="E17" s="492"/>
      <c r="F17" s="492"/>
      <c r="G17" s="127" t="s">
        <v>1817</v>
      </c>
      <c r="H17" s="524">
        <v>0.125</v>
      </c>
      <c r="I17" s="524"/>
      <c r="J17" s="525">
        <v>13.65</v>
      </c>
      <c r="K17" s="525"/>
      <c r="L17" s="171">
        <f>TRUNC(TRUNC(H17,8)*J17,2)</f>
        <v>1.7</v>
      </c>
    </row>
    <row r="18" spans="1:12" ht="15" customHeight="1" x14ac:dyDescent="0.25">
      <c r="A18" s="170" t="s">
        <v>3261</v>
      </c>
      <c r="B18" s="492" t="s">
        <v>3262</v>
      </c>
      <c r="C18" s="492"/>
      <c r="D18" s="492"/>
      <c r="E18" s="492"/>
      <c r="F18" s="492"/>
      <c r="G18" s="127" t="s">
        <v>188</v>
      </c>
      <c r="H18" s="524">
        <v>0.25</v>
      </c>
      <c r="I18" s="524"/>
      <c r="J18" s="525">
        <v>4.01</v>
      </c>
      <c r="K18" s="525"/>
      <c r="L18" s="171">
        <f>TRUNC(TRUNC(H18,8)*J18,2)</f>
        <v>1</v>
      </c>
    </row>
    <row r="19" spans="1:12" ht="15" customHeight="1" x14ac:dyDescent="0.25">
      <c r="A19" s="184"/>
      <c r="B19" s="141"/>
      <c r="C19" s="141"/>
      <c r="D19" s="141"/>
      <c r="E19" s="141"/>
      <c r="F19" s="141"/>
      <c r="G19" s="141"/>
      <c r="H19" s="491" t="s">
        <v>1889</v>
      </c>
      <c r="I19" s="491"/>
      <c r="J19" s="491"/>
      <c r="K19" s="491"/>
      <c r="L19" s="375">
        <f>SUM(L15:L18)</f>
        <v>219.08</v>
      </c>
    </row>
    <row r="20" spans="1:12" ht="15" customHeight="1" x14ac:dyDescent="0.25">
      <c r="A20" s="182"/>
      <c r="B20" s="183"/>
      <c r="C20" s="183"/>
      <c r="D20" s="183"/>
      <c r="E20" s="183"/>
      <c r="F20" s="183"/>
      <c r="G20" s="183"/>
      <c r="H20" s="482" t="s">
        <v>1848</v>
      </c>
      <c r="I20" s="482"/>
      <c r="J20" s="482"/>
      <c r="K20" s="482"/>
      <c r="L20" s="371">
        <f>SUM(L13,L19)</f>
        <v>241.93</v>
      </c>
    </row>
    <row r="21" spans="1:12" ht="15" customHeight="1" x14ac:dyDescent="0.25">
      <c r="A21" s="182"/>
      <c r="B21" s="183"/>
      <c r="C21" s="183"/>
      <c r="D21" s="183"/>
      <c r="E21" s="183"/>
      <c r="F21" s="183"/>
      <c r="G21" s="183"/>
      <c r="H21" s="482" t="s">
        <v>1834</v>
      </c>
      <c r="I21" s="482"/>
      <c r="J21" s="482"/>
      <c r="K21" s="482"/>
      <c r="L21" s="369">
        <f>ROUND(SUM(L20),2)</f>
        <v>241.93</v>
      </c>
    </row>
    <row r="22" spans="1:12" ht="9.9499999999999993" customHeight="1" x14ac:dyDescent="0.25">
      <c r="A22" s="182"/>
      <c r="B22" s="183"/>
      <c r="C22" s="183"/>
      <c r="D22" s="183"/>
      <c r="E22" s="183"/>
      <c r="F22" s="183"/>
      <c r="G22" s="183"/>
      <c r="H22" s="485"/>
      <c r="I22" s="485"/>
      <c r="J22" s="485"/>
      <c r="K22" s="485"/>
      <c r="L22" s="512"/>
    </row>
    <row r="23" spans="1:12" ht="20.100000000000001" customHeight="1" x14ac:dyDescent="0.25">
      <c r="A23" s="486" t="s">
        <v>3263</v>
      </c>
      <c r="B23" s="487"/>
      <c r="C23" s="487"/>
      <c r="D23" s="487"/>
      <c r="E23" s="487"/>
      <c r="F23" s="487"/>
      <c r="G23" s="487"/>
      <c r="H23" s="487"/>
      <c r="I23" s="487"/>
      <c r="J23" s="487"/>
      <c r="K23" s="487"/>
      <c r="L23" s="513"/>
    </row>
    <row r="24" spans="1:12" ht="20.100000000000001" customHeight="1" x14ac:dyDescent="0.25">
      <c r="A24" s="488" t="s">
        <v>1836</v>
      </c>
      <c r="B24" s="489"/>
      <c r="C24" s="489"/>
      <c r="D24" s="489"/>
      <c r="E24" s="489"/>
      <c r="F24" s="489"/>
      <c r="G24" s="233" t="s">
        <v>44</v>
      </c>
      <c r="H24" s="515" t="s">
        <v>1837</v>
      </c>
      <c r="I24" s="515"/>
      <c r="J24" s="515" t="s">
        <v>1838</v>
      </c>
      <c r="K24" s="515"/>
      <c r="L24" s="169" t="s">
        <v>1839</v>
      </c>
    </row>
    <row r="25" spans="1:12" ht="15" customHeight="1" x14ac:dyDescent="0.25">
      <c r="A25" s="170" t="s">
        <v>1828</v>
      </c>
      <c r="B25" s="490" t="s">
        <v>1829</v>
      </c>
      <c r="C25" s="490"/>
      <c r="D25" s="490"/>
      <c r="E25" s="490"/>
      <c r="F25" s="490"/>
      <c r="G25" s="127" t="s">
        <v>1024</v>
      </c>
      <c r="H25" s="524">
        <v>1.506</v>
      </c>
      <c r="I25" s="524"/>
      <c r="J25" s="517">
        <v>26.03</v>
      </c>
      <c r="K25" s="517"/>
      <c r="L25" s="370">
        <f>TRUNC(TRUNC(H25,8)*J25,2)</f>
        <v>39.200000000000003</v>
      </c>
    </row>
    <row r="26" spans="1:12" ht="15" customHeight="1" x14ac:dyDescent="0.25">
      <c r="A26" s="170" t="s">
        <v>2178</v>
      </c>
      <c r="B26" s="490" t="s">
        <v>2179</v>
      </c>
      <c r="C26" s="490"/>
      <c r="D26" s="490"/>
      <c r="E26" s="490"/>
      <c r="F26" s="490"/>
      <c r="G26" s="127" t="s">
        <v>1024</v>
      </c>
      <c r="H26" s="524">
        <v>0.69217499999999998</v>
      </c>
      <c r="I26" s="524"/>
      <c r="J26" s="517">
        <v>26.03</v>
      </c>
      <c r="K26" s="517"/>
      <c r="L26" s="370">
        <f>TRUNC(TRUNC(H26,8)*J26,2)</f>
        <v>18.010000000000002</v>
      </c>
    </row>
    <row r="27" spans="1:12" ht="15" customHeight="1" x14ac:dyDescent="0.25">
      <c r="A27" s="170" t="s">
        <v>1983</v>
      </c>
      <c r="B27" s="490" t="s">
        <v>1984</v>
      </c>
      <c r="C27" s="490"/>
      <c r="D27" s="490"/>
      <c r="E27" s="490"/>
      <c r="F27" s="490"/>
      <c r="G27" s="127" t="s">
        <v>1024</v>
      </c>
      <c r="H27" s="524">
        <v>2.1537999999999999</v>
      </c>
      <c r="I27" s="524"/>
      <c r="J27" s="517">
        <v>26.03</v>
      </c>
      <c r="K27" s="517"/>
      <c r="L27" s="370">
        <f>TRUNC(TRUNC(H27,8)*J27,2)</f>
        <v>56.06</v>
      </c>
    </row>
    <row r="28" spans="1:12" ht="15" customHeight="1" x14ac:dyDescent="0.25">
      <c r="A28" s="170" t="s">
        <v>1830</v>
      </c>
      <c r="B28" s="490" t="s">
        <v>1831</v>
      </c>
      <c r="C28" s="490"/>
      <c r="D28" s="490"/>
      <c r="E28" s="490"/>
      <c r="F28" s="490"/>
      <c r="G28" s="127" t="s">
        <v>1024</v>
      </c>
      <c r="H28" s="524">
        <v>4.6410299999999998</v>
      </c>
      <c r="I28" s="524"/>
      <c r="J28" s="517">
        <v>19.68</v>
      </c>
      <c r="K28" s="517"/>
      <c r="L28" s="370">
        <f>TRUNC(TRUNC(H28,8)*J28,2)</f>
        <v>91.33</v>
      </c>
    </row>
    <row r="29" spans="1:12" ht="15" customHeight="1" x14ac:dyDescent="0.25">
      <c r="A29" s="170" t="s">
        <v>3264</v>
      </c>
      <c r="B29" s="490" t="s">
        <v>3265</v>
      </c>
      <c r="C29" s="490"/>
      <c r="D29" s="490"/>
      <c r="E29" s="490"/>
      <c r="F29" s="490"/>
      <c r="G29" s="127" t="s">
        <v>1024</v>
      </c>
      <c r="H29" s="524">
        <v>0.31552000000000002</v>
      </c>
      <c r="I29" s="524"/>
      <c r="J29" s="517">
        <v>26.03</v>
      </c>
      <c r="K29" s="517"/>
      <c r="L29" s="370">
        <f>TRUNC(TRUNC(H29,8)*J29,2)</f>
        <v>8.2100000000000009</v>
      </c>
    </row>
    <row r="30" spans="1:12" ht="15" customHeight="1" x14ac:dyDescent="0.25">
      <c r="A30" s="184"/>
      <c r="B30" s="141"/>
      <c r="C30" s="141"/>
      <c r="D30" s="141"/>
      <c r="E30" s="141"/>
      <c r="F30" s="141"/>
      <c r="G30" s="141"/>
      <c r="H30" s="491" t="s">
        <v>1844</v>
      </c>
      <c r="I30" s="491"/>
      <c r="J30" s="491"/>
      <c r="K30" s="491"/>
      <c r="L30" s="369">
        <f>SUM(L25:L29)</f>
        <v>212.81000000000003</v>
      </c>
    </row>
    <row r="31" spans="1:12" ht="15" customHeight="1" x14ac:dyDescent="0.25">
      <c r="A31" s="182"/>
      <c r="B31" s="183"/>
      <c r="C31" s="183"/>
      <c r="D31" s="183"/>
      <c r="E31" s="183"/>
      <c r="F31" s="183"/>
      <c r="G31" s="183"/>
      <c r="H31" s="482" t="s">
        <v>1845</v>
      </c>
      <c r="I31" s="482"/>
      <c r="J31" s="482"/>
      <c r="K31" s="482"/>
      <c r="L31" s="371">
        <f>SUM(L30)</f>
        <v>212.81000000000003</v>
      </c>
    </row>
    <row r="32" spans="1:12" ht="15" customHeight="1" x14ac:dyDescent="0.25">
      <c r="A32" s="182"/>
      <c r="B32" s="183"/>
      <c r="C32" s="183"/>
      <c r="D32" s="183"/>
      <c r="E32" s="183"/>
      <c r="F32" s="183"/>
      <c r="G32" s="183"/>
      <c r="H32" s="482" t="s">
        <v>1846</v>
      </c>
      <c r="I32" s="482"/>
      <c r="J32" s="482"/>
      <c r="K32" s="482"/>
      <c r="L32" s="374">
        <v>1</v>
      </c>
    </row>
    <row r="33" spans="1:12" ht="15" customHeight="1" x14ac:dyDescent="0.25">
      <c r="A33" s="182"/>
      <c r="B33" s="183"/>
      <c r="C33" s="183"/>
      <c r="D33" s="183"/>
      <c r="E33" s="183"/>
      <c r="F33" s="183"/>
      <c r="G33" s="183"/>
      <c r="H33" s="482" t="s">
        <v>1847</v>
      </c>
      <c r="I33" s="482"/>
      <c r="J33" s="482"/>
      <c r="K33" s="482"/>
      <c r="L33" s="371">
        <f>TRUNC(L31/L32,4)</f>
        <v>212.81</v>
      </c>
    </row>
    <row r="34" spans="1:12" ht="20.100000000000001" customHeight="1" x14ac:dyDescent="0.25">
      <c r="A34" s="488" t="s">
        <v>1880</v>
      </c>
      <c r="B34" s="489"/>
      <c r="C34" s="489"/>
      <c r="D34" s="489"/>
      <c r="E34" s="489"/>
      <c r="F34" s="489"/>
      <c r="G34" s="233" t="s">
        <v>44</v>
      </c>
      <c r="H34" s="515" t="s">
        <v>1837</v>
      </c>
      <c r="I34" s="515"/>
      <c r="J34" s="515" t="s">
        <v>1881</v>
      </c>
      <c r="K34" s="515"/>
      <c r="L34" s="169" t="s">
        <v>1882</v>
      </c>
    </row>
    <row r="35" spans="1:12" ht="15.95" customHeight="1" x14ac:dyDescent="0.25">
      <c r="A35" s="170" t="s">
        <v>3266</v>
      </c>
      <c r="B35" s="492" t="s">
        <v>3267</v>
      </c>
      <c r="C35" s="492"/>
      <c r="D35" s="492"/>
      <c r="E35" s="492"/>
      <c r="F35" s="492"/>
      <c r="G35" s="127" t="s">
        <v>226</v>
      </c>
      <c r="H35" s="524">
        <v>0.55000000000000004</v>
      </c>
      <c r="I35" s="524"/>
      <c r="J35" s="525">
        <v>0.55000000000000004</v>
      </c>
      <c r="K35" s="525"/>
      <c r="L35" s="171">
        <f t="shared" ref="L35:L65" si="0">TRUNC(TRUNC(H35,8)*J35,2)</f>
        <v>0.3</v>
      </c>
    </row>
    <row r="36" spans="1:12" ht="15" customHeight="1" x14ac:dyDescent="0.25">
      <c r="A36" s="170" t="s">
        <v>2997</v>
      </c>
      <c r="B36" s="492" t="s">
        <v>2998</v>
      </c>
      <c r="C36" s="492"/>
      <c r="D36" s="492"/>
      <c r="E36" s="492"/>
      <c r="F36" s="492"/>
      <c r="G36" s="127" t="s">
        <v>1006</v>
      </c>
      <c r="H36" s="524">
        <v>0.3916</v>
      </c>
      <c r="I36" s="524"/>
      <c r="J36" s="525">
        <v>15.92</v>
      </c>
      <c r="K36" s="525"/>
      <c r="L36" s="171">
        <f t="shared" si="0"/>
        <v>6.23</v>
      </c>
    </row>
    <row r="37" spans="1:12" ht="15" customHeight="1" x14ac:dyDescent="0.25">
      <c r="A37" s="170" t="s">
        <v>2170</v>
      </c>
      <c r="B37" s="492" t="s">
        <v>2171</v>
      </c>
      <c r="C37" s="492"/>
      <c r="D37" s="492"/>
      <c r="E37" s="492"/>
      <c r="F37" s="492"/>
      <c r="G37" s="127" t="s">
        <v>85</v>
      </c>
      <c r="H37" s="524">
        <v>3.5400000000000001E-2</v>
      </c>
      <c r="I37" s="524"/>
      <c r="J37" s="525">
        <v>152</v>
      </c>
      <c r="K37" s="525"/>
      <c r="L37" s="171">
        <f t="shared" si="0"/>
        <v>5.38</v>
      </c>
    </row>
    <row r="38" spans="1:12" ht="15" customHeight="1" x14ac:dyDescent="0.25">
      <c r="A38" s="170" t="s">
        <v>3268</v>
      </c>
      <c r="B38" s="492" t="s">
        <v>3269</v>
      </c>
      <c r="C38" s="492"/>
      <c r="D38" s="492"/>
      <c r="E38" s="492"/>
      <c r="F38" s="492"/>
      <c r="G38" s="127" t="s">
        <v>226</v>
      </c>
      <c r="H38" s="524">
        <v>0.27</v>
      </c>
      <c r="I38" s="524"/>
      <c r="J38" s="525">
        <v>0.85</v>
      </c>
      <c r="K38" s="525"/>
      <c r="L38" s="171">
        <f t="shared" si="0"/>
        <v>0.22</v>
      </c>
    </row>
    <row r="39" spans="1:12" ht="15" customHeight="1" x14ac:dyDescent="0.25">
      <c r="A39" s="170" t="s">
        <v>3270</v>
      </c>
      <c r="B39" s="492" t="s">
        <v>3271</v>
      </c>
      <c r="C39" s="492"/>
      <c r="D39" s="492"/>
      <c r="E39" s="492"/>
      <c r="F39" s="492"/>
      <c r="G39" s="127" t="s">
        <v>226</v>
      </c>
      <c r="H39" s="524">
        <v>9.0999999999999998E-2</v>
      </c>
      <c r="I39" s="524"/>
      <c r="J39" s="525">
        <v>2.46</v>
      </c>
      <c r="K39" s="525"/>
      <c r="L39" s="171">
        <f t="shared" si="0"/>
        <v>0.22</v>
      </c>
    </row>
    <row r="40" spans="1:12" ht="15" customHeight="1" x14ac:dyDescent="0.25">
      <c r="A40" s="170" t="s">
        <v>3272</v>
      </c>
      <c r="B40" s="492" t="s">
        <v>3273</v>
      </c>
      <c r="C40" s="492"/>
      <c r="D40" s="492"/>
      <c r="E40" s="492"/>
      <c r="F40" s="492"/>
      <c r="G40" s="127" t="s">
        <v>85</v>
      </c>
      <c r="H40" s="524">
        <v>0.06</v>
      </c>
      <c r="I40" s="524"/>
      <c r="J40" s="525">
        <v>180.54</v>
      </c>
      <c r="K40" s="525"/>
      <c r="L40" s="171">
        <f t="shared" si="0"/>
        <v>10.83</v>
      </c>
    </row>
    <row r="41" spans="1:12" ht="15" customHeight="1" x14ac:dyDescent="0.25">
      <c r="A41" s="170" t="s">
        <v>3274</v>
      </c>
      <c r="B41" s="492" t="s">
        <v>3275</v>
      </c>
      <c r="C41" s="492"/>
      <c r="D41" s="492"/>
      <c r="E41" s="492"/>
      <c r="F41" s="492"/>
      <c r="G41" s="127" t="s">
        <v>226</v>
      </c>
      <c r="H41" s="524">
        <v>0.27</v>
      </c>
      <c r="I41" s="524"/>
      <c r="J41" s="525">
        <v>1.61</v>
      </c>
      <c r="K41" s="525"/>
      <c r="L41" s="171">
        <f t="shared" si="0"/>
        <v>0.43</v>
      </c>
    </row>
    <row r="42" spans="1:12" ht="15" customHeight="1" x14ac:dyDescent="0.25">
      <c r="A42" s="170" t="s">
        <v>3276</v>
      </c>
      <c r="B42" s="492" t="s">
        <v>3277</v>
      </c>
      <c r="C42" s="492"/>
      <c r="D42" s="492"/>
      <c r="E42" s="492"/>
      <c r="F42" s="492"/>
      <c r="G42" s="127" t="s">
        <v>226</v>
      </c>
      <c r="H42" s="524">
        <v>1.1000000000000001</v>
      </c>
      <c r="I42" s="524"/>
      <c r="J42" s="525">
        <v>0.47</v>
      </c>
      <c r="K42" s="525"/>
      <c r="L42" s="171">
        <f t="shared" si="0"/>
        <v>0.51</v>
      </c>
    </row>
    <row r="43" spans="1:12" ht="15" customHeight="1" x14ac:dyDescent="0.25">
      <c r="A43" s="170" t="s">
        <v>3278</v>
      </c>
      <c r="B43" s="492" t="s">
        <v>3279</v>
      </c>
      <c r="C43" s="492"/>
      <c r="D43" s="492"/>
      <c r="E43" s="492"/>
      <c r="F43" s="492"/>
      <c r="G43" s="127" t="s">
        <v>188</v>
      </c>
      <c r="H43" s="524">
        <v>3.06</v>
      </c>
      <c r="I43" s="524"/>
      <c r="J43" s="525">
        <v>2.54</v>
      </c>
      <c r="K43" s="525"/>
      <c r="L43" s="171">
        <f t="shared" si="0"/>
        <v>7.77</v>
      </c>
    </row>
    <row r="44" spans="1:12" ht="15" customHeight="1" x14ac:dyDescent="0.25">
      <c r="A44" s="170" t="s">
        <v>3280</v>
      </c>
      <c r="B44" s="492" t="s">
        <v>3281</v>
      </c>
      <c r="C44" s="492"/>
      <c r="D44" s="492"/>
      <c r="E44" s="492"/>
      <c r="F44" s="492"/>
      <c r="G44" s="127" t="s">
        <v>226</v>
      </c>
      <c r="H44" s="524">
        <v>0.18</v>
      </c>
      <c r="I44" s="524"/>
      <c r="J44" s="525">
        <v>36.799999999999997</v>
      </c>
      <c r="K44" s="525"/>
      <c r="L44" s="171">
        <f t="shared" si="0"/>
        <v>6.62</v>
      </c>
    </row>
    <row r="45" spans="1:12" ht="15" customHeight="1" x14ac:dyDescent="0.25">
      <c r="A45" s="170" t="s">
        <v>3282</v>
      </c>
      <c r="B45" s="492" t="s">
        <v>3283</v>
      </c>
      <c r="C45" s="492"/>
      <c r="D45" s="492"/>
      <c r="E45" s="492"/>
      <c r="F45" s="492"/>
      <c r="G45" s="127" t="s">
        <v>226</v>
      </c>
      <c r="H45" s="524">
        <v>0.28000000000000003</v>
      </c>
      <c r="I45" s="524"/>
      <c r="J45" s="525">
        <v>2.73</v>
      </c>
      <c r="K45" s="525"/>
      <c r="L45" s="171">
        <f t="shared" si="0"/>
        <v>0.76</v>
      </c>
    </row>
    <row r="46" spans="1:12" ht="15" customHeight="1" x14ac:dyDescent="0.25">
      <c r="A46" s="170" t="s">
        <v>3131</v>
      </c>
      <c r="B46" s="492" t="s">
        <v>3132</v>
      </c>
      <c r="C46" s="492"/>
      <c r="D46" s="492"/>
      <c r="E46" s="492"/>
      <c r="F46" s="492"/>
      <c r="G46" s="127" t="s">
        <v>1817</v>
      </c>
      <c r="H46" s="524">
        <v>1.32</v>
      </c>
      <c r="I46" s="524"/>
      <c r="J46" s="525">
        <v>1.08</v>
      </c>
      <c r="K46" s="525"/>
      <c r="L46" s="171">
        <f t="shared" si="0"/>
        <v>1.42</v>
      </c>
    </row>
    <row r="47" spans="1:12" ht="15" customHeight="1" x14ac:dyDescent="0.25">
      <c r="A47" s="170" t="s">
        <v>3284</v>
      </c>
      <c r="B47" s="492" t="s">
        <v>3285</v>
      </c>
      <c r="C47" s="492"/>
      <c r="D47" s="492"/>
      <c r="E47" s="492"/>
      <c r="F47" s="492"/>
      <c r="G47" s="127" t="s">
        <v>122</v>
      </c>
      <c r="H47" s="524">
        <v>3.82</v>
      </c>
      <c r="I47" s="524"/>
      <c r="J47" s="525">
        <v>35.659999999999997</v>
      </c>
      <c r="K47" s="525"/>
      <c r="L47" s="171">
        <f t="shared" si="0"/>
        <v>136.22</v>
      </c>
    </row>
    <row r="48" spans="1:12" ht="15" customHeight="1" x14ac:dyDescent="0.25">
      <c r="A48" s="170" t="s">
        <v>2263</v>
      </c>
      <c r="B48" s="492" t="s">
        <v>2264</v>
      </c>
      <c r="C48" s="492"/>
      <c r="D48" s="492"/>
      <c r="E48" s="492"/>
      <c r="F48" s="492"/>
      <c r="G48" s="127" t="s">
        <v>1817</v>
      </c>
      <c r="H48" s="524">
        <v>5.0999999999999996</v>
      </c>
      <c r="I48" s="524"/>
      <c r="J48" s="525">
        <v>0.56999999999999995</v>
      </c>
      <c r="K48" s="525"/>
      <c r="L48" s="171">
        <f t="shared" si="0"/>
        <v>2.9</v>
      </c>
    </row>
    <row r="49" spans="1:12" ht="15" customHeight="1" x14ac:dyDescent="0.25">
      <c r="A49" s="170" t="s">
        <v>3286</v>
      </c>
      <c r="B49" s="492" t="s">
        <v>3287</v>
      </c>
      <c r="C49" s="492"/>
      <c r="D49" s="492"/>
      <c r="E49" s="492"/>
      <c r="F49" s="492"/>
      <c r="G49" s="127" t="s">
        <v>226</v>
      </c>
      <c r="H49" s="524">
        <v>1.9312</v>
      </c>
      <c r="I49" s="524"/>
      <c r="J49" s="525">
        <v>0.89</v>
      </c>
      <c r="K49" s="525"/>
      <c r="L49" s="171">
        <f t="shared" si="0"/>
        <v>1.71</v>
      </c>
    </row>
    <row r="50" spans="1:12" ht="15" customHeight="1" x14ac:dyDescent="0.25">
      <c r="A50" s="170" t="s">
        <v>3288</v>
      </c>
      <c r="B50" s="492" t="s">
        <v>3289</v>
      </c>
      <c r="C50" s="492"/>
      <c r="D50" s="492"/>
      <c r="E50" s="492"/>
      <c r="F50" s="492"/>
      <c r="G50" s="127" t="s">
        <v>226</v>
      </c>
      <c r="H50" s="524">
        <v>0.37</v>
      </c>
      <c r="I50" s="524"/>
      <c r="J50" s="525">
        <v>3.49</v>
      </c>
      <c r="K50" s="525"/>
      <c r="L50" s="171">
        <f t="shared" si="0"/>
        <v>1.29</v>
      </c>
    </row>
    <row r="51" spans="1:12" ht="15" customHeight="1" x14ac:dyDescent="0.25">
      <c r="A51" s="170" t="s">
        <v>3290</v>
      </c>
      <c r="B51" s="492" t="s">
        <v>3291</v>
      </c>
      <c r="C51" s="492"/>
      <c r="D51" s="492"/>
      <c r="E51" s="492"/>
      <c r="F51" s="492"/>
      <c r="G51" s="127" t="s">
        <v>226</v>
      </c>
      <c r="H51" s="524">
        <v>0.64</v>
      </c>
      <c r="I51" s="524"/>
      <c r="J51" s="525">
        <v>10.95</v>
      </c>
      <c r="K51" s="525"/>
      <c r="L51" s="171">
        <f t="shared" si="0"/>
        <v>7</v>
      </c>
    </row>
    <row r="52" spans="1:12" ht="15" customHeight="1" x14ac:dyDescent="0.25">
      <c r="A52" s="170" t="s">
        <v>3292</v>
      </c>
      <c r="B52" s="492" t="s">
        <v>3293</v>
      </c>
      <c r="C52" s="492"/>
      <c r="D52" s="492"/>
      <c r="E52" s="492"/>
      <c r="F52" s="492"/>
      <c r="G52" s="127" t="s">
        <v>188</v>
      </c>
      <c r="H52" s="524">
        <v>1.518</v>
      </c>
      <c r="I52" s="524"/>
      <c r="J52" s="525">
        <v>4.13</v>
      </c>
      <c r="K52" s="525"/>
      <c r="L52" s="171">
        <f t="shared" si="0"/>
        <v>6.26</v>
      </c>
    </row>
    <row r="53" spans="1:12" ht="15" customHeight="1" x14ac:dyDescent="0.25">
      <c r="A53" s="170" t="s">
        <v>2999</v>
      </c>
      <c r="B53" s="492" t="s">
        <v>3000</v>
      </c>
      <c r="C53" s="492"/>
      <c r="D53" s="492"/>
      <c r="E53" s="492"/>
      <c r="F53" s="492"/>
      <c r="G53" s="127" t="s">
        <v>1006</v>
      </c>
      <c r="H53" s="524">
        <v>1.5664</v>
      </c>
      <c r="I53" s="524"/>
      <c r="J53" s="525">
        <v>47.36</v>
      </c>
      <c r="K53" s="525"/>
      <c r="L53" s="171">
        <f t="shared" si="0"/>
        <v>74.180000000000007</v>
      </c>
    </row>
    <row r="54" spans="1:12" ht="15" customHeight="1" x14ac:dyDescent="0.25">
      <c r="A54" s="170" t="s">
        <v>3294</v>
      </c>
      <c r="B54" s="492" t="s">
        <v>3295</v>
      </c>
      <c r="C54" s="492"/>
      <c r="D54" s="492"/>
      <c r="E54" s="492"/>
      <c r="F54" s="492"/>
      <c r="G54" s="127" t="s">
        <v>226</v>
      </c>
      <c r="H54" s="524">
        <v>0.27300000000000002</v>
      </c>
      <c r="I54" s="524"/>
      <c r="J54" s="525">
        <v>5.84</v>
      </c>
      <c r="K54" s="525"/>
      <c r="L54" s="171">
        <f t="shared" si="0"/>
        <v>1.59</v>
      </c>
    </row>
    <row r="55" spans="1:12" ht="15" customHeight="1" x14ac:dyDescent="0.25">
      <c r="A55" s="170" t="s">
        <v>3296</v>
      </c>
      <c r="B55" s="492" t="s">
        <v>3297</v>
      </c>
      <c r="C55" s="492"/>
      <c r="D55" s="492"/>
      <c r="E55" s="492"/>
      <c r="F55" s="492"/>
      <c r="G55" s="127" t="s">
        <v>226</v>
      </c>
      <c r="H55" s="524">
        <v>9.0999999999999998E-2</v>
      </c>
      <c r="I55" s="524"/>
      <c r="J55" s="525">
        <v>12.81</v>
      </c>
      <c r="K55" s="525"/>
      <c r="L55" s="171">
        <f t="shared" si="0"/>
        <v>1.1599999999999999</v>
      </c>
    </row>
    <row r="56" spans="1:12" ht="15" customHeight="1" x14ac:dyDescent="0.25">
      <c r="A56" s="170" t="s">
        <v>3298</v>
      </c>
      <c r="B56" s="492" t="s">
        <v>3299</v>
      </c>
      <c r="C56" s="492"/>
      <c r="D56" s="492"/>
      <c r="E56" s="492"/>
      <c r="F56" s="492"/>
      <c r="G56" s="127" t="s">
        <v>226</v>
      </c>
      <c r="H56" s="524">
        <v>9.0999999999999998E-2</v>
      </c>
      <c r="I56" s="524"/>
      <c r="J56" s="525">
        <v>6.42</v>
      </c>
      <c r="K56" s="525"/>
      <c r="L56" s="171">
        <f t="shared" si="0"/>
        <v>0.57999999999999996</v>
      </c>
    </row>
    <row r="57" spans="1:12" ht="15" customHeight="1" x14ac:dyDescent="0.25">
      <c r="A57" s="170" t="s">
        <v>3300</v>
      </c>
      <c r="B57" s="492" t="s">
        <v>3301</v>
      </c>
      <c r="C57" s="492"/>
      <c r="D57" s="492"/>
      <c r="E57" s="492"/>
      <c r="F57" s="492"/>
      <c r="G57" s="127" t="s">
        <v>226</v>
      </c>
      <c r="H57" s="524">
        <v>0.74</v>
      </c>
      <c r="I57" s="524"/>
      <c r="J57" s="525">
        <v>1.83</v>
      </c>
      <c r="K57" s="525"/>
      <c r="L57" s="171">
        <f t="shared" si="0"/>
        <v>1.35</v>
      </c>
    </row>
    <row r="58" spans="1:12" ht="15" customHeight="1" x14ac:dyDescent="0.25">
      <c r="A58" s="170" t="s">
        <v>3302</v>
      </c>
      <c r="B58" s="492" t="s">
        <v>3303</v>
      </c>
      <c r="C58" s="492"/>
      <c r="D58" s="492"/>
      <c r="E58" s="492"/>
      <c r="F58" s="492"/>
      <c r="G58" s="127" t="s">
        <v>226</v>
      </c>
      <c r="H58" s="524">
        <v>1.9312</v>
      </c>
      <c r="I58" s="524"/>
      <c r="J58" s="525">
        <v>1.18</v>
      </c>
      <c r="K58" s="525"/>
      <c r="L58" s="171">
        <f t="shared" si="0"/>
        <v>2.27</v>
      </c>
    </row>
    <row r="59" spans="1:12" ht="15" customHeight="1" x14ac:dyDescent="0.25">
      <c r="A59" s="170" t="s">
        <v>3257</v>
      </c>
      <c r="B59" s="492" t="s">
        <v>3258</v>
      </c>
      <c r="C59" s="492"/>
      <c r="D59" s="492"/>
      <c r="E59" s="492"/>
      <c r="F59" s="492"/>
      <c r="G59" s="127" t="s">
        <v>188</v>
      </c>
      <c r="H59" s="524">
        <v>6.71</v>
      </c>
      <c r="I59" s="524"/>
      <c r="J59" s="525">
        <v>8.6999999999999993</v>
      </c>
      <c r="K59" s="525"/>
      <c r="L59" s="171">
        <f t="shared" si="0"/>
        <v>58.37</v>
      </c>
    </row>
    <row r="60" spans="1:12" ht="15" customHeight="1" x14ac:dyDescent="0.25">
      <c r="A60" s="170" t="s">
        <v>3304</v>
      </c>
      <c r="B60" s="492" t="s">
        <v>3305</v>
      </c>
      <c r="C60" s="492"/>
      <c r="D60" s="492"/>
      <c r="E60" s="492"/>
      <c r="F60" s="492"/>
      <c r="G60" s="127" t="s">
        <v>226</v>
      </c>
      <c r="H60" s="524">
        <v>0.18</v>
      </c>
      <c r="I60" s="524"/>
      <c r="J60" s="525">
        <v>12.99</v>
      </c>
      <c r="K60" s="525"/>
      <c r="L60" s="171">
        <f t="shared" si="0"/>
        <v>2.33</v>
      </c>
    </row>
    <row r="61" spans="1:12" ht="15" customHeight="1" x14ac:dyDescent="0.25">
      <c r="A61" s="170" t="s">
        <v>3306</v>
      </c>
      <c r="B61" s="492" t="s">
        <v>3307</v>
      </c>
      <c r="C61" s="492"/>
      <c r="D61" s="492"/>
      <c r="E61" s="492"/>
      <c r="F61" s="492"/>
      <c r="G61" s="127" t="s">
        <v>1817</v>
      </c>
      <c r="H61" s="524">
        <v>0.19600000000000001</v>
      </c>
      <c r="I61" s="524"/>
      <c r="J61" s="525">
        <v>14.4</v>
      </c>
      <c r="K61" s="525"/>
      <c r="L61" s="171">
        <f t="shared" si="0"/>
        <v>2.82</v>
      </c>
    </row>
    <row r="62" spans="1:12" ht="15" customHeight="1" x14ac:dyDescent="0.25">
      <c r="A62" s="170" t="s">
        <v>3308</v>
      </c>
      <c r="B62" s="492" t="s">
        <v>3309</v>
      </c>
      <c r="C62" s="492"/>
      <c r="D62" s="492"/>
      <c r="E62" s="492"/>
      <c r="F62" s="492"/>
      <c r="G62" s="127" t="s">
        <v>226</v>
      </c>
      <c r="H62" s="524">
        <v>0.18</v>
      </c>
      <c r="I62" s="524"/>
      <c r="J62" s="525">
        <v>6.22</v>
      </c>
      <c r="K62" s="525"/>
      <c r="L62" s="171">
        <f t="shared" si="0"/>
        <v>1.1100000000000001</v>
      </c>
    </row>
    <row r="63" spans="1:12" ht="15" customHeight="1" x14ac:dyDescent="0.25">
      <c r="A63" s="170" t="s">
        <v>3310</v>
      </c>
      <c r="B63" s="492" t="s">
        <v>3311</v>
      </c>
      <c r="C63" s="492"/>
      <c r="D63" s="492"/>
      <c r="E63" s="492"/>
      <c r="F63" s="492"/>
      <c r="G63" s="127" t="s">
        <v>122</v>
      </c>
      <c r="H63" s="524">
        <v>1.5640000000000001</v>
      </c>
      <c r="I63" s="524"/>
      <c r="J63" s="525">
        <v>28.09</v>
      </c>
      <c r="K63" s="525"/>
      <c r="L63" s="171">
        <f t="shared" si="0"/>
        <v>43.93</v>
      </c>
    </row>
    <row r="64" spans="1:12" ht="15" customHeight="1" x14ac:dyDescent="0.25">
      <c r="A64" s="170" t="s">
        <v>3312</v>
      </c>
      <c r="B64" s="492" t="s">
        <v>3313</v>
      </c>
      <c r="C64" s="492"/>
      <c r="D64" s="492"/>
      <c r="E64" s="492"/>
      <c r="F64" s="492"/>
      <c r="G64" s="127" t="s">
        <v>226</v>
      </c>
      <c r="H64" s="524">
        <v>9.0999999999999998E-2</v>
      </c>
      <c r="I64" s="524"/>
      <c r="J64" s="525">
        <v>23.54</v>
      </c>
      <c r="K64" s="525"/>
      <c r="L64" s="171">
        <f t="shared" si="0"/>
        <v>2.14</v>
      </c>
    </row>
    <row r="65" spans="1:12" ht="15" customHeight="1" x14ac:dyDescent="0.25">
      <c r="A65" s="170" t="s">
        <v>3314</v>
      </c>
      <c r="B65" s="492" t="s">
        <v>3315</v>
      </c>
      <c r="C65" s="492"/>
      <c r="D65" s="492"/>
      <c r="E65" s="492"/>
      <c r="F65" s="492"/>
      <c r="G65" s="127" t="s">
        <v>226</v>
      </c>
      <c r="H65" s="524">
        <v>9.0999999999999998E-2</v>
      </c>
      <c r="I65" s="524"/>
      <c r="J65" s="525">
        <v>30.12</v>
      </c>
      <c r="K65" s="525"/>
      <c r="L65" s="171">
        <f t="shared" si="0"/>
        <v>2.74</v>
      </c>
    </row>
    <row r="66" spans="1:12" ht="15" customHeight="1" x14ac:dyDescent="0.25">
      <c r="A66" s="184"/>
      <c r="B66" s="141"/>
      <c r="C66" s="141"/>
      <c r="D66" s="141"/>
      <c r="E66" s="141"/>
      <c r="F66" s="141"/>
      <c r="G66" s="141"/>
      <c r="H66" s="491" t="s">
        <v>1889</v>
      </c>
      <c r="I66" s="491"/>
      <c r="J66" s="491"/>
      <c r="K66" s="491"/>
      <c r="L66" s="375">
        <f>SUM(L35:L65)</f>
        <v>390.64</v>
      </c>
    </row>
    <row r="67" spans="1:12" ht="15" customHeight="1" x14ac:dyDescent="0.25">
      <c r="A67" s="182"/>
      <c r="B67" s="183"/>
      <c r="C67" s="183"/>
      <c r="D67" s="183"/>
      <c r="E67" s="183"/>
      <c r="F67" s="183"/>
      <c r="G67" s="183"/>
      <c r="H67" s="482" t="s">
        <v>1848</v>
      </c>
      <c r="I67" s="482"/>
      <c r="J67" s="482"/>
      <c r="K67" s="482"/>
      <c r="L67" s="371">
        <f>SUM(L33,L66)</f>
        <v>603.45000000000005</v>
      </c>
    </row>
    <row r="68" spans="1:12" ht="15" customHeight="1" x14ac:dyDescent="0.25">
      <c r="A68" s="182"/>
      <c r="B68" s="183"/>
      <c r="C68" s="183"/>
      <c r="D68" s="183"/>
      <c r="E68" s="183"/>
      <c r="F68" s="183"/>
      <c r="G68" s="183"/>
      <c r="H68" s="482" t="s">
        <v>1834</v>
      </c>
      <c r="I68" s="482"/>
      <c r="J68" s="482"/>
      <c r="K68" s="482"/>
      <c r="L68" s="369">
        <f>ROUND(SUM(L67),2)</f>
        <v>603.45000000000005</v>
      </c>
    </row>
    <row r="69" spans="1:12" ht="9.9499999999999993" customHeight="1" x14ac:dyDescent="0.25">
      <c r="A69" s="182"/>
      <c r="B69" s="183"/>
      <c r="C69" s="183"/>
      <c r="D69" s="183"/>
      <c r="E69" s="183"/>
      <c r="F69" s="183"/>
      <c r="G69" s="183"/>
      <c r="H69" s="485"/>
      <c r="I69" s="485"/>
      <c r="J69" s="485"/>
      <c r="K69" s="485"/>
      <c r="L69" s="512"/>
    </row>
    <row r="70" spans="1:12" ht="20.100000000000001" customHeight="1" x14ac:dyDescent="0.25">
      <c r="A70" s="486" t="s">
        <v>3316</v>
      </c>
      <c r="B70" s="487"/>
      <c r="C70" s="487"/>
      <c r="D70" s="487"/>
      <c r="E70" s="487"/>
      <c r="F70" s="487"/>
      <c r="G70" s="487"/>
      <c r="H70" s="487"/>
      <c r="I70" s="487"/>
      <c r="J70" s="487"/>
      <c r="K70" s="487"/>
      <c r="L70" s="513"/>
    </row>
    <row r="71" spans="1:12" ht="20.100000000000001" customHeight="1" x14ac:dyDescent="0.25">
      <c r="A71" s="488" t="s">
        <v>1836</v>
      </c>
      <c r="B71" s="489"/>
      <c r="C71" s="489"/>
      <c r="D71" s="489"/>
      <c r="E71" s="489"/>
      <c r="F71" s="489"/>
      <c r="G71" s="233" t="s">
        <v>44</v>
      </c>
      <c r="H71" s="515" t="s">
        <v>1837</v>
      </c>
      <c r="I71" s="515"/>
      <c r="J71" s="515" t="s">
        <v>1838</v>
      </c>
      <c r="K71" s="515"/>
      <c r="L71" s="169" t="s">
        <v>1839</v>
      </c>
    </row>
    <row r="72" spans="1:12" ht="15" customHeight="1" x14ac:dyDescent="0.25">
      <c r="A72" s="170" t="s">
        <v>3317</v>
      </c>
      <c r="B72" s="490" t="s">
        <v>3318</v>
      </c>
      <c r="C72" s="490"/>
      <c r="D72" s="490"/>
      <c r="E72" s="490"/>
      <c r="F72" s="490"/>
      <c r="G72" s="127" t="s">
        <v>1024</v>
      </c>
      <c r="H72" s="524">
        <v>9.6039999999999997E-3</v>
      </c>
      <c r="I72" s="524"/>
      <c r="J72" s="517">
        <v>26.03</v>
      </c>
      <c r="K72" s="517"/>
      <c r="L72" s="370">
        <f t="shared" ref="L72:L79" si="1">TRUNC(TRUNC(H72,8)*J72,2)</f>
        <v>0.24</v>
      </c>
    </row>
    <row r="73" spans="1:12" ht="15" customHeight="1" x14ac:dyDescent="0.25">
      <c r="A73" s="170" t="s">
        <v>1828</v>
      </c>
      <c r="B73" s="490" t="s">
        <v>1829</v>
      </c>
      <c r="C73" s="490"/>
      <c r="D73" s="490"/>
      <c r="E73" s="490"/>
      <c r="F73" s="490"/>
      <c r="G73" s="127" t="s">
        <v>1024</v>
      </c>
      <c r="H73" s="524">
        <v>1.6303399999999999</v>
      </c>
      <c r="I73" s="524"/>
      <c r="J73" s="517">
        <v>26.03</v>
      </c>
      <c r="K73" s="517"/>
      <c r="L73" s="370">
        <f t="shared" si="1"/>
        <v>42.43</v>
      </c>
    </row>
    <row r="74" spans="1:12" ht="15" customHeight="1" x14ac:dyDescent="0.25">
      <c r="A74" s="170" t="s">
        <v>2178</v>
      </c>
      <c r="B74" s="490" t="s">
        <v>2179</v>
      </c>
      <c r="C74" s="490"/>
      <c r="D74" s="490"/>
      <c r="E74" s="490"/>
      <c r="F74" s="490"/>
      <c r="G74" s="127" t="s">
        <v>1024</v>
      </c>
      <c r="H74" s="524">
        <v>1.1244000000000001</v>
      </c>
      <c r="I74" s="524"/>
      <c r="J74" s="517">
        <v>26.03</v>
      </c>
      <c r="K74" s="517"/>
      <c r="L74" s="370">
        <f t="shared" si="1"/>
        <v>29.26</v>
      </c>
    </row>
    <row r="75" spans="1:12" ht="15" customHeight="1" x14ac:dyDescent="0.25">
      <c r="A75" s="170" t="s">
        <v>1842</v>
      </c>
      <c r="B75" s="490" t="s">
        <v>1843</v>
      </c>
      <c r="C75" s="490"/>
      <c r="D75" s="490"/>
      <c r="E75" s="490"/>
      <c r="F75" s="490"/>
      <c r="G75" s="127" t="s">
        <v>1024</v>
      </c>
      <c r="H75" s="524">
        <v>1.3093399999999999</v>
      </c>
      <c r="I75" s="524"/>
      <c r="J75" s="517">
        <v>26.03</v>
      </c>
      <c r="K75" s="517"/>
      <c r="L75" s="370">
        <f t="shared" si="1"/>
        <v>34.08</v>
      </c>
    </row>
    <row r="76" spans="1:12" ht="15" customHeight="1" x14ac:dyDescent="0.25">
      <c r="A76" s="170" t="s">
        <v>1851</v>
      </c>
      <c r="B76" s="490" t="s">
        <v>1852</v>
      </c>
      <c r="C76" s="490"/>
      <c r="D76" s="490"/>
      <c r="E76" s="490"/>
      <c r="F76" s="490"/>
      <c r="G76" s="127" t="s">
        <v>1024</v>
      </c>
      <c r="H76" s="524">
        <v>0.39792</v>
      </c>
      <c r="I76" s="524"/>
      <c r="J76" s="517">
        <v>26.03</v>
      </c>
      <c r="K76" s="517"/>
      <c r="L76" s="370">
        <f t="shared" si="1"/>
        <v>10.35</v>
      </c>
    </row>
    <row r="77" spans="1:12" ht="15" customHeight="1" x14ac:dyDescent="0.25">
      <c r="A77" s="170" t="s">
        <v>1983</v>
      </c>
      <c r="B77" s="490" t="s">
        <v>1984</v>
      </c>
      <c r="C77" s="490"/>
      <c r="D77" s="490"/>
      <c r="E77" s="490"/>
      <c r="F77" s="490"/>
      <c r="G77" s="127" t="s">
        <v>1024</v>
      </c>
      <c r="H77" s="524">
        <v>1.8655999999999999</v>
      </c>
      <c r="I77" s="524"/>
      <c r="J77" s="517">
        <v>26.03</v>
      </c>
      <c r="K77" s="517"/>
      <c r="L77" s="370">
        <f t="shared" si="1"/>
        <v>48.56</v>
      </c>
    </row>
    <row r="78" spans="1:12" ht="15" customHeight="1" x14ac:dyDescent="0.25">
      <c r="A78" s="170" t="s">
        <v>1830</v>
      </c>
      <c r="B78" s="490" t="s">
        <v>1831</v>
      </c>
      <c r="C78" s="490"/>
      <c r="D78" s="490"/>
      <c r="E78" s="490"/>
      <c r="F78" s="490"/>
      <c r="G78" s="127" t="s">
        <v>1024</v>
      </c>
      <c r="H78" s="524">
        <v>7.3805540000000001</v>
      </c>
      <c r="I78" s="524"/>
      <c r="J78" s="517">
        <v>19.68</v>
      </c>
      <c r="K78" s="517"/>
      <c r="L78" s="370">
        <f t="shared" si="1"/>
        <v>145.24</v>
      </c>
    </row>
    <row r="79" spans="1:12" ht="15" customHeight="1" x14ac:dyDescent="0.25">
      <c r="A79" s="170" t="s">
        <v>3264</v>
      </c>
      <c r="B79" s="490" t="s">
        <v>3265</v>
      </c>
      <c r="C79" s="490"/>
      <c r="D79" s="490"/>
      <c r="E79" s="490"/>
      <c r="F79" s="490"/>
      <c r="G79" s="127" t="s">
        <v>1024</v>
      </c>
      <c r="H79" s="524">
        <v>0.31784000000000001</v>
      </c>
      <c r="I79" s="524"/>
      <c r="J79" s="517">
        <v>26.03</v>
      </c>
      <c r="K79" s="517"/>
      <c r="L79" s="370">
        <f t="shared" si="1"/>
        <v>8.27</v>
      </c>
    </row>
    <row r="80" spans="1:12" ht="15" customHeight="1" x14ac:dyDescent="0.25">
      <c r="A80" s="184"/>
      <c r="B80" s="141"/>
      <c r="C80" s="141"/>
      <c r="D80" s="141"/>
      <c r="E80" s="141"/>
      <c r="F80" s="141"/>
      <c r="G80" s="141"/>
      <c r="H80" s="491" t="s">
        <v>1844</v>
      </c>
      <c r="I80" s="491"/>
      <c r="J80" s="491"/>
      <c r="K80" s="491"/>
      <c r="L80" s="369">
        <f>SUM(L72:L79)</f>
        <v>318.43</v>
      </c>
    </row>
    <row r="81" spans="1:12" ht="15" customHeight="1" x14ac:dyDescent="0.25">
      <c r="A81" s="182"/>
      <c r="B81" s="183"/>
      <c r="C81" s="183"/>
      <c r="D81" s="183"/>
      <c r="E81" s="183"/>
      <c r="F81" s="183"/>
      <c r="G81" s="183"/>
      <c r="H81" s="482" t="s">
        <v>1845</v>
      </c>
      <c r="I81" s="482"/>
      <c r="J81" s="482"/>
      <c r="K81" s="482"/>
      <c r="L81" s="371">
        <f>SUM(L80)</f>
        <v>318.43</v>
      </c>
    </row>
    <row r="82" spans="1:12" ht="15" customHeight="1" x14ac:dyDescent="0.25">
      <c r="A82" s="182"/>
      <c r="B82" s="183"/>
      <c r="C82" s="183"/>
      <c r="D82" s="183"/>
      <c r="E82" s="183"/>
      <c r="F82" s="183"/>
      <c r="G82" s="183"/>
      <c r="H82" s="482" t="s">
        <v>1846</v>
      </c>
      <c r="I82" s="482"/>
      <c r="J82" s="482"/>
      <c r="K82" s="482"/>
      <c r="L82" s="374">
        <v>1</v>
      </c>
    </row>
    <row r="83" spans="1:12" ht="15" customHeight="1" x14ac:dyDescent="0.25">
      <c r="A83" s="182"/>
      <c r="B83" s="183"/>
      <c r="C83" s="183"/>
      <c r="D83" s="183"/>
      <c r="E83" s="183"/>
      <c r="F83" s="183"/>
      <c r="G83" s="183"/>
      <c r="H83" s="482" t="s">
        <v>1847</v>
      </c>
      <c r="I83" s="482"/>
      <c r="J83" s="482"/>
      <c r="K83" s="482"/>
      <c r="L83" s="371">
        <f>TRUNC(L81/L82,4)</f>
        <v>318.43</v>
      </c>
    </row>
    <row r="84" spans="1:12" ht="20.100000000000001" customHeight="1" x14ac:dyDescent="0.25">
      <c r="A84" s="488" t="s">
        <v>1880</v>
      </c>
      <c r="B84" s="489"/>
      <c r="C84" s="489"/>
      <c r="D84" s="489"/>
      <c r="E84" s="489"/>
      <c r="F84" s="489"/>
      <c r="G84" s="233" t="s">
        <v>44</v>
      </c>
      <c r="H84" s="515" t="s">
        <v>1837</v>
      </c>
      <c r="I84" s="515"/>
      <c r="J84" s="515" t="s">
        <v>1881</v>
      </c>
      <c r="K84" s="515"/>
      <c r="L84" s="169" t="s">
        <v>1882</v>
      </c>
    </row>
    <row r="85" spans="1:12" ht="15.95" customHeight="1" x14ac:dyDescent="0.25">
      <c r="A85" s="170" t="s">
        <v>3266</v>
      </c>
      <c r="B85" s="492" t="s">
        <v>3267</v>
      </c>
      <c r="C85" s="492"/>
      <c r="D85" s="492"/>
      <c r="E85" s="492"/>
      <c r="F85" s="492"/>
      <c r="G85" s="127" t="s">
        <v>226</v>
      </c>
      <c r="H85" s="524">
        <v>0.41</v>
      </c>
      <c r="I85" s="524"/>
      <c r="J85" s="525">
        <v>0.55000000000000004</v>
      </c>
      <c r="K85" s="525"/>
      <c r="L85" s="171">
        <f t="shared" ref="L85:L116" si="2">TRUNC(TRUNC(H85,8)*J85,2)</f>
        <v>0.22</v>
      </c>
    </row>
    <row r="86" spans="1:12" ht="15" customHeight="1" x14ac:dyDescent="0.25">
      <c r="A86" s="170" t="s">
        <v>3319</v>
      </c>
      <c r="B86" s="492" t="s">
        <v>3320</v>
      </c>
      <c r="C86" s="492"/>
      <c r="D86" s="492"/>
      <c r="E86" s="492"/>
      <c r="F86" s="492"/>
      <c r="G86" s="127" t="s">
        <v>1817</v>
      </c>
      <c r="H86" s="524">
        <v>0.13805799999999999</v>
      </c>
      <c r="I86" s="524"/>
      <c r="J86" s="525">
        <v>5.97</v>
      </c>
      <c r="K86" s="525"/>
      <c r="L86" s="171">
        <f t="shared" si="2"/>
        <v>0.82</v>
      </c>
    </row>
    <row r="87" spans="1:12" ht="15" customHeight="1" x14ac:dyDescent="0.25">
      <c r="A87" s="170" t="s">
        <v>3321</v>
      </c>
      <c r="B87" s="492" t="s">
        <v>3322</v>
      </c>
      <c r="C87" s="492"/>
      <c r="D87" s="492"/>
      <c r="E87" s="492"/>
      <c r="F87" s="492"/>
      <c r="G87" s="127" t="s">
        <v>226</v>
      </c>
      <c r="H87" s="524">
        <v>0.28000000000000003</v>
      </c>
      <c r="I87" s="524"/>
      <c r="J87" s="525">
        <v>1.23</v>
      </c>
      <c r="K87" s="525"/>
      <c r="L87" s="171">
        <f t="shared" si="2"/>
        <v>0.34</v>
      </c>
    </row>
    <row r="88" spans="1:12" ht="15" customHeight="1" x14ac:dyDescent="0.25">
      <c r="A88" s="170" t="s">
        <v>3323</v>
      </c>
      <c r="B88" s="492" t="s">
        <v>3324</v>
      </c>
      <c r="C88" s="492"/>
      <c r="D88" s="492"/>
      <c r="E88" s="492"/>
      <c r="F88" s="492"/>
      <c r="G88" s="127" t="s">
        <v>1817</v>
      </c>
      <c r="H88" s="524">
        <v>1.7913999999999999E-2</v>
      </c>
      <c r="I88" s="524"/>
      <c r="J88" s="525">
        <v>65.900000000000006</v>
      </c>
      <c r="K88" s="525"/>
      <c r="L88" s="171">
        <f t="shared" si="2"/>
        <v>1.18</v>
      </c>
    </row>
    <row r="89" spans="1:12" ht="15.95" customHeight="1" x14ac:dyDescent="0.25">
      <c r="A89" s="170" t="s">
        <v>3325</v>
      </c>
      <c r="B89" s="492" t="s">
        <v>3326</v>
      </c>
      <c r="C89" s="492"/>
      <c r="D89" s="492"/>
      <c r="E89" s="492"/>
      <c r="F89" s="492"/>
      <c r="G89" s="127" t="s">
        <v>1817</v>
      </c>
      <c r="H89" s="524">
        <v>8.4000000000000005E-2</v>
      </c>
      <c r="I89" s="524"/>
      <c r="J89" s="525">
        <v>7.53</v>
      </c>
      <c r="K89" s="525"/>
      <c r="L89" s="171">
        <f t="shared" si="2"/>
        <v>0.63</v>
      </c>
    </row>
    <row r="90" spans="1:12" ht="15" customHeight="1" x14ac:dyDescent="0.25">
      <c r="A90" s="170" t="s">
        <v>2997</v>
      </c>
      <c r="B90" s="492" t="s">
        <v>2998</v>
      </c>
      <c r="C90" s="492"/>
      <c r="D90" s="492"/>
      <c r="E90" s="492"/>
      <c r="F90" s="492"/>
      <c r="G90" s="127" t="s">
        <v>1006</v>
      </c>
      <c r="H90" s="524">
        <v>0.3392</v>
      </c>
      <c r="I90" s="524"/>
      <c r="J90" s="525">
        <v>15.92</v>
      </c>
      <c r="K90" s="525"/>
      <c r="L90" s="171">
        <f t="shared" si="2"/>
        <v>5.4</v>
      </c>
    </row>
    <row r="91" spans="1:12" ht="15" customHeight="1" x14ac:dyDescent="0.25">
      <c r="A91" s="170" t="s">
        <v>3327</v>
      </c>
      <c r="B91" s="492" t="s">
        <v>3328</v>
      </c>
      <c r="C91" s="492"/>
      <c r="D91" s="492"/>
      <c r="E91" s="492"/>
      <c r="F91" s="492"/>
      <c r="G91" s="127" t="s">
        <v>226</v>
      </c>
      <c r="H91" s="524">
        <v>7.0000000000000007E-2</v>
      </c>
      <c r="I91" s="524"/>
      <c r="J91" s="525">
        <v>33.06</v>
      </c>
      <c r="K91" s="525"/>
      <c r="L91" s="171">
        <f t="shared" si="2"/>
        <v>2.31</v>
      </c>
    </row>
    <row r="92" spans="1:12" ht="15" customHeight="1" x14ac:dyDescent="0.25">
      <c r="A92" s="170" t="s">
        <v>3329</v>
      </c>
      <c r="B92" s="492" t="s">
        <v>3330</v>
      </c>
      <c r="C92" s="492"/>
      <c r="D92" s="492"/>
      <c r="E92" s="492"/>
      <c r="F92" s="492"/>
      <c r="G92" s="127" t="s">
        <v>1817</v>
      </c>
      <c r="H92" s="524">
        <v>2.4009999999999999E-3</v>
      </c>
      <c r="I92" s="524"/>
      <c r="J92" s="525">
        <v>12.07</v>
      </c>
      <c r="K92" s="525"/>
      <c r="L92" s="171">
        <f t="shared" si="2"/>
        <v>0.02</v>
      </c>
    </row>
    <row r="93" spans="1:12" ht="15" customHeight="1" x14ac:dyDescent="0.25">
      <c r="A93" s="170" t="s">
        <v>2170</v>
      </c>
      <c r="B93" s="492" t="s">
        <v>2171</v>
      </c>
      <c r="C93" s="492"/>
      <c r="D93" s="492"/>
      <c r="E93" s="492"/>
      <c r="F93" s="492"/>
      <c r="G93" s="127" t="s">
        <v>85</v>
      </c>
      <c r="H93" s="524">
        <v>4.8250000000000001E-2</v>
      </c>
      <c r="I93" s="524"/>
      <c r="J93" s="525">
        <v>152</v>
      </c>
      <c r="K93" s="525"/>
      <c r="L93" s="171">
        <f t="shared" si="2"/>
        <v>7.33</v>
      </c>
    </row>
    <row r="94" spans="1:12" ht="15" customHeight="1" x14ac:dyDescent="0.25">
      <c r="A94" s="170" t="s">
        <v>3268</v>
      </c>
      <c r="B94" s="492" t="s">
        <v>3269</v>
      </c>
      <c r="C94" s="492"/>
      <c r="D94" s="492"/>
      <c r="E94" s="492"/>
      <c r="F94" s="492"/>
      <c r="G94" s="127" t="s">
        <v>226</v>
      </c>
      <c r="H94" s="524">
        <v>0.41</v>
      </c>
      <c r="I94" s="524"/>
      <c r="J94" s="525">
        <v>0.85</v>
      </c>
      <c r="K94" s="525"/>
      <c r="L94" s="171">
        <f t="shared" si="2"/>
        <v>0.34</v>
      </c>
    </row>
    <row r="95" spans="1:12" ht="15" customHeight="1" x14ac:dyDescent="0.25">
      <c r="A95" s="170" t="s">
        <v>3331</v>
      </c>
      <c r="B95" s="492" t="s">
        <v>3332</v>
      </c>
      <c r="C95" s="492"/>
      <c r="D95" s="492"/>
      <c r="E95" s="492"/>
      <c r="F95" s="492"/>
      <c r="G95" s="127" t="s">
        <v>226</v>
      </c>
      <c r="H95" s="524">
        <v>7.0000000000000007E-2</v>
      </c>
      <c r="I95" s="524"/>
      <c r="J95" s="525">
        <v>38.99</v>
      </c>
      <c r="K95" s="525"/>
      <c r="L95" s="171">
        <f t="shared" si="2"/>
        <v>2.72</v>
      </c>
    </row>
    <row r="96" spans="1:12" ht="15" customHeight="1" x14ac:dyDescent="0.25">
      <c r="A96" s="170" t="s">
        <v>3333</v>
      </c>
      <c r="B96" s="492" t="s">
        <v>3334</v>
      </c>
      <c r="C96" s="492"/>
      <c r="D96" s="492"/>
      <c r="E96" s="492"/>
      <c r="F96" s="492"/>
      <c r="G96" s="127" t="s">
        <v>226</v>
      </c>
      <c r="H96" s="524">
        <v>7.0000000000000007E-2</v>
      </c>
      <c r="I96" s="524"/>
      <c r="J96" s="525">
        <v>274.07</v>
      </c>
      <c r="K96" s="525"/>
      <c r="L96" s="171">
        <f t="shared" si="2"/>
        <v>19.18</v>
      </c>
    </row>
    <row r="97" spans="1:12" ht="15" customHeight="1" x14ac:dyDescent="0.25">
      <c r="A97" s="170" t="s">
        <v>3335</v>
      </c>
      <c r="B97" s="492" t="s">
        <v>3336</v>
      </c>
      <c r="C97" s="492"/>
      <c r="D97" s="492"/>
      <c r="E97" s="492"/>
      <c r="F97" s="492"/>
      <c r="G97" s="127" t="s">
        <v>226</v>
      </c>
      <c r="H97" s="524">
        <v>0.27500000000000002</v>
      </c>
      <c r="I97" s="524"/>
      <c r="J97" s="525">
        <v>0.9</v>
      </c>
      <c r="K97" s="525"/>
      <c r="L97" s="171">
        <f t="shared" si="2"/>
        <v>0.24</v>
      </c>
    </row>
    <row r="98" spans="1:12" ht="15" customHeight="1" x14ac:dyDescent="0.25">
      <c r="A98" s="170" t="s">
        <v>3337</v>
      </c>
      <c r="B98" s="492" t="s">
        <v>3338</v>
      </c>
      <c r="C98" s="492"/>
      <c r="D98" s="492"/>
      <c r="E98" s="492"/>
      <c r="F98" s="492"/>
      <c r="G98" s="127" t="s">
        <v>226</v>
      </c>
      <c r="H98" s="524">
        <v>2.57348</v>
      </c>
      <c r="I98" s="524"/>
      <c r="J98" s="525">
        <v>3.43</v>
      </c>
      <c r="K98" s="525"/>
      <c r="L98" s="171">
        <f t="shared" si="2"/>
        <v>8.82</v>
      </c>
    </row>
    <row r="99" spans="1:12" ht="15" customHeight="1" x14ac:dyDescent="0.25">
      <c r="A99" s="170" t="s">
        <v>3270</v>
      </c>
      <c r="B99" s="492" t="s">
        <v>3271</v>
      </c>
      <c r="C99" s="492"/>
      <c r="D99" s="492"/>
      <c r="E99" s="492"/>
      <c r="F99" s="492"/>
      <c r="G99" s="127" t="s">
        <v>226</v>
      </c>
      <c r="H99" s="524">
        <v>0.14000000000000001</v>
      </c>
      <c r="I99" s="524"/>
      <c r="J99" s="525">
        <v>2.46</v>
      </c>
      <c r="K99" s="525"/>
      <c r="L99" s="171">
        <f t="shared" si="2"/>
        <v>0.34</v>
      </c>
    </row>
    <row r="100" spans="1:12" ht="15" customHeight="1" x14ac:dyDescent="0.25">
      <c r="A100" s="170" t="s">
        <v>3339</v>
      </c>
      <c r="B100" s="492" t="s">
        <v>3340</v>
      </c>
      <c r="C100" s="492"/>
      <c r="D100" s="492"/>
      <c r="E100" s="492"/>
      <c r="F100" s="492"/>
      <c r="G100" s="127" t="s">
        <v>85</v>
      </c>
      <c r="H100" s="524">
        <v>1.3619999999999999E-3</v>
      </c>
      <c r="I100" s="524"/>
      <c r="J100" s="525">
        <v>180.54</v>
      </c>
      <c r="K100" s="525"/>
      <c r="L100" s="171">
        <f t="shared" si="2"/>
        <v>0.24</v>
      </c>
    </row>
    <row r="101" spans="1:12" ht="15" customHeight="1" x14ac:dyDescent="0.25">
      <c r="A101" s="170" t="s">
        <v>3341</v>
      </c>
      <c r="B101" s="492" t="s">
        <v>3342</v>
      </c>
      <c r="C101" s="492"/>
      <c r="D101" s="492"/>
      <c r="E101" s="492"/>
      <c r="F101" s="492"/>
      <c r="G101" s="127" t="s">
        <v>85</v>
      </c>
      <c r="H101" s="524">
        <v>3.186E-3</v>
      </c>
      <c r="I101" s="524"/>
      <c r="J101" s="525">
        <v>180.54</v>
      </c>
      <c r="K101" s="525"/>
      <c r="L101" s="171">
        <f t="shared" si="2"/>
        <v>0.56999999999999995</v>
      </c>
    </row>
    <row r="102" spans="1:12" ht="15" customHeight="1" x14ac:dyDescent="0.25">
      <c r="A102" s="170" t="s">
        <v>3272</v>
      </c>
      <c r="B102" s="492" t="s">
        <v>3273</v>
      </c>
      <c r="C102" s="492"/>
      <c r="D102" s="492"/>
      <c r="E102" s="492"/>
      <c r="F102" s="492"/>
      <c r="G102" s="127" t="s">
        <v>85</v>
      </c>
      <c r="H102" s="524">
        <v>0.06</v>
      </c>
      <c r="I102" s="524"/>
      <c r="J102" s="525">
        <v>180.54</v>
      </c>
      <c r="K102" s="525"/>
      <c r="L102" s="171">
        <f t="shared" si="2"/>
        <v>10.83</v>
      </c>
    </row>
    <row r="103" spans="1:12" ht="15" customHeight="1" x14ac:dyDescent="0.25">
      <c r="A103" s="170" t="s">
        <v>3274</v>
      </c>
      <c r="B103" s="492" t="s">
        <v>3275</v>
      </c>
      <c r="C103" s="492"/>
      <c r="D103" s="492"/>
      <c r="E103" s="492"/>
      <c r="F103" s="492"/>
      <c r="G103" s="127" t="s">
        <v>226</v>
      </c>
      <c r="H103" s="524">
        <v>0.41</v>
      </c>
      <c r="I103" s="524"/>
      <c r="J103" s="525">
        <v>1.61</v>
      </c>
      <c r="K103" s="525"/>
      <c r="L103" s="171">
        <f t="shared" si="2"/>
        <v>0.66</v>
      </c>
    </row>
    <row r="104" spans="1:12" ht="15" customHeight="1" x14ac:dyDescent="0.25">
      <c r="A104" s="170" t="s">
        <v>3343</v>
      </c>
      <c r="B104" s="492" t="s">
        <v>3344</v>
      </c>
      <c r="C104" s="492"/>
      <c r="D104" s="492"/>
      <c r="E104" s="492"/>
      <c r="F104" s="492"/>
      <c r="G104" s="127" t="s">
        <v>226</v>
      </c>
      <c r="H104" s="524">
        <v>0.28000000000000003</v>
      </c>
      <c r="I104" s="524"/>
      <c r="J104" s="525">
        <v>0.09</v>
      </c>
      <c r="K104" s="525"/>
      <c r="L104" s="171">
        <f t="shared" si="2"/>
        <v>0.02</v>
      </c>
    </row>
    <row r="105" spans="1:12" ht="15" customHeight="1" x14ac:dyDescent="0.25">
      <c r="A105" s="170" t="s">
        <v>3276</v>
      </c>
      <c r="B105" s="492" t="s">
        <v>3277</v>
      </c>
      <c r="C105" s="492"/>
      <c r="D105" s="492"/>
      <c r="E105" s="492"/>
      <c r="F105" s="492"/>
      <c r="G105" s="127" t="s">
        <v>226</v>
      </c>
      <c r="H105" s="524">
        <v>0.82</v>
      </c>
      <c r="I105" s="524"/>
      <c r="J105" s="525">
        <v>0.47</v>
      </c>
      <c r="K105" s="525"/>
      <c r="L105" s="171">
        <f t="shared" si="2"/>
        <v>0.38</v>
      </c>
    </row>
    <row r="106" spans="1:12" ht="15" customHeight="1" x14ac:dyDescent="0.25">
      <c r="A106" s="170" t="s">
        <v>3278</v>
      </c>
      <c r="B106" s="492" t="s">
        <v>3279</v>
      </c>
      <c r="C106" s="492"/>
      <c r="D106" s="492"/>
      <c r="E106" s="492"/>
      <c r="F106" s="492"/>
      <c r="G106" s="127" t="s">
        <v>188</v>
      </c>
      <c r="H106" s="524">
        <v>2.8151999999999999</v>
      </c>
      <c r="I106" s="524"/>
      <c r="J106" s="525">
        <v>2.54</v>
      </c>
      <c r="K106" s="525"/>
      <c r="L106" s="171">
        <f t="shared" si="2"/>
        <v>7.15</v>
      </c>
    </row>
    <row r="107" spans="1:12" ht="15" customHeight="1" x14ac:dyDescent="0.25">
      <c r="A107" s="170" t="s">
        <v>3345</v>
      </c>
      <c r="B107" s="492" t="s">
        <v>3346</v>
      </c>
      <c r="C107" s="492"/>
      <c r="D107" s="492"/>
      <c r="E107" s="492"/>
      <c r="F107" s="492"/>
      <c r="G107" s="127" t="s">
        <v>188</v>
      </c>
      <c r="H107" s="524">
        <v>2.6316000000000002</v>
      </c>
      <c r="I107" s="524"/>
      <c r="J107" s="525">
        <v>4.17</v>
      </c>
      <c r="K107" s="525"/>
      <c r="L107" s="171">
        <f t="shared" si="2"/>
        <v>10.97</v>
      </c>
    </row>
    <row r="108" spans="1:12" ht="15" customHeight="1" x14ac:dyDescent="0.25">
      <c r="A108" s="170" t="s">
        <v>3347</v>
      </c>
      <c r="B108" s="492" t="s">
        <v>3348</v>
      </c>
      <c r="C108" s="492"/>
      <c r="D108" s="492"/>
      <c r="E108" s="492"/>
      <c r="F108" s="492"/>
      <c r="G108" s="127" t="s">
        <v>226</v>
      </c>
      <c r="H108" s="524">
        <v>7.0000000000000007E-2</v>
      </c>
      <c r="I108" s="524"/>
      <c r="J108" s="525">
        <v>50.2</v>
      </c>
      <c r="K108" s="525"/>
      <c r="L108" s="171">
        <f t="shared" si="2"/>
        <v>3.51</v>
      </c>
    </row>
    <row r="109" spans="1:12" ht="15" customHeight="1" x14ac:dyDescent="0.25">
      <c r="A109" s="170" t="s">
        <v>3282</v>
      </c>
      <c r="B109" s="492" t="s">
        <v>3283</v>
      </c>
      <c r="C109" s="492"/>
      <c r="D109" s="492"/>
      <c r="E109" s="492"/>
      <c r="F109" s="492"/>
      <c r="G109" s="127" t="s">
        <v>226</v>
      </c>
      <c r="H109" s="524">
        <v>0.34</v>
      </c>
      <c r="I109" s="524"/>
      <c r="J109" s="525">
        <v>2.73</v>
      </c>
      <c r="K109" s="525"/>
      <c r="L109" s="171">
        <f t="shared" si="2"/>
        <v>0.92</v>
      </c>
    </row>
    <row r="110" spans="1:12" ht="15" customHeight="1" x14ac:dyDescent="0.25">
      <c r="A110" s="170" t="s">
        <v>3131</v>
      </c>
      <c r="B110" s="492" t="s">
        <v>3132</v>
      </c>
      <c r="C110" s="492"/>
      <c r="D110" s="492"/>
      <c r="E110" s="492"/>
      <c r="F110" s="492"/>
      <c r="G110" s="127" t="s">
        <v>1817</v>
      </c>
      <c r="H110" s="524">
        <v>1.695076</v>
      </c>
      <c r="I110" s="524"/>
      <c r="J110" s="525">
        <v>1.08</v>
      </c>
      <c r="K110" s="525"/>
      <c r="L110" s="171">
        <f t="shared" si="2"/>
        <v>1.83</v>
      </c>
    </row>
    <row r="111" spans="1:12" ht="15" customHeight="1" x14ac:dyDescent="0.25">
      <c r="A111" s="170" t="s">
        <v>3284</v>
      </c>
      <c r="B111" s="492" t="s">
        <v>3285</v>
      </c>
      <c r="C111" s="492"/>
      <c r="D111" s="492"/>
      <c r="E111" s="492"/>
      <c r="F111" s="492"/>
      <c r="G111" s="127" t="s">
        <v>122</v>
      </c>
      <c r="H111" s="524">
        <v>3</v>
      </c>
      <c r="I111" s="524"/>
      <c r="J111" s="525">
        <v>35.659999999999997</v>
      </c>
      <c r="K111" s="525"/>
      <c r="L111" s="171">
        <f t="shared" si="2"/>
        <v>106.98</v>
      </c>
    </row>
    <row r="112" spans="1:12" ht="15.95" customHeight="1" x14ac:dyDescent="0.25">
      <c r="A112" s="170" t="s">
        <v>3349</v>
      </c>
      <c r="B112" s="492" t="s">
        <v>3350</v>
      </c>
      <c r="C112" s="492"/>
      <c r="D112" s="492"/>
      <c r="E112" s="492"/>
      <c r="F112" s="492"/>
      <c r="G112" s="127" t="s">
        <v>226</v>
      </c>
      <c r="H112" s="524">
        <v>7.0000000000000007E-2</v>
      </c>
      <c r="I112" s="524"/>
      <c r="J112" s="525">
        <v>91.4</v>
      </c>
      <c r="K112" s="525"/>
      <c r="L112" s="171">
        <f t="shared" si="2"/>
        <v>6.39</v>
      </c>
    </row>
    <row r="113" spans="1:12" ht="15" customHeight="1" x14ac:dyDescent="0.25">
      <c r="A113" s="170" t="s">
        <v>2263</v>
      </c>
      <c r="B113" s="492" t="s">
        <v>2264</v>
      </c>
      <c r="C113" s="492"/>
      <c r="D113" s="492"/>
      <c r="E113" s="492"/>
      <c r="F113" s="492"/>
      <c r="G113" s="127" t="s">
        <v>1817</v>
      </c>
      <c r="H113" s="524">
        <v>8.5353449999999995</v>
      </c>
      <c r="I113" s="524"/>
      <c r="J113" s="525">
        <v>0.56999999999999995</v>
      </c>
      <c r="K113" s="525"/>
      <c r="L113" s="171">
        <f t="shared" si="2"/>
        <v>4.8600000000000003</v>
      </c>
    </row>
    <row r="114" spans="1:12" ht="15.95" customHeight="1" x14ac:dyDescent="0.25">
      <c r="A114" s="170" t="s">
        <v>3351</v>
      </c>
      <c r="B114" s="492" t="s">
        <v>3352</v>
      </c>
      <c r="C114" s="492"/>
      <c r="D114" s="492"/>
      <c r="E114" s="492"/>
      <c r="F114" s="492"/>
      <c r="G114" s="127" t="s">
        <v>226</v>
      </c>
      <c r="H114" s="524">
        <v>0.28000000000000003</v>
      </c>
      <c r="I114" s="524"/>
      <c r="J114" s="525">
        <v>14.1</v>
      </c>
      <c r="K114" s="525"/>
      <c r="L114" s="171">
        <f t="shared" si="2"/>
        <v>3.94</v>
      </c>
    </row>
    <row r="115" spans="1:12" ht="15" customHeight="1" x14ac:dyDescent="0.25">
      <c r="A115" s="170" t="s">
        <v>3286</v>
      </c>
      <c r="B115" s="492" t="s">
        <v>3287</v>
      </c>
      <c r="C115" s="492"/>
      <c r="D115" s="492"/>
      <c r="E115" s="492"/>
      <c r="F115" s="492"/>
      <c r="G115" s="127" t="s">
        <v>226</v>
      </c>
      <c r="H115" s="524">
        <v>1.9454</v>
      </c>
      <c r="I115" s="524"/>
      <c r="J115" s="525">
        <v>0.89</v>
      </c>
      <c r="K115" s="525"/>
      <c r="L115" s="171">
        <f t="shared" si="2"/>
        <v>1.73</v>
      </c>
    </row>
    <row r="116" spans="1:12" ht="15" customHeight="1" x14ac:dyDescent="0.25">
      <c r="A116" s="170" t="s">
        <v>3288</v>
      </c>
      <c r="B116" s="492" t="s">
        <v>3289</v>
      </c>
      <c r="C116" s="492"/>
      <c r="D116" s="492"/>
      <c r="E116" s="492"/>
      <c r="F116" s="492"/>
      <c r="G116" s="127" t="s">
        <v>226</v>
      </c>
      <c r="H116" s="524">
        <v>0.76</v>
      </c>
      <c r="I116" s="524"/>
      <c r="J116" s="525">
        <v>3.49</v>
      </c>
      <c r="K116" s="525"/>
      <c r="L116" s="171">
        <f t="shared" si="2"/>
        <v>2.65</v>
      </c>
    </row>
    <row r="117" spans="1:12" ht="15" customHeight="1" x14ac:dyDescent="0.25">
      <c r="A117" s="170" t="s">
        <v>3353</v>
      </c>
      <c r="B117" s="492" t="s">
        <v>3354</v>
      </c>
      <c r="C117" s="492"/>
      <c r="D117" s="492"/>
      <c r="E117" s="492"/>
      <c r="F117" s="492"/>
      <c r="G117" s="127" t="s">
        <v>1006</v>
      </c>
      <c r="H117" s="524">
        <v>3.9199999999999999E-3</v>
      </c>
      <c r="I117" s="524"/>
      <c r="J117" s="525">
        <v>11.57</v>
      </c>
      <c r="K117" s="525"/>
      <c r="L117" s="171">
        <f t="shared" ref="L117:L153" si="3">TRUNC(TRUNC(H117,8)*J117,2)</f>
        <v>0.04</v>
      </c>
    </row>
    <row r="118" spans="1:12" ht="15" customHeight="1" x14ac:dyDescent="0.25">
      <c r="A118" s="170" t="s">
        <v>3355</v>
      </c>
      <c r="B118" s="492" t="s">
        <v>3356</v>
      </c>
      <c r="C118" s="492"/>
      <c r="D118" s="492"/>
      <c r="E118" s="492"/>
      <c r="F118" s="492"/>
      <c r="G118" s="127" t="s">
        <v>226</v>
      </c>
      <c r="H118" s="524">
        <v>0.69</v>
      </c>
      <c r="I118" s="524"/>
      <c r="J118" s="525">
        <v>60.52</v>
      </c>
      <c r="K118" s="525"/>
      <c r="L118" s="171">
        <f t="shared" si="3"/>
        <v>41.75</v>
      </c>
    </row>
    <row r="119" spans="1:12" ht="15" customHeight="1" x14ac:dyDescent="0.25">
      <c r="A119" s="170" t="s">
        <v>3292</v>
      </c>
      <c r="B119" s="492" t="s">
        <v>3293</v>
      </c>
      <c r="C119" s="492"/>
      <c r="D119" s="492"/>
      <c r="E119" s="492"/>
      <c r="F119" s="492"/>
      <c r="G119" s="127" t="s">
        <v>188</v>
      </c>
      <c r="H119" s="524">
        <v>1.518</v>
      </c>
      <c r="I119" s="524"/>
      <c r="J119" s="525">
        <v>4.13</v>
      </c>
      <c r="K119" s="525"/>
      <c r="L119" s="171">
        <f t="shared" si="3"/>
        <v>6.26</v>
      </c>
    </row>
    <row r="120" spans="1:12" ht="15" customHeight="1" x14ac:dyDescent="0.25">
      <c r="A120" s="170" t="s">
        <v>3357</v>
      </c>
      <c r="B120" s="492" t="s">
        <v>3358</v>
      </c>
      <c r="C120" s="492"/>
      <c r="D120" s="492"/>
      <c r="E120" s="492"/>
      <c r="F120" s="492"/>
      <c r="G120" s="127" t="s">
        <v>226</v>
      </c>
      <c r="H120" s="524">
        <v>7.0000000000000007E-2</v>
      </c>
      <c r="I120" s="524"/>
      <c r="J120" s="525">
        <v>6.42</v>
      </c>
      <c r="K120" s="525"/>
      <c r="L120" s="171">
        <f t="shared" si="3"/>
        <v>0.44</v>
      </c>
    </row>
    <row r="121" spans="1:12" ht="15" customHeight="1" x14ac:dyDescent="0.25">
      <c r="A121" s="170" t="s">
        <v>2999</v>
      </c>
      <c r="B121" s="492" t="s">
        <v>3000</v>
      </c>
      <c r="C121" s="492"/>
      <c r="D121" s="492"/>
      <c r="E121" s="492"/>
      <c r="F121" s="492"/>
      <c r="G121" s="127" t="s">
        <v>1006</v>
      </c>
      <c r="H121" s="524">
        <v>1.3568</v>
      </c>
      <c r="I121" s="524"/>
      <c r="J121" s="525">
        <v>47.36</v>
      </c>
      <c r="K121" s="525"/>
      <c r="L121" s="171">
        <f t="shared" si="3"/>
        <v>64.25</v>
      </c>
    </row>
    <row r="122" spans="1:12" ht="15" customHeight="1" x14ac:dyDescent="0.25">
      <c r="A122" s="170" t="s">
        <v>3294</v>
      </c>
      <c r="B122" s="492" t="s">
        <v>3295</v>
      </c>
      <c r="C122" s="492"/>
      <c r="D122" s="492"/>
      <c r="E122" s="492"/>
      <c r="F122" s="492"/>
      <c r="G122" s="127" t="s">
        <v>226</v>
      </c>
      <c r="H122" s="524">
        <v>0.42</v>
      </c>
      <c r="I122" s="524"/>
      <c r="J122" s="525">
        <v>5.84</v>
      </c>
      <c r="K122" s="525"/>
      <c r="L122" s="171">
        <f t="shared" si="3"/>
        <v>2.4500000000000002</v>
      </c>
    </row>
    <row r="123" spans="1:12" ht="15" customHeight="1" x14ac:dyDescent="0.25">
      <c r="A123" s="170" t="s">
        <v>3359</v>
      </c>
      <c r="B123" s="492" t="s">
        <v>3360</v>
      </c>
      <c r="C123" s="492"/>
      <c r="D123" s="492"/>
      <c r="E123" s="492"/>
      <c r="F123" s="492"/>
      <c r="G123" s="127" t="s">
        <v>226</v>
      </c>
      <c r="H123" s="524">
        <v>0.69</v>
      </c>
      <c r="I123" s="524"/>
      <c r="J123" s="525">
        <v>75.040000000000006</v>
      </c>
      <c r="K123" s="525"/>
      <c r="L123" s="171">
        <f t="shared" si="3"/>
        <v>51.77</v>
      </c>
    </row>
    <row r="124" spans="1:12" ht="15" customHeight="1" x14ac:dyDescent="0.25">
      <c r="A124" s="170" t="s">
        <v>3361</v>
      </c>
      <c r="B124" s="492" t="s">
        <v>3362</v>
      </c>
      <c r="C124" s="492"/>
      <c r="D124" s="492"/>
      <c r="E124" s="492"/>
      <c r="F124" s="492"/>
      <c r="G124" s="127" t="s">
        <v>188</v>
      </c>
      <c r="H124" s="524">
        <v>0.52359999999999995</v>
      </c>
      <c r="I124" s="524"/>
      <c r="J124" s="525">
        <v>0.24</v>
      </c>
      <c r="K124" s="525"/>
      <c r="L124" s="171">
        <f t="shared" si="3"/>
        <v>0.12</v>
      </c>
    </row>
    <row r="125" spans="1:12" ht="15" customHeight="1" x14ac:dyDescent="0.25">
      <c r="A125" s="170" t="s">
        <v>3296</v>
      </c>
      <c r="B125" s="492" t="s">
        <v>3297</v>
      </c>
      <c r="C125" s="492"/>
      <c r="D125" s="492"/>
      <c r="E125" s="492"/>
      <c r="F125" s="492"/>
      <c r="G125" s="127" t="s">
        <v>226</v>
      </c>
      <c r="H125" s="524">
        <v>0.14000000000000001</v>
      </c>
      <c r="I125" s="524"/>
      <c r="J125" s="525">
        <v>12.81</v>
      </c>
      <c r="K125" s="525"/>
      <c r="L125" s="171">
        <f t="shared" si="3"/>
        <v>1.79</v>
      </c>
    </row>
    <row r="126" spans="1:12" ht="15" customHeight="1" x14ac:dyDescent="0.25">
      <c r="A126" s="170" t="s">
        <v>3363</v>
      </c>
      <c r="B126" s="492" t="s">
        <v>3364</v>
      </c>
      <c r="C126" s="492"/>
      <c r="D126" s="492"/>
      <c r="E126" s="492"/>
      <c r="F126" s="492"/>
      <c r="G126" s="127" t="s">
        <v>226</v>
      </c>
      <c r="H126" s="524">
        <v>7.0000000000000007E-2</v>
      </c>
      <c r="I126" s="524"/>
      <c r="J126" s="525">
        <v>7.48</v>
      </c>
      <c r="K126" s="525"/>
      <c r="L126" s="171">
        <f t="shared" si="3"/>
        <v>0.52</v>
      </c>
    </row>
    <row r="127" spans="1:12" ht="15" customHeight="1" x14ac:dyDescent="0.25">
      <c r="A127" s="170" t="s">
        <v>3365</v>
      </c>
      <c r="B127" s="492" t="s">
        <v>3366</v>
      </c>
      <c r="C127" s="492"/>
      <c r="D127" s="492"/>
      <c r="E127" s="492"/>
      <c r="F127" s="492"/>
      <c r="G127" s="127" t="s">
        <v>226</v>
      </c>
      <c r="H127" s="524">
        <v>0.28000000000000003</v>
      </c>
      <c r="I127" s="524"/>
      <c r="J127" s="525">
        <v>2.16</v>
      </c>
      <c r="K127" s="525"/>
      <c r="L127" s="171">
        <f t="shared" si="3"/>
        <v>0.6</v>
      </c>
    </row>
    <row r="128" spans="1:12" ht="15" customHeight="1" x14ac:dyDescent="0.25">
      <c r="A128" s="170" t="s">
        <v>3367</v>
      </c>
      <c r="B128" s="492" t="s">
        <v>3368</v>
      </c>
      <c r="C128" s="492"/>
      <c r="D128" s="492"/>
      <c r="E128" s="492"/>
      <c r="F128" s="492"/>
      <c r="G128" s="127" t="s">
        <v>226</v>
      </c>
      <c r="H128" s="524">
        <v>0.41</v>
      </c>
      <c r="I128" s="524"/>
      <c r="J128" s="525">
        <v>0.96</v>
      </c>
      <c r="K128" s="525"/>
      <c r="L128" s="171">
        <f t="shared" si="3"/>
        <v>0.39</v>
      </c>
    </row>
    <row r="129" spans="1:12" ht="15" customHeight="1" x14ac:dyDescent="0.25">
      <c r="A129" s="170" t="s">
        <v>3298</v>
      </c>
      <c r="B129" s="492" t="s">
        <v>3299</v>
      </c>
      <c r="C129" s="492"/>
      <c r="D129" s="492"/>
      <c r="E129" s="492"/>
      <c r="F129" s="492"/>
      <c r="G129" s="127" t="s">
        <v>226</v>
      </c>
      <c r="H129" s="524">
        <v>0.14000000000000001</v>
      </c>
      <c r="I129" s="524"/>
      <c r="J129" s="525">
        <v>6.42</v>
      </c>
      <c r="K129" s="525"/>
      <c r="L129" s="171">
        <f t="shared" si="3"/>
        <v>0.89</v>
      </c>
    </row>
    <row r="130" spans="1:12" ht="15" customHeight="1" x14ac:dyDescent="0.25">
      <c r="A130" s="170" t="s">
        <v>3369</v>
      </c>
      <c r="B130" s="492" t="s">
        <v>3370</v>
      </c>
      <c r="C130" s="492"/>
      <c r="D130" s="492"/>
      <c r="E130" s="492"/>
      <c r="F130" s="492"/>
      <c r="G130" s="127" t="s">
        <v>226</v>
      </c>
      <c r="H130" s="524">
        <v>7.0000000000000007E-2</v>
      </c>
      <c r="I130" s="524"/>
      <c r="J130" s="525">
        <v>132.61000000000001</v>
      </c>
      <c r="K130" s="525"/>
      <c r="L130" s="171">
        <f t="shared" si="3"/>
        <v>9.2799999999999994</v>
      </c>
    </row>
    <row r="131" spans="1:12" ht="15" customHeight="1" x14ac:dyDescent="0.25">
      <c r="A131" s="170" t="s">
        <v>3300</v>
      </c>
      <c r="B131" s="492" t="s">
        <v>3301</v>
      </c>
      <c r="C131" s="492"/>
      <c r="D131" s="492"/>
      <c r="E131" s="492"/>
      <c r="F131" s="492"/>
      <c r="G131" s="127" t="s">
        <v>226</v>
      </c>
      <c r="H131" s="524">
        <v>1.52</v>
      </c>
      <c r="I131" s="524"/>
      <c r="J131" s="525">
        <v>1.83</v>
      </c>
      <c r="K131" s="525"/>
      <c r="L131" s="171">
        <f t="shared" si="3"/>
        <v>2.78</v>
      </c>
    </row>
    <row r="132" spans="1:12" ht="15" customHeight="1" x14ac:dyDescent="0.25">
      <c r="A132" s="170" t="s">
        <v>3302</v>
      </c>
      <c r="B132" s="492" t="s">
        <v>3303</v>
      </c>
      <c r="C132" s="492"/>
      <c r="D132" s="492"/>
      <c r="E132" s="492"/>
      <c r="F132" s="492"/>
      <c r="G132" s="127" t="s">
        <v>226</v>
      </c>
      <c r="H132" s="524">
        <v>1.9454</v>
      </c>
      <c r="I132" s="524"/>
      <c r="J132" s="525">
        <v>1.18</v>
      </c>
      <c r="K132" s="525"/>
      <c r="L132" s="171">
        <f t="shared" si="3"/>
        <v>2.29</v>
      </c>
    </row>
    <row r="133" spans="1:12" ht="15" customHeight="1" x14ac:dyDescent="0.25">
      <c r="A133" s="170" t="s">
        <v>3257</v>
      </c>
      <c r="B133" s="492" t="s">
        <v>3258</v>
      </c>
      <c r="C133" s="492"/>
      <c r="D133" s="492"/>
      <c r="E133" s="492"/>
      <c r="F133" s="492"/>
      <c r="G133" s="127" t="s">
        <v>188</v>
      </c>
      <c r="H133" s="524">
        <v>6.59</v>
      </c>
      <c r="I133" s="524"/>
      <c r="J133" s="525">
        <v>8.6999999999999993</v>
      </c>
      <c r="K133" s="525"/>
      <c r="L133" s="171">
        <f t="shared" si="3"/>
        <v>57.33</v>
      </c>
    </row>
    <row r="134" spans="1:12" ht="15" customHeight="1" x14ac:dyDescent="0.25">
      <c r="A134" s="170" t="s">
        <v>3371</v>
      </c>
      <c r="B134" s="492" t="s">
        <v>3372</v>
      </c>
      <c r="C134" s="492"/>
      <c r="D134" s="492"/>
      <c r="E134" s="492"/>
      <c r="F134" s="492"/>
      <c r="G134" s="127" t="s">
        <v>226</v>
      </c>
      <c r="H134" s="524">
        <v>6.9000000000000006E-2</v>
      </c>
      <c r="I134" s="524"/>
      <c r="J134" s="525">
        <v>196.07</v>
      </c>
      <c r="K134" s="525"/>
      <c r="L134" s="171">
        <f t="shared" si="3"/>
        <v>13.52</v>
      </c>
    </row>
    <row r="135" spans="1:12" ht="15" customHeight="1" x14ac:dyDescent="0.25">
      <c r="A135" s="170" t="s">
        <v>3306</v>
      </c>
      <c r="B135" s="492" t="s">
        <v>3307</v>
      </c>
      <c r="C135" s="492"/>
      <c r="D135" s="492"/>
      <c r="E135" s="492"/>
      <c r="F135" s="492"/>
      <c r="G135" s="127" t="s">
        <v>1817</v>
      </c>
      <c r="H135" s="524">
        <v>0.27700000000000002</v>
      </c>
      <c r="I135" s="524"/>
      <c r="J135" s="525">
        <v>14.4</v>
      </c>
      <c r="K135" s="525"/>
      <c r="L135" s="171">
        <f t="shared" si="3"/>
        <v>3.98</v>
      </c>
    </row>
    <row r="136" spans="1:12" ht="15" customHeight="1" x14ac:dyDescent="0.25">
      <c r="A136" s="170" t="s">
        <v>3259</v>
      </c>
      <c r="B136" s="492" t="s">
        <v>3260</v>
      </c>
      <c r="C136" s="492"/>
      <c r="D136" s="492"/>
      <c r="E136" s="492"/>
      <c r="F136" s="492"/>
      <c r="G136" s="127" t="s">
        <v>1817</v>
      </c>
      <c r="H136" s="524">
        <v>1.47E-3</v>
      </c>
      <c r="I136" s="524"/>
      <c r="J136" s="525">
        <v>13.65</v>
      </c>
      <c r="K136" s="525"/>
      <c r="L136" s="171">
        <f t="shared" si="3"/>
        <v>0.02</v>
      </c>
    </row>
    <row r="137" spans="1:12" ht="15" customHeight="1" x14ac:dyDescent="0.25">
      <c r="A137" s="170" t="s">
        <v>3373</v>
      </c>
      <c r="B137" s="492" t="s">
        <v>3374</v>
      </c>
      <c r="C137" s="492"/>
      <c r="D137" s="492"/>
      <c r="E137" s="492"/>
      <c r="F137" s="492"/>
      <c r="G137" s="127" t="s">
        <v>226</v>
      </c>
      <c r="H137" s="524">
        <v>7.0000000000000007E-2</v>
      </c>
      <c r="I137" s="524"/>
      <c r="J137" s="525">
        <v>29.51</v>
      </c>
      <c r="K137" s="525"/>
      <c r="L137" s="171">
        <f t="shared" si="3"/>
        <v>2.06</v>
      </c>
    </row>
    <row r="138" spans="1:12" ht="15" customHeight="1" x14ac:dyDescent="0.25">
      <c r="A138" s="170" t="s">
        <v>3375</v>
      </c>
      <c r="B138" s="492" t="s">
        <v>3376</v>
      </c>
      <c r="C138" s="492"/>
      <c r="D138" s="492"/>
      <c r="E138" s="492"/>
      <c r="F138" s="492"/>
      <c r="G138" s="127" t="s">
        <v>226</v>
      </c>
      <c r="H138" s="524">
        <v>7.0000000000000007E-2</v>
      </c>
      <c r="I138" s="524"/>
      <c r="J138" s="525">
        <v>43.21</v>
      </c>
      <c r="K138" s="525"/>
      <c r="L138" s="171">
        <f t="shared" si="3"/>
        <v>3.02</v>
      </c>
    </row>
    <row r="139" spans="1:12" ht="15" customHeight="1" x14ac:dyDescent="0.25">
      <c r="A139" s="170" t="s">
        <v>3377</v>
      </c>
      <c r="B139" s="492" t="s">
        <v>3378</v>
      </c>
      <c r="C139" s="492"/>
      <c r="D139" s="492"/>
      <c r="E139" s="492"/>
      <c r="F139" s="492"/>
      <c r="G139" s="127" t="s">
        <v>226</v>
      </c>
      <c r="H139" s="524">
        <v>7.0000000000000007E-2</v>
      </c>
      <c r="I139" s="524"/>
      <c r="J139" s="525">
        <v>133.27000000000001</v>
      </c>
      <c r="K139" s="525"/>
      <c r="L139" s="171">
        <f t="shared" si="3"/>
        <v>9.32</v>
      </c>
    </row>
    <row r="140" spans="1:12" ht="15" customHeight="1" x14ac:dyDescent="0.25">
      <c r="A140" s="170" t="s">
        <v>3261</v>
      </c>
      <c r="B140" s="492" t="s">
        <v>3262</v>
      </c>
      <c r="C140" s="492"/>
      <c r="D140" s="492"/>
      <c r="E140" s="492"/>
      <c r="F140" s="492"/>
      <c r="G140" s="127" t="s">
        <v>188</v>
      </c>
      <c r="H140" s="524">
        <v>4.8999999999999998E-3</v>
      </c>
      <c r="I140" s="524"/>
      <c r="J140" s="525">
        <v>4.01</v>
      </c>
      <c r="K140" s="525"/>
      <c r="L140" s="171">
        <f t="shared" si="3"/>
        <v>0.01</v>
      </c>
    </row>
    <row r="141" spans="1:12" ht="15" customHeight="1" x14ac:dyDescent="0.25">
      <c r="A141" s="170" t="s">
        <v>3379</v>
      </c>
      <c r="B141" s="492" t="s">
        <v>3380</v>
      </c>
      <c r="C141" s="492"/>
      <c r="D141" s="492"/>
      <c r="E141" s="492"/>
      <c r="F141" s="492"/>
      <c r="G141" s="127" t="s">
        <v>1006</v>
      </c>
      <c r="H141" s="524">
        <v>2.5964999999999998E-2</v>
      </c>
      <c r="I141" s="524"/>
      <c r="J141" s="525">
        <v>70.56</v>
      </c>
      <c r="K141" s="525"/>
      <c r="L141" s="171">
        <f t="shared" si="3"/>
        <v>1.83</v>
      </c>
    </row>
    <row r="142" spans="1:12" ht="15" customHeight="1" x14ac:dyDescent="0.25">
      <c r="A142" s="170" t="s">
        <v>3381</v>
      </c>
      <c r="B142" s="492" t="s">
        <v>3382</v>
      </c>
      <c r="C142" s="492"/>
      <c r="D142" s="492"/>
      <c r="E142" s="492"/>
      <c r="F142" s="492"/>
      <c r="G142" s="127" t="s">
        <v>122</v>
      </c>
      <c r="H142" s="524">
        <v>9.7999999999999997E-3</v>
      </c>
      <c r="I142" s="524"/>
      <c r="J142" s="525">
        <v>59.89</v>
      </c>
      <c r="K142" s="525"/>
      <c r="L142" s="171">
        <f t="shared" si="3"/>
        <v>0.57999999999999996</v>
      </c>
    </row>
    <row r="143" spans="1:12" ht="15" customHeight="1" x14ac:dyDescent="0.25">
      <c r="A143" s="170" t="s">
        <v>3308</v>
      </c>
      <c r="B143" s="492" t="s">
        <v>3309</v>
      </c>
      <c r="C143" s="492"/>
      <c r="D143" s="492"/>
      <c r="E143" s="492"/>
      <c r="F143" s="492"/>
      <c r="G143" s="127" t="s">
        <v>226</v>
      </c>
      <c r="H143" s="524">
        <v>0.13800000000000001</v>
      </c>
      <c r="I143" s="524"/>
      <c r="J143" s="525">
        <v>6.22</v>
      </c>
      <c r="K143" s="525"/>
      <c r="L143" s="171">
        <f t="shared" si="3"/>
        <v>0.85</v>
      </c>
    </row>
    <row r="144" spans="1:12" ht="15" customHeight="1" x14ac:dyDescent="0.25">
      <c r="A144" s="170" t="s">
        <v>3383</v>
      </c>
      <c r="B144" s="492" t="s">
        <v>3384</v>
      </c>
      <c r="C144" s="492"/>
      <c r="D144" s="492"/>
      <c r="E144" s="492"/>
      <c r="F144" s="492"/>
      <c r="G144" s="127" t="s">
        <v>226</v>
      </c>
      <c r="H144" s="524">
        <v>0.14000000000000001</v>
      </c>
      <c r="I144" s="524"/>
      <c r="J144" s="525">
        <v>1.91</v>
      </c>
      <c r="K144" s="525"/>
      <c r="L144" s="171">
        <f t="shared" si="3"/>
        <v>0.26</v>
      </c>
    </row>
    <row r="145" spans="1:12" ht="15" customHeight="1" x14ac:dyDescent="0.25">
      <c r="A145" s="170" t="s">
        <v>3310</v>
      </c>
      <c r="B145" s="492" t="s">
        <v>3311</v>
      </c>
      <c r="C145" s="492"/>
      <c r="D145" s="492"/>
      <c r="E145" s="492"/>
      <c r="F145" s="492"/>
      <c r="G145" s="127" t="s">
        <v>122</v>
      </c>
      <c r="H145" s="524">
        <v>1.5754999999999999</v>
      </c>
      <c r="I145" s="524"/>
      <c r="J145" s="525">
        <v>28.09</v>
      </c>
      <c r="K145" s="525"/>
      <c r="L145" s="171">
        <f t="shared" si="3"/>
        <v>44.25</v>
      </c>
    </row>
    <row r="146" spans="1:12" ht="15" customHeight="1" x14ac:dyDescent="0.25">
      <c r="A146" s="170" t="s">
        <v>3312</v>
      </c>
      <c r="B146" s="492" t="s">
        <v>3313</v>
      </c>
      <c r="C146" s="492"/>
      <c r="D146" s="492"/>
      <c r="E146" s="492"/>
      <c r="F146" s="492"/>
      <c r="G146" s="127" t="s">
        <v>226</v>
      </c>
      <c r="H146" s="524">
        <v>0.14000000000000001</v>
      </c>
      <c r="I146" s="524"/>
      <c r="J146" s="525">
        <v>23.54</v>
      </c>
      <c r="K146" s="525"/>
      <c r="L146" s="171">
        <f t="shared" si="3"/>
        <v>3.29</v>
      </c>
    </row>
    <row r="147" spans="1:12" ht="15" customHeight="1" x14ac:dyDescent="0.25">
      <c r="A147" s="170" t="s">
        <v>3314</v>
      </c>
      <c r="B147" s="492" t="s">
        <v>3315</v>
      </c>
      <c r="C147" s="492"/>
      <c r="D147" s="492"/>
      <c r="E147" s="492"/>
      <c r="F147" s="492"/>
      <c r="G147" s="127" t="s">
        <v>226</v>
      </c>
      <c r="H147" s="524">
        <v>0.14000000000000001</v>
      </c>
      <c r="I147" s="524"/>
      <c r="J147" s="525">
        <v>30.12</v>
      </c>
      <c r="K147" s="525"/>
      <c r="L147" s="171">
        <f t="shared" si="3"/>
        <v>4.21</v>
      </c>
    </row>
    <row r="148" spans="1:12" ht="15" customHeight="1" x14ac:dyDescent="0.25">
      <c r="A148" s="170" t="s">
        <v>3385</v>
      </c>
      <c r="B148" s="492" t="s">
        <v>3386</v>
      </c>
      <c r="C148" s="492"/>
      <c r="D148" s="492"/>
      <c r="E148" s="492"/>
      <c r="F148" s="492"/>
      <c r="G148" s="127" t="s">
        <v>226</v>
      </c>
      <c r="H148" s="524">
        <v>7.0000000000000007E-2</v>
      </c>
      <c r="I148" s="524"/>
      <c r="J148" s="525">
        <v>17.62</v>
      </c>
      <c r="K148" s="525"/>
      <c r="L148" s="171">
        <f t="shared" si="3"/>
        <v>1.23</v>
      </c>
    </row>
    <row r="149" spans="1:12" ht="15.95" customHeight="1" x14ac:dyDescent="0.25">
      <c r="A149" s="170" t="s">
        <v>3387</v>
      </c>
      <c r="B149" s="492" t="s">
        <v>3388</v>
      </c>
      <c r="C149" s="492"/>
      <c r="D149" s="492"/>
      <c r="E149" s="492"/>
      <c r="F149" s="492"/>
      <c r="G149" s="127" t="s">
        <v>188</v>
      </c>
      <c r="H149" s="524">
        <v>0.19189999999999999</v>
      </c>
      <c r="I149" s="524"/>
      <c r="J149" s="525">
        <v>19.149999999999999</v>
      </c>
      <c r="K149" s="525"/>
      <c r="L149" s="171">
        <f t="shared" si="3"/>
        <v>3.67</v>
      </c>
    </row>
    <row r="150" spans="1:12" ht="15.95" customHeight="1" x14ac:dyDescent="0.25">
      <c r="A150" s="170" t="s">
        <v>3389</v>
      </c>
      <c r="B150" s="492" t="s">
        <v>3390</v>
      </c>
      <c r="C150" s="492"/>
      <c r="D150" s="492"/>
      <c r="E150" s="492"/>
      <c r="F150" s="492"/>
      <c r="G150" s="127" t="s">
        <v>188</v>
      </c>
      <c r="H150" s="524">
        <v>0.32319999999999999</v>
      </c>
      <c r="I150" s="524"/>
      <c r="J150" s="525">
        <v>6.35</v>
      </c>
      <c r="K150" s="525"/>
      <c r="L150" s="171">
        <f t="shared" si="3"/>
        <v>2.0499999999999998</v>
      </c>
    </row>
    <row r="151" spans="1:12" ht="15" customHeight="1" x14ac:dyDescent="0.25">
      <c r="A151" s="170" t="s">
        <v>3391</v>
      </c>
      <c r="B151" s="492" t="s">
        <v>3392</v>
      </c>
      <c r="C151" s="492"/>
      <c r="D151" s="492"/>
      <c r="E151" s="492"/>
      <c r="F151" s="492"/>
      <c r="G151" s="127" t="s">
        <v>226</v>
      </c>
      <c r="H151" s="524">
        <v>7.0000000000000007E-2</v>
      </c>
      <c r="I151" s="524"/>
      <c r="J151" s="525">
        <v>14.46</v>
      </c>
      <c r="K151" s="525"/>
      <c r="L151" s="171">
        <f t="shared" si="3"/>
        <v>1.01</v>
      </c>
    </row>
    <row r="152" spans="1:12" ht="15.95" customHeight="1" x14ac:dyDescent="0.25">
      <c r="A152" s="170" t="s">
        <v>3393</v>
      </c>
      <c r="B152" s="492" t="s">
        <v>3394</v>
      </c>
      <c r="C152" s="492"/>
      <c r="D152" s="492"/>
      <c r="E152" s="492"/>
      <c r="F152" s="492"/>
      <c r="G152" s="127" t="s">
        <v>188</v>
      </c>
      <c r="H152" s="524">
        <v>1.4210700000000001</v>
      </c>
      <c r="I152" s="524"/>
      <c r="J152" s="525">
        <v>4.37</v>
      </c>
      <c r="K152" s="525"/>
      <c r="L152" s="171">
        <f t="shared" si="3"/>
        <v>6.21</v>
      </c>
    </row>
    <row r="153" spans="1:12" ht="15" customHeight="1" x14ac:dyDescent="0.25">
      <c r="A153" s="170" t="s">
        <v>3395</v>
      </c>
      <c r="B153" s="492" t="s">
        <v>3396</v>
      </c>
      <c r="C153" s="492"/>
      <c r="D153" s="492"/>
      <c r="E153" s="492"/>
      <c r="F153" s="492"/>
      <c r="G153" s="127" t="s">
        <v>226</v>
      </c>
      <c r="H153" s="524">
        <v>7.0000000000000007E-2</v>
      </c>
      <c r="I153" s="524"/>
      <c r="J153" s="525">
        <v>8.84</v>
      </c>
      <c r="K153" s="525"/>
      <c r="L153" s="171">
        <f t="shared" si="3"/>
        <v>0.61</v>
      </c>
    </row>
    <row r="154" spans="1:12" ht="15" customHeight="1" x14ac:dyDescent="0.25">
      <c r="A154" s="184"/>
      <c r="B154" s="141"/>
      <c r="C154" s="141"/>
      <c r="D154" s="141"/>
      <c r="E154" s="141"/>
      <c r="F154" s="141"/>
      <c r="G154" s="141"/>
      <c r="H154" s="491" t="s">
        <v>1889</v>
      </c>
      <c r="I154" s="491"/>
      <c r="J154" s="491"/>
      <c r="K154" s="491"/>
      <c r="L154" s="375">
        <f>SUM(L85:L153)</f>
        <v>558.44999999999982</v>
      </c>
    </row>
    <row r="155" spans="1:12" ht="20.100000000000001" customHeight="1" x14ac:dyDescent="0.25">
      <c r="A155" s="488" t="s">
        <v>2009</v>
      </c>
      <c r="B155" s="489"/>
      <c r="C155" s="489"/>
      <c r="D155" s="489"/>
      <c r="E155" s="489"/>
      <c r="F155" s="489"/>
      <c r="G155" s="233" t="s">
        <v>44</v>
      </c>
      <c r="H155" s="515" t="s">
        <v>1837</v>
      </c>
      <c r="I155" s="515"/>
      <c r="J155" s="515" t="s">
        <v>1814</v>
      </c>
      <c r="K155" s="515"/>
      <c r="L155" s="169" t="s">
        <v>1882</v>
      </c>
    </row>
    <row r="156" spans="1:12" ht="15.95" customHeight="1" x14ac:dyDescent="0.25">
      <c r="A156" s="170" t="s">
        <v>3133</v>
      </c>
      <c r="B156" s="492" t="s">
        <v>3134</v>
      </c>
      <c r="C156" s="492"/>
      <c r="D156" s="492"/>
      <c r="E156" s="492"/>
      <c r="F156" s="492"/>
      <c r="G156" s="127"/>
      <c r="H156" s="526">
        <v>3.699E-3</v>
      </c>
      <c r="I156" s="526"/>
      <c r="J156" s="525">
        <v>1.89</v>
      </c>
      <c r="K156" s="525"/>
      <c r="L156" s="171">
        <f>TRUNC(TRUNC(H156,8)*J156,2)</f>
        <v>0</v>
      </c>
    </row>
    <row r="157" spans="1:12" ht="15" customHeight="1" x14ac:dyDescent="0.25">
      <c r="A157" s="184"/>
      <c r="B157" s="141"/>
      <c r="C157" s="141"/>
      <c r="D157" s="141"/>
      <c r="E157" s="141"/>
      <c r="F157" s="141"/>
      <c r="G157" s="141"/>
      <c r="H157" s="491" t="s">
        <v>2014</v>
      </c>
      <c r="I157" s="491"/>
      <c r="J157" s="491"/>
      <c r="K157" s="491"/>
      <c r="L157" s="375">
        <f>SUM(L156:L156)</f>
        <v>0</v>
      </c>
    </row>
    <row r="158" spans="1:12" ht="15" customHeight="1" x14ac:dyDescent="0.25">
      <c r="A158" s="182"/>
      <c r="B158" s="183"/>
      <c r="C158" s="183"/>
      <c r="D158" s="183"/>
      <c r="E158" s="183"/>
      <c r="F158" s="183"/>
      <c r="G158" s="183"/>
      <c r="H158" s="482" t="s">
        <v>1848</v>
      </c>
      <c r="I158" s="482"/>
      <c r="J158" s="482"/>
      <c r="K158" s="482"/>
      <c r="L158" s="371">
        <f>SUM(L83,L154,L157)</f>
        <v>876.87999999999988</v>
      </c>
    </row>
    <row r="159" spans="1:12" ht="15" customHeight="1" x14ac:dyDescent="0.25">
      <c r="A159" s="182"/>
      <c r="B159" s="183"/>
      <c r="C159" s="183"/>
      <c r="D159" s="183"/>
      <c r="E159" s="183"/>
      <c r="F159" s="183"/>
      <c r="G159" s="183"/>
      <c r="H159" s="482" t="s">
        <v>1834</v>
      </c>
      <c r="I159" s="482"/>
      <c r="J159" s="482"/>
      <c r="K159" s="482"/>
      <c r="L159" s="369">
        <f>ROUND(SUM(L158),2)</f>
        <v>876.88</v>
      </c>
    </row>
    <row r="160" spans="1:12" ht="9.9499999999999993" customHeight="1" x14ac:dyDescent="0.25">
      <c r="A160" s="182"/>
      <c r="B160" s="183"/>
      <c r="C160" s="183"/>
      <c r="D160" s="183"/>
      <c r="E160" s="183"/>
      <c r="F160" s="183"/>
      <c r="G160" s="183"/>
      <c r="H160" s="485"/>
      <c r="I160" s="485"/>
      <c r="J160" s="485"/>
      <c r="K160" s="485"/>
      <c r="L160" s="512"/>
    </row>
    <row r="161" spans="1:12" ht="20.100000000000001" customHeight="1" x14ac:dyDescent="0.25">
      <c r="A161" s="486" t="s">
        <v>3397</v>
      </c>
      <c r="B161" s="487"/>
      <c r="C161" s="487"/>
      <c r="D161" s="487"/>
      <c r="E161" s="487"/>
      <c r="F161" s="487"/>
      <c r="G161" s="487"/>
      <c r="H161" s="487"/>
      <c r="I161" s="487"/>
      <c r="J161" s="487"/>
      <c r="K161" s="487"/>
      <c r="L161" s="513"/>
    </row>
    <row r="162" spans="1:12" ht="20.100000000000001" customHeight="1" x14ac:dyDescent="0.25">
      <c r="A162" s="488" t="s">
        <v>1880</v>
      </c>
      <c r="B162" s="489"/>
      <c r="C162" s="489"/>
      <c r="D162" s="489"/>
      <c r="E162" s="489"/>
      <c r="F162" s="489"/>
      <c r="G162" s="233" t="s">
        <v>44</v>
      </c>
      <c r="H162" s="515" t="s">
        <v>1837</v>
      </c>
      <c r="I162" s="515"/>
      <c r="J162" s="515" t="s">
        <v>1881</v>
      </c>
      <c r="K162" s="515"/>
      <c r="L162" s="169" t="s">
        <v>1882</v>
      </c>
    </row>
    <row r="163" spans="1:12" ht="15" customHeight="1" x14ac:dyDescent="0.25">
      <c r="A163" s="170" t="s">
        <v>3398</v>
      </c>
      <c r="B163" s="492" t="s">
        <v>3399</v>
      </c>
      <c r="C163" s="492"/>
      <c r="D163" s="492"/>
      <c r="E163" s="492"/>
      <c r="F163" s="492"/>
      <c r="G163" s="127" t="s">
        <v>3400</v>
      </c>
      <c r="H163" s="524">
        <v>1</v>
      </c>
      <c r="I163" s="524"/>
      <c r="J163" s="525">
        <v>1199.25</v>
      </c>
      <c r="K163" s="525"/>
      <c r="L163" s="171">
        <f>TRUNC(TRUNC(H163,8)*J163,2)</f>
        <v>1199.25</v>
      </c>
    </row>
    <row r="164" spans="1:12" ht="15" customHeight="1" x14ac:dyDescent="0.25">
      <c r="A164" s="184"/>
      <c r="B164" s="141"/>
      <c r="C164" s="141"/>
      <c r="D164" s="141"/>
      <c r="E164" s="141"/>
      <c r="F164" s="141"/>
      <c r="G164" s="141"/>
      <c r="H164" s="491" t="s">
        <v>1889</v>
      </c>
      <c r="I164" s="491"/>
      <c r="J164" s="491"/>
      <c r="K164" s="491"/>
      <c r="L164" s="375">
        <f>SUM(L163:L163)</f>
        <v>1199.25</v>
      </c>
    </row>
    <row r="165" spans="1:12" ht="15" customHeight="1" x14ac:dyDescent="0.25">
      <c r="A165" s="182"/>
      <c r="B165" s="183"/>
      <c r="C165" s="183"/>
      <c r="D165" s="183"/>
      <c r="E165" s="183"/>
      <c r="F165" s="183"/>
      <c r="G165" s="183"/>
      <c r="H165" s="482" t="s">
        <v>1848</v>
      </c>
      <c r="I165" s="482"/>
      <c r="J165" s="482"/>
      <c r="K165" s="482"/>
      <c r="L165" s="371">
        <f>SUM(L164)</f>
        <v>1199.25</v>
      </c>
    </row>
    <row r="166" spans="1:12" ht="15" customHeight="1" x14ac:dyDescent="0.25">
      <c r="A166" s="182"/>
      <c r="B166" s="183"/>
      <c r="C166" s="183"/>
      <c r="D166" s="183"/>
      <c r="E166" s="183"/>
      <c r="F166" s="183"/>
      <c r="G166" s="183"/>
      <c r="H166" s="482" t="s">
        <v>1834</v>
      </c>
      <c r="I166" s="482"/>
      <c r="J166" s="482"/>
      <c r="K166" s="482"/>
      <c r="L166" s="369">
        <f>ROUND(SUM(L165),2)</f>
        <v>1199.25</v>
      </c>
    </row>
    <row r="167" spans="1:12" ht="9.9499999999999993" customHeight="1" x14ac:dyDescent="0.25">
      <c r="A167" s="182"/>
      <c r="B167" s="183"/>
      <c r="C167" s="183"/>
      <c r="D167" s="183"/>
      <c r="E167" s="183"/>
      <c r="F167" s="183"/>
      <c r="G167" s="183"/>
      <c r="H167" s="485"/>
      <c r="I167" s="485"/>
      <c r="J167" s="485"/>
      <c r="K167" s="485"/>
      <c r="L167" s="512"/>
    </row>
    <row r="168" spans="1:12" ht="20.100000000000001" customHeight="1" x14ac:dyDescent="0.25">
      <c r="A168" s="486" t="s">
        <v>3401</v>
      </c>
      <c r="B168" s="487"/>
      <c r="C168" s="487"/>
      <c r="D168" s="487"/>
      <c r="E168" s="487"/>
      <c r="F168" s="487"/>
      <c r="G168" s="487"/>
      <c r="H168" s="487"/>
      <c r="I168" s="487"/>
      <c r="J168" s="487"/>
      <c r="K168" s="487"/>
      <c r="L168" s="513"/>
    </row>
    <row r="169" spans="1:12" ht="20.100000000000001" customHeight="1" x14ac:dyDescent="0.25">
      <c r="A169" s="488" t="s">
        <v>1880</v>
      </c>
      <c r="B169" s="489"/>
      <c r="C169" s="489"/>
      <c r="D169" s="489"/>
      <c r="E169" s="489"/>
      <c r="F169" s="489"/>
      <c r="G169" s="233" t="s">
        <v>44</v>
      </c>
      <c r="H169" s="515" t="s">
        <v>1837</v>
      </c>
      <c r="I169" s="515"/>
      <c r="J169" s="515" t="s">
        <v>1881</v>
      </c>
      <c r="K169" s="515"/>
      <c r="L169" s="169" t="s">
        <v>1882</v>
      </c>
    </row>
    <row r="170" spans="1:12" ht="15" customHeight="1" x14ac:dyDescent="0.25">
      <c r="A170" s="170" t="s">
        <v>3402</v>
      </c>
      <c r="B170" s="492" t="s">
        <v>3403</v>
      </c>
      <c r="C170" s="492"/>
      <c r="D170" s="492"/>
      <c r="E170" s="492"/>
      <c r="F170" s="492"/>
      <c r="G170" s="127" t="s">
        <v>226</v>
      </c>
      <c r="H170" s="524">
        <v>1</v>
      </c>
      <c r="I170" s="524"/>
      <c r="J170" s="525">
        <v>1766.67</v>
      </c>
      <c r="K170" s="525"/>
      <c r="L170" s="171">
        <f>TRUNC(TRUNC(H170,8)*J170,2)</f>
        <v>1766.67</v>
      </c>
    </row>
    <row r="171" spans="1:12" ht="15" customHeight="1" x14ac:dyDescent="0.25">
      <c r="A171" s="184"/>
      <c r="B171" s="141"/>
      <c r="C171" s="141"/>
      <c r="D171" s="141"/>
      <c r="E171" s="141"/>
      <c r="F171" s="141"/>
      <c r="G171" s="141"/>
      <c r="H171" s="491" t="s">
        <v>1889</v>
      </c>
      <c r="I171" s="491"/>
      <c r="J171" s="491"/>
      <c r="K171" s="491"/>
      <c r="L171" s="375">
        <f>SUM(L170:L170)</f>
        <v>1766.67</v>
      </c>
    </row>
    <row r="172" spans="1:12" ht="15" customHeight="1" x14ac:dyDescent="0.25">
      <c r="A172" s="182"/>
      <c r="B172" s="183"/>
      <c r="C172" s="183"/>
      <c r="D172" s="183"/>
      <c r="E172" s="183"/>
      <c r="F172" s="183"/>
      <c r="G172" s="183"/>
      <c r="H172" s="482" t="s">
        <v>1848</v>
      </c>
      <c r="I172" s="482"/>
      <c r="J172" s="482"/>
      <c r="K172" s="482"/>
      <c r="L172" s="371">
        <f>SUM(L171)</f>
        <v>1766.67</v>
      </c>
    </row>
    <row r="173" spans="1:12" ht="15" customHeight="1" x14ac:dyDescent="0.25">
      <c r="A173" s="182"/>
      <c r="B173" s="183"/>
      <c r="C173" s="183"/>
      <c r="D173" s="183"/>
      <c r="E173" s="183"/>
      <c r="F173" s="183"/>
      <c r="G173" s="183"/>
      <c r="H173" s="482" t="s">
        <v>1834</v>
      </c>
      <c r="I173" s="482"/>
      <c r="J173" s="482"/>
      <c r="K173" s="482"/>
      <c r="L173" s="369">
        <f>ROUND(SUM(L172),2)</f>
        <v>1766.67</v>
      </c>
    </row>
    <row r="174" spans="1:12" ht="9.9499999999999993" customHeight="1" x14ac:dyDescent="0.25">
      <c r="A174" s="182"/>
      <c r="B174" s="183"/>
      <c r="C174" s="183"/>
      <c r="D174" s="183"/>
      <c r="E174" s="183"/>
      <c r="F174" s="183"/>
      <c r="G174" s="183"/>
      <c r="H174" s="485"/>
      <c r="I174" s="485"/>
      <c r="J174" s="485"/>
      <c r="K174" s="485"/>
      <c r="L174" s="512"/>
    </row>
    <row r="175" spans="1:12" ht="20.100000000000001" customHeight="1" x14ac:dyDescent="0.25">
      <c r="A175" s="486" t="s">
        <v>3404</v>
      </c>
      <c r="B175" s="487"/>
      <c r="C175" s="487"/>
      <c r="D175" s="487"/>
      <c r="E175" s="487"/>
      <c r="F175" s="487"/>
      <c r="G175" s="487"/>
      <c r="H175" s="487"/>
      <c r="I175" s="487"/>
      <c r="J175" s="487"/>
      <c r="K175" s="487"/>
      <c r="L175" s="513"/>
    </row>
    <row r="176" spans="1:12" ht="20.100000000000001" customHeight="1" x14ac:dyDescent="0.25">
      <c r="A176" s="488" t="s">
        <v>1836</v>
      </c>
      <c r="B176" s="489"/>
      <c r="C176" s="489"/>
      <c r="D176" s="489"/>
      <c r="E176" s="489"/>
      <c r="F176" s="489"/>
      <c r="G176" s="233" t="s">
        <v>44</v>
      </c>
      <c r="H176" s="515" t="s">
        <v>1837</v>
      </c>
      <c r="I176" s="515"/>
      <c r="J176" s="515" t="s">
        <v>1838</v>
      </c>
      <c r="K176" s="515"/>
      <c r="L176" s="169" t="s">
        <v>1839</v>
      </c>
    </row>
    <row r="177" spans="1:12" ht="15" customHeight="1" x14ac:dyDescent="0.25">
      <c r="A177" s="170" t="s">
        <v>1828</v>
      </c>
      <c r="B177" s="490" t="s">
        <v>1829</v>
      </c>
      <c r="C177" s="490"/>
      <c r="D177" s="490"/>
      <c r="E177" s="490"/>
      <c r="F177" s="490"/>
      <c r="G177" s="127" t="s">
        <v>1024</v>
      </c>
      <c r="H177" s="524">
        <v>0.88</v>
      </c>
      <c r="I177" s="524"/>
      <c r="J177" s="517">
        <v>26.03</v>
      </c>
      <c r="K177" s="517"/>
      <c r="L177" s="370">
        <f>TRUNC(TRUNC(H177,8)*J177,2)</f>
        <v>22.9</v>
      </c>
    </row>
    <row r="178" spans="1:12" ht="15" customHeight="1" x14ac:dyDescent="0.25">
      <c r="A178" s="170" t="s">
        <v>1830</v>
      </c>
      <c r="B178" s="490" t="s">
        <v>1831</v>
      </c>
      <c r="C178" s="490"/>
      <c r="D178" s="490"/>
      <c r="E178" s="490"/>
      <c r="F178" s="490"/>
      <c r="G178" s="127" t="s">
        <v>1024</v>
      </c>
      <c r="H178" s="524">
        <v>0.88</v>
      </c>
      <c r="I178" s="524"/>
      <c r="J178" s="517">
        <v>19.68</v>
      </c>
      <c r="K178" s="517"/>
      <c r="L178" s="370">
        <f>TRUNC(TRUNC(H178,8)*J178,2)</f>
        <v>17.309999999999999</v>
      </c>
    </row>
    <row r="179" spans="1:12" ht="15" customHeight="1" x14ac:dyDescent="0.25">
      <c r="A179" s="184"/>
      <c r="B179" s="141"/>
      <c r="C179" s="141"/>
      <c r="D179" s="141"/>
      <c r="E179" s="141"/>
      <c r="F179" s="141"/>
      <c r="G179" s="141"/>
      <c r="H179" s="491" t="s">
        <v>1844</v>
      </c>
      <c r="I179" s="491"/>
      <c r="J179" s="491"/>
      <c r="K179" s="491"/>
      <c r="L179" s="369">
        <f>SUM(L177:L178)</f>
        <v>40.209999999999994</v>
      </c>
    </row>
    <row r="180" spans="1:12" ht="15" customHeight="1" x14ac:dyDescent="0.25">
      <c r="A180" s="182"/>
      <c r="B180" s="183"/>
      <c r="C180" s="183"/>
      <c r="D180" s="183"/>
      <c r="E180" s="183"/>
      <c r="F180" s="183"/>
      <c r="G180" s="183"/>
      <c r="H180" s="482" t="s">
        <v>1845</v>
      </c>
      <c r="I180" s="482"/>
      <c r="J180" s="482"/>
      <c r="K180" s="482"/>
      <c r="L180" s="371">
        <f>SUM(L179)</f>
        <v>40.209999999999994</v>
      </c>
    </row>
    <row r="181" spans="1:12" ht="15" customHeight="1" x14ac:dyDescent="0.25">
      <c r="A181" s="182"/>
      <c r="B181" s="183"/>
      <c r="C181" s="183"/>
      <c r="D181" s="183"/>
      <c r="E181" s="183"/>
      <c r="F181" s="183"/>
      <c r="G181" s="183"/>
      <c r="H181" s="482" t="s">
        <v>1846</v>
      </c>
      <c r="I181" s="482"/>
      <c r="J181" s="482"/>
      <c r="K181" s="482"/>
      <c r="L181" s="374">
        <v>1</v>
      </c>
    </row>
    <row r="182" spans="1:12" ht="15" customHeight="1" x14ac:dyDescent="0.25">
      <c r="A182" s="182"/>
      <c r="B182" s="183"/>
      <c r="C182" s="183"/>
      <c r="D182" s="183"/>
      <c r="E182" s="183"/>
      <c r="F182" s="183"/>
      <c r="G182" s="183"/>
      <c r="H182" s="482" t="s">
        <v>1847</v>
      </c>
      <c r="I182" s="482"/>
      <c r="J182" s="482"/>
      <c r="K182" s="482"/>
      <c r="L182" s="371">
        <f>TRUNC(L180/L181,4)</f>
        <v>40.21</v>
      </c>
    </row>
    <row r="183" spans="1:12" ht="20.100000000000001" customHeight="1" x14ac:dyDescent="0.25">
      <c r="A183" s="488" t="s">
        <v>1880</v>
      </c>
      <c r="B183" s="489"/>
      <c r="C183" s="489"/>
      <c r="D183" s="489"/>
      <c r="E183" s="489"/>
      <c r="F183" s="489"/>
      <c r="G183" s="233" t="s">
        <v>44</v>
      </c>
      <c r="H183" s="515" t="s">
        <v>1837</v>
      </c>
      <c r="I183" s="515"/>
      <c r="J183" s="515" t="s">
        <v>1881</v>
      </c>
      <c r="K183" s="515"/>
      <c r="L183" s="169" t="s">
        <v>1882</v>
      </c>
    </row>
    <row r="184" spans="1:12" ht="15" customHeight="1" x14ac:dyDescent="0.25">
      <c r="A184" s="170" t="s">
        <v>3405</v>
      </c>
      <c r="B184" s="492" t="s">
        <v>3406</v>
      </c>
      <c r="C184" s="492"/>
      <c r="D184" s="492"/>
      <c r="E184" s="492"/>
      <c r="F184" s="492"/>
      <c r="G184" s="127" t="s">
        <v>226</v>
      </c>
      <c r="H184" s="524">
        <v>0.1</v>
      </c>
      <c r="I184" s="524"/>
      <c r="J184" s="525">
        <v>19</v>
      </c>
      <c r="K184" s="525"/>
      <c r="L184" s="171">
        <f t="shared" ref="L184:L189" si="4">TRUNC(TRUNC(H184,8)*J184,2)</f>
        <v>1.9</v>
      </c>
    </row>
    <row r="185" spans="1:12" ht="15" customHeight="1" x14ac:dyDescent="0.25">
      <c r="A185" s="170" t="s">
        <v>3407</v>
      </c>
      <c r="B185" s="492" t="s">
        <v>3408</v>
      </c>
      <c r="C185" s="492"/>
      <c r="D185" s="492"/>
      <c r="E185" s="492"/>
      <c r="F185" s="492"/>
      <c r="G185" s="127" t="s">
        <v>226</v>
      </c>
      <c r="H185" s="524">
        <v>3</v>
      </c>
      <c r="I185" s="524"/>
      <c r="J185" s="525">
        <v>0.5</v>
      </c>
      <c r="K185" s="525"/>
      <c r="L185" s="171">
        <f t="shared" si="4"/>
        <v>1.5</v>
      </c>
    </row>
    <row r="186" spans="1:12" ht="15" customHeight="1" x14ac:dyDescent="0.25">
      <c r="A186" s="170" t="s">
        <v>3257</v>
      </c>
      <c r="B186" s="492" t="s">
        <v>3258</v>
      </c>
      <c r="C186" s="492"/>
      <c r="D186" s="492"/>
      <c r="E186" s="492"/>
      <c r="F186" s="492"/>
      <c r="G186" s="127" t="s">
        <v>188</v>
      </c>
      <c r="H186" s="524">
        <v>1.76</v>
      </c>
      <c r="I186" s="524"/>
      <c r="J186" s="525">
        <v>8.6999999999999993</v>
      </c>
      <c r="K186" s="525"/>
      <c r="L186" s="171">
        <f t="shared" si="4"/>
        <v>15.31</v>
      </c>
    </row>
    <row r="187" spans="1:12" ht="15" customHeight="1" x14ac:dyDescent="0.25">
      <c r="A187" s="170" t="s">
        <v>3409</v>
      </c>
      <c r="B187" s="492" t="s">
        <v>3410</v>
      </c>
      <c r="C187" s="492"/>
      <c r="D187" s="492"/>
      <c r="E187" s="492"/>
      <c r="F187" s="492"/>
      <c r="G187" s="127" t="s">
        <v>1817</v>
      </c>
      <c r="H187" s="524">
        <v>0.15</v>
      </c>
      <c r="I187" s="524"/>
      <c r="J187" s="525">
        <v>19.96</v>
      </c>
      <c r="K187" s="525"/>
      <c r="L187" s="171">
        <f t="shared" si="4"/>
        <v>2.99</v>
      </c>
    </row>
    <row r="188" spans="1:12" ht="15" customHeight="1" x14ac:dyDescent="0.25">
      <c r="A188" s="170" t="s">
        <v>3261</v>
      </c>
      <c r="B188" s="492" t="s">
        <v>3262</v>
      </c>
      <c r="C188" s="492"/>
      <c r="D188" s="492"/>
      <c r="E188" s="492"/>
      <c r="F188" s="492"/>
      <c r="G188" s="127" t="s">
        <v>188</v>
      </c>
      <c r="H188" s="524">
        <v>1.8149999999999999</v>
      </c>
      <c r="I188" s="524"/>
      <c r="J188" s="525">
        <v>4.01</v>
      </c>
      <c r="K188" s="525"/>
      <c r="L188" s="171">
        <f t="shared" si="4"/>
        <v>7.27</v>
      </c>
    </row>
    <row r="189" spans="1:12" ht="15.95" customHeight="1" x14ac:dyDescent="0.25">
      <c r="A189" s="170" t="s">
        <v>3411</v>
      </c>
      <c r="B189" s="492" t="s">
        <v>3412</v>
      </c>
      <c r="C189" s="492"/>
      <c r="D189" s="492"/>
      <c r="E189" s="492"/>
      <c r="F189" s="492"/>
      <c r="G189" s="127" t="s">
        <v>122</v>
      </c>
      <c r="H189" s="524">
        <v>1.155</v>
      </c>
      <c r="I189" s="524"/>
      <c r="J189" s="525">
        <v>65.040000000000006</v>
      </c>
      <c r="K189" s="525"/>
      <c r="L189" s="171">
        <f t="shared" si="4"/>
        <v>75.12</v>
      </c>
    </row>
    <row r="190" spans="1:12" ht="15" customHeight="1" x14ac:dyDescent="0.25">
      <c r="A190" s="184"/>
      <c r="B190" s="141"/>
      <c r="C190" s="141"/>
      <c r="D190" s="141"/>
      <c r="E190" s="141"/>
      <c r="F190" s="141"/>
      <c r="G190" s="141"/>
      <c r="H190" s="491" t="s">
        <v>1889</v>
      </c>
      <c r="I190" s="491"/>
      <c r="J190" s="491"/>
      <c r="K190" s="491"/>
      <c r="L190" s="375">
        <f>SUM(L184:L189)</f>
        <v>104.09</v>
      </c>
    </row>
    <row r="191" spans="1:12" ht="20.100000000000001" customHeight="1" x14ac:dyDescent="0.25">
      <c r="A191" s="488" t="s">
        <v>2009</v>
      </c>
      <c r="B191" s="489"/>
      <c r="C191" s="489"/>
      <c r="D191" s="489"/>
      <c r="E191" s="489"/>
      <c r="F191" s="489"/>
      <c r="G191" s="233" t="s">
        <v>44</v>
      </c>
      <c r="H191" s="515" t="s">
        <v>1837</v>
      </c>
      <c r="I191" s="515"/>
      <c r="J191" s="515" t="s">
        <v>1814</v>
      </c>
      <c r="K191" s="515"/>
      <c r="L191" s="169" t="s">
        <v>1882</v>
      </c>
    </row>
    <row r="192" spans="1:12" ht="15" customHeight="1" x14ac:dyDescent="0.25">
      <c r="A192" s="170" t="s">
        <v>3413</v>
      </c>
      <c r="B192" s="492" t="s">
        <v>3414</v>
      </c>
      <c r="C192" s="492"/>
      <c r="D192" s="492"/>
      <c r="E192" s="492"/>
      <c r="F192" s="492"/>
      <c r="G192" s="127" t="s">
        <v>89</v>
      </c>
      <c r="H192" s="526">
        <v>4.6800000000000001E-3</v>
      </c>
      <c r="I192" s="526"/>
      <c r="J192" s="525">
        <v>63.96</v>
      </c>
      <c r="K192" s="525"/>
      <c r="L192" s="171">
        <f>TRUNC(TRUNC(H192,8)*J192,2)</f>
        <v>0.28999999999999998</v>
      </c>
    </row>
    <row r="193" spans="1:12" ht="15.95" customHeight="1" x14ac:dyDescent="0.25">
      <c r="A193" s="170" t="s">
        <v>3415</v>
      </c>
      <c r="B193" s="492" t="s">
        <v>3416</v>
      </c>
      <c r="C193" s="492"/>
      <c r="D193" s="492"/>
      <c r="E193" s="492"/>
      <c r="F193" s="492"/>
      <c r="G193" s="127"/>
      <c r="H193" s="526">
        <v>0.4</v>
      </c>
      <c r="I193" s="526"/>
      <c r="J193" s="525">
        <v>35.159999999999997</v>
      </c>
      <c r="K193" s="525"/>
      <c r="L193" s="171">
        <f>TRUNC(TRUNC(H193,8)*J193,2)</f>
        <v>14.06</v>
      </c>
    </row>
    <row r="194" spans="1:12" ht="15" customHeight="1" x14ac:dyDescent="0.25">
      <c r="A194" s="170" t="s">
        <v>620</v>
      </c>
      <c r="B194" s="492" t="s">
        <v>621</v>
      </c>
      <c r="C194" s="492"/>
      <c r="D194" s="492"/>
      <c r="E194" s="492"/>
      <c r="F194" s="492"/>
      <c r="G194" s="127" t="s">
        <v>89</v>
      </c>
      <c r="H194" s="526">
        <v>2.4000000000000001E-4</v>
      </c>
      <c r="I194" s="526"/>
      <c r="J194" s="525">
        <v>68.88</v>
      </c>
      <c r="K194" s="525"/>
      <c r="L194" s="171">
        <f>TRUNC(TRUNC(H194,8)*J194,2)</f>
        <v>0.01</v>
      </c>
    </row>
    <row r="195" spans="1:12" ht="15" customHeight="1" x14ac:dyDescent="0.25">
      <c r="A195" s="184"/>
      <c r="B195" s="141"/>
      <c r="C195" s="141"/>
      <c r="D195" s="141"/>
      <c r="E195" s="141"/>
      <c r="F195" s="141"/>
      <c r="G195" s="141"/>
      <c r="H195" s="491" t="s">
        <v>2014</v>
      </c>
      <c r="I195" s="491"/>
      <c r="J195" s="491"/>
      <c r="K195" s="491"/>
      <c r="L195" s="375">
        <f>SUM(L192:L194)</f>
        <v>14.36</v>
      </c>
    </row>
    <row r="196" spans="1:12" ht="15" customHeight="1" x14ac:dyDescent="0.25">
      <c r="A196" s="182"/>
      <c r="B196" s="183"/>
      <c r="C196" s="183"/>
      <c r="D196" s="183"/>
      <c r="E196" s="183"/>
      <c r="F196" s="183"/>
      <c r="G196" s="183"/>
      <c r="H196" s="482" t="s">
        <v>1848</v>
      </c>
      <c r="I196" s="482"/>
      <c r="J196" s="482"/>
      <c r="K196" s="482"/>
      <c r="L196" s="371">
        <f>SUM(L182,L190,L195)</f>
        <v>158.66000000000003</v>
      </c>
    </row>
    <row r="197" spans="1:12" ht="15" customHeight="1" x14ac:dyDescent="0.25">
      <c r="A197" s="182"/>
      <c r="B197" s="183"/>
      <c r="C197" s="183"/>
      <c r="D197" s="183"/>
      <c r="E197" s="183"/>
      <c r="F197" s="183"/>
      <c r="G197" s="183"/>
      <c r="H197" s="482" t="s">
        <v>1834</v>
      </c>
      <c r="I197" s="482"/>
      <c r="J197" s="482"/>
      <c r="K197" s="482"/>
      <c r="L197" s="369">
        <f>ROUND(SUM(L196),2)</f>
        <v>158.66</v>
      </c>
    </row>
    <row r="198" spans="1:12" ht="9.9499999999999993" customHeight="1" x14ac:dyDescent="0.25">
      <c r="A198" s="182"/>
      <c r="B198" s="183"/>
      <c r="C198" s="183"/>
      <c r="D198" s="183"/>
      <c r="E198" s="183"/>
      <c r="F198" s="183"/>
      <c r="G198" s="183"/>
      <c r="H198" s="485"/>
      <c r="I198" s="485"/>
      <c r="J198" s="485"/>
      <c r="K198" s="485"/>
      <c r="L198" s="512"/>
    </row>
    <row r="199" spans="1:12" ht="20.100000000000001" customHeight="1" x14ac:dyDescent="0.25">
      <c r="A199" s="486" t="s">
        <v>3417</v>
      </c>
      <c r="B199" s="487"/>
      <c r="C199" s="487"/>
      <c r="D199" s="487"/>
      <c r="E199" s="487"/>
      <c r="F199" s="487"/>
      <c r="G199" s="487"/>
      <c r="H199" s="487"/>
      <c r="I199" s="487"/>
      <c r="J199" s="487"/>
      <c r="K199" s="487"/>
      <c r="L199" s="513"/>
    </row>
    <row r="200" spans="1:12" ht="20.100000000000001" customHeight="1" x14ac:dyDescent="0.25">
      <c r="A200" s="488" t="s">
        <v>1880</v>
      </c>
      <c r="B200" s="489"/>
      <c r="C200" s="489"/>
      <c r="D200" s="489"/>
      <c r="E200" s="489"/>
      <c r="F200" s="489"/>
      <c r="G200" s="233" t="s">
        <v>44</v>
      </c>
      <c r="H200" s="515" t="s">
        <v>1837</v>
      </c>
      <c r="I200" s="515"/>
      <c r="J200" s="515" t="s">
        <v>1881</v>
      </c>
      <c r="K200" s="515"/>
      <c r="L200" s="169" t="s">
        <v>1882</v>
      </c>
    </row>
    <row r="201" spans="1:12" ht="15" customHeight="1" x14ac:dyDescent="0.25">
      <c r="A201" s="170" t="s">
        <v>3418</v>
      </c>
      <c r="B201" s="492" t="s">
        <v>3419</v>
      </c>
      <c r="C201" s="492"/>
      <c r="D201" s="492"/>
      <c r="E201" s="492"/>
      <c r="F201" s="492"/>
      <c r="G201" s="127" t="s">
        <v>188</v>
      </c>
      <c r="H201" s="524">
        <v>1</v>
      </c>
      <c r="I201" s="524"/>
      <c r="J201" s="525">
        <v>21.78</v>
      </c>
      <c r="K201" s="525"/>
      <c r="L201" s="171">
        <f>TRUNC(TRUNC(H201,8)*J201,2)</f>
        <v>21.78</v>
      </c>
    </row>
    <row r="202" spans="1:12" ht="15" customHeight="1" x14ac:dyDescent="0.25">
      <c r="A202" s="184"/>
      <c r="B202" s="141"/>
      <c r="C202" s="141"/>
      <c r="D202" s="141"/>
      <c r="E202" s="141"/>
      <c r="F202" s="141"/>
      <c r="G202" s="141"/>
      <c r="H202" s="491" t="s">
        <v>1889</v>
      </c>
      <c r="I202" s="491"/>
      <c r="J202" s="491"/>
      <c r="K202" s="491"/>
      <c r="L202" s="375">
        <f>SUM(L201:L201)</f>
        <v>21.78</v>
      </c>
    </row>
    <row r="203" spans="1:12" ht="15" customHeight="1" x14ac:dyDescent="0.25">
      <c r="A203" s="182"/>
      <c r="B203" s="183"/>
      <c r="C203" s="183"/>
      <c r="D203" s="183"/>
      <c r="E203" s="183"/>
      <c r="F203" s="183"/>
      <c r="G203" s="183"/>
      <c r="H203" s="482" t="s">
        <v>1848</v>
      </c>
      <c r="I203" s="482"/>
      <c r="J203" s="482"/>
      <c r="K203" s="482"/>
      <c r="L203" s="371">
        <f>SUM(L202)</f>
        <v>21.78</v>
      </c>
    </row>
    <row r="204" spans="1:12" ht="15" customHeight="1" x14ac:dyDescent="0.25">
      <c r="A204" s="182"/>
      <c r="B204" s="183"/>
      <c r="C204" s="183"/>
      <c r="D204" s="183"/>
      <c r="E204" s="183"/>
      <c r="F204" s="183"/>
      <c r="G204" s="183"/>
      <c r="H204" s="482" t="s">
        <v>1834</v>
      </c>
      <c r="I204" s="482"/>
      <c r="J204" s="482"/>
      <c r="K204" s="482"/>
      <c r="L204" s="369">
        <f>ROUND(SUM(L203),2)</f>
        <v>21.78</v>
      </c>
    </row>
    <row r="205" spans="1:12" ht="9.9499999999999993" customHeight="1" x14ac:dyDescent="0.25">
      <c r="A205" s="182"/>
      <c r="B205" s="183"/>
      <c r="C205" s="183"/>
      <c r="D205" s="183"/>
      <c r="E205" s="183"/>
      <c r="F205" s="183"/>
      <c r="G205" s="183"/>
      <c r="H205" s="485"/>
      <c r="I205" s="485"/>
      <c r="J205" s="485"/>
      <c r="K205" s="485"/>
      <c r="L205" s="512"/>
    </row>
    <row r="206" spans="1:12" ht="20.100000000000001" customHeight="1" x14ac:dyDescent="0.25">
      <c r="A206" s="486" t="s">
        <v>1811</v>
      </c>
      <c r="B206" s="487"/>
      <c r="C206" s="487"/>
      <c r="D206" s="487"/>
      <c r="E206" s="487"/>
      <c r="F206" s="487"/>
      <c r="G206" s="487"/>
      <c r="H206" s="487"/>
      <c r="I206" s="487"/>
      <c r="J206" s="487"/>
      <c r="K206" s="487"/>
      <c r="L206" s="513"/>
    </row>
    <row r="207" spans="1:12" ht="15" customHeight="1" x14ac:dyDescent="0.25">
      <c r="A207" s="474" t="s">
        <v>1812</v>
      </c>
      <c r="B207" s="475"/>
      <c r="C207" s="475"/>
      <c r="D207" s="476" t="s">
        <v>42</v>
      </c>
      <c r="E207" s="476"/>
      <c r="F207" s="476"/>
      <c r="G207" s="230" t="s">
        <v>44</v>
      </c>
      <c r="H207" s="476" t="s">
        <v>1813</v>
      </c>
      <c r="I207" s="476"/>
      <c r="J207" s="476" t="s">
        <v>1814</v>
      </c>
      <c r="K207" s="476"/>
      <c r="L207" s="366" t="s">
        <v>1802</v>
      </c>
    </row>
    <row r="208" spans="1:12" ht="15" customHeight="1" x14ac:dyDescent="0.25">
      <c r="A208" s="181" t="s">
        <v>1815</v>
      </c>
      <c r="B208" s="509" t="s">
        <v>1816</v>
      </c>
      <c r="C208" s="509"/>
      <c r="D208" s="481" t="s">
        <v>51</v>
      </c>
      <c r="E208" s="481"/>
      <c r="F208" s="481"/>
      <c r="G208" s="231" t="s">
        <v>1817</v>
      </c>
      <c r="H208" s="510">
        <v>0.1</v>
      </c>
      <c r="I208" s="510"/>
      <c r="J208" s="511">
        <v>14.37</v>
      </c>
      <c r="K208" s="511"/>
      <c r="L208" s="367">
        <f>ROUND(ROUND(H208,8)*J208,2)</f>
        <v>1.44</v>
      </c>
    </row>
    <row r="209" spans="1:12" ht="21" customHeight="1" x14ac:dyDescent="0.25">
      <c r="A209" s="181" t="s">
        <v>1818</v>
      </c>
      <c r="B209" s="509" t="s">
        <v>1819</v>
      </c>
      <c r="C209" s="509"/>
      <c r="D209" s="481" t="s">
        <v>341</v>
      </c>
      <c r="E209" s="481"/>
      <c r="F209" s="481"/>
      <c r="G209" s="231" t="s">
        <v>664</v>
      </c>
      <c r="H209" s="510">
        <v>0.71</v>
      </c>
      <c r="I209" s="510"/>
      <c r="J209" s="511">
        <v>0.28000000000000003</v>
      </c>
      <c r="K209" s="511"/>
      <c r="L209" s="367">
        <f>ROUND(ROUND(H209,8)*J209,2)</f>
        <v>0.2</v>
      </c>
    </row>
    <row r="210" spans="1:12" ht="21" customHeight="1" x14ac:dyDescent="0.25">
      <c r="A210" s="181" t="s">
        <v>1820</v>
      </c>
      <c r="B210" s="509" t="s">
        <v>1821</v>
      </c>
      <c r="C210" s="509"/>
      <c r="D210" s="481" t="s">
        <v>341</v>
      </c>
      <c r="E210" s="481"/>
      <c r="F210" s="481"/>
      <c r="G210" s="231" t="s">
        <v>72</v>
      </c>
      <c r="H210" s="510">
        <v>1.1000000000000001</v>
      </c>
      <c r="I210" s="510"/>
      <c r="J210" s="511">
        <v>6.69</v>
      </c>
      <c r="K210" s="511"/>
      <c r="L210" s="367">
        <f>ROUND(ROUND(H210,8)*J210,2)</f>
        <v>7.36</v>
      </c>
    </row>
    <row r="211" spans="1:12" ht="21" customHeight="1" x14ac:dyDescent="0.25">
      <c r="A211" s="181" t="s">
        <v>1822</v>
      </c>
      <c r="B211" s="509" t="s">
        <v>1823</v>
      </c>
      <c r="C211" s="509"/>
      <c r="D211" s="481" t="s">
        <v>341</v>
      </c>
      <c r="E211" s="481"/>
      <c r="F211" s="481"/>
      <c r="G211" s="231" t="s">
        <v>579</v>
      </c>
      <c r="H211" s="510">
        <v>0.71</v>
      </c>
      <c r="I211" s="510"/>
      <c r="J211" s="511">
        <v>1.5</v>
      </c>
      <c r="K211" s="511"/>
      <c r="L211" s="367">
        <f>ROUND(ROUND(H211,8)*J211,2)</f>
        <v>1.07</v>
      </c>
    </row>
    <row r="212" spans="1:12" ht="21" customHeight="1" x14ac:dyDescent="0.25">
      <c r="A212" s="181" t="s">
        <v>1824</v>
      </c>
      <c r="B212" s="509" t="s">
        <v>1825</v>
      </c>
      <c r="C212" s="509"/>
      <c r="D212" s="481" t="s">
        <v>341</v>
      </c>
      <c r="E212" s="481"/>
      <c r="F212" s="481"/>
      <c r="G212" s="231" t="s">
        <v>54</v>
      </c>
      <c r="H212" s="510">
        <v>0.59</v>
      </c>
      <c r="I212" s="510"/>
      <c r="J212" s="511">
        <v>21.85</v>
      </c>
      <c r="K212" s="511"/>
      <c r="L212" s="367">
        <f>ROUND(ROUND(H212,8)*J212,2)</f>
        <v>12.89</v>
      </c>
    </row>
    <row r="213" spans="1:12" ht="15" customHeight="1" x14ac:dyDescent="0.25">
      <c r="A213" s="182"/>
      <c r="B213" s="183"/>
      <c r="C213" s="183"/>
      <c r="D213" s="183"/>
      <c r="E213" s="183"/>
      <c r="F213" s="183"/>
      <c r="G213" s="183"/>
      <c r="H213" s="477" t="s">
        <v>1826</v>
      </c>
      <c r="I213" s="477"/>
      <c r="J213" s="477"/>
      <c r="K213" s="477"/>
      <c r="L213" s="368">
        <f>SUM(L208:L212)</f>
        <v>22.96</v>
      </c>
    </row>
    <row r="214" spans="1:12" ht="15" customHeight="1" x14ac:dyDescent="0.25">
      <c r="A214" s="474" t="s">
        <v>1827</v>
      </c>
      <c r="B214" s="475"/>
      <c r="C214" s="475"/>
      <c r="D214" s="476" t="s">
        <v>42</v>
      </c>
      <c r="E214" s="476"/>
      <c r="F214" s="476"/>
      <c r="G214" s="230" t="s">
        <v>44</v>
      </c>
      <c r="H214" s="476" t="s">
        <v>1813</v>
      </c>
      <c r="I214" s="476"/>
      <c r="J214" s="476" t="s">
        <v>1814</v>
      </c>
      <c r="K214" s="476"/>
      <c r="L214" s="366" t="s">
        <v>1802</v>
      </c>
    </row>
    <row r="215" spans="1:12" ht="15" customHeight="1" x14ac:dyDescent="0.25">
      <c r="A215" s="181" t="s">
        <v>1828</v>
      </c>
      <c r="B215" s="509" t="s">
        <v>1829</v>
      </c>
      <c r="C215" s="509"/>
      <c r="D215" s="481" t="s">
        <v>51</v>
      </c>
      <c r="E215" s="481"/>
      <c r="F215" s="481"/>
      <c r="G215" s="231" t="s">
        <v>1024</v>
      </c>
      <c r="H215" s="510">
        <v>0.22</v>
      </c>
      <c r="I215" s="510"/>
      <c r="J215" s="511">
        <v>26.03</v>
      </c>
      <c r="K215" s="511"/>
      <c r="L215" s="367">
        <f>ROUND(ROUND(H215,8)*J215,2)</f>
        <v>5.73</v>
      </c>
    </row>
    <row r="216" spans="1:12" ht="15" customHeight="1" x14ac:dyDescent="0.25">
      <c r="A216" s="181" t="s">
        <v>1830</v>
      </c>
      <c r="B216" s="509" t="s">
        <v>1831</v>
      </c>
      <c r="C216" s="509"/>
      <c r="D216" s="481" t="s">
        <v>51</v>
      </c>
      <c r="E216" s="481"/>
      <c r="F216" s="481"/>
      <c r="G216" s="231" t="s">
        <v>1024</v>
      </c>
      <c r="H216" s="510">
        <v>0.22</v>
      </c>
      <c r="I216" s="510"/>
      <c r="J216" s="511">
        <v>19.68</v>
      </c>
      <c r="K216" s="511"/>
      <c r="L216" s="367">
        <f>ROUND(ROUND(H216,8)*J216,2)</f>
        <v>4.33</v>
      </c>
    </row>
    <row r="217" spans="1:12" ht="15" customHeight="1" x14ac:dyDescent="0.25">
      <c r="A217" s="182"/>
      <c r="B217" s="183"/>
      <c r="C217" s="183"/>
      <c r="D217" s="183"/>
      <c r="E217" s="183"/>
      <c r="F217" s="183"/>
      <c r="G217" s="183"/>
      <c r="H217" s="477" t="s">
        <v>1832</v>
      </c>
      <c r="I217" s="477"/>
      <c r="J217" s="477"/>
      <c r="K217" s="477"/>
      <c r="L217" s="368">
        <f>SUM(L215:L216)</f>
        <v>10.06</v>
      </c>
    </row>
    <row r="218" spans="1:12" ht="15" customHeight="1" x14ac:dyDescent="0.25">
      <c r="A218" s="483" t="s">
        <v>1833</v>
      </c>
      <c r="B218" s="484"/>
      <c r="C218" s="484"/>
      <c r="D218" s="484"/>
      <c r="E218" s="183"/>
      <c r="F218" s="183"/>
      <c r="G218" s="183"/>
      <c r="H218" s="482" t="s">
        <v>1834</v>
      </c>
      <c r="I218" s="482"/>
      <c r="J218" s="482"/>
      <c r="K218" s="482"/>
      <c r="L218" s="369">
        <v>33.020000000000003</v>
      </c>
    </row>
    <row r="219" spans="1:12" ht="9.9499999999999993" customHeight="1" x14ac:dyDescent="0.25">
      <c r="A219" s="182"/>
      <c r="B219" s="183"/>
      <c r="C219" s="183"/>
      <c r="D219" s="183"/>
      <c r="E219" s="183"/>
      <c r="F219" s="183"/>
      <c r="G219" s="183"/>
      <c r="H219" s="485"/>
      <c r="I219" s="485"/>
      <c r="J219" s="485"/>
      <c r="K219" s="485"/>
      <c r="L219" s="512"/>
    </row>
    <row r="220" spans="1:12" ht="20.100000000000001" customHeight="1" x14ac:dyDescent="0.25">
      <c r="A220" s="486" t="s">
        <v>3420</v>
      </c>
      <c r="B220" s="487"/>
      <c r="C220" s="487"/>
      <c r="D220" s="487"/>
      <c r="E220" s="487"/>
      <c r="F220" s="487"/>
      <c r="G220" s="487"/>
      <c r="H220" s="487"/>
      <c r="I220" s="487"/>
      <c r="J220" s="487"/>
      <c r="K220" s="487"/>
      <c r="L220" s="513"/>
    </row>
    <row r="221" spans="1:12" ht="15" customHeight="1" x14ac:dyDescent="0.25">
      <c r="A221" s="474" t="s">
        <v>2190</v>
      </c>
      <c r="B221" s="475"/>
      <c r="C221" s="475"/>
      <c r="D221" s="476" t="s">
        <v>42</v>
      </c>
      <c r="E221" s="476"/>
      <c r="F221" s="476"/>
      <c r="G221" s="230" t="s">
        <v>44</v>
      </c>
      <c r="H221" s="476" t="s">
        <v>1813</v>
      </c>
      <c r="I221" s="476"/>
      <c r="J221" s="476" t="s">
        <v>1814</v>
      </c>
      <c r="K221" s="476"/>
      <c r="L221" s="366" t="s">
        <v>1802</v>
      </c>
    </row>
    <row r="222" spans="1:12" ht="15" customHeight="1" x14ac:dyDescent="0.25">
      <c r="A222" s="181" t="s">
        <v>2549</v>
      </c>
      <c r="B222" s="509" t="s">
        <v>2550</v>
      </c>
      <c r="C222" s="509"/>
      <c r="D222" s="481" t="s">
        <v>82</v>
      </c>
      <c r="E222" s="481"/>
      <c r="F222" s="481"/>
      <c r="G222" s="231" t="s">
        <v>1024</v>
      </c>
      <c r="H222" s="510">
        <v>0.35410000000000003</v>
      </c>
      <c r="I222" s="510"/>
      <c r="J222" s="511">
        <v>36.29</v>
      </c>
      <c r="K222" s="511"/>
      <c r="L222" s="367">
        <f>TRUNC(TRUNC(H222,8)*J222,2)</f>
        <v>12.85</v>
      </c>
    </row>
    <row r="223" spans="1:12" ht="15" customHeight="1" x14ac:dyDescent="0.25">
      <c r="A223" s="181" t="s">
        <v>2375</v>
      </c>
      <c r="B223" s="509" t="s">
        <v>2376</v>
      </c>
      <c r="C223" s="509"/>
      <c r="D223" s="481" t="s">
        <v>82</v>
      </c>
      <c r="E223" s="481"/>
      <c r="F223" s="481"/>
      <c r="G223" s="231" t="s">
        <v>1024</v>
      </c>
      <c r="H223" s="510">
        <v>2.1957</v>
      </c>
      <c r="I223" s="510"/>
      <c r="J223" s="511">
        <v>28.97</v>
      </c>
      <c r="K223" s="511"/>
      <c r="L223" s="367">
        <f>TRUNC(TRUNC(H223,8)*J223,2)</f>
        <v>63.6</v>
      </c>
    </row>
    <row r="224" spans="1:12" ht="18" customHeight="1" x14ac:dyDescent="0.25">
      <c r="A224" s="182"/>
      <c r="B224" s="183"/>
      <c r="C224" s="183"/>
      <c r="D224" s="183"/>
      <c r="E224" s="183"/>
      <c r="F224" s="183"/>
      <c r="G224" s="183"/>
      <c r="H224" s="477" t="s">
        <v>2195</v>
      </c>
      <c r="I224" s="477"/>
      <c r="J224" s="477"/>
      <c r="K224" s="477"/>
      <c r="L224" s="368">
        <f>SUM(L222:L223)</f>
        <v>76.45</v>
      </c>
    </row>
    <row r="225" spans="1:12" ht="15" customHeight="1" x14ac:dyDescent="0.25">
      <c r="A225" s="182"/>
      <c r="B225" s="183"/>
      <c r="C225" s="183"/>
      <c r="D225" s="183"/>
      <c r="E225" s="183"/>
      <c r="F225" s="183"/>
      <c r="G225" s="183"/>
      <c r="H225" s="482" t="s">
        <v>1834</v>
      </c>
      <c r="I225" s="482"/>
      <c r="J225" s="482"/>
      <c r="K225" s="482"/>
      <c r="L225" s="369">
        <f>ROUND(SUM(L224),2)</f>
        <v>76.45</v>
      </c>
    </row>
    <row r="226" spans="1:12" ht="9.9499999999999993" customHeight="1" x14ac:dyDescent="0.25">
      <c r="A226" s="182"/>
      <c r="B226" s="183"/>
      <c r="C226" s="183"/>
      <c r="D226" s="183"/>
      <c r="E226" s="183"/>
      <c r="F226" s="183"/>
      <c r="G226" s="183"/>
      <c r="H226" s="485"/>
      <c r="I226" s="485"/>
      <c r="J226" s="485"/>
      <c r="K226" s="485"/>
      <c r="L226" s="512"/>
    </row>
    <row r="227" spans="1:12" ht="20.100000000000001" customHeight="1" x14ac:dyDescent="0.25">
      <c r="A227" s="486" t="s">
        <v>3421</v>
      </c>
      <c r="B227" s="487"/>
      <c r="C227" s="487"/>
      <c r="D227" s="487"/>
      <c r="E227" s="487"/>
      <c r="F227" s="487"/>
      <c r="G227" s="487"/>
      <c r="H227" s="487"/>
      <c r="I227" s="487"/>
      <c r="J227" s="487"/>
      <c r="K227" s="487"/>
      <c r="L227" s="513"/>
    </row>
    <row r="228" spans="1:12" ht="20.100000000000001" customHeight="1" x14ac:dyDescent="0.25">
      <c r="A228" s="488" t="s">
        <v>1836</v>
      </c>
      <c r="B228" s="489"/>
      <c r="C228" s="489"/>
      <c r="D228" s="489"/>
      <c r="E228" s="489"/>
      <c r="F228" s="489"/>
      <c r="G228" s="233" t="s">
        <v>44</v>
      </c>
      <c r="H228" s="515" t="s">
        <v>1837</v>
      </c>
      <c r="I228" s="515"/>
      <c r="J228" s="515" t="s">
        <v>1838</v>
      </c>
      <c r="K228" s="515"/>
      <c r="L228" s="169" t="s">
        <v>1839</v>
      </c>
    </row>
    <row r="229" spans="1:12" ht="15" customHeight="1" x14ac:dyDescent="0.25">
      <c r="A229" s="170" t="s">
        <v>1851</v>
      </c>
      <c r="B229" s="490" t="s">
        <v>1852</v>
      </c>
      <c r="C229" s="490"/>
      <c r="D229" s="490"/>
      <c r="E229" s="490"/>
      <c r="F229" s="490"/>
      <c r="G229" s="127" t="s">
        <v>1024</v>
      </c>
      <c r="H229" s="524">
        <v>9.4700000000000006E-2</v>
      </c>
      <c r="I229" s="524"/>
      <c r="J229" s="517">
        <v>26.03</v>
      </c>
      <c r="K229" s="517"/>
      <c r="L229" s="370">
        <f>TRUNC(TRUNC(H229,8)*J229,2)</f>
        <v>2.46</v>
      </c>
    </row>
    <row r="230" spans="1:12" ht="15" customHeight="1" x14ac:dyDescent="0.25">
      <c r="A230" s="170" t="s">
        <v>1830</v>
      </c>
      <c r="B230" s="490" t="s">
        <v>1831</v>
      </c>
      <c r="C230" s="490"/>
      <c r="D230" s="490"/>
      <c r="E230" s="490"/>
      <c r="F230" s="490"/>
      <c r="G230" s="127" t="s">
        <v>1024</v>
      </c>
      <c r="H230" s="524">
        <v>0.58730000000000004</v>
      </c>
      <c r="I230" s="524"/>
      <c r="J230" s="517">
        <v>19.68</v>
      </c>
      <c r="K230" s="517"/>
      <c r="L230" s="370">
        <f>TRUNC(TRUNC(H230,8)*J230,2)</f>
        <v>11.55</v>
      </c>
    </row>
    <row r="231" spans="1:12" ht="15" customHeight="1" x14ac:dyDescent="0.25">
      <c r="A231" s="184"/>
      <c r="B231" s="141"/>
      <c r="C231" s="141"/>
      <c r="D231" s="141"/>
      <c r="E231" s="141"/>
      <c r="F231" s="141"/>
      <c r="G231" s="141"/>
      <c r="H231" s="491" t="s">
        <v>1844</v>
      </c>
      <c r="I231" s="491"/>
      <c r="J231" s="491"/>
      <c r="K231" s="491"/>
      <c r="L231" s="369">
        <f>SUM(L229:L230)</f>
        <v>14.010000000000002</v>
      </c>
    </row>
    <row r="232" spans="1:12" ht="15" customHeight="1" x14ac:dyDescent="0.25">
      <c r="A232" s="182"/>
      <c r="B232" s="183"/>
      <c r="C232" s="183"/>
      <c r="D232" s="183"/>
      <c r="E232" s="183"/>
      <c r="F232" s="183"/>
      <c r="G232" s="183"/>
      <c r="H232" s="482" t="s">
        <v>1845</v>
      </c>
      <c r="I232" s="482"/>
      <c r="J232" s="482"/>
      <c r="K232" s="482"/>
      <c r="L232" s="371">
        <f>SUM(L231)</f>
        <v>14.010000000000002</v>
      </c>
    </row>
    <row r="233" spans="1:12" ht="15" customHeight="1" x14ac:dyDescent="0.25">
      <c r="A233" s="182"/>
      <c r="B233" s="183"/>
      <c r="C233" s="183"/>
      <c r="D233" s="183"/>
      <c r="E233" s="183"/>
      <c r="F233" s="183"/>
      <c r="G233" s="183"/>
      <c r="H233" s="482" t="s">
        <v>1846</v>
      </c>
      <c r="I233" s="482"/>
      <c r="J233" s="482"/>
      <c r="K233" s="482"/>
      <c r="L233" s="374">
        <v>1</v>
      </c>
    </row>
    <row r="234" spans="1:12" ht="15" customHeight="1" x14ac:dyDescent="0.25">
      <c r="A234" s="182"/>
      <c r="B234" s="183"/>
      <c r="C234" s="183"/>
      <c r="D234" s="183"/>
      <c r="E234" s="183"/>
      <c r="F234" s="183"/>
      <c r="G234" s="183"/>
      <c r="H234" s="482" t="s">
        <v>1847</v>
      </c>
      <c r="I234" s="482"/>
      <c r="J234" s="482"/>
      <c r="K234" s="482"/>
      <c r="L234" s="371">
        <f>TRUNC(L232/L233,4)</f>
        <v>14.01</v>
      </c>
    </row>
    <row r="235" spans="1:12" ht="20.100000000000001" customHeight="1" x14ac:dyDescent="0.25">
      <c r="A235" s="488" t="s">
        <v>2009</v>
      </c>
      <c r="B235" s="489"/>
      <c r="C235" s="489"/>
      <c r="D235" s="489"/>
      <c r="E235" s="489"/>
      <c r="F235" s="489"/>
      <c r="G235" s="233" t="s">
        <v>44</v>
      </c>
      <c r="H235" s="515" t="s">
        <v>1837</v>
      </c>
      <c r="I235" s="515"/>
      <c r="J235" s="515" t="s">
        <v>1814</v>
      </c>
      <c r="K235" s="515"/>
      <c r="L235" s="169" t="s">
        <v>1882</v>
      </c>
    </row>
    <row r="236" spans="1:12" ht="15.95" customHeight="1" x14ac:dyDescent="0.25">
      <c r="A236" s="170" t="s">
        <v>3422</v>
      </c>
      <c r="B236" s="492" t="s">
        <v>3423</v>
      </c>
      <c r="C236" s="492"/>
      <c r="D236" s="492"/>
      <c r="E236" s="492"/>
      <c r="F236" s="492"/>
      <c r="G236" s="127"/>
      <c r="H236" s="526">
        <v>1.1661999999999999</v>
      </c>
      <c r="I236" s="526"/>
      <c r="J236" s="525">
        <v>29.12</v>
      </c>
      <c r="K236" s="525"/>
      <c r="L236" s="171">
        <f>TRUNC(TRUNC(H236,8)*J236,2)</f>
        <v>33.950000000000003</v>
      </c>
    </row>
    <row r="237" spans="1:12" ht="15.95" customHeight="1" x14ac:dyDescent="0.25">
      <c r="A237" s="170" t="s">
        <v>3424</v>
      </c>
      <c r="B237" s="492" t="s">
        <v>3425</v>
      </c>
      <c r="C237" s="492"/>
      <c r="D237" s="492"/>
      <c r="E237" s="492"/>
      <c r="F237" s="492"/>
      <c r="G237" s="127"/>
      <c r="H237" s="526">
        <v>1.5122</v>
      </c>
      <c r="I237" s="526"/>
      <c r="J237" s="525">
        <v>31.65</v>
      </c>
      <c r="K237" s="525"/>
      <c r="L237" s="171">
        <f>TRUNC(TRUNC(H237,8)*J237,2)</f>
        <v>47.86</v>
      </c>
    </row>
    <row r="238" spans="1:12" ht="15" customHeight="1" x14ac:dyDescent="0.25">
      <c r="A238" s="184"/>
      <c r="B238" s="141"/>
      <c r="C238" s="141"/>
      <c r="D238" s="141"/>
      <c r="E238" s="141"/>
      <c r="F238" s="141"/>
      <c r="G238" s="141"/>
      <c r="H238" s="491" t="s">
        <v>2014</v>
      </c>
      <c r="I238" s="491"/>
      <c r="J238" s="491"/>
      <c r="K238" s="491"/>
      <c r="L238" s="375">
        <f>SUM(L236:L237)</f>
        <v>81.81</v>
      </c>
    </row>
    <row r="239" spans="1:12" ht="15" customHeight="1" x14ac:dyDescent="0.25">
      <c r="A239" s="182"/>
      <c r="B239" s="183"/>
      <c r="C239" s="183"/>
      <c r="D239" s="183"/>
      <c r="E239" s="183"/>
      <c r="F239" s="183"/>
      <c r="G239" s="183"/>
      <c r="H239" s="482" t="s">
        <v>1848</v>
      </c>
      <c r="I239" s="482"/>
      <c r="J239" s="482"/>
      <c r="K239" s="482"/>
      <c r="L239" s="371">
        <f>SUM(L234,L238)</f>
        <v>95.820000000000007</v>
      </c>
    </row>
    <row r="240" spans="1:12" ht="15" customHeight="1" x14ac:dyDescent="0.25">
      <c r="A240" s="182"/>
      <c r="B240" s="183"/>
      <c r="C240" s="183"/>
      <c r="D240" s="183"/>
      <c r="E240" s="183"/>
      <c r="F240" s="183"/>
      <c r="G240" s="183"/>
      <c r="H240" s="482" t="s">
        <v>1834</v>
      </c>
      <c r="I240" s="482"/>
      <c r="J240" s="482"/>
      <c r="K240" s="482"/>
      <c r="L240" s="369">
        <f>ROUND(SUM(L239),2)</f>
        <v>95.82</v>
      </c>
    </row>
    <row r="241" spans="1:12" ht="9.9499999999999993" customHeight="1" x14ac:dyDescent="0.25">
      <c r="A241" s="182"/>
      <c r="B241" s="183"/>
      <c r="C241" s="183"/>
      <c r="D241" s="183"/>
      <c r="E241" s="183"/>
      <c r="F241" s="183"/>
      <c r="G241" s="183"/>
      <c r="H241" s="485"/>
      <c r="I241" s="485"/>
      <c r="J241" s="485"/>
      <c r="K241" s="485"/>
      <c r="L241" s="512"/>
    </row>
    <row r="242" spans="1:12" ht="20.100000000000001" customHeight="1" x14ac:dyDescent="0.25">
      <c r="A242" s="486" t="s">
        <v>3426</v>
      </c>
      <c r="B242" s="487"/>
      <c r="C242" s="487"/>
      <c r="D242" s="487"/>
      <c r="E242" s="487"/>
      <c r="F242" s="487"/>
      <c r="G242" s="487"/>
      <c r="H242" s="487"/>
      <c r="I242" s="487"/>
      <c r="J242" s="487"/>
      <c r="K242" s="487"/>
      <c r="L242" s="513"/>
    </row>
    <row r="243" spans="1:12" ht="15" customHeight="1" x14ac:dyDescent="0.25">
      <c r="A243" s="474" t="s">
        <v>2021</v>
      </c>
      <c r="B243" s="475"/>
      <c r="C243" s="475"/>
      <c r="D243" s="476" t="s">
        <v>42</v>
      </c>
      <c r="E243" s="476"/>
      <c r="F243" s="476"/>
      <c r="G243" s="230" t="s">
        <v>44</v>
      </c>
      <c r="H243" s="476" t="s">
        <v>1813</v>
      </c>
      <c r="I243" s="476"/>
      <c r="J243" s="476" t="s">
        <v>1814</v>
      </c>
      <c r="K243" s="476"/>
      <c r="L243" s="366" t="s">
        <v>1802</v>
      </c>
    </row>
    <row r="244" spans="1:12" ht="29.1" customHeight="1" x14ac:dyDescent="0.25">
      <c r="A244" s="181" t="s">
        <v>3427</v>
      </c>
      <c r="B244" s="509" t="s">
        <v>3428</v>
      </c>
      <c r="C244" s="509"/>
      <c r="D244" s="481" t="s">
        <v>82</v>
      </c>
      <c r="E244" s="481"/>
      <c r="F244" s="481"/>
      <c r="G244" s="231" t="s">
        <v>2024</v>
      </c>
      <c r="H244" s="510">
        <v>2.504</v>
      </c>
      <c r="I244" s="510"/>
      <c r="J244" s="511">
        <v>33.21</v>
      </c>
      <c r="K244" s="511"/>
      <c r="L244" s="367">
        <f>TRUNC(TRUNC(H244,8)*J244,2)</f>
        <v>83.15</v>
      </c>
    </row>
    <row r="245" spans="1:12" ht="29.1" customHeight="1" x14ac:dyDescent="0.25">
      <c r="A245" s="181" t="s">
        <v>3429</v>
      </c>
      <c r="B245" s="509" t="s">
        <v>3430</v>
      </c>
      <c r="C245" s="509"/>
      <c r="D245" s="481" t="s">
        <v>82</v>
      </c>
      <c r="E245" s="481"/>
      <c r="F245" s="481"/>
      <c r="G245" s="231" t="s">
        <v>2027</v>
      </c>
      <c r="H245" s="510">
        <v>3.2467999999999999</v>
      </c>
      <c r="I245" s="510"/>
      <c r="J245" s="511">
        <v>35.69</v>
      </c>
      <c r="K245" s="511"/>
      <c r="L245" s="367">
        <f>TRUNC(TRUNC(H245,8)*J245,2)</f>
        <v>115.87</v>
      </c>
    </row>
    <row r="246" spans="1:12" ht="18" customHeight="1" x14ac:dyDescent="0.25">
      <c r="A246" s="182"/>
      <c r="B246" s="183"/>
      <c r="C246" s="183"/>
      <c r="D246" s="183"/>
      <c r="E246" s="183"/>
      <c r="F246" s="183"/>
      <c r="G246" s="183"/>
      <c r="H246" s="477" t="s">
        <v>2028</v>
      </c>
      <c r="I246" s="477"/>
      <c r="J246" s="477"/>
      <c r="K246" s="477"/>
      <c r="L246" s="368">
        <f>SUM(L244:L245)</f>
        <v>199.02</v>
      </c>
    </row>
    <row r="247" spans="1:12" ht="15" customHeight="1" x14ac:dyDescent="0.25">
      <c r="A247" s="474" t="s">
        <v>2190</v>
      </c>
      <c r="B247" s="475"/>
      <c r="C247" s="475"/>
      <c r="D247" s="476" t="s">
        <v>42</v>
      </c>
      <c r="E247" s="476"/>
      <c r="F247" s="476"/>
      <c r="G247" s="230" t="s">
        <v>44</v>
      </c>
      <c r="H247" s="476" t="s">
        <v>1813</v>
      </c>
      <c r="I247" s="476"/>
      <c r="J247" s="476" t="s">
        <v>1814</v>
      </c>
      <c r="K247" s="476"/>
      <c r="L247" s="366" t="s">
        <v>1802</v>
      </c>
    </row>
    <row r="248" spans="1:12" ht="15" customHeight="1" x14ac:dyDescent="0.25">
      <c r="A248" s="181" t="s">
        <v>2549</v>
      </c>
      <c r="B248" s="509" t="s">
        <v>2550</v>
      </c>
      <c r="C248" s="509"/>
      <c r="D248" s="481" t="s">
        <v>82</v>
      </c>
      <c r="E248" s="481"/>
      <c r="F248" s="481"/>
      <c r="G248" s="231" t="s">
        <v>1024</v>
      </c>
      <c r="H248" s="510">
        <v>0.2034</v>
      </c>
      <c r="I248" s="510"/>
      <c r="J248" s="511">
        <v>36.29</v>
      </c>
      <c r="K248" s="511"/>
      <c r="L248" s="367">
        <f>TRUNC(TRUNC(H248,8)*J248,2)</f>
        <v>7.38</v>
      </c>
    </row>
    <row r="249" spans="1:12" ht="15" customHeight="1" x14ac:dyDescent="0.25">
      <c r="A249" s="181" t="s">
        <v>2375</v>
      </c>
      <c r="B249" s="509" t="s">
        <v>2376</v>
      </c>
      <c r="C249" s="509"/>
      <c r="D249" s="481" t="s">
        <v>82</v>
      </c>
      <c r="E249" s="481"/>
      <c r="F249" s="481"/>
      <c r="G249" s="231" t="s">
        <v>1024</v>
      </c>
      <c r="H249" s="510">
        <v>1.2608999999999999</v>
      </c>
      <c r="I249" s="510"/>
      <c r="J249" s="511">
        <v>28.97</v>
      </c>
      <c r="K249" s="511"/>
      <c r="L249" s="367">
        <f>TRUNC(TRUNC(H249,8)*J249,2)</f>
        <v>36.520000000000003</v>
      </c>
    </row>
    <row r="250" spans="1:12" ht="18" customHeight="1" x14ac:dyDescent="0.25">
      <c r="A250" s="182"/>
      <c r="B250" s="183"/>
      <c r="C250" s="183"/>
      <c r="D250" s="183"/>
      <c r="E250" s="183"/>
      <c r="F250" s="183"/>
      <c r="G250" s="183"/>
      <c r="H250" s="477" t="s">
        <v>2195</v>
      </c>
      <c r="I250" s="477"/>
      <c r="J250" s="477"/>
      <c r="K250" s="477"/>
      <c r="L250" s="368">
        <f>SUM(L248:L249)</f>
        <v>43.900000000000006</v>
      </c>
    </row>
    <row r="251" spans="1:12" ht="15" customHeight="1" x14ac:dyDescent="0.25">
      <c r="A251" s="182"/>
      <c r="B251" s="183"/>
      <c r="C251" s="183"/>
      <c r="D251" s="183"/>
      <c r="E251" s="183"/>
      <c r="F251" s="183"/>
      <c r="G251" s="183"/>
      <c r="H251" s="482" t="s">
        <v>1834</v>
      </c>
      <c r="I251" s="482"/>
      <c r="J251" s="482"/>
      <c r="K251" s="482"/>
      <c r="L251" s="369">
        <f>ROUND(SUM(L246,L250),2)</f>
        <v>242.92</v>
      </c>
    </row>
    <row r="252" spans="1:12" ht="9.9499999999999993" customHeight="1" x14ac:dyDescent="0.25">
      <c r="A252" s="182"/>
      <c r="B252" s="183"/>
      <c r="C252" s="183"/>
      <c r="D252" s="183"/>
      <c r="E252" s="183"/>
      <c r="F252" s="183"/>
      <c r="G252" s="183"/>
      <c r="H252" s="485"/>
      <c r="I252" s="485"/>
      <c r="J252" s="485"/>
      <c r="K252" s="485"/>
      <c r="L252" s="512"/>
    </row>
    <row r="253" spans="1:12" ht="20.100000000000001" customHeight="1" x14ac:dyDescent="0.25">
      <c r="A253" s="486" t="s">
        <v>3431</v>
      </c>
      <c r="B253" s="487"/>
      <c r="C253" s="487"/>
      <c r="D253" s="487"/>
      <c r="E253" s="487"/>
      <c r="F253" s="487"/>
      <c r="G253" s="487"/>
      <c r="H253" s="487"/>
      <c r="I253" s="487"/>
      <c r="J253" s="487"/>
      <c r="K253" s="487"/>
      <c r="L253" s="513"/>
    </row>
    <row r="254" spans="1:12" ht="20.100000000000001" customHeight="1" x14ac:dyDescent="0.25">
      <c r="A254" s="488" t="s">
        <v>1836</v>
      </c>
      <c r="B254" s="489"/>
      <c r="C254" s="489"/>
      <c r="D254" s="489"/>
      <c r="E254" s="489"/>
      <c r="F254" s="489"/>
      <c r="G254" s="233" t="s">
        <v>44</v>
      </c>
      <c r="H254" s="515" t="s">
        <v>1837</v>
      </c>
      <c r="I254" s="515"/>
      <c r="J254" s="515" t="s">
        <v>1838</v>
      </c>
      <c r="K254" s="515"/>
      <c r="L254" s="169" t="s">
        <v>1839</v>
      </c>
    </row>
    <row r="255" spans="1:12" ht="15" customHeight="1" x14ac:dyDescent="0.25">
      <c r="A255" s="170" t="s">
        <v>1840</v>
      </c>
      <c r="B255" s="490" t="s">
        <v>1841</v>
      </c>
      <c r="C255" s="490"/>
      <c r="D255" s="490"/>
      <c r="E255" s="490"/>
      <c r="F255" s="490"/>
      <c r="G255" s="127" t="s">
        <v>1024</v>
      </c>
      <c r="H255" s="524">
        <v>0.25</v>
      </c>
      <c r="I255" s="524"/>
      <c r="J255" s="517">
        <v>21.94</v>
      </c>
      <c r="K255" s="517"/>
      <c r="L255" s="370">
        <f>TRUNC(TRUNC(H255,8)*J255,2)</f>
        <v>5.48</v>
      </c>
    </row>
    <row r="256" spans="1:12" ht="15" customHeight="1" x14ac:dyDescent="0.25">
      <c r="A256" s="170" t="s">
        <v>1828</v>
      </c>
      <c r="B256" s="490" t="s">
        <v>1829</v>
      </c>
      <c r="C256" s="490"/>
      <c r="D256" s="490"/>
      <c r="E256" s="490"/>
      <c r="F256" s="490"/>
      <c r="G256" s="127" t="s">
        <v>1024</v>
      </c>
      <c r="H256" s="524">
        <v>0.09</v>
      </c>
      <c r="I256" s="524"/>
      <c r="J256" s="517">
        <v>26.03</v>
      </c>
      <c r="K256" s="517"/>
      <c r="L256" s="370">
        <f>TRUNC(TRUNC(H256,8)*J256,2)</f>
        <v>2.34</v>
      </c>
    </row>
    <row r="257" spans="1:12" ht="15" customHeight="1" x14ac:dyDescent="0.25">
      <c r="A257" s="184"/>
      <c r="B257" s="141"/>
      <c r="C257" s="141"/>
      <c r="D257" s="141"/>
      <c r="E257" s="141"/>
      <c r="F257" s="141"/>
      <c r="G257" s="141"/>
      <c r="H257" s="491" t="s">
        <v>1844</v>
      </c>
      <c r="I257" s="491"/>
      <c r="J257" s="491"/>
      <c r="K257" s="491"/>
      <c r="L257" s="369">
        <f>SUM(L255:L256)</f>
        <v>7.82</v>
      </c>
    </row>
    <row r="258" spans="1:12" ht="15" customHeight="1" x14ac:dyDescent="0.25">
      <c r="A258" s="182"/>
      <c r="B258" s="183"/>
      <c r="C258" s="183"/>
      <c r="D258" s="183"/>
      <c r="E258" s="183"/>
      <c r="F258" s="183"/>
      <c r="G258" s="183"/>
      <c r="H258" s="482" t="s">
        <v>1845</v>
      </c>
      <c r="I258" s="482"/>
      <c r="J258" s="482"/>
      <c r="K258" s="482"/>
      <c r="L258" s="371">
        <f>SUM(L257)</f>
        <v>7.82</v>
      </c>
    </row>
    <row r="259" spans="1:12" ht="15" customHeight="1" x14ac:dyDescent="0.25">
      <c r="A259" s="182"/>
      <c r="B259" s="183"/>
      <c r="C259" s="183"/>
      <c r="D259" s="183"/>
      <c r="E259" s="183"/>
      <c r="F259" s="183"/>
      <c r="G259" s="183"/>
      <c r="H259" s="482" t="s">
        <v>1846</v>
      </c>
      <c r="I259" s="482"/>
      <c r="J259" s="482"/>
      <c r="K259" s="482"/>
      <c r="L259" s="374">
        <v>1</v>
      </c>
    </row>
    <row r="260" spans="1:12" ht="15" customHeight="1" x14ac:dyDescent="0.25">
      <c r="A260" s="182"/>
      <c r="B260" s="183"/>
      <c r="C260" s="183"/>
      <c r="D260" s="183"/>
      <c r="E260" s="183"/>
      <c r="F260" s="183"/>
      <c r="G260" s="183"/>
      <c r="H260" s="482" t="s">
        <v>1847</v>
      </c>
      <c r="I260" s="482"/>
      <c r="J260" s="482"/>
      <c r="K260" s="482"/>
      <c r="L260" s="371">
        <f>TRUNC(L258/L259,4)</f>
        <v>7.82</v>
      </c>
    </row>
    <row r="261" spans="1:12" ht="15" customHeight="1" x14ac:dyDescent="0.25">
      <c r="A261" s="182"/>
      <c r="B261" s="183"/>
      <c r="C261" s="183"/>
      <c r="D261" s="183"/>
      <c r="E261" s="183"/>
      <c r="F261" s="183"/>
      <c r="G261" s="183"/>
      <c r="H261" s="482" t="s">
        <v>1848</v>
      </c>
      <c r="I261" s="482"/>
      <c r="J261" s="482"/>
      <c r="K261" s="482"/>
      <c r="L261" s="371">
        <f>SUM(L260)</f>
        <v>7.82</v>
      </c>
    </row>
    <row r="262" spans="1:12" ht="15" customHeight="1" x14ac:dyDescent="0.25">
      <c r="A262" s="182"/>
      <c r="B262" s="183"/>
      <c r="C262" s="183"/>
      <c r="D262" s="183"/>
      <c r="E262" s="183"/>
      <c r="F262" s="183"/>
      <c r="G262" s="183"/>
      <c r="H262" s="482" t="s">
        <v>1834</v>
      </c>
      <c r="I262" s="482"/>
      <c r="J262" s="482"/>
      <c r="K262" s="482"/>
      <c r="L262" s="369">
        <f>ROUND(SUM(L261),2)</f>
        <v>7.82</v>
      </c>
    </row>
    <row r="263" spans="1:12" ht="9.9499999999999993" customHeight="1" x14ac:dyDescent="0.25">
      <c r="A263" s="182"/>
      <c r="B263" s="183"/>
      <c r="C263" s="183"/>
      <c r="D263" s="183"/>
      <c r="E263" s="183"/>
      <c r="F263" s="183"/>
      <c r="G263" s="183"/>
      <c r="H263" s="485"/>
      <c r="I263" s="485"/>
      <c r="J263" s="485"/>
      <c r="K263" s="485"/>
      <c r="L263" s="512"/>
    </row>
    <row r="264" spans="1:12" ht="20.100000000000001" customHeight="1" x14ac:dyDescent="0.25">
      <c r="A264" s="486" t="s">
        <v>3432</v>
      </c>
      <c r="B264" s="487"/>
      <c r="C264" s="487"/>
      <c r="D264" s="487"/>
      <c r="E264" s="487"/>
      <c r="F264" s="487"/>
      <c r="G264" s="487"/>
      <c r="H264" s="487"/>
      <c r="I264" s="487"/>
      <c r="J264" s="487"/>
      <c r="K264" s="487"/>
      <c r="L264" s="513"/>
    </row>
    <row r="265" spans="1:12" ht="20.100000000000001" customHeight="1" x14ac:dyDescent="0.25">
      <c r="A265" s="488" t="s">
        <v>1836</v>
      </c>
      <c r="B265" s="489"/>
      <c r="C265" s="489"/>
      <c r="D265" s="489"/>
      <c r="E265" s="489"/>
      <c r="F265" s="489"/>
      <c r="G265" s="233" t="s">
        <v>44</v>
      </c>
      <c r="H265" s="515" t="s">
        <v>1837</v>
      </c>
      <c r="I265" s="515"/>
      <c r="J265" s="515" t="s">
        <v>1838</v>
      </c>
      <c r="K265" s="515"/>
      <c r="L265" s="169" t="s">
        <v>1839</v>
      </c>
    </row>
    <row r="266" spans="1:12" ht="15" customHeight="1" x14ac:dyDescent="0.25">
      <c r="A266" s="170" t="s">
        <v>1830</v>
      </c>
      <c r="B266" s="490" t="s">
        <v>1831</v>
      </c>
      <c r="C266" s="490"/>
      <c r="D266" s="490"/>
      <c r="E266" s="490"/>
      <c r="F266" s="490"/>
      <c r="G266" s="127" t="s">
        <v>1024</v>
      </c>
      <c r="H266" s="524">
        <v>0.4</v>
      </c>
      <c r="I266" s="524"/>
      <c r="J266" s="517">
        <v>19.68</v>
      </c>
      <c r="K266" s="517"/>
      <c r="L266" s="370">
        <f>TRUNC(TRUNC(H266,8)*J266,2)</f>
        <v>7.87</v>
      </c>
    </row>
    <row r="267" spans="1:12" ht="15" customHeight="1" x14ac:dyDescent="0.25">
      <c r="A267" s="170" t="s">
        <v>3264</v>
      </c>
      <c r="B267" s="490" t="s">
        <v>3265</v>
      </c>
      <c r="C267" s="490"/>
      <c r="D267" s="490"/>
      <c r="E267" s="490"/>
      <c r="F267" s="490"/>
      <c r="G267" s="127" t="s">
        <v>1024</v>
      </c>
      <c r="H267" s="524">
        <v>0.3</v>
      </c>
      <c r="I267" s="524"/>
      <c r="J267" s="517">
        <v>26.03</v>
      </c>
      <c r="K267" s="517"/>
      <c r="L267" s="370">
        <f>TRUNC(TRUNC(H267,8)*J267,2)</f>
        <v>7.8</v>
      </c>
    </row>
    <row r="268" spans="1:12" ht="15" customHeight="1" x14ac:dyDescent="0.25">
      <c r="A268" s="184"/>
      <c r="B268" s="141"/>
      <c r="C268" s="141"/>
      <c r="D268" s="141"/>
      <c r="E268" s="141"/>
      <c r="F268" s="141"/>
      <c r="G268" s="141"/>
      <c r="H268" s="491" t="s">
        <v>1844</v>
      </c>
      <c r="I268" s="491"/>
      <c r="J268" s="491"/>
      <c r="K268" s="491"/>
      <c r="L268" s="369">
        <f>SUM(L266:L267)</f>
        <v>15.67</v>
      </c>
    </row>
    <row r="269" spans="1:12" ht="15" customHeight="1" x14ac:dyDescent="0.25">
      <c r="A269" s="182"/>
      <c r="B269" s="183"/>
      <c r="C269" s="183"/>
      <c r="D269" s="183"/>
      <c r="E269" s="183"/>
      <c r="F269" s="183"/>
      <c r="G269" s="183"/>
      <c r="H269" s="482" t="s">
        <v>1845</v>
      </c>
      <c r="I269" s="482"/>
      <c r="J269" s="482"/>
      <c r="K269" s="482"/>
      <c r="L269" s="371">
        <f>SUM(L268)</f>
        <v>15.67</v>
      </c>
    </row>
    <row r="270" spans="1:12" ht="15" customHeight="1" x14ac:dyDescent="0.25">
      <c r="A270" s="182"/>
      <c r="B270" s="183"/>
      <c r="C270" s="183"/>
      <c r="D270" s="183"/>
      <c r="E270" s="183"/>
      <c r="F270" s="183"/>
      <c r="G270" s="183"/>
      <c r="H270" s="482" t="s">
        <v>1846</v>
      </c>
      <c r="I270" s="482"/>
      <c r="J270" s="482"/>
      <c r="K270" s="482"/>
      <c r="L270" s="374">
        <v>1</v>
      </c>
    </row>
    <row r="271" spans="1:12" ht="15" customHeight="1" x14ac:dyDescent="0.25">
      <c r="A271" s="182"/>
      <c r="B271" s="183"/>
      <c r="C271" s="183"/>
      <c r="D271" s="183"/>
      <c r="E271" s="183"/>
      <c r="F271" s="183"/>
      <c r="G271" s="183"/>
      <c r="H271" s="482" t="s">
        <v>1847</v>
      </c>
      <c r="I271" s="482"/>
      <c r="J271" s="482"/>
      <c r="K271" s="482"/>
      <c r="L271" s="371">
        <f>TRUNC(L269/L270,4)</f>
        <v>15.67</v>
      </c>
    </row>
    <row r="272" spans="1:12" ht="15" customHeight="1" x14ac:dyDescent="0.25">
      <c r="A272" s="182"/>
      <c r="B272" s="183"/>
      <c r="C272" s="183"/>
      <c r="D272" s="183"/>
      <c r="E272" s="183"/>
      <c r="F272" s="183"/>
      <c r="G272" s="183"/>
      <c r="H272" s="482" t="s">
        <v>1848</v>
      </c>
      <c r="I272" s="482"/>
      <c r="J272" s="482"/>
      <c r="K272" s="482"/>
      <c r="L272" s="371">
        <f>SUM(L271)</f>
        <v>15.67</v>
      </c>
    </row>
    <row r="273" spans="1:12" ht="15" customHeight="1" x14ac:dyDescent="0.25">
      <c r="A273" s="182"/>
      <c r="B273" s="183"/>
      <c r="C273" s="183"/>
      <c r="D273" s="183"/>
      <c r="E273" s="183"/>
      <c r="F273" s="183"/>
      <c r="G273" s="183"/>
      <c r="H273" s="482" t="s">
        <v>1834</v>
      </c>
      <c r="I273" s="482"/>
      <c r="J273" s="482"/>
      <c r="K273" s="482"/>
      <c r="L273" s="369">
        <f>ROUND(SUM(L272),2)</f>
        <v>15.67</v>
      </c>
    </row>
    <row r="274" spans="1:12" ht="9.9499999999999993" customHeight="1" x14ac:dyDescent="0.25">
      <c r="A274" s="182"/>
      <c r="B274" s="183"/>
      <c r="C274" s="183"/>
      <c r="D274" s="183"/>
      <c r="E274" s="183"/>
      <c r="F274" s="183"/>
      <c r="G274" s="183"/>
      <c r="H274" s="485"/>
      <c r="I274" s="485"/>
      <c r="J274" s="485"/>
      <c r="K274" s="485"/>
      <c r="L274" s="512"/>
    </row>
    <row r="275" spans="1:12" ht="20.100000000000001" customHeight="1" x14ac:dyDescent="0.25">
      <c r="A275" s="486" t="s">
        <v>3433</v>
      </c>
      <c r="B275" s="487"/>
      <c r="C275" s="487"/>
      <c r="D275" s="487"/>
      <c r="E275" s="487"/>
      <c r="F275" s="487"/>
      <c r="G275" s="487"/>
      <c r="H275" s="487"/>
      <c r="I275" s="487"/>
      <c r="J275" s="487"/>
      <c r="K275" s="487"/>
      <c r="L275" s="513"/>
    </row>
    <row r="276" spans="1:12" ht="20.100000000000001" customHeight="1" x14ac:dyDescent="0.25">
      <c r="A276" s="488" t="s">
        <v>1836</v>
      </c>
      <c r="B276" s="489"/>
      <c r="C276" s="489"/>
      <c r="D276" s="489"/>
      <c r="E276" s="489"/>
      <c r="F276" s="489"/>
      <c r="G276" s="233" t="s">
        <v>44</v>
      </c>
      <c r="H276" s="515" t="s">
        <v>1837</v>
      </c>
      <c r="I276" s="515"/>
      <c r="J276" s="515" t="s">
        <v>1838</v>
      </c>
      <c r="K276" s="515"/>
      <c r="L276" s="169" t="s">
        <v>1839</v>
      </c>
    </row>
    <row r="277" spans="1:12" ht="15" customHeight="1" x14ac:dyDescent="0.25">
      <c r="A277" s="170" t="s">
        <v>1840</v>
      </c>
      <c r="B277" s="490" t="s">
        <v>1841</v>
      </c>
      <c r="C277" s="490"/>
      <c r="D277" s="490"/>
      <c r="E277" s="490"/>
      <c r="F277" s="490"/>
      <c r="G277" s="127" t="s">
        <v>1024</v>
      </c>
      <c r="H277" s="524">
        <v>0.05</v>
      </c>
      <c r="I277" s="524"/>
      <c r="J277" s="517">
        <v>21.94</v>
      </c>
      <c r="K277" s="517"/>
      <c r="L277" s="370">
        <f>TRUNC(TRUNC(H277,8)*J277,2)</f>
        <v>1.0900000000000001</v>
      </c>
    </row>
    <row r="278" spans="1:12" ht="15" customHeight="1" x14ac:dyDescent="0.25">
      <c r="A278" s="170" t="s">
        <v>2103</v>
      </c>
      <c r="B278" s="490" t="s">
        <v>2104</v>
      </c>
      <c r="C278" s="490"/>
      <c r="D278" s="490"/>
      <c r="E278" s="490"/>
      <c r="F278" s="490"/>
      <c r="G278" s="127" t="s">
        <v>1024</v>
      </c>
      <c r="H278" s="524">
        <v>0.38</v>
      </c>
      <c r="I278" s="524"/>
      <c r="J278" s="517">
        <v>26.03</v>
      </c>
      <c r="K278" s="517"/>
      <c r="L278" s="370">
        <f>TRUNC(TRUNC(H278,8)*J278,2)</f>
        <v>9.89</v>
      </c>
    </row>
    <row r="279" spans="1:12" ht="15" customHeight="1" x14ac:dyDescent="0.25">
      <c r="A279" s="170" t="s">
        <v>1830</v>
      </c>
      <c r="B279" s="490" t="s">
        <v>1831</v>
      </c>
      <c r="C279" s="490"/>
      <c r="D279" s="490"/>
      <c r="E279" s="490"/>
      <c r="F279" s="490"/>
      <c r="G279" s="127" t="s">
        <v>1024</v>
      </c>
      <c r="H279" s="524">
        <v>0.11</v>
      </c>
      <c r="I279" s="524"/>
      <c r="J279" s="517">
        <v>19.68</v>
      </c>
      <c r="K279" s="517"/>
      <c r="L279" s="370">
        <f>TRUNC(TRUNC(H279,8)*J279,2)</f>
        <v>2.16</v>
      </c>
    </row>
    <row r="280" spans="1:12" ht="15" customHeight="1" x14ac:dyDescent="0.25">
      <c r="A280" s="184"/>
      <c r="B280" s="141"/>
      <c r="C280" s="141"/>
      <c r="D280" s="141"/>
      <c r="E280" s="141"/>
      <c r="F280" s="141"/>
      <c r="G280" s="141"/>
      <c r="H280" s="491" t="s">
        <v>1844</v>
      </c>
      <c r="I280" s="491"/>
      <c r="J280" s="491"/>
      <c r="K280" s="491"/>
      <c r="L280" s="369">
        <f>SUM(L277:L279)</f>
        <v>13.14</v>
      </c>
    </row>
    <row r="281" spans="1:12" ht="15" customHeight="1" x14ac:dyDescent="0.25">
      <c r="A281" s="182"/>
      <c r="B281" s="183"/>
      <c r="C281" s="183"/>
      <c r="D281" s="183"/>
      <c r="E281" s="183"/>
      <c r="F281" s="183"/>
      <c r="G281" s="183"/>
      <c r="H281" s="482" t="s">
        <v>1845</v>
      </c>
      <c r="I281" s="482"/>
      <c r="J281" s="482"/>
      <c r="K281" s="482"/>
      <c r="L281" s="371">
        <f>SUM(L280)</f>
        <v>13.14</v>
      </c>
    </row>
    <row r="282" spans="1:12" ht="15" customHeight="1" x14ac:dyDescent="0.25">
      <c r="A282" s="182"/>
      <c r="B282" s="183"/>
      <c r="C282" s="183"/>
      <c r="D282" s="183"/>
      <c r="E282" s="183"/>
      <c r="F282" s="183"/>
      <c r="G282" s="183"/>
      <c r="H282" s="482" t="s">
        <v>1846</v>
      </c>
      <c r="I282" s="482"/>
      <c r="J282" s="482"/>
      <c r="K282" s="482"/>
      <c r="L282" s="374">
        <v>1</v>
      </c>
    </row>
    <row r="283" spans="1:12" ht="15" customHeight="1" x14ac:dyDescent="0.25">
      <c r="A283" s="182"/>
      <c r="B283" s="183"/>
      <c r="C283" s="183"/>
      <c r="D283" s="183"/>
      <c r="E283" s="183"/>
      <c r="F283" s="183"/>
      <c r="G283" s="183"/>
      <c r="H283" s="482" t="s">
        <v>1847</v>
      </c>
      <c r="I283" s="482"/>
      <c r="J283" s="482"/>
      <c r="K283" s="482"/>
      <c r="L283" s="371">
        <f>TRUNC(L281/L282,4)</f>
        <v>13.14</v>
      </c>
    </row>
    <row r="284" spans="1:12" ht="15" customHeight="1" x14ac:dyDescent="0.25">
      <c r="A284" s="182"/>
      <c r="B284" s="183"/>
      <c r="C284" s="183"/>
      <c r="D284" s="183"/>
      <c r="E284" s="183"/>
      <c r="F284" s="183"/>
      <c r="G284" s="183"/>
      <c r="H284" s="482" t="s">
        <v>1848</v>
      </c>
      <c r="I284" s="482"/>
      <c r="J284" s="482"/>
      <c r="K284" s="482"/>
      <c r="L284" s="371">
        <f>SUM(L283)</f>
        <v>13.14</v>
      </c>
    </row>
    <row r="285" spans="1:12" ht="15" customHeight="1" x14ac:dyDescent="0.25">
      <c r="A285" s="182"/>
      <c r="B285" s="183"/>
      <c r="C285" s="183"/>
      <c r="D285" s="183"/>
      <c r="E285" s="183"/>
      <c r="F285" s="183"/>
      <c r="G285" s="183"/>
      <c r="H285" s="482" t="s">
        <v>1834</v>
      </c>
      <c r="I285" s="482"/>
      <c r="J285" s="482"/>
      <c r="K285" s="482"/>
      <c r="L285" s="369">
        <f>ROUND(SUM(L284),2)</f>
        <v>13.14</v>
      </c>
    </row>
    <row r="286" spans="1:12" ht="9.9499999999999993" customHeight="1" x14ac:dyDescent="0.25">
      <c r="A286" s="182"/>
      <c r="B286" s="183"/>
      <c r="C286" s="183"/>
      <c r="D286" s="183"/>
      <c r="E286" s="183"/>
      <c r="F286" s="183"/>
      <c r="G286" s="183"/>
      <c r="H286" s="485"/>
      <c r="I286" s="485"/>
      <c r="J286" s="485"/>
      <c r="K286" s="485"/>
      <c r="L286" s="512"/>
    </row>
    <row r="287" spans="1:12" ht="20.100000000000001" customHeight="1" x14ac:dyDescent="0.25">
      <c r="A287" s="486" t="s">
        <v>3434</v>
      </c>
      <c r="B287" s="487"/>
      <c r="C287" s="487"/>
      <c r="D287" s="487"/>
      <c r="E287" s="487"/>
      <c r="F287" s="487"/>
      <c r="G287" s="487"/>
      <c r="H287" s="487"/>
      <c r="I287" s="487"/>
      <c r="J287" s="487"/>
      <c r="K287" s="487"/>
      <c r="L287" s="513"/>
    </row>
    <row r="288" spans="1:12" ht="20.100000000000001" customHeight="1" x14ac:dyDescent="0.25">
      <c r="A288" s="488" t="s">
        <v>1836</v>
      </c>
      <c r="B288" s="489"/>
      <c r="C288" s="489"/>
      <c r="D288" s="489"/>
      <c r="E288" s="489"/>
      <c r="F288" s="489"/>
      <c r="G288" s="233" t="s">
        <v>44</v>
      </c>
      <c r="H288" s="515" t="s">
        <v>1837</v>
      </c>
      <c r="I288" s="515"/>
      <c r="J288" s="515" t="s">
        <v>1838</v>
      </c>
      <c r="K288" s="515"/>
      <c r="L288" s="169" t="s">
        <v>1839</v>
      </c>
    </row>
    <row r="289" spans="1:12" ht="15" customHeight="1" x14ac:dyDescent="0.25">
      <c r="A289" s="170" t="s">
        <v>1851</v>
      </c>
      <c r="B289" s="490" t="s">
        <v>1852</v>
      </c>
      <c r="C289" s="490"/>
      <c r="D289" s="490"/>
      <c r="E289" s="490"/>
      <c r="F289" s="490"/>
      <c r="G289" s="127" t="s">
        <v>1024</v>
      </c>
      <c r="H289" s="524">
        <v>0.3</v>
      </c>
      <c r="I289" s="524"/>
      <c r="J289" s="517">
        <v>26.03</v>
      </c>
      <c r="K289" s="517"/>
      <c r="L289" s="370">
        <f>TRUNC(TRUNC(H289,8)*J289,2)</f>
        <v>7.8</v>
      </c>
    </row>
    <row r="290" spans="1:12" ht="15" customHeight="1" x14ac:dyDescent="0.25">
      <c r="A290" s="170" t="s">
        <v>1830</v>
      </c>
      <c r="B290" s="490" t="s">
        <v>1831</v>
      </c>
      <c r="C290" s="490"/>
      <c r="D290" s="490"/>
      <c r="E290" s="490"/>
      <c r="F290" s="490"/>
      <c r="G290" s="127" t="s">
        <v>1024</v>
      </c>
      <c r="H290" s="524">
        <v>0.8</v>
      </c>
      <c r="I290" s="524"/>
      <c r="J290" s="517">
        <v>19.68</v>
      </c>
      <c r="K290" s="517"/>
      <c r="L290" s="370">
        <f>TRUNC(TRUNC(H290,8)*J290,2)</f>
        <v>15.74</v>
      </c>
    </row>
    <row r="291" spans="1:12" ht="15" customHeight="1" x14ac:dyDescent="0.25">
      <c r="A291" s="184"/>
      <c r="B291" s="141"/>
      <c r="C291" s="141"/>
      <c r="D291" s="141"/>
      <c r="E291" s="141"/>
      <c r="F291" s="141"/>
      <c r="G291" s="141"/>
      <c r="H291" s="491" t="s">
        <v>1844</v>
      </c>
      <c r="I291" s="491"/>
      <c r="J291" s="491"/>
      <c r="K291" s="491"/>
      <c r="L291" s="369">
        <f>SUM(L289:L290)</f>
        <v>23.54</v>
      </c>
    </row>
    <row r="292" spans="1:12" ht="15" customHeight="1" x14ac:dyDescent="0.25">
      <c r="A292" s="182"/>
      <c r="B292" s="183"/>
      <c r="C292" s="183"/>
      <c r="D292" s="183"/>
      <c r="E292" s="183"/>
      <c r="F292" s="183"/>
      <c r="G292" s="183"/>
      <c r="H292" s="482" t="s">
        <v>1845</v>
      </c>
      <c r="I292" s="482"/>
      <c r="J292" s="482"/>
      <c r="K292" s="482"/>
      <c r="L292" s="371">
        <f>SUM(L291)</f>
        <v>23.54</v>
      </c>
    </row>
    <row r="293" spans="1:12" ht="15" customHeight="1" x14ac:dyDescent="0.25">
      <c r="A293" s="182"/>
      <c r="B293" s="183"/>
      <c r="C293" s="183"/>
      <c r="D293" s="183"/>
      <c r="E293" s="183"/>
      <c r="F293" s="183"/>
      <c r="G293" s="183"/>
      <c r="H293" s="482" t="s">
        <v>1846</v>
      </c>
      <c r="I293" s="482"/>
      <c r="J293" s="482"/>
      <c r="K293" s="482"/>
      <c r="L293" s="374">
        <v>1</v>
      </c>
    </row>
    <row r="294" spans="1:12" ht="15" customHeight="1" x14ac:dyDescent="0.25">
      <c r="A294" s="182"/>
      <c r="B294" s="183"/>
      <c r="C294" s="183"/>
      <c r="D294" s="183"/>
      <c r="E294" s="183"/>
      <c r="F294" s="183"/>
      <c r="G294" s="183"/>
      <c r="H294" s="482" t="s">
        <v>1847</v>
      </c>
      <c r="I294" s="482"/>
      <c r="J294" s="482"/>
      <c r="K294" s="482"/>
      <c r="L294" s="371">
        <f>TRUNC(L292/L293,4)</f>
        <v>23.54</v>
      </c>
    </row>
    <row r="295" spans="1:12" ht="15" customHeight="1" x14ac:dyDescent="0.25">
      <c r="A295" s="182"/>
      <c r="B295" s="183"/>
      <c r="C295" s="183"/>
      <c r="D295" s="183"/>
      <c r="E295" s="183"/>
      <c r="F295" s="183"/>
      <c r="G295" s="183"/>
      <c r="H295" s="482" t="s">
        <v>1848</v>
      </c>
      <c r="I295" s="482"/>
      <c r="J295" s="482"/>
      <c r="K295" s="482"/>
      <c r="L295" s="371">
        <f>SUM(L294)</f>
        <v>23.54</v>
      </c>
    </row>
    <row r="296" spans="1:12" ht="15" customHeight="1" x14ac:dyDescent="0.25">
      <c r="A296" s="182"/>
      <c r="B296" s="183"/>
      <c r="C296" s="183"/>
      <c r="D296" s="183"/>
      <c r="E296" s="183"/>
      <c r="F296" s="183"/>
      <c r="G296" s="183"/>
      <c r="H296" s="482" t="s">
        <v>1834</v>
      </c>
      <c r="I296" s="482"/>
      <c r="J296" s="482"/>
      <c r="K296" s="482"/>
      <c r="L296" s="369">
        <f>ROUND(SUM(L295),2)</f>
        <v>23.54</v>
      </c>
    </row>
    <row r="297" spans="1:12" ht="9.9499999999999993" customHeight="1" x14ac:dyDescent="0.25">
      <c r="A297" s="182"/>
      <c r="B297" s="183"/>
      <c r="C297" s="183"/>
      <c r="D297" s="183"/>
      <c r="E297" s="183"/>
      <c r="F297" s="183"/>
      <c r="G297" s="183"/>
      <c r="H297" s="485"/>
      <c r="I297" s="485"/>
      <c r="J297" s="485"/>
      <c r="K297" s="485"/>
      <c r="L297" s="512"/>
    </row>
    <row r="298" spans="1:12" ht="20.100000000000001" customHeight="1" x14ac:dyDescent="0.25">
      <c r="A298" s="486" t="s">
        <v>3435</v>
      </c>
      <c r="B298" s="487"/>
      <c r="C298" s="487"/>
      <c r="D298" s="487"/>
      <c r="E298" s="487"/>
      <c r="F298" s="487"/>
      <c r="G298" s="487"/>
      <c r="H298" s="487"/>
      <c r="I298" s="487"/>
      <c r="J298" s="487"/>
      <c r="K298" s="487"/>
      <c r="L298" s="513"/>
    </row>
    <row r="299" spans="1:12" ht="20.100000000000001" customHeight="1" x14ac:dyDescent="0.25">
      <c r="A299" s="488" t="s">
        <v>1836</v>
      </c>
      <c r="B299" s="489"/>
      <c r="C299" s="489"/>
      <c r="D299" s="489"/>
      <c r="E299" s="489"/>
      <c r="F299" s="489"/>
      <c r="G299" s="233" t="s">
        <v>44</v>
      </c>
      <c r="H299" s="515" t="s">
        <v>1837</v>
      </c>
      <c r="I299" s="515"/>
      <c r="J299" s="515" t="s">
        <v>1838</v>
      </c>
      <c r="K299" s="515"/>
      <c r="L299" s="169" t="s">
        <v>1839</v>
      </c>
    </row>
    <row r="300" spans="1:12" ht="15" customHeight="1" x14ac:dyDescent="0.25">
      <c r="A300" s="170" t="s">
        <v>1842</v>
      </c>
      <c r="B300" s="490" t="s">
        <v>1843</v>
      </c>
      <c r="C300" s="490"/>
      <c r="D300" s="490"/>
      <c r="E300" s="490"/>
      <c r="F300" s="490"/>
      <c r="G300" s="127" t="s">
        <v>1024</v>
      </c>
      <c r="H300" s="524">
        <v>0.48</v>
      </c>
      <c r="I300" s="524"/>
      <c r="J300" s="517">
        <v>26.03</v>
      </c>
      <c r="K300" s="517"/>
      <c r="L300" s="370">
        <f>TRUNC(TRUNC(H300,8)*J300,2)</f>
        <v>12.49</v>
      </c>
    </row>
    <row r="301" spans="1:12" ht="15" customHeight="1" x14ac:dyDescent="0.25">
      <c r="A301" s="170" t="s">
        <v>1830</v>
      </c>
      <c r="B301" s="490" t="s">
        <v>1831</v>
      </c>
      <c r="C301" s="490"/>
      <c r="D301" s="490"/>
      <c r="E301" s="490"/>
      <c r="F301" s="490"/>
      <c r="G301" s="127" t="s">
        <v>1024</v>
      </c>
      <c r="H301" s="524">
        <v>0.45</v>
      </c>
      <c r="I301" s="524"/>
      <c r="J301" s="517">
        <v>19.68</v>
      </c>
      <c r="K301" s="517"/>
      <c r="L301" s="370">
        <f>TRUNC(TRUNC(H301,8)*J301,2)</f>
        <v>8.85</v>
      </c>
    </row>
    <row r="302" spans="1:12" ht="15" customHeight="1" x14ac:dyDescent="0.25">
      <c r="A302" s="184"/>
      <c r="B302" s="141"/>
      <c r="C302" s="141"/>
      <c r="D302" s="141"/>
      <c r="E302" s="141"/>
      <c r="F302" s="141"/>
      <c r="G302" s="141"/>
      <c r="H302" s="491" t="s">
        <v>1844</v>
      </c>
      <c r="I302" s="491"/>
      <c r="J302" s="491"/>
      <c r="K302" s="491"/>
      <c r="L302" s="369">
        <f>SUM(L300:L301)</f>
        <v>21.34</v>
      </c>
    </row>
    <row r="303" spans="1:12" ht="15" customHeight="1" x14ac:dyDescent="0.25">
      <c r="A303" s="182"/>
      <c r="B303" s="183"/>
      <c r="C303" s="183"/>
      <c r="D303" s="183"/>
      <c r="E303" s="183"/>
      <c r="F303" s="183"/>
      <c r="G303" s="183"/>
      <c r="H303" s="482" t="s">
        <v>1845</v>
      </c>
      <c r="I303" s="482"/>
      <c r="J303" s="482"/>
      <c r="K303" s="482"/>
      <c r="L303" s="371">
        <f>SUM(L302)</f>
        <v>21.34</v>
      </c>
    </row>
    <row r="304" spans="1:12" ht="15" customHeight="1" x14ac:dyDescent="0.25">
      <c r="A304" s="182"/>
      <c r="B304" s="183"/>
      <c r="C304" s="183"/>
      <c r="D304" s="183"/>
      <c r="E304" s="183"/>
      <c r="F304" s="183"/>
      <c r="G304" s="183"/>
      <c r="H304" s="482" t="s">
        <v>1846</v>
      </c>
      <c r="I304" s="482"/>
      <c r="J304" s="482"/>
      <c r="K304" s="482"/>
      <c r="L304" s="374">
        <v>1</v>
      </c>
    </row>
    <row r="305" spans="1:12" ht="15" customHeight="1" x14ac:dyDescent="0.25">
      <c r="A305" s="182"/>
      <c r="B305" s="183"/>
      <c r="C305" s="183"/>
      <c r="D305" s="183"/>
      <c r="E305" s="183"/>
      <c r="F305" s="183"/>
      <c r="G305" s="183"/>
      <c r="H305" s="482" t="s">
        <v>1847</v>
      </c>
      <c r="I305" s="482"/>
      <c r="J305" s="482"/>
      <c r="K305" s="482"/>
      <c r="L305" s="371">
        <f>TRUNC(L303/L304,4)</f>
        <v>21.34</v>
      </c>
    </row>
    <row r="306" spans="1:12" ht="15" customHeight="1" x14ac:dyDescent="0.25">
      <c r="A306" s="182"/>
      <c r="B306" s="183"/>
      <c r="C306" s="183"/>
      <c r="D306" s="183"/>
      <c r="E306" s="183"/>
      <c r="F306" s="183"/>
      <c r="G306" s="183"/>
      <c r="H306" s="482" t="s">
        <v>1848</v>
      </c>
      <c r="I306" s="482"/>
      <c r="J306" s="482"/>
      <c r="K306" s="482"/>
      <c r="L306" s="371">
        <f>SUM(L305)</f>
        <v>21.34</v>
      </c>
    </row>
    <row r="307" spans="1:12" ht="15" customHeight="1" x14ac:dyDescent="0.25">
      <c r="A307" s="182"/>
      <c r="B307" s="183"/>
      <c r="C307" s="183"/>
      <c r="D307" s="183"/>
      <c r="E307" s="183"/>
      <c r="F307" s="183"/>
      <c r="G307" s="183"/>
      <c r="H307" s="482" t="s">
        <v>1834</v>
      </c>
      <c r="I307" s="482"/>
      <c r="J307" s="482"/>
      <c r="K307" s="482"/>
      <c r="L307" s="369">
        <f>ROUND(SUM(L306),2)</f>
        <v>21.34</v>
      </c>
    </row>
    <row r="308" spans="1:12" ht="9.9499999999999993" customHeight="1" x14ac:dyDescent="0.25">
      <c r="A308" s="182"/>
      <c r="B308" s="183"/>
      <c r="C308" s="183"/>
      <c r="D308" s="183"/>
      <c r="E308" s="183"/>
      <c r="F308" s="183"/>
      <c r="G308" s="183"/>
      <c r="H308" s="485"/>
      <c r="I308" s="485"/>
      <c r="J308" s="485"/>
      <c r="K308" s="485"/>
      <c r="L308" s="512"/>
    </row>
    <row r="309" spans="1:12" ht="20.100000000000001" customHeight="1" x14ac:dyDescent="0.25">
      <c r="A309" s="486" t="s">
        <v>3436</v>
      </c>
      <c r="B309" s="487"/>
      <c r="C309" s="487"/>
      <c r="D309" s="487"/>
      <c r="E309" s="487"/>
      <c r="F309" s="487"/>
      <c r="G309" s="487"/>
      <c r="H309" s="487"/>
      <c r="I309" s="487"/>
      <c r="J309" s="487"/>
      <c r="K309" s="487"/>
      <c r="L309" s="513"/>
    </row>
    <row r="310" spans="1:12" ht="20.100000000000001" customHeight="1" x14ac:dyDescent="0.25">
      <c r="A310" s="488" t="s">
        <v>1836</v>
      </c>
      <c r="B310" s="489"/>
      <c r="C310" s="489"/>
      <c r="D310" s="489"/>
      <c r="E310" s="489"/>
      <c r="F310" s="489"/>
      <c r="G310" s="233" t="s">
        <v>44</v>
      </c>
      <c r="H310" s="515" t="s">
        <v>1837</v>
      </c>
      <c r="I310" s="515"/>
      <c r="J310" s="515" t="s">
        <v>1838</v>
      </c>
      <c r="K310" s="515"/>
      <c r="L310" s="169" t="s">
        <v>1839</v>
      </c>
    </row>
    <row r="311" spans="1:12" ht="15" customHeight="1" x14ac:dyDescent="0.25">
      <c r="A311" s="170" t="s">
        <v>1842</v>
      </c>
      <c r="B311" s="490" t="s">
        <v>1843</v>
      </c>
      <c r="C311" s="490"/>
      <c r="D311" s="490"/>
      <c r="E311" s="490"/>
      <c r="F311" s="490"/>
      <c r="G311" s="127" t="s">
        <v>1024</v>
      </c>
      <c r="H311" s="524">
        <v>0.15</v>
      </c>
      <c r="I311" s="524"/>
      <c r="J311" s="517">
        <v>26.03</v>
      </c>
      <c r="K311" s="517"/>
      <c r="L311" s="370">
        <f>TRUNC(TRUNC(H311,8)*J311,2)</f>
        <v>3.9</v>
      </c>
    </row>
    <row r="312" spans="1:12" ht="15" customHeight="1" x14ac:dyDescent="0.25">
      <c r="A312" s="170" t="s">
        <v>1830</v>
      </c>
      <c r="B312" s="490" t="s">
        <v>1831</v>
      </c>
      <c r="C312" s="490"/>
      <c r="D312" s="490"/>
      <c r="E312" s="490"/>
      <c r="F312" s="490"/>
      <c r="G312" s="127" t="s">
        <v>1024</v>
      </c>
      <c r="H312" s="524">
        <v>0.5</v>
      </c>
      <c r="I312" s="524"/>
      <c r="J312" s="517">
        <v>19.68</v>
      </c>
      <c r="K312" s="517"/>
      <c r="L312" s="370">
        <f>TRUNC(TRUNC(H312,8)*J312,2)</f>
        <v>9.84</v>
      </c>
    </row>
    <row r="313" spans="1:12" ht="15" customHeight="1" x14ac:dyDescent="0.25">
      <c r="A313" s="184"/>
      <c r="B313" s="141"/>
      <c r="C313" s="141"/>
      <c r="D313" s="141"/>
      <c r="E313" s="141"/>
      <c r="F313" s="141"/>
      <c r="G313" s="141"/>
      <c r="H313" s="491" t="s">
        <v>1844</v>
      </c>
      <c r="I313" s="491"/>
      <c r="J313" s="491"/>
      <c r="K313" s="491"/>
      <c r="L313" s="369">
        <f>SUM(L311:L312)</f>
        <v>13.74</v>
      </c>
    </row>
    <row r="314" spans="1:12" ht="15" customHeight="1" x14ac:dyDescent="0.25">
      <c r="A314" s="182"/>
      <c r="B314" s="183"/>
      <c r="C314" s="183"/>
      <c r="D314" s="183"/>
      <c r="E314" s="183"/>
      <c r="F314" s="183"/>
      <c r="G314" s="183"/>
      <c r="H314" s="482" t="s">
        <v>1845</v>
      </c>
      <c r="I314" s="482"/>
      <c r="J314" s="482"/>
      <c r="K314" s="482"/>
      <c r="L314" s="371">
        <f>SUM(L313)</f>
        <v>13.74</v>
      </c>
    </row>
    <row r="315" spans="1:12" ht="15" customHeight="1" x14ac:dyDescent="0.25">
      <c r="A315" s="182"/>
      <c r="B315" s="183"/>
      <c r="C315" s="183"/>
      <c r="D315" s="183"/>
      <c r="E315" s="183"/>
      <c r="F315" s="183"/>
      <c r="G315" s="183"/>
      <c r="H315" s="482" t="s">
        <v>1846</v>
      </c>
      <c r="I315" s="482"/>
      <c r="J315" s="482"/>
      <c r="K315" s="482"/>
      <c r="L315" s="374">
        <v>1</v>
      </c>
    </row>
    <row r="316" spans="1:12" ht="15" customHeight="1" x14ac:dyDescent="0.25">
      <c r="A316" s="182"/>
      <c r="B316" s="183"/>
      <c r="C316" s="183"/>
      <c r="D316" s="183"/>
      <c r="E316" s="183"/>
      <c r="F316" s="183"/>
      <c r="G316" s="183"/>
      <c r="H316" s="482" t="s">
        <v>1847</v>
      </c>
      <c r="I316" s="482"/>
      <c r="J316" s="482"/>
      <c r="K316" s="482"/>
      <c r="L316" s="371">
        <f>TRUNC(L314/L315,4)</f>
        <v>13.74</v>
      </c>
    </row>
    <row r="317" spans="1:12" ht="15" customHeight="1" x14ac:dyDescent="0.25">
      <c r="A317" s="182"/>
      <c r="B317" s="183"/>
      <c r="C317" s="183"/>
      <c r="D317" s="183"/>
      <c r="E317" s="183"/>
      <c r="F317" s="183"/>
      <c r="G317" s="183"/>
      <c r="H317" s="482" t="s">
        <v>1848</v>
      </c>
      <c r="I317" s="482"/>
      <c r="J317" s="482"/>
      <c r="K317" s="482"/>
      <c r="L317" s="371">
        <f>SUM(L316)</f>
        <v>13.74</v>
      </c>
    </row>
    <row r="318" spans="1:12" ht="15" customHeight="1" x14ac:dyDescent="0.25">
      <c r="A318" s="182"/>
      <c r="B318" s="183"/>
      <c r="C318" s="183"/>
      <c r="D318" s="183"/>
      <c r="E318" s="183"/>
      <c r="F318" s="183"/>
      <c r="G318" s="183"/>
      <c r="H318" s="482" t="s">
        <v>1834</v>
      </c>
      <c r="I318" s="482"/>
      <c r="J318" s="482"/>
      <c r="K318" s="482"/>
      <c r="L318" s="369">
        <f>ROUND(SUM(L317),2)</f>
        <v>13.74</v>
      </c>
    </row>
    <row r="319" spans="1:12" ht="9.9499999999999993" customHeight="1" x14ac:dyDescent="0.25">
      <c r="A319" s="182"/>
      <c r="B319" s="183"/>
      <c r="C319" s="183"/>
      <c r="D319" s="183"/>
      <c r="E319" s="183"/>
      <c r="F319" s="183"/>
      <c r="G319" s="183"/>
      <c r="H319" s="485"/>
      <c r="I319" s="485"/>
      <c r="J319" s="485"/>
      <c r="K319" s="485"/>
      <c r="L319" s="512"/>
    </row>
    <row r="320" spans="1:12" ht="20.100000000000001" customHeight="1" x14ac:dyDescent="0.25">
      <c r="A320" s="486" t="s">
        <v>1835</v>
      </c>
      <c r="B320" s="487"/>
      <c r="C320" s="487"/>
      <c r="D320" s="487"/>
      <c r="E320" s="487"/>
      <c r="F320" s="487"/>
      <c r="G320" s="487"/>
      <c r="H320" s="487"/>
      <c r="I320" s="487"/>
      <c r="J320" s="487"/>
      <c r="K320" s="487"/>
      <c r="L320" s="513"/>
    </row>
    <row r="321" spans="1:12" ht="20.100000000000001" customHeight="1" x14ac:dyDescent="0.25">
      <c r="A321" s="488" t="s">
        <v>1836</v>
      </c>
      <c r="B321" s="489"/>
      <c r="C321" s="489"/>
      <c r="D321" s="489"/>
      <c r="E321" s="489"/>
      <c r="F321" s="489"/>
      <c r="G321" s="233" t="s">
        <v>44</v>
      </c>
      <c r="H321" s="515" t="s">
        <v>1837</v>
      </c>
      <c r="I321" s="515"/>
      <c r="J321" s="515" t="s">
        <v>1838</v>
      </c>
      <c r="K321" s="515"/>
      <c r="L321" s="169" t="s">
        <v>1839</v>
      </c>
    </row>
    <row r="322" spans="1:12" ht="15" customHeight="1" x14ac:dyDescent="0.25">
      <c r="A322" s="170" t="s">
        <v>1840</v>
      </c>
      <c r="B322" s="490" t="s">
        <v>1841</v>
      </c>
      <c r="C322" s="490"/>
      <c r="D322" s="490"/>
      <c r="E322" s="490"/>
      <c r="F322" s="490"/>
      <c r="G322" s="127" t="s">
        <v>1024</v>
      </c>
      <c r="H322" s="524">
        <v>1.4</v>
      </c>
      <c r="I322" s="524"/>
      <c r="J322" s="517">
        <v>21.94</v>
      </c>
      <c r="K322" s="517"/>
      <c r="L322" s="370">
        <f>ROUND(ROUND(H322,8)*J322,2)</f>
        <v>30.72</v>
      </c>
    </row>
    <row r="323" spans="1:12" ht="15" customHeight="1" x14ac:dyDescent="0.25">
      <c r="A323" s="170" t="s">
        <v>1842</v>
      </c>
      <c r="B323" s="490" t="s">
        <v>1843</v>
      </c>
      <c r="C323" s="490"/>
      <c r="D323" s="490"/>
      <c r="E323" s="490"/>
      <c r="F323" s="490"/>
      <c r="G323" s="127" t="s">
        <v>1024</v>
      </c>
      <c r="H323" s="524">
        <v>1.4</v>
      </c>
      <c r="I323" s="524"/>
      <c r="J323" s="517">
        <v>26.03</v>
      </c>
      <c r="K323" s="517"/>
      <c r="L323" s="370">
        <f>ROUND(ROUND(H323,8)*J323,2)</f>
        <v>36.44</v>
      </c>
    </row>
    <row r="324" spans="1:12" ht="15" customHeight="1" x14ac:dyDescent="0.25">
      <c r="A324" s="184"/>
      <c r="B324" s="141"/>
      <c r="C324" s="141"/>
      <c r="D324" s="141"/>
      <c r="E324" s="141"/>
      <c r="F324" s="141"/>
      <c r="G324" s="141"/>
      <c r="H324" s="491" t="s">
        <v>1844</v>
      </c>
      <c r="I324" s="491"/>
      <c r="J324" s="491"/>
      <c r="K324" s="491"/>
      <c r="L324" s="369">
        <f>SUM(L322:L323)</f>
        <v>67.16</v>
      </c>
    </row>
    <row r="325" spans="1:12" ht="15" customHeight="1" x14ac:dyDescent="0.25">
      <c r="A325" s="182"/>
      <c r="B325" s="183"/>
      <c r="C325" s="183"/>
      <c r="D325" s="183"/>
      <c r="E325" s="183"/>
      <c r="F325" s="183"/>
      <c r="G325" s="183"/>
      <c r="H325" s="482" t="s">
        <v>1845</v>
      </c>
      <c r="I325" s="482"/>
      <c r="J325" s="482"/>
      <c r="K325" s="482"/>
      <c r="L325" s="371">
        <f>SUM(L324)</f>
        <v>67.16</v>
      </c>
    </row>
    <row r="326" spans="1:12" ht="15" customHeight="1" x14ac:dyDescent="0.25">
      <c r="A326" s="182"/>
      <c r="B326" s="183"/>
      <c r="C326" s="183"/>
      <c r="D326" s="183"/>
      <c r="E326" s="183"/>
      <c r="F326" s="183"/>
      <c r="G326" s="183"/>
      <c r="H326" s="482" t="s">
        <v>1846</v>
      </c>
      <c r="I326" s="482"/>
      <c r="J326" s="482"/>
      <c r="K326" s="482"/>
      <c r="L326" s="382">
        <v>1</v>
      </c>
    </row>
    <row r="327" spans="1:12" ht="15" customHeight="1" x14ac:dyDescent="0.25">
      <c r="A327" s="182"/>
      <c r="B327" s="183"/>
      <c r="C327" s="183"/>
      <c r="D327" s="183"/>
      <c r="E327" s="183"/>
      <c r="F327" s="183"/>
      <c r="G327" s="183"/>
      <c r="H327" s="482" t="s">
        <v>1847</v>
      </c>
      <c r="I327" s="482"/>
      <c r="J327" s="482"/>
      <c r="K327" s="482"/>
      <c r="L327" s="371">
        <f>ROUND(L325/L326,4)</f>
        <v>67.16</v>
      </c>
    </row>
    <row r="328" spans="1:12" ht="15" customHeight="1" x14ac:dyDescent="0.25">
      <c r="A328" s="182"/>
      <c r="B328" s="183"/>
      <c r="C328" s="183"/>
      <c r="D328" s="183"/>
      <c r="E328" s="183"/>
      <c r="F328" s="183"/>
      <c r="G328" s="183"/>
      <c r="H328" s="482" t="s">
        <v>1848</v>
      </c>
      <c r="I328" s="482"/>
      <c r="J328" s="482"/>
      <c r="K328" s="482"/>
      <c r="L328" s="371">
        <f>SUM(L327)</f>
        <v>67.16</v>
      </c>
    </row>
    <row r="329" spans="1:12" ht="15" customHeight="1" x14ac:dyDescent="0.25">
      <c r="A329" s="483" t="s">
        <v>1849</v>
      </c>
      <c r="B329" s="484"/>
      <c r="C329" s="484"/>
      <c r="D329" s="484"/>
      <c r="E329" s="183"/>
      <c r="F329" s="183"/>
      <c r="G329" s="183"/>
      <c r="H329" s="482" t="s">
        <v>1834</v>
      </c>
      <c r="I329" s="482"/>
      <c r="J329" s="482"/>
      <c r="K329" s="482"/>
      <c r="L329" s="369">
        <v>67.16</v>
      </c>
    </row>
    <row r="330" spans="1:12" ht="9.9499999999999993" customHeight="1" x14ac:dyDescent="0.25">
      <c r="A330" s="182"/>
      <c r="B330" s="183"/>
      <c r="C330" s="183"/>
      <c r="D330" s="183"/>
      <c r="E330" s="183"/>
      <c r="F330" s="183"/>
      <c r="G330" s="183"/>
      <c r="H330" s="485"/>
      <c r="I330" s="485"/>
      <c r="J330" s="485"/>
      <c r="K330" s="485"/>
      <c r="L330" s="512"/>
    </row>
    <row r="331" spans="1:12" ht="20.100000000000001" customHeight="1" x14ac:dyDescent="0.25">
      <c r="A331" s="486" t="s">
        <v>3437</v>
      </c>
      <c r="B331" s="487"/>
      <c r="C331" s="487"/>
      <c r="D331" s="487"/>
      <c r="E331" s="487"/>
      <c r="F331" s="487"/>
      <c r="G331" s="487"/>
      <c r="H331" s="487"/>
      <c r="I331" s="487"/>
      <c r="J331" s="487"/>
      <c r="K331" s="487"/>
      <c r="L331" s="513"/>
    </row>
    <row r="332" spans="1:12" ht="15" customHeight="1" x14ac:dyDescent="0.25">
      <c r="A332" s="474" t="s">
        <v>2021</v>
      </c>
      <c r="B332" s="475"/>
      <c r="C332" s="475"/>
      <c r="D332" s="476" t="s">
        <v>42</v>
      </c>
      <c r="E332" s="476"/>
      <c r="F332" s="476"/>
      <c r="G332" s="230" t="s">
        <v>44</v>
      </c>
      <c r="H332" s="476" t="s">
        <v>1813</v>
      </c>
      <c r="I332" s="476"/>
      <c r="J332" s="476" t="s">
        <v>1814</v>
      </c>
      <c r="K332" s="476"/>
      <c r="L332" s="366" t="s">
        <v>1802</v>
      </c>
    </row>
    <row r="333" spans="1:12" ht="29.1" customHeight="1" x14ac:dyDescent="0.25">
      <c r="A333" s="181" t="s">
        <v>3438</v>
      </c>
      <c r="B333" s="509" t="s">
        <v>3439</v>
      </c>
      <c r="C333" s="509"/>
      <c r="D333" s="481" t="s">
        <v>82</v>
      </c>
      <c r="E333" s="481"/>
      <c r="F333" s="481"/>
      <c r="G333" s="231" t="s">
        <v>2024</v>
      </c>
      <c r="H333" s="510">
        <v>0.86950000000000005</v>
      </c>
      <c r="I333" s="510"/>
      <c r="J333" s="511">
        <v>8.9</v>
      </c>
      <c r="K333" s="511"/>
      <c r="L333" s="367">
        <f>TRUNC(TRUNC(H333,8)*J333,2)</f>
        <v>7.73</v>
      </c>
    </row>
    <row r="334" spans="1:12" ht="29.1" customHeight="1" x14ac:dyDescent="0.25">
      <c r="A334" s="181" t="s">
        <v>3440</v>
      </c>
      <c r="B334" s="509" t="s">
        <v>3441</v>
      </c>
      <c r="C334" s="509"/>
      <c r="D334" s="481" t="s">
        <v>82</v>
      </c>
      <c r="E334" s="481"/>
      <c r="F334" s="481"/>
      <c r="G334" s="231" t="s">
        <v>2027</v>
      </c>
      <c r="H334" s="510">
        <v>1.137</v>
      </c>
      <c r="I334" s="510"/>
      <c r="J334" s="511">
        <v>34.909999999999997</v>
      </c>
      <c r="K334" s="511"/>
      <c r="L334" s="367">
        <f>TRUNC(TRUNC(H334,8)*J334,2)</f>
        <v>39.69</v>
      </c>
    </row>
    <row r="335" spans="1:12" ht="21" customHeight="1" x14ac:dyDescent="0.25">
      <c r="A335" s="181" t="s">
        <v>3442</v>
      </c>
      <c r="B335" s="509" t="s">
        <v>3443</v>
      </c>
      <c r="C335" s="509"/>
      <c r="D335" s="481" t="s">
        <v>82</v>
      </c>
      <c r="E335" s="481"/>
      <c r="F335" s="481"/>
      <c r="G335" s="231" t="s">
        <v>2024</v>
      </c>
      <c r="H335" s="510">
        <v>0.86950000000000005</v>
      </c>
      <c r="I335" s="510"/>
      <c r="J335" s="511">
        <v>32.869999999999997</v>
      </c>
      <c r="K335" s="511"/>
      <c r="L335" s="367">
        <f>TRUNC(TRUNC(H335,8)*J335,2)</f>
        <v>28.58</v>
      </c>
    </row>
    <row r="336" spans="1:12" ht="21" customHeight="1" x14ac:dyDescent="0.25">
      <c r="A336" s="181" t="s">
        <v>3444</v>
      </c>
      <c r="B336" s="509" t="s">
        <v>3445</v>
      </c>
      <c r="C336" s="509"/>
      <c r="D336" s="481" t="s">
        <v>82</v>
      </c>
      <c r="E336" s="481"/>
      <c r="F336" s="481"/>
      <c r="G336" s="231" t="s">
        <v>2027</v>
      </c>
      <c r="H336" s="510">
        <v>1.137</v>
      </c>
      <c r="I336" s="510"/>
      <c r="J336" s="511">
        <v>33.369999999999997</v>
      </c>
      <c r="K336" s="511"/>
      <c r="L336" s="367">
        <f>TRUNC(TRUNC(H336,8)*J336,2)</f>
        <v>37.94</v>
      </c>
    </row>
    <row r="337" spans="1:12" ht="18" customHeight="1" x14ac:dyDescent="0.25">
      <c r="A337" s="182"/>
      <c r="B337" s="183"/>
      <c r="C337" s="183"/>
      <c r="D337" s="183"/>
      <c r="E337" s="183"/>
      <c r="F337" s="183"/>
      <c r="G337" s="183"/>
      <c r="H337" s="477" t="s">
        <v>2028</v>
      </c>
      <c r="I337" s="477"/>
      <c r="J337" s="477"/>
      <c r="K337" s="477"/>
      <c r="L337" s="368">
        <f>SUM(L333:L336)</f>
        <v>113.94</v>
      </c>
    </row>
    <row r="338" spans="1:12" ht="15" customHeight="1" x14ac:dyDescent="0.25">
      <c r="A338" s="474" t="s">
        <v>2190</v>
      </c>
      <c r="B338" s="475"/>
      <c r="C338" s="475"/>
      <c r="D338" s="476" t="s">
        <v>42</v>
      </c>
      <c r="E338" s="476"/>
      <c r="F338" s="476"/>
      <c r="G338" s="230" t="s">
        <v>44</v>
      </c>
      <c r="H338" s="476" t="s">
        <v>1813</v>
      </c>
      <c r="I338" s="476"/>
      <c r="J338" s="476" t="s">
        <v>1814</v>
      </c>
      <c r="K338" s="476"/>
      <c r="L338" s="366" t="s">
        <v>1802</v>
      </c>
    </row>
    <row r="339" spans="1:12" ht="15" customHeight="1" x14ac:dyDescent="0.25">
      <c r="A339" s="181" t="s">
        <v>2549</v>
      </c>
      <c r="B339" s="509" t="s">
        <v>2550</v>
      </c>
      <c r="C339" s="509"/>
      <c r="D339" s="481" t="s">
        <v>82</v>
      </c>
      <c r="E339" s="481"/>
      <c r="F339" s="481"/>
      <c r="G339" s="231" t="s">
        <v>1024</v>
      </c>
      <c r="H339" s="510">
        <v>7.22E-2</v>
      </c>
      <c r="I339" s="510"/>
      <c r="J339" s="511">
        <v>36.29</v>
      </c>
      <c r="K339" s="511"/>
      <c r="L339" s="367">
        <f>TRUNC(TRUNC(H339,8)*J339,2)</f>
        <v>2.62</v>
      </c>
    </row>
    <row r="340" spans="1:12" ht="15" customHeight="1" x14ac:dyDescent="0.25">
      <c r="A340" s="181" t="s">
        <v>2375</v>
      </c>
      <c r="B340" s="509" t="s">
        <v>2376</v>
      </c>
      <c r="C340" s="509"/>
      <c r="D340" s="481" t="s">
        <v>82</v>
      </c>
      <c r="E340" s="481"/>
      <c r="F340" s="481"/>
      <c r="G340" s="231" t="s">
        <v>1024</v>
      </c>
      <c r="H340" s="510">
        <v>0.44790000000000002</v>
      </c>
      <c r="I340" s="510"/>
      <c r="J340" s="511">
        <v>28.97</v>
      </c>
      <c r="K340" s="511"/>
      <c r="L340" s="367">
        <f>TRUNC(TRUNC(H340,8)*J340,2)</f>
        <v>12.97</v>
      </c>
    </row>
    <row r="341" spans="1:12" ht="18" customHeight="1" x14ac:dyDescent="0.25">
      <c r="A341" s="182"/>
      <c r="B341" s="183"/>
      <c r="C341" s="183"/>
      <c r="D341" s="183"/>
      <c r="E341" s="183"/>
      <c r="F341" s="183"/>
      <c r="G341" s="183"/>
      <c r="H341" s="477" t="s">
        <v>2195</v>
      </c>
      <c r="I341" s="477"/>
      <c r="J341" s="477"/>
      <c r="K341" s="477"/>
      <c r="L341" s="368">
        <f>SUM(L339:L340)</f>
        <v>15.59</v>
      </c>
    </row>
    <row r="342" spans="1:12" ht="15" customHeight="1" x14ac:dyDescent="0.25">
      <c r="A342" s="182"/>
      <c r="B342" s="183"/>
      <c r="C342" s="183"/>
      <c r="D342" s="183"/>
      <c r="E342" s="183"/>
      <c r="F342" s="183"/>
      <c r="G342" s="183"/>
      <c r="H342" s="482" t="s">
        <v>1834</v>
      </c>
      <c r="I342" s="482"/>
      <c r="J342" s="482"/>
      <c r="K342" s="482"/>
      <c r="L342" s="369">
        <f>ROUND(SUM(L337,L341),2)</f>
        <v>129.53</v>
      </c>
    </row>
    <row r="343" spans="1:12" ht="9.9499999999999993" customHeight="1" x14ac:dyDescent="0.25">
      <c r="A343" s="182"/>
      <c r="B343" s="183"/>
      <c r="C343" s="183"/>
      <c r="D343" s="183"/>
      <c r="E343" s="183"/>
      <c r="F343" s="183"/>
      <c r="G343" s="183"/>
      <c r="H343" s="485"/>
      <c r="I343" s="485"/>
      <c r="J343" s="485"/>
      <c r="K343" s="485"/>
      <c r="L343" s="512"/>
    </row>
    <row r="344" spans="1:12" ht="20.100000000000001" customHeight="1" x14ac:dyDescent="0.25">
      <c r="A344" s="486" t="s">
        <v>3446</v>
      </c>
      <c r="B344" s="487"/>
      <c r="C344" s="487"/>
      <c r="D344" s="487"/>
      <c r="E344" s="487"/>
      <c r="F344" s="487"/>
      <c r="G344" s="487"/>
      <c r="H344" s="487"/>
      <c r="I344" s="487"/>
      <c r="J344" s="487"/>
      <c r="K344" s="487"/>
      <c r="L344" s="513"/>
    </row>
    <row r="345" spans="1:12" ht="20.100000000000001" customHeight="1" x14ac:dyDescent="0.25">
      <c r="A345" s="488" t="s">
        <v>1836</v>
      </c>
      <c r="B345" s="489"/>
      <c r="C345" s="489"/>
      <c r="D345" s="489"/>
      <c r="E345" s="489"/>
      <c r="F345" s="489"/>
      <c r="G345" s="233" t="s">
        <v>44</v>
      </c>
      <c r="H345" s="515" t="s">
        <v>1837</v>
      </c>
      <c r="I345" s="515"/>
      <c r="J345" s="515" t="s">
        <v>1838</v>
      </c>
      <c r="K345" s="515"/>
      <c r="L345" s="169" t="s">
        <v>1839</v>
      </c>
    </row>
    <row r="346" spans="1:12" ht="15" customHeight="1" x14ac:dyDescent="0.25">
      <c r="A346" s="170" t="s">
        <v>1830</v>
      </c>
      <c r="B346" s="490" t="s">
        <v>1831</v>
      </c>
      <c r="C346" s="490"/>
      <c r="D346" s="490"/>
      <c r="E346" s="490"/>
      <c r="F346" s="490"/>
      <c r="G346" s="127" t="s">
        <v>1024</v>
      </c>
      <c r="H346" s="524">
        <v>0.63</v>
      </c>
      <c r="I346" s="524"/>
      <c r="J346" s="517">
        <v>19.68</v>
      </c>
      <c r="K346" s="517"/>
      <c r="L346" s="370">
        <f>TRUNC(TRUNC(H346,8)*J346,2)</f>
        <v>12.39</v>
      </c>
    </row>
    <row r="347" spans="1:12" ht="15" customHeight="1" x14ac:dyDescent="0.25">
      <c r="A347" s="184"/>
      <c r="B347" s="141"/>
      <c r="C347" s="141"/>
      <c r="D347" s="141"/>
      <c r="E347" s="141"/>
      <c r="F347" s="141"/>
      <c r="G347" s="141"/>
      <c r="H347" s="491" t="s">
        <v>1844</v>
      </c>
      <c r="I347" s="491"/>
      <c r="J347" s="491"/>
      <c r="K347" s="491"/>
      <c r="L347" s="369">
        <f>SUM(L346:L346)</f>
        <v>12.39</v>
      </c>
    </row>
    <row r="348" spans="1:12" ht="15" customHeight="1" x14ac:dyDescent="0.25">
      <c r="A348" s="182"/>
      <c r="B348" s="183"/>
      <c r="C348" s="183"/>
      <c r="D348" s="183"/>
      <c r="E348" s="183"/>
      <c r="F348" s="183"/>
      <c r="G348" s="183"/>
      <c r="H348" s="482" t="s">
        <v>1845</v>
      </c>
      <c r="I348" s="482"/>
      <c r="J348" s="482"/>
      <c r="K348" s="482"/>
      <c r="L348" s="371">
        <f>SUM(L347)</f>
        <v>12.39</v>
      </c>
    </row>
    <row r="349" spans="1:12" ht="15" customHeight="1" x14ac:dyDescent="0.25">
      <c r="A349" s="182"/>
      <c r="B349" s="183"/>
      <c r="C349" s="183"/>
      <c r="D349" s="183"/>
      <c r="E349" s="183"/>
      <c r="F349" s="183"/>
      <c r="G349" s="183"/>
      <c r="H349" s="482" t="s">
        <v>1846</v>
      </c>
      <c r="I349" s="482"/>
      <c r="J349" s="482"/>
      <c r="K349" s="482"/>
      <c r="L349" s="374">
        <v>1</v>
      </c>
    </row>
    <row r="350" spans="1:12" ht="15" customHeight="1" x14ac:dyDescent="0.25">
      <c r="A350" s="182"/>
      <c r="B350" s="183"/>
      <c r="C350" s="183"/>
      <c r="D350" s="183"/>
      <c r="E350" s="183"/>
      <c r="F350" s="183"/>
      <c r="G350" s="183"/>
      <c r="H350" s="482" t="s">
        <v>1847</v>
      </c>
      <c r="I350" s="482"/>
      <c r="J350" s="482"/>
      <c r="K350" s="482"/>
      <c r="L350" s="371">
        <f>TRUNC(L348/L349,4)</f>
        <v>12.39</v>
      </c>
    </row>
    <row r="351" spans="1:12" ht="20.100000000000001" customHeight="1" x14ac:dyDescent="0.25">
      <c r="A351" s="488" t="s">
        <v>1880</v>
      </c>
      <c r="B351" s="489"/>
      <c r="C351" s="489"/>
      <c r="D351" s="489"/>
      <c r="E351" s="489"/>
      <c r="F351" s="489"/>
      <c r="G351" s="233" t="s">
        <v>44</v>
      </c>
      <c r="H351" s="515" t="s">
        <v>1837</v>
      </c>
      <c r="I351" s="515"/>
      <c r="J351" s="515" t="s">
        <v>1881</v>
      </c>
      <c r="K351" s="515"/>
      <c r="L351" s="169" t="s">
        <v>1882</v>
      </c>
    </row>
    <row r="352" spans="1:12" ht="15.95" customHeight="1" x14ac:dyDescent="0.25">
      <c r="A352" s="170" t="s">
        <v>3447</v>
      </c>
      <c r="B352" s="492" t="s">
        <v>3448</v>
      </c>
      <c r="C352" s="492"/>
      <c r="D352" s="492"/>
      <c r="E352" s="492"/>
      <c r="F352" s="492"/>
      <c r="G352" s="127" t="s">
        <v>85</v>
      </c>
      <c r="H352" s="524">
        <v>1</v>
      </c>
      <c r="I352" s="524"/>
      <c r="J352" s="525">
        <v>76.67</v>
      </c>
      <c r="K352" s="525"/>
      <c r="L352" s="171">
        <f>TRUNC(TRUNC(H352,8)*J352,2)</f>
        <v>76.67</v>
      </c>
    </row>
    <row r="353" spans="1:12" ht="15" customHeight="1" x14ac:dyDescent="0.25">
      <c r="A353" s="184"/>
      <c r="B353" s="141"/>
      <c r="C353" s="141"/>
      <c r="D353" s="141"/>
      <c r="E353" s="141"/>
      <c r="F353" s="141"/>
      <c r="G353" s="141"/>
      <c r="H353" s="491" t="s">
        <v>1889</v>
      </c>
      <c r="I353" s="491"/>
      <c r="J353" s="491"/>
      <c r="K353" s="491"/>
      <c r="L353" s="375">
        <f>SUM(L352:L352)</f>
        <v>76.67</v>
      </c>
    </row>
    <row r="354" spans="1:12" ht="15" customHeight="1" x14ac:dyDescent="0.25">
      <c r="A354" s="182"/>
      <c r="B354" s="183"/>
      <c r="C354" s="183"/>
      <c r="D354" s="183"/>
      <c r="E354" s="183"/>
      <c r="F354" s="183"/>
      <c r="G354" s="183"/>
      <c r="H354" s="482" t="s">
        <v>1848</v>
      </c>
      <c r="I354" s="482"/>
      <c r="J354" s="482"/>
      <c r="K354" s="482"/>
      <c r="L354" s="371">
        <f>SUM(L350,L353)</f>
        <v>89.06</v>
      </c>
    </row>
    <row r="355" spans="1:12" ht="15" customHeight="1" x14ac:dyDescent="0.25">
      <c r="A355" s="182"/>
      <c r="B355" s="183"/>
      <c r="C355" s="183"/>
      <c r="D355" s="183"/>
      <c r="E355" s="183"/>
      <c r="F355" s="183"/>
      <c r="G355" s="183"/>
      <c r="H355" s="482" t="s">
        <v>1834</v>
      </c>
      <c r="I355" s="482"/>
      <c r="J355" s="482"/>
      <c r="K355" s="482"/>
      <c r="L355" s="369">
        <f>ROUND(SUM(L354),2)</f>
        <v>89.06</v>
      </c>
    </row>
    <row r="356" spans="1:12" ht="9.9499999999999993" customHeight="1" x14ac:dyDescent="0.25">
      <c r="A356" s="182"/>
      <c r="B356" s="183"/>
      <c r="C356" s="183"/>
      <c r="D356" s="183"/>
      <c r="E356" s="183"/>
      <c r="F356" s="183"/>
      <c r="G356" s="183"/>
      <c r="H356" s="485"/>
      <c r="I356" s="485"/>
      <c r="J356" s="485"/>
      <c r="K356" s="485"/>
      <c r="L356" s="512"/>
    </row>
    <row r="357" spans="1:12" ht="20.100000000000001" customHeight="1" x14ac:dyDescent="0.25">
      <c r="A357" s="486" t="s">
        <v>1850</v>
      </c>
      <c r="B357" s="487"/>
      <c r="C357" s="487"/>
      <c r="D357" s="487"/>
      <c r="E357" s="487"/>
      <c r="F357" s="487"/>
      <c r="G357" s="487"/>
      <c r="H357" s="487"/>
      <c r="I357" s="487"/>
      <c r="J357" s="487"/>
      <c r="K357" s="487"/>
      <c r="L357" s="513"/>
    </row>
    <row r="358" spans="1:12" ht="15" customHeight="1" x14ac:dyDescent="0.25">
      <c r="A358" s="474" t="s">
        <v>1827</v>
      </c>
      <c r="B358" s="475"/>
      <c r="C358" s="475"/>
      <c r="D358" s="476" t="s">
        <v>42</v>
      </c>
      <c r="E358" s="476"/>
      <c r="F358" s="476"/>
      <c r="G358" s="230" t="s">
        <v>44</v>
      </c>
      <c r="H358" s="476" t="s">
        <v>1813</v>
      </c>
      <c r="I358" s="476"/>
      <c r="J358" s="476" t="s">
        <v>1814</v>
      </c>
      <c r="K358" s="476"/>
      <c r="L358" s="366" t="s">
        <v>1802</v>
      </c>
    </row>
    <row r="359" spans="1:12" ht="15" customHeight="1" x14ac:dyDescent="0.25">
      <c r="A359" s="181" t="s">
        <v>1851</v>
      </c>
      <c r="B359" s="509" t="s">
        <v>1852</v>
      </c>
      <c r="C359" s="509"/>
      <c r="D359" s="481" t="s">
        <v>51</v>
      </c>
      <c r="E359" s="481"/>
      <c r="F359" s="481"/>
      <c r="G359" s="231" t="s">
        <v>1024</v>
      </c>
      <c r="H359" s="510">
        <v>0.05</v>
      </c>
      <c r="I359" s="510"/>
      <c r="J359" s="511">
        <v>26.03</v>
      </c>
      <c r="K359" s="511"/>
      <c r="L359" s="367">
        <f>ROUND(ROUND(H359,8)*J359,2)</f>
        <v>1.3</v>
      </c>
    </row>
    <row r="360" spans="1:12" ht="15" customHeight="1" x14ac:dyDescent="0.25">
      <c r="A360" s="181" t="s">
        <v>1830</v>
      </c>
      <c r="B360" s="509" t="s">
        <v>1831</v>
      </c>
      <c r="C360" s="509"/>
      <c r="D360" s="481" t="s">
        <v>51</v>
      </c>
      <c r="E360" s="481"/>
      <c r="F360" s="481"/>
      <c r="G360" s="231" t="s">
        <v>1024</v>
      </c>
      <c r="H360" s="510">
        <v>0.25</v>
      </c>
      <c r="I360" s="510"/>
      <c r="J360" s="511">
        <v>19.68</v>
      </c>
      <c r="K360" s="511"/>
      <c r="L360" s="367">
        <f>ROUND(ROUND(H360,8)*J360,2)</f>
        <v>4.92</v>
      </c>
    </row>
    <row r="361" spans="1:12" ht="15" customHeight="1" x14ac:dyDescent="0.25">
      <c r="A361" s="182"/>
      <c r="B361" s="183"/>
      <c r="C361" s="183"/>
      <c r="D361" s="183"/>
      <c r="E361" s="183"/>
      <c r="F361" s="183"/>
      <c r="G361" s="183"/>
      <c r="H361" s="477" t="s">
        <v>1832</v>
      </c>
      <c r="I361" s="477"/>
      <c r="J361" s="477"/>
      <c r="K361" s="477"/>
      <c r="L361" s="368">
        <f>SUM(L359:L360)</f>
        <v>6.22</v>
      </c>
    </row>
    <row r="362" spans="1:12" ht="15" customHeight="1" x14ac:dyDescent="0.25">
      <c r="A362" s="483" t="s">
        <v>1853</v>
      </c>
      <c r="B362" s="484"/>
      <c r="C362" s="484"/>
      <c r="D362" s="484"/>
      <c r="E362" s="183"/>
      <c r="F362" s="183"/>
      <c r="G362" s="183"/>
      <c r="H362" s="482" t="s">
        <v>1834</v>
      </c>
      <c r="I362" s="482"/>
      <c r="J362" s="482"/>
      <c r="K362" s="482"/>
      <c r="L362" s="369">
        <v>6.22</v>
      </c>
    </row>
    <row r="363" spans="1:12" ht="9.9499999999999993" customHeight="1" x14ac:dyDescent="0.25">
      <c r="A363" s="182"/>
      <c r="B363" s="183"/>
      <c r="C363" s="183"/>
      <c r="D363" s="183"/>
      <c r="E363" s="183"/>
      <c r="F363" s="183"/>
      <c r="G363" s="183"/>
      <c r="H363" s="485"/>
      <c r="I363" s="485"/>
      <c r="J363" s="485"/>
      <c r="K363" s="485"/>
      <c r="L363" s="512"/>
    </row>
    <row r="364" spans="1:12" ht="20.100000000000001" customHeight="1" x14ac:dyDescent="0.25">
      <c r="A364" s="486" t="s">
        <v>1854</v>
      </c>
      <c r="B364" s="487"/>
      <c r="C364" s="487"/>
      <c r="D364" s="487"/>
      <c r="E364" s="487"/>
      <c r="F364" s="487"/>
      <c r="G364" s="487"/>
      <c r="H364" s="487"/>
      <c r="I364" s="487"/>
      <c r="J364" s="487"/>
      <c r="K364" s="487"/>
      <c r="L364" s="513"/>
    </row>
    <row r="365" spans="1:12" ht="15" customHeight="1" x14ac:dyDescent="0.25">
      <c r="A365" s="474" t="s">
        <v>1827</v>
      </c>
      <c r="B365" s="475"/>
      <c r="C365" s="475"/>
      <c r="D365" s="476" t="s">
        <v>42</v>
      </c>
      <c r="E365" s="476"/>
      <c r="F365" s="476"/>
      <c r="G365" s="230" t="s">
        <v>44</v>
      </c>
      <c r="H365" s="476" t="s">
        <v>1813</v>
      </c>
      <c r="I365" s="476"/>
      <c r="J365" s="476" t="s">
        <v>1814</v>
      </c>
      <c r="K365" s="476"/>
      <c r="L365" s="366" t="s">
        <v>1802</v>
      </c>
    </row>
    <row r="366" spans="1:12" ht="15" customHeight="1" x14ac:dyDescent="0.25">
      <c r="A366" s="181" t="s">
        <v>1851</v>
      </c>
      <c r="B366" s="509" t="s">
        <v>1852</v>
      </c>
      <c r="C366" s="509"/>
      <c r="D366" s="481" t="s">
        <v>51</v>
      </c>
      <c r="E366" s="481"/>
      <c r="F366" s="481"/>
      <c r="G366" s="231" t="s">
        <v>1024</v>
      </c>
      <c r="H366" s="510">
        <v>5.6000000000000001E-2</v>
      </c>
      <c r="I366" s="510"/>
      <c r="J366" s="511">
        <v>26.03</v>
      </c>
      <c r="K366" s="511"/>
      <c r="L366" s="367">
        <f>ROUND(ROUND(H366,8)*J366,2)</f>
        <v>1.46</v>
      </c>
    </row>
    <row r="367" spans="1:12" ht="15" customHeight="1" x14ac:dyDescent="0.25">
      <c r="A367" s="181" t="s">
        <v>1830</v>
      </c>
      <c r="B367" s="509" t="s">
        <v>1831</v>
      </c>
      <c r="C367" s="509"/>
      <c r="D367" s="481" t="s">
        <v>51</v>
      </c>
      <c r="E367" s="481"/>
      <c r="F367" s="481"/>
      <c r="G367" s="231" t="s">
        <v>1024</v>
      </c>
      <c r="H367" s="510">
        <v>5.6000000000000001E-2</v>
      </c>
      <c r="I367" s="510"/>
      <c r="J367" s="511">
        <v>19.68</v>
      </c>
      <c r="K367" s="511"/>
      <c r="L367" s="367">
        <f>ROUND(ROUND(H367,8)*J367,2)</f>
        <v>1.1000000000000001</v>
      </c>
    </row>
    <row r="368" spans="1:12" ht="15" customHeight="1" x14ac:dyDescent="0.25">
      <c r="A368" s="182"/>
      <c r="B368" s="183"/>
      <c r="C368" s="183"/>
      <c r="D368" s="183"/>
      <c r="E368" s="183"/>
      <c r="F368" s="183"/>
      <c r="G368" s="183"/>
      <c r="H368" s="477" t="s">
        <v>1832</v>
      </c>
      <c r="I368" s="477"/>
      <c r="J368" s="477"/>
      <c r="K368" s="477"/>
      <c r="L368" s="368">
        <f>SUM(L366:L367)</f>
        <v>2.56</v>
      </c>
    </row>
    <row r="369" spans="1:12" ht="15" customHeight="1" x14ac:dyDescent="0.25">
      <c r="A369" s="483" t="s">
        <v>1855</v>
      </c>
      <c r="B369" s="484"/>
      <c r="C369" s="484"/>
      <c r="D369" s="484"/>
      <c r="E369" s="183"/>
      <c r="F369" s="183"/>
      <c r="G369" s="183"/>
      <c r="H369" s="482" t="s">
        <v>1834</v>
      </c>
      <c r="I369" s="482"/>
      <c r="J369" s="482"/>
      <c r="K369" s="482"/>
      <c r="L369" s="369">
        <v>2.56</v>
      </c>
    </row>
    <row r="370" spans="1:12" ht="2.1" customHeight="1" x14ac:dyDescent="0.25">
      <c r="A370" s="483"/>
      <c r="B370" s="484"/>
      <c r="C370" s="484"/>
      <c r="D370" s="484"/>
      <c r="E370" s="183"/>
      <c r="F370" s="183"/>
      <c r="G370" s="183"/>
      <c r="H370" s="183"/>
      <c r="I370" s="183"/>
      <c r="J370" s="183"/>
      <c r="K370" s="183"/>
      <c r="L370" s="383"/>
    </row>
    <row r="371" spans="1:12" ht="9.9499999999999993" customHeight="1" x14ac:dyDescent="0.25">
      <c r="A371" s="182"/>
      <c r="B371" s="183"/>
      <c r="C371" s="183"/>
      <c r="D371" s="183"/>
      <c r="E371" s="183"/>
      <c r="F371" s="183"/>
      <c r="G371" s="183"/>
      <c r="H371" s="485"/>
      <c r="I371" s="485"/>
      <c r="J371" s="485"/>
      <c r="K371" s="485"/>
      <c r="L371" s="512"/>
    </row>
    <row r="372" spans="1:12" ht="20.100000000000001" customHeight="1" x14ac:dyDescent="0.25">
      <c r="A372" s="486" t="s">
        <v>3449</v>
      </c>
      <c r="B372" s="487"/>
      <c r="C372" s="487"/>
      <c r="D372" s="487"/>
      <c r="E372" s="487"/>
      <c r="F372" s="487"/>
      <c r="G372" s="487"/>
      <c r="H372" s="487"/>
      <c r="I372" s="487"/>
      <c r="J372" s="487"/>
      <c r="K372" s="487"/>
      <c r="L372" s="513"/>
    </row>
    <row r="373" spans="1:12" ht="15" customHeight="1" x14ac:dyDescent="0.25">
      <c r="A373" s="474" t="s">
        <v>2021</v>
      </c>
      <c r="B373" s="475"/>
      <c r="C373" s="475"/>
      <c r="D373" s="476" t="s">
        <v>42</v>
      </c>
      <c r="E373" s="476"/>
      <c r="F373" s="476"/>
      <c r="G373" s="230" t="s">
        <v>44</v>
      </c>
      <c r="H373" s="476" t="s">
        <v>1813</v>
      </c>
      <c r="I373" s="476"/>
      <c r="J373" s="476" t="s">
        <v>1814</v>
      </c>
      <c r="K373" s="476"/>
      <c r="L373" s="366" t="s">
        <v>1802</v>
      </c>
    </row>
    <row r="374" spans="1:12" ht="29.1" customHeight="1" x14ac:dyDescent="0.25">
      <c r="A374" s="181" t="s">
        <v>3450</v>
      </c>
      <c r="B374" s="509" t="s">
        <v>3451</v>
      </c>
      <c r="C374" s="509"/>
      <c r="D374" s="481" t="s">
        <v>82</v>
      </c>
      <c r="E374" s="481"/>
      <c r="F374" s="481"/>
      <c r="G374" s="231" t="s">
        <v>2024</v>
      </c>
      <c r="H374" s="510">
        <v>0.1394</v>
      </c>
      <c r="I374" s="510"/>
      <c r="J374" s="511">
        <v>89.81</v>
      </c>
      <c r="K374" s="511"/>
      <c r="L374" s="367">
        <f>TRUNC(TRUNC(H374,8)*J374,2)</f>
        <v>12.51</v>
      </c>
    </row>
    <row r="375" spans="1:12" ht="29.1" customHeight="1" x14ac:dyDescent="0.25">
      <c r="A375" s="181" t="s">
        <v>3452</v>
      </c>
      <c r="B375" s="509" t="s">
        <v>3453</v>
      </c>
      <c r="C375" s="509"/>
      <c r="D375" s="481" t="s">
        <v>82</v>
      </c>
      <c r="E375" s="481"/>
      <c r="F375" s="481"/>
      <c r="G375" s="231" t="s">
        <v>2027</v>
      </c>
      <c r="H375" s="510">
        <v>0.24</v>
      </c>
      <c r="I375" s="510"/>
      <c r="J375" s="511">
        <v>192.05</v>
      </c>
      <c r="K375" s="511"/>
      <c r="L375" s="367">
        <f>TRUNC(TRUNC(H375,8)*J375,2)</f>
        <v>46.09</v>
      </c>
    </row>
    <row r="376" spans="1:12" ht="18" customHeight="1" x14ac:dyDescent="0.25">
      <c r="A376" s="182"/>
      <c r="B376" s="183"/>
      <c r="C376" s="183"/>
      <c r="D376" s="183"/>
      <c r="E376" s="183"/>
      <c r="F376" s="183"/>
      <c r="G376" s="183"/>
      <c r="H376" s="477" t="s">
        <v>2028</v>
      </c>
      <c r="I376" s="477"/>
      <c r="J376" s="477"/>
      <c r="K376" s="477"/>
      <c r="L376" s="368">
        <f>SUM(L374:L375)</f>
        <v>58.6</v>
      </c>
    </row>
    <row r="377" spans="1:12" ht="15" customHeight="1" x14ac:dyDescent="0.25">
      <c r="A377" s="182"/>
      <c r="B377" s="183"/>
      <c r="C377" s="183"/>
      <c r="D377" s="183"/>
      <c r="E377" s="183"/>
      <c r="F377" s="183"/>
      <c r="G377" s="183"/>
      <c r="H377" s="482" t="s">
        <v>1834</v>
      </c>
      <c r="I377" s="482"/>
      <c r="J377" s="482"/>
      <c r="K377" s="482"/>
      <c r="L377" s="369">
        <f>ROUND(SUM(L376),2)</f>
        <v>58.6</v>
      </c>
    </row>
    <row r="378" spans="1:12" ht="9.9499999999999993" customHeight="1" x14ac:dyDescent="0.25">
      <c r="A378" s="182"/>
      <c r="B378" s="183"/>
      <c r="C378" s="183"/>
      <c r="D378" s="183"/>
      <c r="E378" s="183"/>
      <c r="F378" s="183"/>
      <c r="G378" s="183"/>
      <c r="H378" s="485"/>
      <c r="I378" s="485"/>
      <c r="J378" s="485"/>
      <c r="K378" s="485"/>
      <c r="L378" s="512"/>
    </row>
    <row r="379" spans="1:12" ht="20.100000000000001" customHeight="1" x14ac:dyDescent="0.25">
      <c r="A379" s="486" t="s">
        <v>3454</v>
      </c>
      <c r="B379" s="487"/>
      <c r="C379" s="487"/>
      <c r="D379" s="487"/>
      <c r="E379" s="487"/>
      <c r="F379" s="487"/>
      <c r="G379" s="487"/>
      <c r="H379" s="487"/>
      <c r="I379" s="487"/>
      <c r="J379" s="487"/>
      <c r="K379" s="487"/>
      <c r="L379" s="513"/>
    </row>
    <row r="380" spans="1:12" ht="20.100000000000001" customHeight="1" x14ac:dyDescent="0.25">
      <c r="A380" s="488" t="s">
        <v>1836</v>
      </c>
      <c r="B380" s="489"/>
      <c r="C380" s="489"/>
      <c r="D380" s="489"/>
      <c r="E380" s="489"/>
      <c r="F380" s="489"/>
      <c r="G380" s="233" t="s">
        <v>44</v>
      </c>
      <c r="H380" s="515" t="s">
        <v>1837</v>
      </c>
      <c r="I380" s="515"/>
      <c r="J380" s="515" t="s">
        <v>1838</v>
      </c>
      <c r="K380" s="515"/>
      <c r="L380" s="169" t="s">
        <v>1839</v>
      </c>
    </row>
    <row r="381" spans="1:12" ht="15" customHeight="1" x14ac:dyDescent="0.25">
      <c r="A381" s="170" t="s">
        <v>1851</v>
      </c>
      <c r="B381" s="490" t="s">
        <v>1852</v>
      </c>
      <c r="C381" s="490"/>
      <c r="D381" s="490"/>
      <c r="E381" s="490"/>
      <c r="F381" s="490"/>
      <c r="G381" s="127" t="s">
        <v>1024</v>
      </c>
      <c r="H381" s="524">
        <v>0.05</v>
      </c>
      <c r="I381" s="524"/>
      <c r="J381" s="517">
        <v>26.03</v>
      </c>
      <c r="K381" s="517"/>
      <c r="L381" s="370">
        <f>TRUNC(TRUNC(H381,8)*J381,2)</f>
        <v>1.3</v>
      </c>
    </row>
    <row r="382" spans="1:12" ht="15" customHeight="1" x14ac:dyDescent="0.25">
      <c r="A382" s="170" t="s">
        <v>1830</v>
      </c>
      <c r="B382" s="490" t="s">
        <v>1831</v>
      </c>
      <c r="C382" s="490"/>
      <c r="D382" s="490"/>
      <c r="E382" s="490"/>
      <c r="F382" s="490"/>
      <c r="G382" s="127" t="s">
        <v>1024</v>
      </c>
      <c r="H382" s="524">
        <v>0.5</v>
      </c>
      <c r="I382" s="524"/>
      <c r="J382" s="517">
        <v>19.68</v>
      </c>
      <c r="K382" s="517"/>
      <c r="L382" s="370">
        <f>TRUNC(TRUNC(H382,8)*J382,2)</f>
        <v>9.84</v>
      </c>
    </row>
    <row r="383" spans="1:12" ht="15" customHeight="1" x14ac:dyDescent="0.25">
      <c r="A383" s="184"/>
      <c r="B383" s="141"/>
      <c r="C383" s="141"/>
      <c r="D383" s="141"/>
      <c r="E383" s="141"/>
      <c r="F383" s="141"/>
      <c r="G383" s="141"/>
      <c r="H383" s="491" t="s">
        <v>1844</v>
      </c>
      <c r="I383" s="491"/>
      <c r="J383" s="491"/>
      <c r="K383" s="491"/>
      <c r="L383" s="369">
        <f>SUM(L381:L382)</f>
        <v>11.14</v>
      </c>
    </row>
    <row r="384" spans="1:12" ht="15" customHeight="1" x14ac:dyDescent="0.25">
      <c r="A384" s="182"/>
      <c r="B384" s="183"/>
      <c r="C384" s="183"/>
      <c r="D384" s="183"/>
      <c r="E384" s="183"/>
      <c r="F384" s="183"/>
      <c r="G384" s="183"/>
      <c r="H384" s="482" t="s">
        <v>1845</v>
      </c>
      <c r="I384" s="482"/>
      <c r="J384" s="482"/>
      <c r="K384" s="482"/>
      <c r="L384" s="371">
        <f>SUM(L383)</f>
        <v>11.14</v>
      </c>
    </row>
    <row r="385" spans="1:12" ht="15" customHeight="1" x14ac:dyDescent="0.25">
      <c r="A385" s="182"/>
      <c r="B385" s="183"/>
      <c r="C385" s="183"/>
      <c r="D385" s="183"/>
      <c r="E385" s="183"/>
      <c r="F385" s="183"/>
      <c r="G385" s="183"/>
      <c r="H385" s="482" t="s">
        <v>1846</v>
      </c>
      <c r="I385" s="482"/>
      <c r="J385" s="482"/>
      <c r="K385" s="482"/>
      <c r="L385" s="374">
        <v>1</v>
      </c>
    </row>
    <row r="386" spans="1:12" ht="15" customHeight="1" x14ac:dyDescent="0.25">
      <c r="A386" s="182"/>
      <c r="B386" s="183"/>
      <c r="C386" s="183"/>
      <c r="D386" s="183"/>
      <c r="E386" s="183"/>
      <c r="F386" s="183"/>
      <c r="G386" s="183"/>
      <c r="H386" s="482" t="s">
        <v>1847</v>
      </c>
      <c r="I386" s="482"/>
      <c r="J386" s="482"/>
      <c r="K386" s="482"/>
      <c r="L386" s="371">
        <f>TRUNC(L384/L385,4)</f>
        <v>11.14</v>
      </c>
    </row>
    <row r="387" spans="1:12" ht="15" customHeight="1" x14ac:dyDescent="0.25">
      <c r="A387" s="182"/>
      <c r="B387" s="183"/>
      <c r="C387" s="183"/>
      <c r="D387" s="183"/>
      <c r="E387" s="183"/>
      <c r="F387" s="183"/>
      <c r="G387" s="183"/>
      <c r="H387" s="482" t="s">
        <v>1848</v>
      </c>
      <c r="I387" s="482"/>
      <c r="J387" s="482"/>
      <c r="K387" s="482"/>
      <c r="L387" s="371">
        <f>SUM(L386)</f>
        <v>11.14</v>
      </c>
    </row>
    <row r="388" spans="1:12" ht="15" customHeight="1" x14ac:dyDescent="0.25">
      <c r="A388" s="182"/>
      <c r="B388" s="183"/>
      <c r="C388" s="183"/>
      <c r="D388" s="183"/>
      <c r="E388" s="183"/>
      <c r="F388" s="183"/>
      <c r="G388" s="183"/>
      <c r="H388" s="482" t="s">
        <v>1834</v>
      </c>
      <c r="I388" s="482"/>
      <c r="J388" s="482"/>
      <c r="K388" s="482"/>
      <c r="L388" s="369">
        <f>ROUND(SUM(L387),2)</f>
        <v>11.14</v>
      </c>
    </row>
    <row r="389" spans="1:12" ht="9.9499999999999993" customHeight="1" x14ac:dyDescent="0.25">
      <c r="A389" s="182"/>
      <c r="B389" s="183"/>
      <c r="C389" s="183"/>
      <c r="D389" s="183"/>
      <c r="E389" s="183"/>
      <c r="F389" s="183"/>
      <c r="G389" s="183"/>
      <c r="H389" s="485"/>
      <c r="I389" s="485"/>
      <c r="J389" s="485"/>
      <c r="K389" s="485"/>
      <c r="L389" s="512"/>
    </row>
    <row r="390" spans="1:12" ht="20.100000000000001" customHeight="1" x14ac:dyDescent="0.25">
      <c r="A390" s="486" t="s">
        <v>3455</v>
      </c>
      <c r="B390" s="487"/>
      <c r="C390" s="487"/>
      <c r="D390" s="487"/>
      <c r="E390" s="487"/>
      <c r="F390" s="487"/>
      <c r="G390" s="487"/>
      <c r="H390" s="487"/>
      <c r="I390" s="487"/>
      <c r="J390" s="487"/>
      <c r="K390" s="487"/>
      <c r="L390" s="513"/>
    </row>
    <row r="391" spans="1:12" ht="20.100000000000001" customHeight="1" x14ac:dyDescent="0.25">
      <c r="A391" s="488" t="s">
        <v>1836</v>
      </c>
      <c r="B391" s="489"/>
      <c r="C391" s="489"/>
      <c r="D391" s="489"/>
      <c r="E391" s="489"/>
      <c r="F391" s="489"/>
      <c r="G391" s="233" t="s">
        <v>44</v>
      </c>
      <c r="H391" s="515" t="s">
        <v>1837</v>
      </c>
      <c r="I391" s="515"/>
      <c r="J391" s="515" t="s">
        <v>1838</v>
      </c>
      <c r="K391" s="515"/>
      <c r="L391" s="169" t="s">
        <v>1839</v>
      </c>
    </row>
    <row r="392" spans="1:12" ht="15" customHeight="1" x14ac:dyDescent="0.25">
      <c r="A392" s="170" t="s">
        <v>1830</v>
      </c>
      <c r="B392" s="490" t="s">
        <v>1831</v>
      </c>
      <c r="C392" s="490"/>
      <c r="D392" s="490"/>
      <c r="E392" s="490"/>
      <c r="F392" s="490"/>
      <c r="G392" s="127" t="s">
        <v>1024</v>
      </c>
      <c r="H392" s="524">
        <v>3</v>
      </c>
      <c r="I392" s="524"/>
      <c r="J392" s="517">
        <v>19.68</v>
      </c>
      <c r="K392" s="517"/>
      <c r="L392" s="370">
        <f>TRUNC(TRUNC(H392,8)*J392,2)</f>
        <v>59.04</v>
      </c>
    </row>
    <row r="393" spans="1:12" ht="15" customHeight="1" x14ac:dyDescent="0.25">
      <c r="A393" s="184"/>
      <c r="B393" s="141"/>
      <c r="C393" s="141"/>
      <c r="D393" s="141"/>
      <c r="E393" s="141"/>
      <c r="F393" s="141"/>
      <c r="G393" s="141"/>
      <c r="H393" s="491" t="s">
        <v>1844</v>
      </c>
      <c r="I393" s="491"/>
      <c r="J393" s="491"/>
      <c r="K393" s="491"/>
      <c r="L393" s="369">
        <f>SUM(L392:L392)</f>
        <v>59.04</v>
      </c>
    </row>
    <row r="394" spans="1:12" ht="15" customHeight="1" x14ac:dyDescent="0.25">
      <c r="A394" s="182"/>
      <c r="B394" s="183"/>
      <c r="C394" s="183"/>
      <c r="D394" s="183"/>
      <c r="E394" s="183"/>
      <c r="F394" s="183"/>
      <c r="G394" s="183"/>
      <c r="H394" s="482" t="s">
        <v>1845</v>
      </c>
      <c r="I394" s="482"/>
      <c r="J394" s="482"/>
      <c r="K394" s="482"/>
      <c r="L394" s="371">
        <f>SUM(L393)</f>
        <v>59.04</v>
      </c>
    </row>
    <row r="395" spans="1:12" ht="15" customHeight="1" x14ac:dyDescent="0.25">
      <c r="A395" s="182"/>
      <c r="B395" s="183"/>
      <c r="C395" s="183"/>
      <c r="D395" s="183"/>
      <c r="E395" s="183"/>
      <c r="F395" s="183"/>
      <c r="G395" s="183"/>
      <c r="H395" s="482" t="s">
        <v>1846</v>
      </c>
      <c r="I395" s="482"/>
      <c r="J395" s="482"/>
      <c r="K395" s="482"/>
      <c r="L395" s="374">
        <v>1</v>
      </c>
    </row>
    <row r="396" spans="1:12" ht="15" customHeight="1" x14ac:dyDescent="0.25">
      <c r="A396" s="182"/>
      <c r="B396" s="183"/>
      <c r="C396" s="183"/>
      <c r="D396" s="183"/>
      <c r="E396" s="183"/>
      <c r="F396" s="183"/>
      <c r="G396" s="183"/>
      <c r="H396" s="482" t="s">
        <v>1847</v>
      </c>
      <c r="I396" s="482"/>
      <c r="J396" s="482"/>
      <c r="K396" s="482"/>
      <c r="L396" s="371">
        <f>TRUNC(L394/L395,4)</f>
        <v>59.04</v>
      </c>
    </row>
    <row r="397" spans="1:12" ht="15" customHeight="1" x14ac:dyDescent="0.25">
      <c r="A397" s="182"/>
      <c r="B397" s="183"/>
      <c r="C397" s="183"/>
      <c r="D397" s="183"/>
      <c r="E397" s="183"/>
      <c r="F397" s="183"/>
      <c r="G397" s="183"/>
      <c r="H397" s="482" t="s">
        <v>1848</v>
      </c>
      <c r="I397" s="482"/>
      <c r="J397" s="482"/>
      <c r="K397" s="482"/>
      <c r="L397" s="371">
        <f>SUM(L396)</f>
        <v>59.04</v>
      </c>
    </row>
    <row r="398" spans="1:12" ht="15" customHeight="1" x14ac:dyDescent="0.25">
      <c r="A398" s="182"/>
      <c r="B398" s="183"/>
      <c r="C398" s="183"/>
      <c r="D398" s="183"/>
      <c r="E398" s="183"/>
      <c r="F398" s="183"/>
      <c r="G398" s="183"/>
      <c r="H398" s="482" t="s">
        <v>1834</v>
      </c>
      <c r="I398" s="482"/>
      <c r="J398" s="482"/>
      <c r="K398" s="482"/>
      <c r="L398" s="369">
        <f>ROUND(SUM(L397),2)</f>
        <v>59.04</v>
      </c>
    </row>
    <row r="399" spans="1:12" ht="9.9499999999999993" customHeight="1" x14ac:dyDescent="0.25">
      <c r="A399" s="182"/>
      <c r="B399" s="183"/>
      <c r="C399" s="183"/>
      <c r="D399" s="183"/>
      <c r="E399" s="183"/>
      <c r="F399" s="183"/>
      <c r="G399" s="183"/>
      <c r="H399" s="485"/>
      <c r="I399" s="485"/>
      <c r="J399" s="485"/>
      <c r="K399" s="485"/>
      <c r="L399" s="512"/>
    </row>
    <row r="400" spans="1:12" ht="20.100000000000001" customHeight="1" x14ac:dyDescent="0.25">
      <c r="A400" s="486" t="s">
        <v>2656</v>
      </c>
      <c r="B400" s="487"/>
      <c r="C400" s="487"/>
      <c r="D400" s="487"/>
      <c r="E400" s="487"/>
      <c r="F400" s="487"/>
      <c r="G400" s="487"/>
      <c r="H400" s="487"/>
      <c r="I400" s="487"/>
      <c r="J400" s="487"/>
      <c r="K400" s="487"/>
      <c r="L400" s="513"/>
    </row>
    <row r="401" spans="1:12" ht="20.100000000000001" customHeight="1" x14ac:dyDescent="0.25">
      <c r="A401" s="488" t="s">
        <v>1836</v>
      </c>
      <c r="B401" s="489"/>
      <c r="C401" s="489"/>
      <c r="D401" s="489"/>
      <c r="E401" s="489"/>
      <c r="F401" s="489"/>
      <c r="G401" s="233" t="s">
        <v>44</v>
      </c>
      <c r="H401" s="515" t="s">
        <v>1837</v>
      </c>
      <c r="I401" s="515"/>
      <c r="J401" s="515" t="s">
        <v>1838</v>
      </c>
      <c r="K401" s="515"/>
      <c r="L401" s="169" t="s">
        <v>1839</v>
      </c>
    </row>
    <row r="402" spans="1:12" ht="15" customHeight="1" x14ac:dyDescent="0.25">
      <c r="A402" s="170" t="s">
        <v>1851</v>
      </c>
      <c r="B402" s="490" t="s">
        <v>1852</v>
      </c>
      <c r="C402" s="490"/>
      <c r="D402" s="490"/>
      <c r="E402" s="490"/>
      <c r="F402" s="490"/>
      <c r="G402" s="127" t="s">
        <v>1024</v>
      </c>
      <c r="H402" s="524">
        <v>7.73</v>
      </c>
      <c r="I402" s="524"/>
      <c r="J402" s="517">
        <v>26.03</v>
      </c>
      <c r="K402" s="517"/>
      <c r="L402" s="370">
        <f>TRUNC(TRUNC(H402,8)*J402,2)</f>
        <v>201.21</v>
      </c>
    </row>
    <row r="403" spans="1:12" ht="15" customHeight="1" x14ac:dyDescent="0.25">
      <c r="A403" s="170" t="s">
        <v>1830</v>
      </c>
      <c r="B403" s="490" t="s">
        <v>1831</v>
      </c>
      <c r="C403" s="490"/>
      <c r="D403" s="490"/>
      <c r="E403" s="490"/>
      <c r="F403" s="490"/>
      <c r="G403" s="127" t="s">
        <v>1024</v>
      </c>
      <c r="H403" s="524">
        <v>1.25</v>
      </c>
      <c r="I403" s="524"/>
      <c r="J403" s="517">
        <v>19.68</v>
      </c>
      <c r="K403" s="517"/>
      <c r="L403" s="370">
        <f>TRUNC(TRUNC(H403,8)*J403,2)</f>
        <v>24.6</v>
      </c>
    </row>
    <row r="404" spans="1:12" ht="15" customHeight="1" x14ac:dyDescent="0.25">
      <c r="A404" s="184"/>
      <c r="B404" s="141"/>
      <c r="C404" s="141"/>
      <c r="D404" s="141"/>
      <c r="E404" s="141"/>
      <c r="F404" s="141"/>
      <c r="G404" s="141"/>
      <c r="H404" s="491" t="s">
        <v>1844</v>
      </c>
      <c r="I404" s="491"/>
      <c r="J404" s="491"/>
      <c r="K404" s="491"/>
      <c r="L404" s="369">
        <f>SUM(L402:L403)</f>
        <v>225.81</v>
      </c>
    </row>
    <row r="405" spans="1:12" ht="15" customHeight="1" x14ac:dyDescent="0.25">
      <c r="A405" s="182"/>
      <c r="B405" s="183"/>
      <c r="C405" s="183"/>
      <c r="D405" s="183"/>
      <c r="E405" s="183"/>
      <c r="F405" s="183"/>
      <c r="G405" s="183"/>
      <c r="H405" s="482" t="s">
        <v>1845</v>
      </c>
      <c r="I405" s="482"/>
      <c r="J405" s="482"/>
      <c r="K405" s="482"/>
      <c r="L405" s="371">
        <f>SUM(L404)</f>
        <v>225.81</v>
      </c>
    </row>
    <row r="406" spans="1:12" ht="15" customHeight="1" x14ac:dyDescent="0.25">
      <c r="A406" s="182"/>
      <c r="B406" s="183"/>
      <c r="C406" s="183"/>
      <c r="D406" s="183"/>
      <c r="E406" s="183"/>
      <c r="F406" s="183"/>
      <c r="G406" s="183"/>
      <c r="H406" s="482" t="s">
        <v>1846</v>
      </c>
      <c r="I406" s="482"/>
      <c r="J406" s="482"/>
      <c r="K406" s="482"/>
      <c r="L406" s="374">
        <v>1</v>
      </c>
    </row>
    <row r="407" spans="1:12" ht="15" customHeight="1" x14ac:dyDescent="0.25">
      <c r="A407" s="182"/>
      <c r="B407" s="183"/>
      <c r="C407" s="183"/>
      <c r="D407" s="183"/>
      <c r="E407" s="183"/>
      <c r="F407" s="183"/>
      <c r="G407" s="183"/>
      <c r="H407" s="482" t="s">
        <v>1847</v>
      </c>
      <c r="I407" s="482"/>
      <c r="J407" s="482"/>
      <c r="K407" s="482"/>
      <c r="L407" s="371">
        <f>TRUNC(L405/L406,4)</f>
        <v>225.81</v>
      </c>
    </row>
    <row r="408" spans="1:12" ht="15" customHeight="1" x14ac:dyDescent="0.25">
      <c r="A408" s="182"/>
      <c r="B408" s="183"/>
      <c r="C408" s="183"/>
      <c r="D408" s="183"/>
      <c r="E408" s="183"/>
      <c r="F408" s="183"/>
      <c r="G408" s="183"/>
      <c r="H408" s="482" t="s">
        <v>1848</v>
      </c>
      <c r="I408" s="482"/>
      <c r="J408" s="482"/>
      <c r="K408" s="482"/>
      <c r="L408" s="371">
        <f>SUM(L407)</f>
        <v>225.81</v>
      </c>
    </row>
    <row r="409" spans="1:12" ht="15" customHeight="1" x14ac:dyDescent="0.25">
      <c r="A409" s="182"/>
      <c r="B409" s="183"/>
      <c r="C409" s="183"/>
      <c r="D409" s="183"/>
      <c r="E409" s="183"/>
      <c r="F409" s="183"/>
      <c r="G409" s="183"/>
      <c r="H409" s="482" t="s">
        <v>1834</v>
      </c>
      <c r="I409" s="482"/>
      <c r="J409" s="482"/>
      <c r="K409" s="482"/>
      <c r="L409" s="369">
        <f>ROUND(SUM(L408),2)</f>
        <v>225.81</v>
      </c>
    </row>
    <row r="410" spans="1:12" ht="9.9499999999999993" customHeight="1" x14ac:dyDescent="0.25">
      <c r="A410" s="182"/>
      <c r="B410" s="183"/>
      <c r="C410" s="183"/>
      <c r="D410" s="183"/>
      <c r="E410" s="183"/>
      <c r="F410" s="183"/>
      <c r="G410" s="183"/>
      <c r="H410" s="485"/>
      <c r="I410" s="485"/>
      <c r="J410" s="485"/>
      <c r="K410" s="485"/>
      <c r="L410" s="512"/>
    </row>
    <row r="411" spans="1:12" ht="20.100000000000001" customHeight="1" x14ac:dyDescent="0.25">
      <c r="A411" s="486" t="s">
        <v>3456</v>
      </c>
      <c r="B411" s="487"/>
      <c r="C411" s="487"/>
      <c r="D411" s="487"/>
      <c r="E411" s="487"/>
      <c r="F411" s="487"/>
      <c r="G411" s="487"/>
      <c r="H411" s="487"/>
      <c r="I411" s="487"/>
      <c r="J411" s="487"/>
      <c r="K411" s="487"/>
      <c r="L411" s="513"/>
    </row>
    <row r="412" spans="1:12" ht="20.100000000000001" customHeight="1" x14ac:dyDescent="0.25">
      <c r="A412" s="488" t="s">
        <v>1836</v>
      </c>
      <c r="B412" s="489"/>
      <c r="C412" s="489"/>
      <c r="D412" s="489"/>
      <c r="E412" s="489"/>
      <c r="F412" s="489"/>
      <c r="G412" s="233" t="s">
        <v>44</v>
      </c>
      <c r="H412" s="515" t="s">
        <v>1837</v>
      </c>
      <c r="I412" s="515"/>
      <c r="J412" s="515" t="s">
        <v>1838</v>
      </c>
      <c r="K412" s="515"/>
      <c r="L412" s="169" t="s">
        <v>1839</v>
      </c>
    </row>
    <row r="413" spans="1:12" ht="15" customHeight="1" x14ac:dyDescent="0.25">
      <c r="A413" s="170" t="s">
        <v>1851</v>
      </c>
      <c r="B413" s="490" t="s">
        <v>1852</v>
      </c>
      <c r="C413" s="490"/>
      <c r="D413" s="490"/>
      <c r="E413" s="490"/>
      <c r="F413" s="490"/>
      <c r="G413" s="127" t="s">
        <v>1024</v>
      </c>
      <c r="H413" s="524">
        <v>1.7</v>
      </c>
      <c r="I413" s="524"/>
      <c r="J413" s="517">
        <v>26.03</v>
      </c>
      <c r="K413" s="517"/>
      <c r="L413" s="370">
        <f>TRUNC(TRUNC(H413,8)*J413,2)</f>
        <v>44.25</v>
      </c>
    </row>
    <row r="414" spans="1:12" ht="15" customHeight="1" x14ac:dyDescent="0.25">
      <c r="A414" s="170" t="s">
        <v>1830</v>
      </c>
      <c r="B414" s="490" t="s">
        <v>1831</v>
      </c>
      <c r="C414" s="490"/>
      <c r="D414" s="490"/>
      <c r="E414" s="490"/>
      <c r="F414" s="490"/>
      <c r="G414" s="127" t="s">
        <v>1024</v>
      </c>
      <c r="H414" s="524">
        <v>11</v>
      </c>
      <c r="I414" s="524"/>
      <c r="J414" s="517">
        <v>19.68</v>
      </c>
      <c r="K414" s="517"/>
      <c r="L414" s="370">
        <f>TRUNC(TRUNC(H414,8)*J414,2)</f>
        <v>216.48</v>
      </c>
    </row>
    <row r="415" spans="1:12" ht="15" customHeight="1" x14ac:dyDescent="0.25">
      <c r="A415" s="184"/>
      <c r="B415" s="141"/>
      <c r="C415" s="141"/>
      <c r="D415" s="141"/>
      <c r="E415" s="141"/>
      <c r="F415" s="141"/>
      <c r="G415" s="141"/>
      <c r="H415" s="491" t="s">
        <v>1844</v>
      </c>
      <c r="I415" s="491"/>
      <c r="J415" s="491"/>
      <c r="K415" s="491"/>
      <c r="L415" s="369">
        <f>SUM(L413:L414)</f>
        <v>260.73</v>
      </c>
    </row>
    <row r="416" spans="1:12" ht="15" customHeight="1" x14ac:dyDescent="0.25">
      <c r="A416" s="182"/>
      <c r="B416" s="183"/>
      <c r="C416" s="183"/>
      <c r="D416" s="183"/>
      <c r="E416" s="183"/>
      <c r="F416" s="183"/>
      <c r="G416" s="183"/>
      <c r="H416" s="482" t="s">
        <v>1845</v>
      </c>
      <c r="I416" s="482"/>
      <c r="J416" s="482"/>
      <c r="K416" s="482"/>
      <c r="L416" s="371">
        <f>SUM(L415)</f>
        <v>260.73</v>
      </c>
    </row>
    <row r="417" spans="1:12" ht="15" customHeight="1" x14ac:dyDescent="0.25">
      <c r="A417" s="182"/>
      <c r="B417" s="183"/>
      <c r="C417" s="183"/>
      <c r="D417" s="183"/>
      <c r="E417" s="183"/>
      <c r="F417" s="183"/>
      <c r="G417" s="183"/>
      <c r="H417" s="482" t="s">
        <v>1846</v>
      </c>
      <c r="I417" s="482"/>
      <c r="J417" s="482"/>
      <c r="K417" s="482"/>
      <c r="L417" s="374">
        <v>1</v>
      </c>
    </row>
    <row r="418" spans="1:12" ht="15" customHeight="1" x14ac:dyDescent="0.25">
      <c r="A418" s="182"/>
      <c r="B418" s="183"/>
      <c r="C418" s="183"/>
      <c r="D418" s="183"/>
      <c r="E418" s="183"/>
      <c r="F418" s="183"/>
      <c r="G418" s="183"/>
      <c r="H418" s="482" t="s">
        <v>1847</v>
      </c>
      <c r="I418" s="482"/>
      <c r="J418" s="482"/>
      <c r="K418" s="482"/>
      <c r="L418" s="371">
        <f>TRUNC(L416/L417,4)</f>
        <v>260.73</v>
      </c>
    </row>
    <row r="419" spans="1:12" ht="15" customHeight="1" x14ac:dyDescent="0.25">
      <c r="A419" s="182"/>
      <c r="B419" s="183"/>
      <c r="C419" s="183"/>
      <c r="D419" s="183"/>
      <c r="E419" s="183"/>
      <c r="F419" s="183"/>
      <c r="G419" s="183"/>
      <c r="H419" s="482" t="s">
        <v>1848</v>
      </c>
      <c r="I419" s="482"/>
      <c r="J419" s="482"/>
      <c r="K419" s="482"/>
      <c r="L419" s="371">
        <f>SUM(L418)</f>
        <v>260.73</v>
      </c>
    </row>
    <row r="420" spans="1:12" ht="15" customHeight="1" x14ac:dyDescent="0.25">
      <c r="A420" s="182"/>
      <c r="B420" s="183"/>
      <c r="C420" s="183"/>
      <c r="D420" s="183"/>
      <c r="E420" s="183"/>
      <c r="F420" s="183"/>
      <c r="G420" s="183"/>
      <c r="H420" s="482" t="s">
        <v>1834</v>
      </c>
      <c r="I420" s="482"/>
      <c r="J420" s="482"/>
      <c r="K420" s="482"/>
      <c r="L420" s="369">
        <f>ROUND(SUM(L419),2)</f>
        <v>260.73</v>
      </c>
    </row>
    <row r="421" spans="1:12" ht="9.9499999999999993" customHeight="1" x14ac:dyDescent="0.25">
      <c r="A421" s="182"/>
      <c r="B421" s="183"/>
      <c r="C421" s="183"/>
      <c r="D421" s="183"/>
      <c r="E421" s="183"/>
      <c r="F421" s="183"/>
      <c r="G421" s="183"/>
      <c r="H421" s="485"/>
      <c r="I421" s="485"/>
      <c r="J421" s="485"/>
      <c r="K421" s="485"/>
      <c r="L421" s="512"/>
    </row>
    <row r="422" spans="1:12" ht="20.100000000000001" customHeight="1" x14ac:dyDescent="0.25">
      <c r="A422" s="486" t="s">
        <v>3457</v>
      </c>
      <c r="B422" s="487"/>
      <c r="C422" s="487"/>
      <c r="D422" s="487"/>
      <c r="E422" s="487"/>
      <c r="F422" s="487"/>
      <c r="G422" s="487"/>
      <c r="H422" s="487"/>
      <c r="I422" s="487"/>
      <c r="J422" s="487"/>
      <c r="K422" s="487"/>
      <c r="L422" s="513"/>
    </row>
    <row r="423" spans="1:12" ht="20.100000000000001" customHeight="1" x14ac:dyDescent="0.25">
      <c r="A423" s="488" t="s">
        <v>1836</v>
      </c>
      <c r="B423" s="489"/>
      <c r="C423" s="489"/>
      <c r="D423" s="489"/>
      <c r="E423" s="489"/>
      <c r="F423" s="489"/>
      <c r="G423" s="233" t="s">
        <v>44</v>
      </c>
      <c r="H423" s="515" t="s">
        <v>1837</v>
      </c>
      <c r="I423" s="515"/>
      <c r="J423" s="515" t="s">
        <v>1838</v>
      </c>
      <c r="K423" s="515"/>
      <c r="L423" s="169" t="s">
        <v>1839</v>
      </c>
    </row>
    <row r="424" spans="1:12" ht="15" customHeight="1" x14ac:dyDescent="0.25">
      <c r="A424" s="170" t="s">
        <v>1830</v>
      </c>
      <c r="B424" s="490" t="s">
        <v>1831</v>
      </c>
      <c r="C424" s="490"/>
      <c r="D424" s="490"/>
      <c r="E424" s="490"/>
      <c r="F424" s="490"/>
      <c r="G424" s="127" t="s">
        <v>1024</v>
      </c>
      <c r="H424" s="524">
        <v>0.11</v>
      </c>
      <c r="I424" s="524"/>
      <c r="J424" s="517">
        <v>19.68</v>
      </c>
      <c r="K424" s="517"/>
      <c r="L424" s="370">
        <f>TRUNC(TRUNC(H424,8)*J424,2)</f>
        <v>2.16</v>
      </c>
    </row>
    <row r="425" spans="1:12" ht="15" customHeight="1" x14ac:dyDescent="0.25">
      <c r="A425" s="184"/>
      <c r="B425" s="141"/>
      <c r="C425" s="141"/>
      <c r="D425" s="141"/>
      <c r="E425" s="141"/>
      <c r="F425" s="141"/>
      <c r="G425" s="141"/>
      <c r="H425" s="491" t="s">
        <v>1844</v>
      </c>
      <c r="I425" s="491"/>
      <c r="J425" s="491"/>
      <c r="K425" s="491"/>
      <c r="L425" s="369">
        <f>SUM(L424:L424)</f>
        <v>2.16</v>
      </c>
    </row>
    <row r="426" spans="1:12" ht="15" customHeight="1" x14ac:dyDescent="0.25">
      <c r="A426" s="182"/>
      <c r="B426" s="183"/>
      <c r="C426" s="183"/>
      <c r="D426" s="183"/>
      <c r="E426" s="183"/>
      <c r="F426" s="183"/>
      <c r="G426" s="183"/>
      <c r="H426" s="482" t="s">
        <v>1845</v>
      </c>
      <c r="I426" s="482"/>
      <c r="J426" s="482"/>
      <c r="K426" s="482"/>
      <c r="L426" s="371">
        <f>SUM(L425)</f>
        <v>2.16</v>
      </c>
    </row>
    <row r="427" spans="1:12" ht="15" customHeight="1" x14ac:dyDescent="0.25">
      <c r="A427" s="182"/>
      <c r="B427" s="183"/>
      <c r="C427" s="183"/>
      <c r="D427" s="183"/>
      <c r="E427" s="183"/>
      <c r="F427" s="183"/>
      <c r="G427" s="183"/>
      <c r="H427" s="482" t="s">
        <v>1846</v>
      </c>
      <c r="I427" s="482"/>
      <c r="J427" s="482"/>
      <c r="K427" s="482"/>
      <c r="L427" s="374">
        <v>1</v>
      </c>
    </row>
    <row r="428" spans="1:12" ht="15" customHeight="1" x14ac:dyDescent="0.25">
      <c r="A428" s="182"/>
      <c r="B428" s="183"/>
      <c r="C428" s="183"/>
      <c r="D428" s="183"/>
      <c r="E428" s="183"/>
      <c r="F428" s="183"/>
      <c r="G428" s="183"/>
      <c r="H428" s="482" t="s">
        <v>1847</v>
      </c>
      <c r="I428" s="482"/>
      <c r="J428" s="482"/>
      <c r="K428" s="482"/>
      <c r="L428" s="371">
        <f>TRUNC(L426/L427,4)</f>
        <v>2.16</v>
      </c>
    </row>
    <row r="429" spans="1:12" ht="20.100000000000001" customHeight="1" x14ac:dyDescent="0.25">
      <c r="A429" s="488" t="s">
        <v>2009</v>
      </c>
      <c r="B429" s="489"/>
      <c r="C429" s="489"/>
      <c r="D429" s="489"/>
      <c r="E429" s="489"/>
      <c r="F429" s="489"/>
      <c r="G429" s="233" t="s">
        <v>44</v>
      </c>
      <c r="H429" s="515" t="s">
        <v>1837</v>
      </c>
      <c r="I429" s="515"/>
      <c r="J429" s="515" t="s">
        <v>1814</v>
      </c>
      <c r="K429" s="515"/>
      <c r="L429" s="169" t="s">
        <v>1882</v>
      </c>
    </row>
    <row r="430" spans="1:12" ht="24" customHeight="1" x14ac:dyDescent="0.25">
      <c r="A430" s="170" t="s">
        <v>3458</v>
      </c>
      <c r="B430" s="492" t="s">
        <v>3459</v>
      </c>
      <c r="C430" s="492"/>
      <c r="D430" s="492"/>
      <c r="E430" s="492"/>
      <c r="F430" s="492"/>
      <c r="G430" s="127"/>
      <c r="H430" s="526">
        <v>0.11</v>
      </c>
      <c r="I430" s="526"/>
      <c r="J430" s="525">
        <v>139.31</v>
      </c>
      <c r="K430" s="525"/>
      <c r="L430" s="171">
        <f>TRUNC(TRUNC(H430,8)*J430,2)</f>
        <v>15.32</v>
      </c>
    </row>
    <row r="431" spans="1:12" ht="15" customHeight="1" x14ac:dyDescent="0.25">
      <c r="A431" s="184"/>
      <c r="B431" s="141"/>
      <c r="C431" s="141"/>
      <c r="D431" s="141"/>
      <c r="E431" s="141"/>
      <c r="F431" s="141"/>
      <c r="G431" s="141"/>
      <c r="H431" s="491" t="s">
        <v>2014</v>
      </c>
      <c r="I431" s="491"/>
      <c r="J431" s="491"/>
      <c r="K431" s="491"/>
      <c r="L431" s="375">
        <f>SUM(L430:L430)</f>
        <v>15.32</v>
      </c>
    </row>
    <row r="432" spans="1:12" ht="15" customHeight="1" x14ac:dyDescent="0.25">
      <c r="A432" s="182"/>
      <c r="B432" s="183"/>
      <c r="C432" s="183"/>
      <c r="D432" s="183"/>
      <c r="E432" s="183"/>
      <c r="F432" s="183"/>
      <c r="G432" s="183"/>
      <c r="H432" s="482" t="s">
        <v>1848</v>
      </c>
      <c r="I432" s="482"/>
      <c r="J432" s="482"/>
      <c r="K432" s="482"/>
      <c r="L432" s="371">
        <f>SUM(L428,L431)</f>
        <v>17.48</v>
      </c>
    </row>
    <row r="433" spans="1:12" ht="15" customHeight="1" x14ac:dyDescent="0.25">
      <c r="A433" s="182"/>
      <c r="B433" s="183"/>
      <c r="C433" s="183"/>
      <c r="D433" s="183"/>
      <c r="E433" s="183"/>
      <c r="F433" s="183"/>
      <c r="G433" s="183"/>
      <c r="H433" s="482" t="s">
        <v>1834</v>
      </c>
      <c r="I433" s="482"/>
      <c r="J433" s="482"/>
      <c r="K433" s="482"/>
      <c r="L433" s="369">
        <f>ROUND(SUM(L432),2)</f>
        <v>17.48</v>
      </c>
    </row>
    <row r="434" spans="1:12" ht="9.9499999999999993" customHeight="1" x14ac:dyDescent="0.25">
      <c r="A434" s="182"/>
      <c r="B434" s="183"/>
      <c r="C434" s="183"/>
      <c r="D434" s="183"/>
      <c r="E434" s="183"/>
      <c r="F434" s="183"/>
      <c r="G434" s="183"/>
      <c r="H434" s="485"/>
      <c r="I434" s="485"/>
      <c r="J434" s="485"/>
      <c r="K434" s="485"/>
      <c r="L434" s="512"/>
    </row>
    <row r="435" spans="1:12" ht="20.100000000000001" customHeight="1" x14ac:dyDescent="0.25">
      <c r="A435" s="486" t="s">
        <v>3460</v>
      </c>
      <c r="B435" s="487"/>
      <c r="C435" s="487"/>
      <c r="D435" s="487"/>
      <c r="E435" s="487"/>
      <c r="F435" s="487"/>
      <c r="G435" s="487"/>
      <c r="H435" s="487"/>
      <c r="I435" s="487"/>
      <c r="J435" s="487"/>
      <c r="K435" s="487"/>
      <c r="L435" s="513"/>
    </row>
    <row r="436" spans="1:12" ht="15" customHeight="1" x14ac:dyDescent="0.25">
      <c r="A436" s="474" t="s">
        <v>2021</v>
      </c>
      <c r="B436" s="475"/>
      <c r="C436" s="475"/>
      <c r="D436" s="476" t="s">
        <v>42</v>
      </c>
      <c r="E436" s="476"/>
      <c r="F436" s="476"/>
      <c r="G436" s="230" t="s">
        <v>44</v>
      </c>
      <c r="H436" s="476" t="s">
        <v>1813</v>
      </c>
      <c r="I436" s="476"/>
      <c r="J436" s="476" t="s">
        <v>1814</v>
      </c>
      <c r="K436" s="476"/>
      <c r="L436" s="366" t="s">
        <v>1802</v>
      </c>
    </row>
    <row r="437" spans="1:12" ht="45.95" customHeight="1" x14ac:dyDescent="0.25">
      <c r="A437" s="181" t="s">
        <v>3461</v>
      </c>
      <c r="B437" s="509" t="s">
        <v>3462</v>
      </c>
      <c r="C437" s="509"/>
      <c r="D437" s="481" t="s">
        <v>82</v>
      </c>
      <c r="E437" s="481"/>
      <c r="F437" s="481"/>
      <c r="G437" s="231" t="s">
        <v>2024</v>
      </c>
      <c r="H437" s="510">
        <v>7.4514999999999998E-3</v>
      </c>
      <c r="I437" s="510"/>
      <c r="J437" s="511">
        <v>83.81</v>
      </c>
      <c r="K437" s="511"/>
      <c r="L437" s="367">
        <f>TRUNC(TRUNC(H437,8)*J437,2)</f>
        <v>0.62</v>
      </c>
    </row>
    <row r="438" spans="1:12" ht="45.95" customHeight="1" x14ac:dyDescent="0.25">
      <c r="A438" s="181" t="s">
        <v>3463</v>
      </c>
      <c r="B438" s="509" t="s">
        <v>3464</v>
      </c>
      <c r="C438" s="509"/>
      <c r="D438" s="481" t="s">
        <v>82</v>
      </c>
      <c r="E438" s="481"/>
      <c r="F438" s="481"/>
      <c r="G438" s="231" t="s">
        <v>2027</v>
      </c>
      <c r="H438" s="510">
        <v>1.0439800000000001E-2</v>
      </c>
      <c r="I438" s="510"/>
      <c r="J438" s="511">
        <v>301.76</v>
      </c>
      <c r="K438" s="511"/>
      <c r="L438" s="367">
        <f>TRUNC(TRUNC(H438,8)*J438,2)</f>
        <v>3.15</v>
      </c>
    </row>
    <row r="439" spans="1:12" ht="29.1" customHeight="1" x14ac:dyDescent="0.25">
      <c r="A439" s="181" t="s">
        <v>3465</v>
      </c>
      <c r="B439" s="509" t="s">
        <v>3466</v>
      </c>
      <c r="C439" s="509"/>
      <c r="D439" s="481" t="s">
        <v>82</v>
      </c>
      <c r="E439" s="481"/>
      <c r="F439" s="481"/>
      <c r="G439" s="231" t="s">
        <v>2024</v>
      </c>
      <c r="H439" s="510">
        <v>5.6490999999999998E-3</v>
      </c>
      <c r="I439" s="510"/>
      <c r="J439" s="511">
        <v>110.17</v>
      </c>
      <c r="K439" s="511"/>
      <c r="L439" s="367">
        <f>TRUNC(TRUNC(H439,8)*J439,2)</f>
        <v>0.62</v>
      </c>
    </row>
    <row r="440" spans="1:12" ht="29.1" customHeight="1" x14ac:dyDescent="0.25">
      <c r="A440" s="181" t="s">
        <v>3467</v>
      </c>
      <c r="B440" s="509" t="s">
        <v>3468</v>
      </c>
      <c r="C440" s="509"/>
      <c r="D440" s="481" t="s">
        <v>82</v>
      </c>
      <c r="E440" s="481"/>
      <c r="F440" s="481"/>
      <c r="G440" s="231" t="s">
        <v>2027</v>
      </c>
      <c r="H440" s="510">
        <v>2.7054000000000002E-3</v>
      </c>
      <c r="I440" s="510"/>
      <c r="J440" s="511">
        <v>280.61</v>
      </c>
      <c r="K440" s="511"/>
      <c r="L440" s="367">
        <f>TRUNC(TRUNC(H440,8)*J440,2)</f>
        <v>0.75</v>
      </c>
    </row>
    <row r="441" spans="1:12" ht="18" customHeight="1" x14ac:dyDescent="0.25">
      <c r="A441" s="182"/>
      <c r="B441" s="183"/>
      <c r="C441" s="183"/>
      <c r="D441" s="183"/>
      <c r="E441" s="183"/>
      <c r="F441" s="183"/>
      <c r="G441" s="183"/>
      <c r="H441" s="477" t="s">
        <v>2028</v>
      </c>
      <c r="I441" s="477"/>
      <c r="J441" s="477"/>
      <c r="K441" s="477"/>
      <c r="L441" s="368">
        <f>SUM(L437:L440)</f>
        <v>5.14</v>
      </c>
    </row>
    <row r="442" spans="1:12" ht="15" customHeight="1" x14ac:dyDescent="0.25">
      <c r="A442" s="182"/>
      <c r="B442" s="183"/>
      <c r="C442" s="183"/>
      <c r="D442" s="183"/>
      <c r="E442" s="183"/>
      <c r="F442" s="183"/>
      <c r="G442" s="183"/>
      <c r="H442" s="482" t="s">
        <v>1834</v>
      </c>
      <c r="I442" s="482"/>
      <c r="J442" s="482"/>
      <c r="K442" s="482"/>
      <c r="L442" s="369">
        <f>ROUND(SUM(L441),2)</f>
        <v>5.14</v>
      </c>
    </row>
    <row r="443" spans="1:12" ht="9.9499999999999993" customHeight="1" x14ac:dyDescent="0.25">
      <c r="A443" s="182"/>
      <c r="B443" s="183"/>
      <c r="C443" s="183"/>
      <c r="D443" s="183"/>
      <c r="E443" s="183"/>
      <c r="F443" s="183"/>
      <c r="G443" s="183"/>
      <c r="H443" s="485"/>
      <c r="I443" s="485"/>
      <c r="J443" s="485"/>
      <c r="K443" s="485"/>
      <c r="L443" s="512"/>
    </row>
    <row r="444" spans="1:12" ht="20.100000000000001" customHeight="1" x14ac:dyDescent="0.25">
      <c r="A444" s="486" t="s">
        <v>3469</v>
      </c>
      <c r="B444" s="487"/>
      <c r="C444" s="487"/>
      <c r="D444" s="487"/>
      <c r="E444" s="487"/>
      <c r="F444" s="487"/>
      <c r="G444" s="487"/>
      <c r="H444" s="487"/>
      <c r="I444" s="487"/>
      <c r="J444" s="487"/>
      <c r="K444" s="487"/>
      <c r="L444" s="513"/>
    </row>
    <row r="445" spans="1:12" ht="15" customHeight="1" x14ac:dyDescent="0.25">
      <c r="A445" s="474" t="s">
        <v>2021</v>
      </c>
      <c r="B445" s="475"/>
      <c r="C445" s="475"/>
      <c r="D445" s="476" t="s">
        <v>42</v>
      </c>
      <c r="E445" s="476"/>
      <c r="F445" s="476"/>
      <c r="G445" s="230" t="s">
        <v>44</v>
      </c>
      <c r="H445" s="476" t="s">
        <v>1813</v>
      </c>
      <c r="I445" s="476"/>
      <c r="J445" s="476" t="s">
        <v>1814</v>
      </c>
      <c r="K445" s="476"/>
      <c r="L445" s="366" t="s">
        <v>1802</v>
      </c>
    </row>
    <row r="446" spans="1:12" ht="45.95" customHeight="1" x14ac:dyDescent="0.25">
      <c r="A446" s="181" t="s">
        <v>3461</v>
      </c>
      <c r="B446" s="509" t="s">
        <v>3462</v>
      </c>
      <c r="C446" s="509"/>
      <c r="D446" s="481" t="s">
        <v>82</v>
      </c>
      <c r="E446" s="481"/>
      <c r="F446" s="481"/>
      <c r="G446" s="231" t="s">
        <v>2024</v>
      </c>
      <c r="H446" s="510">
        <v>2.1781999999999999E-3</v>
      </c>
      <c r="I446" s="510"/>
      <c r="J446" s="511">
        <v>83.81</v>
      </c>
      <c r="K446" s="511"/>
      <c r="L446" s="367">
        <f>TRUNC(TRUNC(H446,8)*J446,2)</f>
        <v>0.18</v>
      </c>
    </row>
    <row r="447" spans="1:12" ht="45.95" customHeight="1" x14ac:dyDescent="0.25">
      <c r="A447" s="181" t="s">
        <v>3463</v>
      </c>
      <c r="B447" s="509" t="s">
        <v>3464</v>
      </c>
      <c r="C447" s="509"/>
      <c r="D447" s="481" t="s">
        <v>82</v>
      </c>
      <c r="E447" s="481"/>
      <c r="F447" s="481"/>
      <c r="G447" s="231" t="s">
        <v>2027</v>
      </c>
      <c r="H447" s="510">
        <v>5.7971000000000003E-3</v>
      </c>
      <c r="I447" s="510"/>
      <c r="J447" s="511">
        <v>301.76</v>
      </c>
      <c r="K447" s="511"/>
      <c r="L447" s="367">
        <f>TRUNC(TRUNC(H447,8)*J447,2)</f>
        <v>1.74</v>
      </c>
    </row>
    <row r="448" spans="1:12" ht="18" customHeight="1" x14ac:dyDescent="0.25">
      <c r="A448" s="182"/>
      <c r="B448" s="183"/>
      <c r="C448" s="183"/>
      <c r="D448" s="183"/>
      <c r="E448" s="183"/>
      <c r="F448" s="183"/>
      <c r="G448" s="183"/>
      <c r="H448" s="477" t="s">
        <v>2028</v>
      </c>
      <c r="I448" s="477"/>
      <c r="J448" s="477"/>
      <c r="K448" s="477"/>
      <c r="L448" s="368">
        <f>SUM(L446:L447)</f>
        <v>1.92</v>
      </c>
    </row>
    <row r="449" spans="1:12" ht="15" customHeight="1" x14ac:dyDescent="0.25">
      <c r="A449" s="182"/>
      <c r="B449" s="183"/>
      <c r="C449" s="183"/>
      <c r="D449" s="183"/>
      <c r="E449" s="183"/>
      <c r="F449" s="183"/>
      <c r="G449" s="183"/>
      <c r="H449" s="482" t="s">
        <v>1834</v>
      </c>
      <c r="I449" s="482"/>
      <c r="J449" s="482"/>
      <c r="K449" s="482"/>
      <c r="L449" s="369">
        <f>ROUND(SUM(L448),2)</f>
        <v>1.92</v>
      </c>
    </row>
    <row r="450" spans="1:12" ht="9.9499999999999993" customHeight="1" x14ac:dyDescent="0.25">
      <c r="A450" s="182"/>
      <c r="B450" s="183"/>
      <c r="C450" s="183"/>
      <c r="D450" s="183"/>
      <c r="E450" s="183"/>
      <c r="F450" s="183"/>
      <c r="G450" s="183"/>
      <c r="H450" s="485"/>
      <c r="I450" s="485"/>
      <c r="J450" s="485"/>
      <c r="K450" s="485"/>
      <c r="L450" s="512"/>
    </row>
    <row r="451" spans="1:12" ht="36" customHeight="1" x14ac:dyDescent="0.25">
      <c r="A451" s="486" t="s">
        <v>1856</v>
      </c>
      <c r="B451" s="487"/>
      <c r="C451" s="487"/>
      <c r="D451" s="487"/>
      <c r="E451" s="487"/>
      <c r="F451" s="487"/>
      <c r="G451" s="487"/>
      <c r="H451" s="487"/>
      <c r="I451" s="487"/>
      <c r="J451" s="487"/>
      <c r="K451" s="487"/>
      <c r="L451" s="513"/>
    </row>
    <row r="452" spans="1:12" ht="15" customHeight="1" x14ac:dyDescent="0.25">
      <c r="A452" s="474" t="s">
        <v>1812</v>
      </c>
      <c r="B452" s="475"/>
      <c r="C452" s="475"/>
      <c r="D452" s="476" t="s">
        <v>42</v>
      </c>
      <c r="E452" s="476"/>
      <c r="F452" s="476"/>
      <c r="G452" s="230" t="s">
        <v>44</v>
      </c>
      <c r="H452" s="476" t="s">
        <v>1813</v>
      </c>
      <c r="I452" s="476"/>
      <c r="J452" s="476" t="s">
        <v>1814</v>
      </c>
      <c r="K452" s="476"/>
      <c r="L452" s="366" t="s">
        <v>1802</v>
      </c>
    </row>
    <row r="453" spans="1:12" ht="21" customHeight="1" x14ac:dyDescent="0.25">
      <c r="A453" s="181" t="s">
        <v>1857</v>
      </c>
      <c r="B453" s="509" t="s">
        <v>1858</v>
      </c>
      <c r="C453" s="509"/>
      <c r="D453" s="481" t="s">
        <v>1859</v>
      </c>
      <c r="E453" s="481"/>
      <c r="F453" s="481"/>
      <c r="G453" s="231" t="s">
        <v>122</v>
      </c>
      <c r="H453" s="510">
        <v>2.1</v>
      </c>
      <c r="I453" s="510"/>
      <c r="J453" s="511">
        <v>35.57</v>
      </c>
      <c r="K453" s="511"/>
      <c r="L453" s="367">
        <f t="shared" ref="L453:L460" si="5">ROUND(ROUND(H453,8)*J453,2)</f>
        <v>74.7</v>
      </c>
    </row>
    <row r="454" spans="1:12" ht="29.1" customHeight="1" x14ac:dyDescent="0.25">
      <c r="A454" s="181" t="s">
        <v>1860</v>
      </c>
      <c r="B454" s="509" t="s">
        <v>1861</v>
      </c>
      <c r="C454" s="509"/>
      <c r="D454" s="481" t="s">
        <v>1859</v>
      </c>
      <c r="E454" s="481"/>
      <c r="F454" s="481"/>
      <c r="G454" s="231" t="s">
        <v>188</v>
      </c>
      <c r="H454" s="510">
        <v>2.8</v>
      </c>
      <c r="I454" s="510"/>
      <c r="J454" s="511">
        <v>0.27</v>
      </c>
      <c r="K454" s="511"/>
      <c r="L454" s="367">
        <f t="shared" si="5"/>
        <v>0.76</v>
      </c>
    </row>
    <row r="455" spans="1:12" ht="21" customHeight="1" x14ac:dyDescent="0.25">
      <c r="A455" s="181" t="s">
        <v>1862</v>
      </c>
      <c r="B455" s="509" t="s">
        <v>1863</v>
      </c>
      <c r="C455" s="509"/>
      <c r="D455" s="481" t="s">
        <v>1859</v>
      </c>
      <c r="E455" s="481"/>
      <c r="F455" s="481"/>
      <c r="G455" s="231" t="s">
        <v>188</v>
      </c>
      <c r="H455" s="510">
        <v>0.7</v>
      </c>
      <c r="I455" s="510"/>
      <c r="J455" s="511">
        <v>2.37</v>
      </c>
      <c r="K455" s="511"/>
      <c r="L455" s="367">
        <f t="shared" si="5"/>
        <v>1.66</v>
      </c>
    </row>
    <row r="456" spans="1:12" ht="29.1" customHeight="1" x14ac:dyDescent="0.25">
      <c r="A456" s="181" t="s">
        <v>1864</v>
      </c>
      <c r="B456" s="509" t="s">
        <v>1865</v>
      </c>
      <c r="C456" s="509"/>
      <c r="D456" s="481" t="s">
        <v>1859</v>
      </c>
      <c r="E456" s="481"/>
      <c r="F456" s="481"/>
      <c r="G456" s="231" t="s">
        <v>1817</v>
      </c>
      <c r="H456" s="510">
        <v>1.0327</v>
      </c>
      <c r="I456" s="510"/>
      <c r="J456" s="511">
        <v>3.22</v>
      </c>
      <c r="K456" s="511"/>
      <c r="L456" s="367">
        <f t="shared" si="5"/>
        <v>3.33</v>
      </c>
    </row>
    <row r="457" spans="1:12" ht="21" customHeight="1" x14ac:dyDescent="0.25">
      <c r="A457" s="181" t="s">
        <v>1866</v>
      </c>
      <c r="B457" s="509" t="s">
        <v>1867</v>
      </c>
      <c r="C457" s="509"/>
      <c r="D457" s="481" t="s">
        <v>1859</v>
      </c>
      <c r="E457" s="481"/>
      <c r="F457" s="481"/>
      <c r="G457" s="231" t="s">
        <v>226</v>
      </c>
      <c r="H457" s="510">
        <v>26.666699999999999</v>
      </c>
      <c r="I457" s="510"/>
      <c r="J457" s="511">
        <v>0.03</v>
      </c>
      <c r="K457" s="511"/>
      <c r="L457" s="367">
        <f t="shared" si="5"/>
        <v>0.8</v>
      </c>
    </row>
    <row r="458" spans="1:12" ht="29.1" customHeight="1" x14ac:dyDescent="0.25">
      <c r="A458" s="181" t="s">
        <v>1868</v>
      </c>
      <c r="B458" s="509" t="s">
        <v>1869</v>
      </c>
      <c r="C458" s="509"/>
      <c r="D458" s="481" t="s">
        <v>1859</v>
      </c>
      <c r="E458" s="481"/>
      <c r="F458" s="481"/>
      <c r="G458" s="231" t="s">
        <v>188</v>
      </c>
      <c r="H458" s="510">
        <v>0.7</v>
      </c>
      <c r="I458" s="510"/>
      <c r="J458" s="511">
        <v>4.9400000000000004</v>
      </c>
      <c r="K458" s="511"/>
      <c r="L458" s="367">
        <f t="shared" si="5"/>
        <v>3.46</v>
      </c>
    </row>
    <row r="459" spans="1:12" ht="29.1" customHeight="1" x14ac:dyDescent="0.25">
      <c r="A459" s="181" t="s">
        <v>1870</v>
      </c>
      <c r="B459" s="509" t="s">
        <v>1871</v>
      </c>
      <c r="C459" s="509"/>
      <c r="D459" s="481" t="s">
        <v>1859</v>
      </c>
      <c r="E459" s="481"/>
      <c r="F459" s="481"/>
      <c r="G459" s="231" t="s">
        <v>188</v>
      </c>
      <c r="H459" s="510">
        <v>2.625</v>
      </c>
      <c r="I459" s="510"/>
      <c r="J459" s="511">
        <v>5.62</v>
      </c>
      <c r="K459" s="511"/>
      <c r="L459" s="367">
        <f t="shared" si="5"/>
        <v>14.75</v>
      </c>
    </row>
    <row r="460" spans="1:12" ht="29.1" customHeight="1" x14ac:dyDescent="0.25">
      <c r="A460" s="181" t="s">
        <v>1872</v>
      </c>
      <c r="B460" s="509" t="s">
        <v>1873</v>
      </c>
      <c r="C460" s="509"/>
      <c r="D460" s="481" t="s">
        <v>1859</v>
      </c>
      <c r="E460" s="481"/>
      <c r="F460" s="481"/>
      <c r="G460" s="231" t="s">
        <v>226</v>
      </c>
      <c r="H460" s="510">
        <v>2.5556000000000001</v>
      </c>
      <c r="I460" s="510"/>
      <c r="J460" s="511">
        <v>0.44</v>
      </c>
      <c r="K460" s="511"/>
      <c r="L460" s="367">
        <f t="shared" si="5"/>
        <v>1.1200000000000001</v>
      </c>
    </row>
    <row r="461" spans="1:12" ht="15" customHeight="1" x14ac:dyDescent="0.25">
      <c r="A461" s="182"/>
      <c r="B461" s="183"/>
      <c r="C461" s="183"/>
      <c r="D461" s="183"/>
      <c r="E461" s="183"/>
      <c r="F461" s="183"/>
      <c r="G461" s="183"/>
      <c r="H461" s="477" t="s">
        <v>1826</v>
      </c>
      <c r="I461" s="477"/>
      <c r="J461" s="477"/>
      <c r="K461" s="477"/>
      <c r="L461" s="368">
        <f>SUM(L453:L460)</f>
        <v>100.58</v>
      </c>
    </row>
    <row r="462" spans="1:12" ht="15" customHeight="1" x14ac:dyDescent="0.25">
      <c r="A462" s="474" t="s">
        <v>1827</v>
      </c>
      <c r="B462" s="475"/>
      <c r="C462" s="475"/>
      <c r="D462" s="476" t="s">
        <v>42</v>
      </c>
      <c r="E462" s="476"/>
      <c r="F462" s="476"/>
      <c r="G462" s="230" t="s">
        <v>44</v>
      </c>
      <c r="H462" s="476" t="s">
        <v>1813</v>
      </c>
      <c r="I462" s="476"/>
      <c r="J462" s="476" t="s">
        <v>1814</v>
      </c>
      <c r="K462" s="476"/>
      <c r="L462" s="366" t="s">
        <v>1802</v>
      </c>
    </row>
    <row r="463" spans="1:12" ht="15" customHeight="1" x14ac:dyDescent="0.25">
      <c r="A463" s="181" t="s">
        <v>1874</v>
      </c>
      <c r="B463" s="509" t="s">
        <v>1875</v>
      </c>
      <c r="C463" s="509"/>
      <c r="D463" s="481" t="s">
        <v>51</v>
      </c>
      <c r="E463" s="481"/>
      <c r="F463" s="481"/>
      <c r="G463" s="231" t="s">
        <v>1024</v>
      </c>
      <c r="H463" s="510">
        <v>0.54490000000000005</v>
      </c>
      <c r="I463" s="510"/>
      <c r="J463" s="511">
        <v>38.92</v>
      </c>
      <c r="K463" s="511"/>
      <c r="L463" s="367">
        <f>ROUND(ROUND(H463,8)*J463,2)</f>
        <v>21.21</v>
      </c>
    </row>
    <row r="464" spans="1:12" ht="15" customHeight="1" x14ac:dyDescent="0.25">
      <c r="A464" s="181" t="s">
        <v>1830</v>
      </c>
      <c r="B464" s="509" t="s">
        <v>1831</v>
      </c>
      <c r="C464" s="509"/>
      <c r="D464" s="481" t="s">
        <v>51</v>
      </c>
      <c r="E464" s="481"/>
      <c r="F464" s="481"/>
      <c r="G464" s="231" t="s">
        <v>1024</v>
      </c>
      <c r="H464" s="510">
        <v>0.13619999999999999</v>
      </c>
      <c r="I464" s="510"/>
      <c r="J464" s="511">
        <v>19.68</v>
      </c>
      <c r="K464" s="511"/>
      <c r="L464" s="367">
        <f>ROUND(ROUND(H464,8)*J464,2)</f>
        <v>2.68</v>
      </c>
    </row>
    <row r="465" spans="1:12" ht="15" customHeight="1" x14ac:dyDescent="0.25">
      <c r="A465" s="182"/>
      <c r="B465" s="183"/>
      <c r="C465" s="183"/>
      <c r="D465" s="183"/>
      <c r="E465" s="183"/>
      <c r="F465" s="183"/>
      <c r="G465" s="183"/>
      <c r="H465" s="477" t="s">
        <v>1832</v>
      </c>
      <c r="I465" s="477"/>
      <c r="J465" s="477"/>
      <c r="K465" s="477"/>
      <c r="L465" s="368">
        <f>SUM(L463:L464)</f>
        <v>23.89</v>
      </c>
    </row>
    <row r="466" spans="1:12" ht="15" customHeight="1" x14ac:dyDescent="0.25">
      <c r="A466" s="483" t="s">
        <v>1876</v>
      </c>
      <c r="B466" s="484"/>
      <c r="C466" s="484"/>
      <c r="D466" s="484"/>
      <c r="E466" s="183"/>
      <c r="F466" s="183"/>
      <c r="G466" s="183"/>
      <c r="H466" s="482" t="s">
        <v>1834</v>
      </c>
      <c r="I466" s="482"/>
      <c r="J466" s="482"/>
      <c r="K466" s="482"/>
      <c r="L466" s="369">
        <v>124.47</v>
      </c>
    </row>
    <row r="467" spans="1:12" ht="9.9499999999999993" customHeight="1" x14ac:dyDescent="0.25">
      <c r="A467" s="182"/>
      <c r="B467" s="183"/>
      <c r="C467" s="183"/>
      <c r="D467" s="183"/>
      <c r="E467" s="183"/>
      <c r="F467" s="183"/>
      <c r="G467" s="183"/>
      <c r="H467" s="485"/>
      <c r="I467" s="485"/>
      <c r="J467" s="485"/>
      <c r="K467" s="485"/>
      <c r="L467" s="512"/>
    </row>
    <row r="468" spans="1:12" ht="20.100000000000001" customHeight="1" x14ac:dyDescent="0.25">
      <c r="A468" s="486" t="s">
        <v>3470</v>
      </c>
      <c r="B468" s="487"/>
      <c r="C468" s="487"/>
      <c r="D468" s="487"/>
      <c r="E468" s="487"/>
      <c r="F468" s="487"/>
      <c r="G468" s="487"/>
      <c r="H468" s="487"/>
      <c r="I468" s="487"/>
      <c r="J468" s="487"/>
      <c r="K468" s="487"/>
      <c r="L468" s="513"/>
    </row>
    <row r="469" spans="1:12" ht="20.100000000000001" customHeight="1" x14ac:dyDescent="0.25">
      <c r="A469" s="488" t="s">
        <v>1836</v>
      </c>
      <c r="B469" s="489"/>
      <c r="C469" s="489"/>
      <c r="D469" s="489"/>
      <c r="E469" s="489"/>
      <c r="F469" s="489"/>
      <c r="G469" s="233" t="s">
        <v>44</v>
      </c>
      <c r="H469" s="515" t="s">
        <v>1837</v>
      </c>
      <c r="I469" s="515"/>
      <c r="J469" s="515" t="s">
        <v>1838</v>
      </c>
      <c r="K469" s="515"/>
      <c r="L469" s="169" t="s">
        <v>1839</v>
      </c>
    </row>
    <row r="470" spans="1:12" ht="15" customHeight="1" x14ac:dyDescent="0.25">
      <c r="A470" s="170" t="s">
        <v>1851</v>
      </c>
      <c r="B470" s="490" t="s">
        <v>1852</v>
      </c>
      <c r="C470" s="490"/>
      <c r="D470" s="490"/>
      <c r="E470" s="490"/>
      <c r="F470" s="490"/>
      <c r="G470" s="127" t="s">
        <v>1024</v>
      </c>
      <c r="H470" s="524">
        <v>1.2</v>
      </c>
      <c r="I470" s="524"/>
      <c r="J470" s="517">
        <v>26.03</v>
      </c>
      <c r="K470" s="517"/>
      <c r="L470" s="370">
        <f>TRUNC(TRUNC(H470,8)*J470,2)</f>
        <v>31.23</v>
      </c>
    </row>
    <row r="471" spans="1:12" ht="15" customHeight="1" x14ac:dyDescent="0.25">
      <c r="A471" s="170" t="s">
        <v>1830</v>
      </c>
      <c r="B471" s="490" t="s">
        <v>1831</v>
      </c>
      <c r="C471" s="490"/>
      <c r="D471" s="490"/>
      <c r="E471" s="490"/>
      <c r="F471" s="490"/>
      <c r="G471" s="127" t="s">
        <v>1024</v>
      </c>
      <c r="H471" s="524">
        <v>1.3</v>
      </c>
      <c r="I471" s="524"/>
      <c r="J471" s="517">
        <v>19.68</v>
      </c>
      <c r="K471" s="517"/>
      <c r="L471" s="370">
        <f>TRUNC(TRUNC(H471,8)*J471,2)</f>
        <v>25.58</v>
      </c>
    </row>
    <row r="472" spans="1:12" ht="15" customHeight="1" x14ac:dyDescent="0.25">
      <c r="A472" s="184"/>
      <c r="B472" s="141"/>
      <c r="C472" s="141"/>
      <c r="D472" s="141"/>
      <c r="E472" s="141"/>
      <c r="F472" s="141"/>
      <c r="G472" s="141"/>
      <c r="H472" s="491" t="s">
        <v>1844</v>
      </c>
      <c r="I472" s="491"/>
      <c r="J472" s="491"/>
      <c r="K472" s="491"/>
      <c r="L472" s="369">
        <f>SUM(L470:L471)</f>
        <v>56.81</v>
      </c>
    </row>
    <row r="473" spans="1:12" ht="15" customHeight="1" x14ac:dyDescent="0.25">
      <c r="A473" s="182"/>
      <c r="B473" s="183"/>
      <c r="C473" s="183"/>
      <c r="D473" s="183"/>
      <c r="E473" s="183"/>
      <c r="F473" s="183"/>
      <c r="G473" s="183"/>
      <c r="H473" s="482" t="s">
        <v>1845</v>
      </c>
      <c r="I473" s="482"/>
      <c r="J473" s="482"/>
      <c r="K473" s="482"/>
      <c r="L473" s="371">
        <f>SUM(L472)</f>
        <v>56.81</v>
      </c>
    </row>
    <row r="474" spans="1:12" ht="15" customHeight="1" x14ac:dyDescent="0.25">
      <c r="A474" s="182"/>
      <c r="B474" s="183"/>
      <c r="C474" s="183"/>
      <c r="D474" s="183"/>
      <c r="E474" s="183"/>
      <c r="F474" s="183"/>
      <c r="G474" s="183"/>
      <c r="H474" s="482" t="s">
        <v>1846</v>
      </c>
      <c r="I474" s="482"/>
      <c r="J474" s="482"/>
      <c r="K474" s="482"/>
      <c r="L474" s="374">
        <v>1</v>
      </c>
    </row>
    <row r="475" spans="1:12" ht="15" customHeight="1" x14ac:dyDescent="0.25">
      <c r="A475" s="182"/>
      <c r="B475" s="183"/>
      <c r="C475" s="183"/>
      <c r="D475" s="183"/>
      <c r="E475" s="183"/>
      <c r="F475" s="183"/>
      <c r="G475" s="183"/>
      <c r="H475" s="482" t="s">
        <v>1847</v>
      </c>
      <c r="I475" s="482"/>
      <c r="J475" s="482"/>
      <c r="K475" s="482"/>
      <c r="L475" s="371">
        <f>TRUNC(L473/L474,4)</f>
        <v>56.81</v>
      </c>
    </row>
    <row r="476" spans="1:12" ht="20.100000000000001" customHeight="1" x14ac:dyDescent="0.25">
      <c r="A476" s="488" t="s">
        <v>1880</v>
      </c>
      <c r="B476" s="489"/>
      <c r="C476" s="489"/>
      <c r="D476" s="489"/>
      <c r="E476" s="489"/>
      <c r="F476" s="489"/>
      <c r="G476" s="233" t="s">
        <v>44</v>
      </c>
      <c r="H476" s="515" t="s">
        <v>1837</v>
      </c>
      <c r="I476" s="515"/>
      <c r="J476" s="515" t="s">
        <v>1881</v>
      </c>
      <c r="K476" s="515"/>
      <c r="L476" s="169" t="s">
        <v>1882</v>
      </c>
    </row>
    <row r="477" spans="1:12" ht="15" customHeight="1" x14ac:dyDescent="0.25">
      <c r="A477" s="170" t="s">
        <v>2170</v>
      </c>
      <c r="B477" s="492" t="s">
        <v>2171</v>
      </c>
      <c r="C477" s="492"/>
      <c r="D477" s="492"/>
      <c r="E477" s="492"/>
      <c r="F477" s="492"/>
      <c r="G477" s="127" t="s">
        <v>85</v>
      </c>
      <c r="H477" s="524">
        <v>2.9000000000000001E-2</v>
      </c>
      <c r="I477" s="524"/>
      <c r="J477" s="525">
        <v>152</v>
      </c>
      <c r="K477" s="525"/>
      <c r="L477" s="171">
        <f>TRUNC(TRUNC(H477,8)*J477,2)</f>
        <v>4.4000000000000004</v>
      </c>
    </row>
    <row r="478" spans="1:12" ht="15" customHeight="1" x14ac:dyDescent="0.25">
      <c r="A478" s="170" t="s">
        <v>3131</v>
      </c>
      <c r="B478" s="492" t="s">
        <v>3132</v>
      </c>
      <c r="C478" s="492"/>
      <c r="D478" s="492"/>
      <c r="E478" s="492"/>
      <c r="F478" s="492"/>
      <c r="G478" s="127" t="s">
        <v>1817</v>
      </c>
      <c r="H478" s="524">
        <v>1.45</v>
      </c>
      <c r="I478" s="524"/>
      <c r="J478" s="525">
        <v>1.08</v>
      </c>
      <c r="K478" s="525"/>
      <c r="L478" s="171">
        <f>TRUNC(TRUNC(H478,8)*J478,2)</f>
        <v>1.56</v>
      </c>
    </row>
    <row r="479" spans="1:12" ht="15" customHeight="1" x14ac:dyDescent="0.25">
      <c r="A479" s="170" t="s">
        <v>2263</v>
      </c>
      <c r="B479" s="492" t="s">
        <v>2264</v>
      </c>
      <c r="C479" s="492"/>
      <c r="D479" s="492"/>
      <c r="E479" s="492"/>
      <c r="F479" s="492"/>
      <c r="G479" s="127" t="s">
        <v>1817</v>
      </c>
      <c r="H479" s="524">
        <v>5.6</v>
      </c>
      <c r="I479" s="524"/>
      <c r="J479" s="525">
        <v>0.56999999999999995</v>
      </c>
      <c r="K479" s="525"/>
      <c r="L479" s="171">
        <f>TRUNC(TRUNC(H479,8)*J479,2)</f>
        <v>3.19</v>
      </c>
    </row>
    <row r="480" spans="1:12" ht="15" customHeight="1" x14ac:dyDescent="0.25">
      <c r="A480" s="184"/>
      <c r="B480" s="141"/>
      <c r="C480" s="141"/>
      <c r="D480" s="141"/>
      <c r="E480" s="141"/>
      <c r="F480" s="141"/>
      <c r="G480" s="141"/>
      <c r="H480" s="491" t="s">
        <v>1889</v>
      </c>
      <c r="I480" s="491"/>
      <c r="J480" s="491"/>
      <c r="K480" s="491"/>
      <c r="L480" s="375">
        <f>SUM(L477:L479)</f>
        <v>9.15</v>
      </c>
    </row>
    <row r="481" spans="1:12" ht="15" customHeight="1" x14ac:dyDescent="0.25">
      <c r="A481" s="182"/>
      <c r="B481" s="183"/>
      <c r="C481" s="183"/>
      <c r="D481" s="183"/>
      <c r="E481" s="183"/>
      <c r="F481" s="183"/>
      <c r="G481" s="183"/>
      <c r="H481" s="482" t="s">
        <v>1848</v>
      </c>
      <c r="I481" s="482"/>
      <c r="J481" s="482"/>
      <c r="K481" s="482"/>
      <c r="L481" s="371">
        <f>SUM(L475,L480)</f>
        <v>65.960000000000008</v>
      </c>
    </row>
    <row r="482" spans="1:12" ht="15" customHeight="1" x14ac:dyDescent="0.25">
      <c r="A482" s="182"/>
      <c r="B482" s="183"/>
      <c r="C482" s="183"/>
      <c r="D482" s="183"/>
      <c r="E482" s="183"/>
      <c r="F482" s="183"/>
      <c r="G482" s="183"/>
      <c r="H482" s="482" t="s">
        <v>1834</v>
      </c>
      <c r="I482" s="482"/>
      <c r="J482" s="482"/>
      <c r="K482" s="482"/>
      <c r="L482" s="369">
        <f>ROUND(SUM(L481),2)</f>
        <v>65.959999999999994</v>
      </c>
    </row>
    <row r="483" spans="1:12" ht="9.9499999999999993" customHeight="1" x14ac:dyDescent="0.25">
      <c r="A483" s="182"/>
      <c r="B483" s="183"/>
      <c r="C483" s="183"/>
      <c r="D483" s="183"/>
      <c r="E483" s="183"/>
      <c r="F483" s="183"/>
      <c r="G483" s="183"/>
      <c r="H483" s="485"/>
      <c r="I483" s="485"/>
      <c r="J483" s="485"/>
      <c r="K483" s="485"/>
      <c r="L483" s="512"/>
    </row>
    <row r="484" spans="1:12" ht="27" customHeight="1" x14ac:dyDescent="0.25">
      <c r="A484" s="486" t="s">
        <v>3471</v>
      </c>
      <c r="B484" s="487"/>
      <c r="C484" s="487"/>
      <c r="D484" s="487"/>
      <c r="E484" s="487"/>
      <c r="F484" s="487"/>
      <c r="G484" s="487"/>
      <c r="H484" s="487"/>
      <c r="I484" s="487"/>
      <c r="J484" s="487"/>
      <c r="K484" s="487"/>
      <c r="L484" s="513"/>
    </row>
    <row r="485" spans="1:12" ht="20.100000000000001" customHeight="1" x14ac:dyDescent="0.25">
      <c r="A485" s="488" t="s">
        <v>1836</v>
      </c>
      <c r="B485" s="489"/>
      <c r="C485" s="489"/>
      <c r="D485" s="489"/>
      <c r="E485" s="489"/>
      <c r="F485" s="489"/>
      <c r="G485" s="233" t="s">
        <v>44</v>
      </c>
      <c r="H485" s="515" t="s">
        <v>1837</v>
      </c>
      <c r="I485" s="515"/>
      <c r="J485" s="515" t="s">
        <v>1838</v>
      </c>
      <c r="K485" s="515"/>
      <c r="L485" s="169" t="s">
        <v>1839</v>
      </c>
    </row>
    <row r="486" spans="1:12" ht="15" customHeight="1" x14ac:dyDescent="0.25">
      <c r="A486" s="170" t="s">
        <v>1851</v>
      </c>
      <c r="B486" s="490" t="s">
        <v>1852</v>
      </c>
      <c r="C486" s="490"/>
      <c r="D486" s="490"/>
      <c r="E486" s="490"/>
      <c r="F486" s="490"/>
      <c r="G486" s="127" t="s">
        <v>1024</v>
      </c>
      <c r="H486" s="524">
        <v>0.64</v>
      </c>
      <c r="I486" s="524"/>
      <c r="J486" s="517">
        <v>26.03</v>
      </c>
      <c r="K486" s="517"/>
      <c r="L486" s="370">
        <f>TRUNC(TRUNC(H486,8)*J486,2)</f>
        <v>16.649999999999999</v>
      </c>
    </row>
    <row r="487" spans="1:12" ht="15" customHeight="1" x14ac:dyDescent="0.25">
      <c r="A487" s="170" t="s">
        <v>1830</v>
      </c>
      <c r="B487" s="490" t="s">
        <v>1831</v>
      </c>
      <c r="C487" s="490"/>
      <c r="D487" s="490"/>
      <c r="E487" s="490"/>
      <c r="F487" s="490"/>
      <c r="G487" s="127" t="s">
        <v>1024</v>
      </c>
      <c r="H487" s="524">
        <v>0.38</v>
      </c>
      <c r="I487" s="524"/>
      <c r="J487" s="517">
        <v>19.68</v>
      </c>
      <c r="K487" s="517"/>
      <c r="L487" s="370">
        <f>TRUNC(TRUNC(H487,8)*J487,2)</f>
        <v>7.47</v>
      </c>
    </row>
    <row r="488" spans="1:12" ht="15" customHeight="1" x14ac:dyDescent="0.25">
      <c r="A488" s="184"/>
      <c r="B488" s="141"/>
      <c r="C488" s="141"/>
      <c r="D488" s="141"/>
      <c r="E488" s="141"/>
      <c r="F488" s="141"/>
      <c r="G488" s="141"/>
      <c r="H488" s="491" t="s">
        <v>1844</v>
      </c>
      <c r="I488" s="491"/>
      <c r="J488" s="491"/>
      <c r="K488" s="491"/>
      <c r="L488" s="369">
        <f>SUM(L486:L487)</f>
        <v>24.119999999999997</v>
      </c>
    </row>
    <row r="489" spans="1:12" ht="15" customHeight="1" x14ac:dyDescent="0.25">
      <c r="A489" s="182"/>
      <c r="B489" s="183"/>
      <c r="C489" s="183"/>
      <c r="D489" s="183"/>
      <c r="E489" s="183"/>
      <c r="F489" s="183"/>
      <c r="G489" s="183"/>
      <c r="H489" s="482" t="s">
        <v>1845</v>
      </c>
      <c r="I489" s="482"/>
      <c r="J489" s="482"/>
      <c r="K489" s="482"/>
      <c r="L489" s="371">
        <f>SUM(L488)</f>
        <v>24.119999999999997</v>
      </c>
    </row>
    <row r="490" spans="1:12" ht="15" customHeight="1" x14ac:dyDescent="0.25">
      <c r="A490" s="182"/>
      <c r="B490" s="183"/>
      <c r="C490" s="183"/>
      <c r="D490" s="183"/>
      <c r="E490" s="183"/>
      <c r="F490" s="183"/>
      <c r="G490" s="183"/>
      <c r="H490" s="482" t="s">
        <v>1846</v>
      </c>
      <c r="I490" s="482"/>
      <c r="J490" s="482"/>
      <c r="K490" s="482"/>
      <c r="L490" s="374">
        <v>1</v>
      </c>
    </row>
    <row r="491" spans="1:12" ht="15" customHeight="1" x14ac:dyDescent="0.25">
      <c r="A491" s="182"/>
      <c r="B491" s="183"/>
      <c r="C491" s="183"/>
      <c r="D491" s="183"/>
      <c r="E491" s="183"/>
      <c r="F491" s="183"/>
      <c r="G491" s="183"/>
      <c r="H491" s="482" t="s">
        <v>1847</v>
      </c>
      <c r="I491" s="482"/>
      <c r="J491" s="482"/>
      <c r="K491" s="482"/>
      <c r="L491" s="371">
        <f>TRUNC(L489/L490,4)</f>
        <v>24.12</v>
      </c>
    </row>
    <row r="492" spans="1:12" ht="20.100000000000001" customHeight="1" x14ac:dyDescent="0.25">
      <c r="A492" s="488" t="s">
        <v>1880</v>
      </c>
      <c r="B492" s="489"/>
      <c r="C492" s="489"/>
      <c r="D492" s="489"/>
      <c r="E492" s="489"/>
      <c r="F492" s="489"/>
      <c r="G492" s="233" t="s">
        <v>44</v>
      </c>
      <c r="H492" s="515" t="s">
        <v>1837</v>
      </c>
      <c r="I492" s="515"/>
      <c r="J492" s="515" t="s">
        <v>1881</v>
      </c>
      <c r="K492" s="515"/>
      <c r="L492" s="169" t="s">
        <v>1882</v>
      </c>
    </row>
    <row r="493" spans="1:12" ht="15" customHeight="1" x14ac:dyDescent="0.25">
      <c r="A493" s="170" t="s">
        <v>3472</v>
      </c>
      <c r="B493" s="492" t="s">
        <v>3473</v>
      </c>
      <c r="C493" s="492"/>
      <c r="D493" s="492"/>
      <c r="E493" s="492"/>
      <c r="F493" s="492"/>
      <c r="G493" s="127" t="s">
        <v>226</v>
      </c>
      <c r="H493" s="524">
        <v>26.25</v>
      </c>
      <c r="I493" s="524"/>
      <c r="J493" s="525">
        <v>1.57</v>
      </c>
      <c r="K493" s="525"/>
      <c r="L493" s="171">
        <f>TRUNC(TRUNC(H493,8)*J493,2)</f>
        <v>41.21</v>
      </c>
    </row>
    <row r="494" spans="1:12" ht="15" customHeight="1" x14ac:dyDescent="0.25">
      <c r="A494" s="184"/>
      <c r="B494" s="141"/>
      <c r="C494" s="141"/>
      <c r="D494" s="141"/>
      <c r="E494" s="141"/>
      <c r="F494" s="141"/>
      <c r="G494" s="141"/>
      <c r="H494" s="491" t="s">
        <v>1889</v>
      </c>
      <c r="I494" s="491"/>
      <c r="J494" s="491"/>
      <c r="K494" s="491"/>
      <c r="L494" s="375">
        <f>SUM(L493:L493)</f>
        <v>41.21</v>
      </c>
    </row>
    <row r="495" spans="1:12" ht="20.100000000000001" customHeight="1" x14ac:dyDescent="0.25">
      <c r="A495" s="488" t="s">
        <v>2009</v>
      </c>
      <c r="B495" s="489"/>
      <c r="C495" s="489"/>
      <c r="D495" s="489"/>
      <c r="E495" s="489"/>
      <c r="F495" s="489"/>
      <c r="G495" s="233" t="s">
        <v>44</v>
      </c>
      <c r="H495" s="515" t="s">
        <v>1837</v>
      </c>
      <c r="I495" s="515"/>
      <c r="J495" s="515" t="s">
        <v>1814</v>
      </c>
      <c r="K495" s="515"/>
      <c r="L495" s="169" t="s">
        <v>1882</v>
      </c>
    </row>
    <row r="496" spans="1:12" ht="15.95" customHeight="1" x14ac:dyDescent="0.25">
      <c r="A496" s="170" t="s">
        <v>3474</v>
      </c>
      <c r="B496" s="492" t="s">
        <v>3475</v>
      </c>
      <c r="C496" s="492"/>
      <c r="D496" s="492"/>
      <c r="E496" s="492"/>
      <c r="F496" s="492"/>
      <c r="G496" s="127"/>
      <c r="H496" s="526">
        <v>1.38E-2</v>
      </c>
      <c r="I496" s="526"/>
      <c r="J496" s="525">
        <v>416.91</v>
      </c>
      <c r="K496" s="525"/>
      <c r="L496" s="171">
        <f>TRUNC(TRUNC(H496,8)*J496,2)</f>
        <v>5.75</v>
      </c>
    </row>
    <row r="497" spans="1:12" ht="15" customHeight="1" x14ac:dyDescent="0.25">
      <c r="A497" s="184"/>
      <c r="B497" s="141"/>
      <c r="C497" s="141"/>
      <c r="D497" s="141"/>
      <c r="E497" s="141"/>
      <c r="F497" s="141"/>
      <c r="G497" s="141"/>
      <c r="H497" s="491" t="s">
        <v>2014</v>
      </c>
      <c r="I497" s="491"/>
      <c r="J497" s="491"/>
      <c r="K497" s="491"/>
      <c r="L497" s="375">
        <f>SUM(L496:L496)</f>
        <v>5.75</v>
      </c>
    </row>
    <row r="498" spans="1:12" ht="15" customHeight="1" x14ac:dyDescent="0.25">
      <c r="A498" s="182"/>
      <c r="B498" s="183"/>
      <c r="C498" s="183"/>
      <c r="D498" s="183"/>
      <c r="E498" s="183"/>
      <c r="F498" s="183"/>
      <c r="G498" s="183"/>
      <c r="H498" s="482" t="s">
        <v>1848</v>
      </c>
      <c r="I498" s="482"/>
      <c r="J498" s="482"/>
      <c r="K498" s="482"/>
      <c r="L498" s="371">
        <f>SUM(L491,L494,L497)</f>
        <v>71.08</v>
      </c>
    </row>
    <row r="499" spans="1:12" ht="15" customHeight="1" x14ac:dyDescent="0.25">
      <c r="A499" s="182"/>
      <c r="B499" s="183"/>
      <c r="C499" s="183"/>
      <c r="D499" s="183"/>
      <c r="E499" s="183"/>
      <c r="F499" s="183"/>
      <c r="G499" s="183"/>
      <c r="H499" s="482" t="s">
        <v>1834</v>
      </c>
      <c r="I499" s="482"/>
      <c r="J499" s="482"/>
      <c r="K499" s="482"/>
      <c r="L499" s="369">
        <f>ROUND(SUM(L498),2)</f>
        <v>71.08</v>
      </c>
    </row>
    <row r="500" spans="1:12" ht="9.9499999999999993" customHeight="1" x14ac:dyDescent="0.25">
      <c r="A500" s="182"/>
      <c r="B500" s="183"/>
      <c r="C500" s="183"/>
      <c r="D500" s="183"/>
      <c r="E500" s="183"/>
      <c r="F500" s="183"/>
      <c r="G500" s="183"/>
      <c r="H500" s="485"/>
      <c r="I500" s="485"/>
      <c r="J500" s="485"/>
      <c r="K500" s="485"/>
      <c r="L500" s="512"/>
    </row>
    <row r="501" spans="1:12" ht="20.100000000000001" customHeight="1" x14ac:dyDescent="0.25">
      <c r="A501" s="486" t="s">
        <v>3476</v>
      </c>
      <c r="B501" s="487"/>
      <c r="C501" s="487"/>
      <c r="D501" s="487"/>
      <c r="E501" s="487"/>
      <c r="F501" s="487"/>
      <c r="G501" s="487"/>
      <c r="H501" s="487"/>
      <c r="I501" s="487"/>
      <c r="J501" s="487"/>
      <c r="K501" s="487"/>
      <c r="L501" s="513"/>
    </row>
    <row r="502" spans="1:12" ht="20.100000000000001" customHeight="1" x14ac:dyDescent="0.25">
      <c r="A502" s="488" t="s">
        <v>1836</v>
      </c>
      <c r="B502" s="489"/>
      <c r="C502" s="489"/>
      <c r="D502" s="489"/>
      <c r="E502" s="489"/>
      <c r="F502" s="489"/>
      <c r="G502" s="233" t="s">
        <v>44</v>
      </c>
      <c r="H502" s="515" t="s">
        <v>1837</v>
      </c>
      <c r="I502" s="515"/>
      <c r="J502" s="515" t="s">
        <v>1838</v>
      </c>
      <c r="K502" s="515"/>
      <c r="L502" s="169" t="s">
        <v>1839</v>
      </c>
    </row>
    <row r="503" spans="1:12" ht="15" customHeight="1" x14ac:dyDescent="0.25">
      <c r="A503" s="170" t="s">
        <v>1840</v>
      </c>
      <c r="B503" s="490" t="s">
        <v>1841</v>
      </c>
      <c r="C503" s="490"/>
      <c r="D503" s="490"/>
      <c r="E503" s="490"/>
      <c r="F503" s="490"/>
      <c r="G503" s="127" t="s">
        <v>1024</v>
      </c>
      <c r="H503" s="524">
        <v>0.4</v>
      </c>
      <c r="I503" s="524"/>
      <c r="J503" s="517">
        <v>21.94</v>
      </c>
      <c r="K503" s="517"/>
      <c r="L503" s="370">
        <f>TRUNC(TRUNC(H503,8)*J503,2)</f>
        <v>8.77</v>
      </c>
    </row>
    <row r="504" spans="1:12" ht="15" customHeight="1" x14ac:dyDescent="0.25">
      <c r="A504" s="170" t="s">
        <v>1983</v>
      </c>
      <c r="B504" s="490" t="s">
        <v>1984</v>
      </c>
      <c r="C504" s="490"/>
      <c r="D504" s="490"/>
      <c r="E504" s="490"/>
      <c r="F504" s="490"/>
      <c r="G504" s="127" t="s">
        <v>1024</v>
      </c>
      <c r="H504" s="524">
        <v>0.5</v>
      </c>
      <c r="I504" s="524"/>
      <c r="J504" s="517">
        <v>26.03</v>
      </c>
      <c r="K504" s="517"/>
      <c r="L504" s="370">
        <f>TRUNC(TRUNC(H504,8)*J504,2)</f>
        <v>13.01</v>
      </c>
    </row>
    <row r="505" spans="1:12" ht="15" customHeight="1" x14ac:dyDescent="0.25">
      <c r="A505" s="184"/>
      <c r="B505" s="141"/>
      <c r="C505" s="141"/>
      <c r="D505" s="141"/>
      <c r="E505" s="141"/>
      <c r="F505" s="141"/>
      <c r="G505" s="141"/>
      <c r="H505" s="491" t="s">
        <v>1844</v>
      </c>
      <c r="I505" s="491"/>
      <c r="J505" s="491"/>
      <c r="K505" s="491"/>
      <c r="L505" s="369">
        <f>SUM(L503:L504)</f>
        <v>21.78</v>
      </c>
    </row>
    <row r="506" spans="1:12" ht="15" customHeight="1" x14ac:dyDescent="0.25">
      <c r="A506" s="182"/>
      <c r="B506" s="183"/>
      <c r="C506" s="183"/>
      <c r="D506" s="183"/>
      <c r="E506" s="183"/>
      <c r="F506" s="183"/>
      <c r="G506" s="183"/>
      <c r="H506" s="482" t="s">
        <v>1845</v>
      </c>
      <c r="I506" s="482"/>
      <c r="J506" s="482"/>
      <c r="K506" s="482"/>
      <c r="L506" s="371">
        <f>SUM(L505)</f>
        <v>21.78</v>
      </c>
    </row>
    <row r="507" spans="1:12" ht="15" customHeight="1" x14ac:dyDescent="0.25">
      <c r="A507" s="182"/>
      <c r="B507" s="183"/>
      <c r="C507" s="183"/>
      <c r="D507" s="183"/>
      <c r="E507" s="183"/>
      <c r="F507" s="183"/>
      <c r="G507" s="183"/>
      <c r="H507" s="482" t="s">
        <v>1846</v>
      </c>
      <c r="I507" s="482"/>
      <c r="J507" s="482"/>
      <c r="K507" s="482"/>
      <c r="L507" s="374">
        <v>1</v>
      </c>
    </row>
    <row r="508" spans="1:12" ht="15" customHeight="1" x14ac:dyDescent="0.25">
      <c r="A508" s="182"/>
      <c r="B508" s="183"/>
      <c r="C508" s="183"/>
      <c r="D508" s="183"/>
      <c r="E508" s="183"/>
      <c r="F508" s="183"/>
      <c r="G508" s="183"/>
      <c r="H508" s="482" t="s">
        <v>1847</v>
      </c>
      <c r="I508" s="482"/>
      <c r="J508" s="482"/>
      <c r="K508" s="482"/>
      <c r="L508" s="371">
        <f>TRUNC(L506/L507,4)</f>
        <v>21.78</v>
      </c>
    </row>
    <row r="509" spans="1:12" ht="20.100000000000001" customHeight="1" x14ac:dyDescent="0.25">
      <c r="A509" s="488" t="s">
        <v>1880</v>
      </c>
      <c r="B509" s="489"/>
      <c r="C509" s="489"/>
      <c r="D509" s="489"/>
      <c r="E509" s="489"/>
      <c r="F509" s="489"/>
      <c r="G509" s="233" t="s">
        <v>44</v>
      </c>
      <c r="H509" s="515" t="s">
        <v>1837</v>
      </c>
      <c r="I509" s="515"/>
      <c r="J509" s="515" t="s">
        <v>1881</v>
      </c>
      <c r="K509" s="515"/>
      <c r="L509" s="169" t="s">
        <v>1882</v>
      </c>
    </row>
    <row r="510" spans="1:12" ht="15" customHeight="1" x14ac:dyDescent="0.25">
      <c r="A510" s="170" t="s">
        <v>3477</v>
      </c>
      <c r="B510" s="492" t="s">
        <v>3478</v>
      </c>
      <c r="C510" s="492"/>
      <c r="D510" s="492"/>
      <c r="E510" s="492"/>
      <c r="F510" s="492"/>
      <c r="G510" s="127" t="s">
        <v>1006</v>
      </c>
      <c r="H510" s="524">
        <v>0.12</v>
      </c>
      <c r="I510" s="524"/>
      <c r="J510" s="525">
        <v>13.72</v>
      </c>
      <c r="K510" s="525"/>
      <c r="L510" s="171">
        <f>TRUNC(TRUNC(H510,8)*J510,2)</f>
        <v>1.64</v>
      </c>
    </row>
    <row r="511" spans="1:12" ht="15" customHeight="1" x14ac:dyDescent="0.25">
      <c r="A511" s="170" t="s">
        <v>2120</v>
      </c>
      <c r="B511" s="492" t="s">
        <v>2121</v>
      </c>
      <c r="C511" s="492"/>
      <c r="D511" s="492"/>
      <c r="E511" s="492"/>
      <c r="F511" s="492"/>
      <c r="G511" s="127" t="s">
        <v>226</v>
      </c>
      <c r="H511" s="524">
        <v>0.25</v>
      </c>
      <c r="I511" s="524"/>
      <c r="J511" s="525">
        <v>1.0900000000000001</v>
      </c>
      <c r="K511" s="525"/>
      <c r="L511" s="171">
        <f>TRUNC(TRUNC(H511,8)*J511,2)</f>
        <v>0.27</v>
      </c>
    </row>
    <row r="512" spans="1:12" ht="15" customHeight="1" x14ac:dyDescent="0.25">
      <c r="A512" s="170" t="s">
        <v>3479</v>
      </c>
      <c r="B512" s="492" t="s">
        <v>3480</v>
      </c>
      <c r="C512" s="492"/>
      <c r="D512" s="492"/>
      <c r="E512" s="492"/>
      <c r="F512" s="492"/>
      <c r="G512" s="127" t="s">
        <v>1006</v>
      </c>
      <c r="H512" s="524">
        <v>0.24</v>
      </c>
      <c r="I512" s="524"/>
      <c r="J512" s="525">
        <v>29.62</v>
      </c>
      <c r="K512" s="525"/>
      <c r="L512" s="171">
        <f>TRUNC(TRUNC(H512,8)*J512,2)</f>
        <v>7.1</v>
      </c>
    </row>
    <row r="513" spans="1:12" ht="15" customHeight="1" x14ac:dyDescent="0.25">
      <c r="A513" s="184"/>
      <c r="B513" s="141"/>
      <c r="C513" s="141"/>
      <c r="D513" s="141"/>
      <c r="E513" s="141"/>
      <c r="F513" s="141"/>
      <c r="G513" s="141"/>
      <c r="H513" s="491" t="s">
        <v>1889</v>
      </c>
      <c r="I513" s="491"/>
      <c r="J513" s="491"/>
      <c r="K513" s="491"/>
      <c r="L513" s="375">
        <f>SUM(L510:L512)</f>
        <v>9.01</v>
      </c>
    </row>
    <row r="514" spans="1:12" ht="15" customHeight="1" x14ac:dyDescent="0.25">
      <c r="A514" s="182"/>
      <c r="B514" s="183"/>
      <c r="C514" s="183"/>
      <c r="D514" s="183"/>
      <c r="E514" s="183"/>
      <c r="F514" s="183"/>
      <c r="G514" s="183"/>
      <c r="H514" s="482" t="s">
        <v>1848</v>
      </c>
      <c r="I514" s="482"/>
      <c r="J514" s="482"/>
      <c r="K514" s="482"/>
      <c r="L514" s="371">
        <f>SUM(L508,L513)</f>
        <v>30.79</v>
      </c>
    </row>
    <row r="515" spans="1:12" ht="15" customHeight="1" x14ac:dyDescent="0.25">
      <c r="A515" s="182"/>
      <c r="B515" s="183"/>
      <c r="C515" s="183"/>
      <c r="D515" s="183"/>
      <c r="E515" s="183"/>
      <c r="F515" s="183"/>
      <c r="G515" s="183"/>
      <c r="H515" s="482" t="s">
        <v>1834</v>
      </c>
      <c r="I515" s="482"/>
      <c r="J515" s="482"/>
      <c r="K515" s="482"/>
      <c r="L515" s="369">
        <f>ROUND(SUM(L514),2)</f>
        <v>30.79</v>
      </c>
    </row>
    <row r="516" spans="1:12" ht="9.9499999999999993" customHeight="1" x14ac:dyDescent="0.25">
      <c r="A516" s="182"/>
      <c r="B516" s="183"/>
      <c r="C516" s="183"/>
      <c r="D516" s="183"/>
      <c r="E516" s="183"/>
      <c r="F516" s="183"/>
      <c r="G516" s="183"/>
      <c r="H516" s="485"/>
      <c r="I516" s="485"/>
      <c r="J516" s="485"/>
      <c r="K516" s="485"/>
      <c r="L516" s="512"/>
    </row>
    <row r="517" spans="1:12" ht="20.100000000000001" customHeight="1" x14ac:dyDescent="0.25">
      <c r="A517" s="486" t="s">
        <v>3481</v>
      </c>
      <c r="B517" s="487"/>
      <c r="C517" s="487"/>
      <c r="D517" s="487"/>
      <c r="E517" s="487"/>
      <c r="F517" s="487"/>
      <c r="G517" s="487"/>
      <c r="H517" s="487"/>
      <c r="I517" s="487"/>
      <c r="J517" s="487"/>
      <c r="K517" s="487"/>
      <c r="L517" s="513"/>
    </row>
    <row r="518" spans="1:12" ht="20.100000000000001" customHeight="1" x14ac:dyDescent="0.25">
      <c r="A518" s="488" t="s">
        <v>1836</v>
      </c>
      <c r="B518" s="489"/>
      <c r="C518" s="489"/>
      <c r="D518" s="489"/>
      <c r="E518" s="489"/>
      <c r="F518" s="489"/>
      <c r="G518" s="233" t="s">
        <v>44</v>
      </c>
      <c r="H518" s="515" t="s">
        <v>1837</v>
      </c>
      <c r="I518" s="515"/>
      <c r="J518" s="515" t="s">
        <v>1838</v>
      </c>
      <c r="K518" s="515"/>
      <c r="L518" s="169" t="s">
        <v>1839</v>
      </c>
    </row>
    <row r="519" spans="1:12" ht="15" customHeight="1" x14ac:dyDescent="0.25">
      <c r="A519" s="170" t="s">
        <v>3482</v>
      </c>
      <c r="B519" s="490" t="s">
        <v>3483</v>
      </c>
      <c r="C519" s="490"/>
      <c r="D519" s="490"/>
      <c r="E519" s="490"/>
      <c r="F519" s="490"/>
      <c r="G519" s="127" t="s">
        <v>1024</v>
      </c>
      <c r="H519" s="524">
        <v>0.61</v>
      </c>
      <c r="I519" s="524"/>
      <c r="J519" s="517">
        <v>26.03</v>
      </c>
      <c r="K519" s="517"/>
      <c r="L519" s="370">
        <f>TRUNC(TRUNC(H519,8)*J519,2)</f>
        <v>15.87</v>
      </c>
    </row>
    <row r="520" spans="1:12" ht="15" customHeight="1" x14ac:dyDescent="0.25">
      <c r="A520" s="170" t="s">
        <v>1830</v>
      </c>
      <c r="B520" s="490" t="s">
        <v>1831</v>
      </c>
      <c r="C520" s="490"/>
      <c r="D520" s="490"/>
      <c r="E520" s="490"/>
      <c r="F520" s="490"/>
      <c r="G520" s="127" t="s">
        <v>1024</v>
      </c>
      <c r="H520" s="524">
        <v>0.44</v>
      </c>
      <c r="I520" s="524"/>
      <c r="J520" s="517">
        <v>19.68</v>
      </c>
      <c r="K520" s="517"/>
      <c r="L520" s="370">
        <f>TRUNC(TRUNC(H520,8)*J520,2)</f>
        <v>8.65</v>
      </c>
    </row>
    <row r="521" spans="1:12" ht="15" customHeight="1" x14ac:dyDescent="0.25">
      <c r="A521" s="184"/>
      <c r="B521" s="141"/>
      <c r="C521" s="141"/>
      <c r="D521" s="141"/>
      <c r="E521" s="141"/>
      <c r="F521" s="141"/>
      <c r="G521" s="141"/>
      <c r="H521" s="491" t="s">
        <v>1844</v>
      </c>
      <c r="I521" s="491"/>
      <c r="J521" s="491"/>
      <c r="K521" s="491"/>
      <c r="L521" s="369">
        <f>SUM(L519:L520)</f>
        <v>24.52</v>
      </c>
    </row>
    <row r="522" spans="1:12" ht="15" customHeight="1" x14ac:dyDescent="0.25">
      <c r="A522" s="182"/>
      <c r="B522" s="183"/>
      <c r="C522" s="183"/>
      <c r="D522" s="183"/>
      <c r="E522" s="183"/>
      <c r="F522" s="183"/>
      <c r="G522" s="183"/>
      <c r="H522" s="482" t="s">
        <v>1845</v>
      </c>
      <c r="I522" s="482"/>
      <c r="J522" s="482"/>
      <c r="K522" s="482"/>
      <c r="L522" s="371">
        <f>SUM(L521)</f>
        <v>24.52</v>
      </c>
    </row>
    <row r="523" spans="1:12" ht="15" customHeight="1" x14ac:dyDescent="0.25">
      <c r="A523" s="182"/>
      <c r="B523" s="183"/>
      <c r="C523" s="183"/>
      <c r="D523" s="183"/>
      <c r="E523" s="183"/>
      <c r="F523" s="183"/>
      <c r="G523" s="183"/>
      <c r="H523" s="482" t="s">
        <v>1846</v>
      </c>
      <c r="I523" s="482"/>
      <c r="J523" s="482"/>
      <c r="K523" s="482"/>
      <c r="L523" s="374">
        <v>1</v>
      </c>
    </row>
    <row r="524" spans="1:12" ht="15" customHeight="1" x14ac:dyDescent="0.25">
      <c r="A524" s="182"/>
      <c r="B524" s="183"/>
      <c r="C524" s="183"/>
      <c r="D524" s="183"/>
      <c r="E524" s="183"/>
      <c r="F524" s="183"/>
      <c r="G524" s="183"/>
      <c r="H524" s="482" t="s">
        <v>1847</v>
      </c>
      <c r="I524" s="482"/>
      <c r="J524" s="482"/>
      <c r="K524" s="482"/>
      <c r="L524" s="371">
        <f>TRUNC(L522/L523,4)</f>
        <v>24.52</v>
      </c>
    </row>
    <row r="525" spans="1:12" ht="20.100000000000001" customHeight="1" x14ac:dyDescent="0.25">
      <c r="A525" s="488" t="s">
        <v>1880</v>
      </c>
      <c r="B525" s="489"/>
      <c r="C525" s="489"/>
      <c r="D525" s="489"/>
      <c r="E525" s="489"/>
      <c r="F525" s="489"/>
      <c r="G525" s="233" t="s">
        <v>44</v>
      </c>
      <c r="H525" s="515" t="s">
        <v>1837</v>
      </c>
      <c r="I525" s="515"/>
      <c r="J525" s="515" t="s">
        <v>1881</v>
      </c>
      <c r="K525" s="515"/>
      <c r="L525" s="169" t="s">
        <v>1882</v>
      </c>
    </row>
    <row r="526" spans="1:12" ht="15.95" customHeight="1" x14ac:dyDescent="0.25">
      <c r="A526" s="170" t="s">
        <v>3484</v>
      </c>
      <c r="B526" s="492" t="s">
        <v>3485</v>
      </c>
      <c r="C526" s="492"/>
      <c r="D526" s="492"/>
      <c r="E526" s="492"/>
      <c r="F526" s="492"/>
      <c r="G526" s="127" t="s">
        <v>122</v>
      </c>
      <c r="H526" s="524">
        <v>1.05</v>
      </c>
      <c r="I526" s="524"/>
      <c r="J526" s="525">
        <v>53.17</v>
      </c>
      <c r="K526" s="525"/>
      <c r="L526" s="171">
        <f>TRUNC(TRUNC(H526,8)*J526,2)</f>
        <v>55.82</v>
      </c>
    </row>
    <row r="527" spans="1:12" ht="15" customHeight="1" x14ac:dyDescent="0.25">
      <c r="A527" s="170" t="s">
        <v>3486</v>
      </c>
      <c r="B527" s="492" t="s">
        <v>3487</v>
      </c>
      <c r="C527" s="492"/>
      <c r="D527" s="492"/>
      <c r="E527" s="492"/>
      <c r="F527" s="492"/>
      <c r="G527" s="127" t="s">
        <v>1817</v>
      </c>
      <c r="H527" s="524">
        <v>4.5</v>
      </c>
      <c r="I527" s="524"/>
      <c r="J527" s="525">
        <v>0.77</v>
      </c>
      <c r="K527" s="525"/>
      <c r="L527" s="171">
        <f>TRUNC(TRUNC(H527,8)*J527,2)</f>
        <v>3.46</v>
      </c>
    </row>
    <row r="528" spans="1:12" ht="15" customHeight="1" x14ac:dyDescent="0.25">
      <c r="A528" s="170" t="s">
        <v>3488</v>
      </c>
      <c r="B528" s="492" t="s">
        <v>3489</v>
      </c>
      <c r="C528" s="492"/>
      <c r="D528" s="492"/>
      <c r="E528" s="492"/>
      <c r="F528" s="492"/>
      <c r="G528" s="127" t="s">
        <v>1817</v>
      </c>
      <c r="H528" s="524">
        <v>0.441</v>
      </c>
      <c r="I528" s="524"/>
      <c r="J528" s="525">
        <v>10.47</v>
      </c>
      <c r="K528" s="525"/>
      <c r="L528" s="171">
        <f>TRUNC(TRUNC(H528,8)*J528,2)</f>
        <v>4.6100000000000003</v>
      </c>
    </row>
    <row r="529" spans="1:12" ht="15" customHeight="1" x14ac:dyDescent="0.25">
      <c r="A529" s="184"/>
      <c r="B529" s="141"/>
      <c r="C529" s="141"/>
      <c r="D529" s="141"/>
      <c r="E529" s="141"/>
      <c r="F529" s="141"/>
      <c r="G529" s="141"/>
      <c r="H529" s="491" t="s">
        <v>1889</v>
      </c>
      <c r="I529" s="491"/>
      <c r="J529" s="491"/>
      <c r="K529" s="491"/>
      <c r="L529" s="375">
        <f>SUM(L526:L528)</f>
        <v>63.89</v>
      </c>
    </row>
    <row r="530" spans="1:12" ht="15" customHeight="1" x14ac:dyDescent="0.25">
      <c r="A530" s="182"/>
      <c r="B530" s="183"/>
      <c r="C530" s="183"/>
      <c r="D530" s="183"/>
      <c r="E530" s="183"/>
      <c r="F530" s="183"/>
      <c r="G530" s="183"/>
      <c r="H530" s="482" t="s">
        <v>1848</v>
      </c>
      <c r="I530" s="482"/>
      <c r="J530" s="482"/>
      <c r="K530" s="482"/>
      <c r="L530" s="371">
        <f>SUM(L524,L529)</f>
        <v>88.41</v>
      </c>
    </row>
    <row r="531" spans="1:12" ht="15" customHeight="1" x14ac:dyDescent="0.25">
      <c r="A531" s="182"/>
      <c r="B531" s="183"/>
      <c r="C531" s="183"/>
      <c r="D531" s="183"/>
      <c r="E531" s="183"/>
      <c r="F531" s="183"/>
      <c r="G531" s="183"/>
      <c r="H531" s="482" t="s">
        <v>1834</v>
      </c>
      <c r="I531" s="482"/>
      <c r="J531" s="482"/>
      <c r="K531" s="482"/>
      <c r="L531" s="369">
        <f>ROUND(SUM(L530),2)</f>
        <v>88.41</v>
      </c>
    </row>
    <row r="532" spans="1:12" ht="9.9499999999999993" customHeight="1" x14ac:dyDescent="0.25">
      <c r="A532" s="182"/>
      <c r="B532" s="183"/>
      <c r="C532" s="183"/>
      <c r="D532" s="183"/>
      <c r="E532" s="183"/>
      <c r="F532" s="183"/>
      <c r="G532" s="183"/>
      <c r="H532" s="485"/>
      <c r="I532" s="485"/>
      <c r="J532" s="485"/>
      <c r="K532" s="485"/>
      <c r="L532" s="512"/>
    </row>
    <row r="533" spans="1:12" ht="20.100000000000001" customHeight="1" x14ac:dyDescent="0.25">
      <c r="A533" s="486" t="s">
        <v>3490</v>
      </c>
      <c r="B533" s="487"/>
      <c r="C533" s="487"/>
      <c r="D533" s="487"/>
      <c r="E533" s="487"/>
      <c r="F533" s="487"/>
      <c r="G533" s="487"/>
      <c r="H533" s="487"/>
      <c r="I533" s="487"/>
      <c r="J533" s="487"/>
      <c r="K533" s="487"/>
      <c r="L533" s="513"/>
    </row>
    <row r="534" spans="1:12" ht="20.100000000000001" customHeight="1" x14ac:dyDescent="0.25">
      <c r="A534" s="488" t="s">
        <v>1836</v>
      </c>
      <c r="B534" s="489"/>
      <c r="C534" s="489"/>
      <c r="D534" s="489"/>
      <c r="E534" s="489"/>
      <c r="F534" s="489"/>
      <c r="G534" s="233" t="s">
        <v>44</v>
      </c>
      <c r="H534" s="515" t="s">
        <v>1837</v>
      </c>
      <c r="I534" s="515"/>
      <c r="J534" s="515" t="s">
        <v>1838</v>
      </c>
      <c r="K534" s="515"/>
      <c r="L534" s="169" t="s">
        <v>1839</v>
      </c>
    </row>
    <row r="535" spans="1:12" ht="15" customHeight="1" x14ac:dyDescent="0.25">
      <c r="A535" s="170" t="s">
        <v>1851</v>
      </c>
      <c r="B535" s="490" t="s">
        <v>1852</v>
      </c>
      <c r="C535" s="490"/>
      <c r="D535" s="490"/>
      <c r="E535" s="490"/>
      <c r="F535" s="490"/>
      <c r="G535" s="127" t="s">
        <v>1024</v>
      </c>
      <c r="H535" s="524">
        <v>0.75</v>
      </c>
      <c r="I535" s="524"/>
      <c r="J535" s="517">
        <v>26.03</v>
      </c>
      <c r="K535" s="517"/>
      <c r="L535" s="370">
        <f>TRUNC(TRUNC(H535,8)*J535,2)</f>
        <v>19.52</v>
      </c>
    </row>
    <row r="536" spans="1:12" ht="15" customHeight="1" x14ac:dyDescent="0.25">
      <c r="A536" s="170" t="s">
        <v>1830</v>
      </c>
      <c r="B536" s="490" t="s">
        <v>1831</v>
      </c>
      <c r="C536" s="490"/>
      <c r="D536" s="490"/>
      <c r="E536" s="490"/>
      <c r="F536" s="490"/>
      <c r="G536" s="127" t="s">
        <v>1024</v>
      </c>
      <c r="H536" s="524">
        <v>1.05</v>
      </c>
      <c r="I536" s="524"/>
      <c r="J536" s="517">
        <v>19.68</v>
      </c>
      <c r="K536" s="517"/>
      <c r="L536" s="370">
        <f>TRUNC(TRUNC(H536,8)*J536,2)</f>
        <v>20.66</v>
      </c>
    </row>
    <row r="537" spans="1:12" ht="15" customHeight="1" x14ac:dyDescent="0.25">
      <c r="A537" s="184"/>
      <c r="B537" s="141"/>
      <c r="C537" s="141"/>
      <c r="D537" s="141"/>
      <c r="E537" s="141"/>
      <c r="F537" s="141"/>
      <c r="G537" s="141"/>
      <c r="H537" s="491" t="s">
        <v>1844</v>
      </c>
      <c r="I537" s="491"/>
      <c r="J537" s="491"/>
      <c r="K537" s="491"/>
      <c r="L537" s="369">
        <f>SUM(L535:L536)</f>
        <v>40.18</v>
      </c>
    </row>
    <row r="538" spans="1:12" ht="15" customHeight="1" x14ac:dyDescent="0.25">
      <c r="A538" s="182"/>
      <c r="B538" s="183"/>
      <c r="C538" s="183"/>
      <c r="D538" s="183"/>
      <c r="E538" s="183"/>
      <c r="F538" s="183"/>
      <c r="G538" s="183"/>
      <c r="H538" s="482" t="s">
        <v>1845</v>
      </c>
      <c r="I538" s="482"/>
      <c r="J538" s="482"/>
      <c r="K538" s="482"/>
      <c r="L538" s="371">
        <f>SUM(L537)</f>
        <v>40.18</v>
      </c>
    </row>
    <row r="539" spans="1:12" ht="15" customHeight="1" x14ac:dyDescent="0.25">
      <c r="A539" s="182"/>
      <c r="B539" s="183"/>
      <c r="C539" s="183"/>
      <c r="D539" s="183"/>
      <c r="E539" s="183"/>
      <c r="F539" s="183"/>
      <c r="G539" s="183"/>
      <c r="H539" s="482" t="s">
        <v>1846</v>
      </c>
      <c r="I539" s="482"/>
      <c r="J539" s="482"/>
      <c r="K539" s="482"/>
      <c r="L539" s="374">
        <v>1</v>
      </c>
    </row>
    <row r="540" spans="1:12" ht="15" customHeight="1" x14ac:dyDescent="0.25">
      <c r="A540" s="182"/>
      <c r="B540" s="183"/>
      <c r="C540" s="183"/>
      <c r="D540" s="183"/>
      <c r="E540" s="183"/>
      <c r="F540" s="183"/>
      <c r="G540" s="183"/>
      <c r="H540" s="482" t="s">
        <v>1847</v>
      </c>
      <c r="I540" s="482"/>
      <c r="J540" s="482"/>
      <c r="K540" s="482"/>
      <c r="L540" s="371">
        <f>TRUNC(L538/L539,4)</f>
        <v>40.18</v>
      </c>
    </row>
    <row r="541" spans="1:12" ht="20.100000000000001" customHeight="1" x14ac:dyDescent="0.25">
      <c r="A541" s="488" t="s">
        <v>1880</v>
      </c>
      <c r="B541" s="489"/>
      <c r="C541" s="489"/>
      <c r="D541" s="489"/>
      <c r="E541" s="489"/>
      <c r="F541" s="489"/>
      <c r="G541" s="233" t="s">
        <v>44</v>
      </c>
      <c r="H541" s="515" t="s">
        <v>1837</v>
      </c>
      <c r="I541" s="515"/>
      <c r="J541" s="515" t="s">
        <v>1881</v>
      </c>
      <c r="K541" s="515"/>
      <c r="L541" s="169" t="s">
        <v>1882</v>
      </c>
    </row>
    <row r="542" spans="1:12" ht="15" customHeight="1" x14ac:dyDescent="0.25">
      <c r="A542" s="170" t="s">
        <v>2170</v>
      </c>
      <c r="B542" s="492" t="s">
        <v>2171</v>
      </c>
      <c r="C542" s="492"/>
      <c r="D542" s="492"/>
      <c r="E542" s="492"/>
      <c r="F542" s="492"/>
      <c r="G542" s="127" t="s">
        <v>85</v>
      </c>
      <c r="H542" s="524">
        <v>3.6499999999999998E-2</v>
      </c>
      <c r="I542" s="524"/>
      <c r="J542" s="525">
        <v>152</v>
      </c>
      <c r="K542" s="525"/>
      <c r="L542" s="171">
        <f>TRUNC(TRUNC(H542,8)*J542,2)</f>
        <v>5.54</v>
      </c>
    </row>
    <row r="543" spans="1:12" ht="15" customHeight="1" x14ac:dyDescent="0.25">
      <c r="A543" s="170" t="s">
        <v>2263</v>
      </c>
      <c r="B543" s="492" t="s">
        <v>2264</v>
      </c>
      <c r="C543" s="492"/>
      <c r="D543" s="492"/>
      <c r="E543" s="492"/>
      <c r="F543" s="492"/>
      <c r="G543" s="127" t="s">
        <v>1817</v>
      </c>
      <c r="H543" s="524">
        <v>14.58</v>
      </c>
      <c r="I543" s="524"/>
      <c r="J543" s="525">
        <v>0.56999999999999995</v>
      </c>
      <c r="K543" s="525"/>
      <c r="L543" s="171">
        <f>TRUNC(TRUNC(H543,8)*J543,2)</f>
        <v>8.31</v>
      </c>
    </row>
    <row r="544" spans="1:12" ht="15.95" customHeight="1" x14ac:dyDescent="0.25">
      <c r="A544" s="170" t="s">
        <v>3491</v>
      </c>
      <c r="B544" s="492" t="s">
        <v>3492</v>
      </c>
      <c r="C544" s="492"/>
      <c r="D544" s="492"/>
      <c r="E544" s="492"/>
      <c r="F544" s="492"/>
      <c r="G544" s="127" t="s">
        <v>1817</v>
      </c>
      <c r="H544" s="524">
        <v>0.6</v>
      </c>
      <c r="I544" s="524"/>
      <c r="J544" s="525">
        <v>22.02</v>
      </c>
      <c r="K544" s="525"/>
      <c r="L544" s="171">
        <f>TRUNC(TRUNC(H544,8)*J544,2)</f>
        <v>13.21</v>
      </c>
    </row>
    <row r="545" spans="1:12" ht="15" customHeight="1" x14ac:dyDescent="0.25">
      <c r="A545" s="184"/>
      <c r="B545" s="141"/>
      <c r="C545" s="141"/>
      <c r="D545" s="141"/>
      <c r="E545" s="141"/>
      <c r="F545" s="141"/>
      <c r="G545" s="141"/>
      <c r="H545" s="491" t="s">
        <v>1889</v>
      </c>
      <c r="I545" s="491"/>
      <c r="J545" s="491"/>
      <c r="K545" s="491"/>
      <c r="L545" s="375">
        <f>SUM(L542:L544)</f>
        <v>27.060000000000002</v>
      </c>
    </row>
    <row r="546" spans="1:12" ht="15" customHeight="1" x14ac:dyDescent="0.25">
      <c r="A546" s="182"/>
      <c r="B546" s="183"/>
      <c r="C546" s="183"/>
      <c r="D546" s="183"/>
      <c r="E546" s="183"/>
      <c r="F546" s="183"/>
      <c r="G546" s="183"/>
      <c r="H546" s="482" t="s">
        <v>1848</v>
      </c>
      <c r="I546" s="482"/>
      <c r="J546" s="482"/>
      <c r="K546" s="482"/>
      <c r="L546" s="371">
        <f>SUM(L540,L545)</f>
        <v>67.240000000000009</v>
      </c>
    </row>
    <row r="547" spans="1:12" ht="15" customHeight="1" x14ac:dyDescent="0.25">
      <c r="A547" s="182"/>
      <c r="B547" s="183"/>
      <c r="C547" s="183"/>
      <c r="D547" s="183"/>
      <c r="E547" s="183"/>
      <c r="F547" s="183"/>
      <c r="G547" s="183"/>
      <c r="H547" s="482" t="s">
        <v>1834</v>
      </c>
      <c r="I547" s="482"/>
      <c r="J547" s="482"/>
      <c r="K547" s="482"/>
      <c r="L547" s="369">
        <f>ROUND(SUM(L546),2)</f>
        <v>67.239999999999995</v>
      </c>
    </row>
    <row r="548" spans="1:12" ht="9.9499999999999993" customHeight="1" x14ac:dyDescent="0.25">
      <c r="A548" s="182"/>
      <c r="B548" s="183"/>
      <c r="C548" s="183"/>
      <c r="D548" s="183"/>
      <c r="E548" s="183"/>
      <c r="F548" s="183"/>
      <c r="G548" s="183"/>
      <c r="H548" s="485"/>
      <c r="I548" s="485"/>
      <c r="J548" s="485"/>
      <c r="K548" s="485"/>
      <c r="L548" s="512"/>
    </row>
    <row r="549" spans="1:12" ht="20.100000000000001" customHeight="1" x14ac:dyDescent="0.25">
      <c r="A549" s="486" t="s">
        <v>3493</v>
      </c>
      <c r="B549" s="487"/>
      <c r="C549" s="487"/>
      <c r="D549" s="487"/>
      <c r="E549" s="487"/>
      <c r="F549" s="487"/>
      <c r="G549" s="487"/>
      <c r="H549" s="487"/>
      <c r="I549" s="487"/>
      <c r="J549" s="487"/>
      <c r="K549" s="487"/>
      <c r="L549" s="513"/>
    </row>
    <row r="550" spans="1:12" ht="20.100000000000001" customHeight="1" x14ac:dyDescent="0.25">
      <c r="A550" s="488" t="s">
        <v>1836</v>
      </c>
      <c r="B550" s="489"/>
      <c r="C550" s="489"/>
      <c r="D550" s="489"/>
      <c r="E550" s="489"/>
      <c r="F550" s="489"/>
      <c r="G550" s="233" t="s">
        <v>44</v>
      </c>
      <c r="H550" s="515" t="s">
        <v>1837</v>
      </c>
      <c r="I550" s="515"/>
      <c r="J550" s="515" t="s">
        <v>1838</v>
      </c>
      <c r="K550" s="515"/>
      <c r="L550" s="169" t="s">
        <v>1839</v>
      </c>
    </row>
    <row r="551" spans="1:12" ht="15" customHeight="1" x14ac:dyDescent="0.25">
      <c r="A551" s="170" t="s">
        <v>1840</v>
      </c>
      <c r="B551" s="490" t="s">
        <v>1841</v>
      </c>
      <c r="C551" s="490"/>
      <c r="D551" s="490"/>
      <c r="E551" s="490"/>
      <c r="F551" s="490"/>
      <c r="G551" s="127" t="s">
        <v>1024</v>
      </c>
      <c r="H551" s="524">
        <v>0.4</v>
      </c>
      <c r="I551" s="524"/>
      <c r="J551" s="517">
        <v>21.94</v>
      </c>
      <c r="K551" s="517"/>
      <c r="L551" s="370">
        <f>TRUNC(TRUNC(H551,8)*J551,2)</f>
        <v>8.77</v>
      </c>
    </row>
    <row r="552" spans="1:12" ht="15" customHeight="1" x14ac:dyDescent="0.25">
      <c r="A552" s="170" t="s">
        <v>1983</v>
      </c>
      <c r="B552" s="490" t="s">
        <v>1984</v>
      </c>
      <c r="C552" s="490"/>
      <c r="D552" s="490"/>
      <c r="E552" s="490"/>
      <c r="F552" s="490"/>
      <c r="G552" s="127" t="s">
        <v>1024</v>
      </c>
      <c r="H552" s="524">
        <v>0.5</v>
      </c>
      <c r="I552" s="524"/>
      <c r="J552" s="517">
        <v>26.03</v>
      </c>
      <c r="K552" s="517"/>
      <c r="L552" s="370">
        <f>TRUNC(TRUNC(H552,8)*J552,2)</f>
        <v>13.01</v>
      </c>
    </row>
    <row r="553" spans="1:12" ht="15" customHeight="1" x14ac:dyDescent="0.25">
      <c r="A553" s="184"/>
      <c r="B553" s="141"/>
      <c r="C553" s="141"/>
      <c r="D553" s="141"/>
      <c r="E553" s="141"/>
      <c r="F553" s="141"/>
      <c r="G553" s="141"/>
      <c r="H553" s="491" t="s">
        <v>1844</v>
      </c>
      <c r="I553" s="491"/>
      <c r="J553" s="491"/>
      <c r="K553" s="491"/>
      <c r="L553" s="369">
        <f>SUM(L551:L552)</f>
        <v>21.78</v>
      </c>
    </row>
    <row r="554" spans="1:12" ht="15" customHeight="1" x14ac:dyDescent="0.25">
      <c r="A554" s="182"/>
      <c r="B554" s="183"/>
      <c r="C554" s="183"/>
      <c r="D554" s="183"/>
      <c r="E554" s="183"/>
      <c r="F554" s="183"/>
      <c r="G554" s="183"/>
      <c r="H554" s="482" t="s">
        <v>1845</v>
      </c>
      <c r="I554" s="482"/>
      <c r="J554" s="482"/>
      <c r="K554" s="482"/>
      <c r="L554" s="371">
        <f>SUM(L553)</f>
        <v>21.78</v>
      </c>
    </row>
    <row r="555" spans="1:12" ht="15" customHeight="1" x14ac:dyDescent="0.25">
      <c r="A555" s="182"/>
      <c r="B555" s="183"/>
      <c r="C555" s="183"/>
      <c r="D555" s="183"/>
      <c r="E555" s="183"/>
      <c r="F555" s="183"/>
      <c r="G555" s="183"/>
      <c r="H555" s="482" t="s">
        <v>1846</v>
      </c>
      <c r="I555" s="482"/>
      <c r="J555" s="482"/>
      <c r="K555" s="482"/>
      <c r="L555" s="374">
        <v>1</v>
      </c>
    </row>
    <row r="556" spans="1:12" ht="15" customHeight="1" x14ac:dyDescent="0.25">
      <c r="A556" s="182"/>
      <c r="B556" s="183"/>
      <c r="C556" s="183"/>
      <c r="D556" s="183"/>
      <c r="E556" s="183"/>
      <c r="F556" s="183"/>
      <c r="G556" s="183"/>
      <c r="H556" s="482" t="s">
        <v>1847</v>
      </c>
      <c r="I556" s="482"/>
      <c r="J556" s="482"/>
      <c r="K556" s="482"/>
      <c r="L556" s="371">
        <f>TRUNC(L554/L555,4)</f>
        <v>21.78</v>
      </c>
    </row>
    <row r="557" spans="1:12" ht="20.100000000000001" customHeight="1" x14ac:dyDescent="0.25">
      <c r="A557" s="488" t="s">
        <v>1880</v>
      </c>
      <c r="B557" s="489"/>
      <c r="C557" s="489"/>
      <c r="D557" s="489"/>
      <c r="E557" s="489"/>
      <c r="F557" s="489"/>
      <c r="G557" s="233" t="s">
        <v>44</v>
      </c>
      <c r="H557" s="515" t="s">
        <v>1837</v>
      </c>
      <c r="I557" s="515"/>
      <c r="J557" s="515" t="s">
        <v>1881</v>
      </c>
      <c r="K557" s="515"/>
      <c r="L557" s="169" t="s">
        <v>1882</v>
      </c>
    </row>
    <row r="558" spans="1:12" ht="15" customHeight="1" x14ac:dyDescent="0.25">
      <c r="A558" s="170" t="s">
        <v>2120</v>
      </c>
      <c r="B558" s="492" t="s">
        <v>2121</v>
      </c>
      <c r="C558" s="492"/>
      <c r="D558" s="492"/>
      <c r="E558" s="492"/>
      <c r="F558" s="492"/>
      <c r="G558" s="127" t="s">
        <v>226</v>
      </c>
      <c r="H558" s="524">
        <v>0.25</v>
      </c>
      <c r="I558" s="524"/>
      <c r="J558" s="525">
        <v>1.0900000000000001</v>
      </c>
      <c r="K558" s="525"/>
      <c r="L558" s="171">
        <f>TRUNC(TRUNC(H558,8)*J558,2)</f>
        <v>0.27</v>
      </c>
    </row>
    <row r="559" spans="1:12" ht="15" customHeight="1" x14ac:dyDescent="0.25">
      <c r="A559" s="170" t="s">
        <v>3008</v>
      </c>
      <c r="B559" s="492" t="s">
        <v>3009</v>
      </c>
      <c r="C559" s="492"/>
      <c r="D559" s="492"/>
      <c r="E559" s="492"/>
      <c r="F559" s="492"/>
      <c r="G559" s="127" t="s">
        <v>1006</v>
      </c>
      <c r="H559" s="524">
        <v>0.12</v>
      </c>
      <c r="I559" s="524"/>
      <c r="J559" s="525">
        <v>13.72</v>
      </c>
      <c r="K559" s="525"/>
      <c r="L559" s="171">
        <f>TRUNC(TRUNC(H559,8)*J559,2)</f>
        <v>1.64</v>
      </c>
    </row>
    <row r="560" spans="1:12" ht="15" customHeight="1" x14ac:dyDescent="0.25">
      <c r="A560" s="170" t="s">
        <v>3494</v>
      </c>
      <c r="B560" s="492" t="s">
        <v>3495</v>
      </c>
      <c r="C560" s="492"/>
      <c r="D560" s="492"/>
      <c r="E560" s="492"/>
      <c r="F560" s="492"/>
      <c r="G560" s="127" t="s">
        <v>1006</v>
      </c>
      <c r="H560" s="524">
        <v>0.24</v>
      </c>
      <c r="I560" s="524"/>
      <c r="J560" s="525">
        <v>31.69</v>
      </c>
      <c r="K560" s="525"/>
      <c r="L560" s="171">
        <f>TRUNC(TRUNC(H560,8)*J560,2)</f>
        <v>7.6</v>
      </c>
    </row>
    <row r="561" spans="1:12" ht="15" customHeight="1" x14ac:dyDescent="0.25">
      <c r="A561" s="184"/>
      <c r="B561" s="141"/>
      <c r="C561" s="141"/>
      <c r="D561" s="141"/>
      <c r="E561" s="141"/>
      <c r="F561" s="141"/>
      <c r="G561" s="141"/>
      <c r="H561" s="491" t="s">
        <v>1889</v>
      </c>
      <c r="I561" s="491"/>
      <c r="J561" s="491"/>
      <c r="K561" s="491"/>
      <c r="L561" s="375">
        <f>SUM(L558:L560)</f>
        <v>9.51</v>
      </c>
    </row>
    <row r="562" spans="1:12" ht="15" customHeight="1" x14ac:dyDescent="0.25">
      <c r="A562" s="182"/>
      <c r="B562" s="183"/>
      <c r="C562" s="183"/>
      <c r="D562" s="183"/>
      <c r="E562" s="183"/>
      <c r="F562" s="183"/>
      <c r="G562" s="183"/>
      <c r="H562" s="482" t="s">
        <v>1848</v>
      </c>
      <c r="I562" s="482"/>
      <c r="J562" s="482"/>
      <c r="K562" s="482"/>
      <c r="L562" s="371">
        <f>SUM(L556,L561)</f>
        <v>31.29</v>
      </c>
    </row>
    <row r="563" spans="1:12" ht="15" customHeight="1" x14ac:dyDescent="0.25">
      <c r="A563" s="182"/>
      <c r="B563" s="183"/>
      <c r="C563" s="183"/>
      <c r="D563" s="183"/>
      <c r="E563" s="183"/>
      <c r="F563" s="183"/>
      <c r="G563" s="183"/>
      <c r="H563" s="482" t="s">
        <v>1834</v>
      </c>
      <c r="I563" s="482"/>
      <c r="J563" s="482"/>
      <c r="K563" s="482"/>
      <c r="L563" s="369">
        <f>ROUND(SUM(L562),2)</f>
        <v>31.29</v>
      </c>
    </row>
    <row r="564" spans="1:12" ht="9.9499999999999993" customHeight="1" x14ac:dyDescent="0.25">
      <c r="A564" s="182"/>
      <c r="B564" s="183"/>
      <c r="C564" s="183"/>
      <c r="D564" s="183"/>
      <c r="E564" s="183"/>
      <c r="F564" s="183"/>
      <c r="G564" s="183"/>
      <c r="H564" s="485"/>
      <c r="I564" s="485"/>
      <c r="J564" s="485"/>
      <c r="K564" s="485"/>
      <c r="L564" s="512"/>
    </row>
    <row r="565" spans="1:12" ht="20.100000000000001" customHeight="1" x14ac:dyDescent="0.25">
      <c r="A565" s="486" t="s">
        <v>3496</v>
      </c>
      <c r="B565" s="487"/>
      <c r="C565" s="487"/>
      <c r="D565" s="487"/>
      <c r="E565" s="487"/>
      <c r="F565" s="487"/>
      <c r="G565" s="487"/>
      <c r="H565" s="487"/>
      <c r="I565" s="487"/>
      <c r="J565" s="487"/>
      <c r="K565" s="487"/>
      <c r="L565" s="513"/>
    </row>
    <row r="566" spans="1:12" ht="20.100000000000001" customHeight="1" x14ac:dyDescent="0.25">
      <c r="A566" s="488" t="s">
        <v>1836</v>
      </c>
      <c r="B566" s="489"/>
      <c r="C566" s="489"/>
      <c r="D566" s="489"/>
      <c r="E566" s="489"/>
      <c r="F566" s="489"/>
      <c r="G566" s="233" t="s">
        <v>44</v>
      </c>
      <c r="H566" s="515" t="s">
        <v>1837</v>
      </c>
      <c r="I566" s="515"/>
      <c r="J566" s="515" t="s">
        <v>1838</v>
      </c>
      <c r="K566" s="515"/>
      <c r="L566" s="169" t="s">
        <v>1839</v>
      </c>
    </row>
    <row r="567" spans="1:12" ht="15" customHeight="1" x14ac:dyDescent="0.25">
      <c r="A567" s="170" t="s">
        <v>1851</v>
      </c>
      <c r="B567" s="490" t="s">
        <v>1852</v>
      </c>
      <c r="C567" s="490"/>
      <c r="D567" s="490"/>
      <c r="E567" s="490"/>
      <c r="F567" s="490"/>
      <c r="G567" s="127" t="s">
        <v>1024</v>
      </c>
      <c r="H567" s="524">
        <v>0.25</v>
      </c>
      <c r="I567" s="524"/>
      <c r="J567" s="517">
        <v>26.03</v>
      </c>
      <c r="K567" s="517"/>
      <c r="L567" s="370">
        <f>TRUNC(TRUNC(H567,8)*J567,2)</f>
        <v>6.5</v>
      </c>
    </row>
    <row r="568" spans="1:12" ht="15" customHeight="1" x14ac:dyDescent="0.25">
      <c r="A568" s="170" t="s">
        <v>1830</v>
      </c>
      <c r="B568" s="490" t="s">
        <v>1831</v>
      </c>
      <c r="C568" s="490"/>
      <c r="D568" s="490"/>
      <c r="E568" s="490"/>
      <c r="F568" s="490"/>
      <c r="G568" s="127" t="s">
        <v>1024</v>
      </c>
      <c r="H568" s="524">
        <v>0.55000000000000004</v>
      </c>
      <c r="I568" s="524"/>
      <c r="J568" s="517">
        <v>19.68</v>
      </c>
      <c r="K568" s="517"/>
      <c r="L568" s="370">
        <f>TRUNC(TRUNC(H568,8)*J568,2)</f>
        <v>10.82</v>
      </c>
    </row>
    <row r="569" spans="1:12" ht="15" customHeight="1" x14ac:dyDescent="0.25">
      <c r="A569" s="184"/>
      <c r="B569" s="141"/>
      <c r="C569" s="141"/>
      <c r="D569" s="141"/>
      <c r="E569" s="141"/>
      <c r="F569" s="141"/>
      <c r="G569" s="141"/>
      <c r="H569" s="491" t="s">
        <v>1844</v>
      </c>
      <c r="I569" s="491"/>
      <c r="J569" s="491"/>
      <c r="K569" s="491"/>
      <c r="L569" s="369">
        <f>SUM(L567:L568)</f>
        <v>17.32</v>
      </c>
    </row>
    <row r="570" spans="1:12" ht="15" customHeight="1" x14ac:dyDescent="0.25">
      <c r="A570" s="182"/>
      <c r="B570" s="183"/>
      <c r="C570" s="183"/>
      <c r="D570" s="183"/>
      <c r="E570" s="183"/>
      <c r="F570" s="183"/>
      <c r="G570" s="183"/>
      <c r="H570" s="482" t="s">
        <v>1845</v>
      </c>
      <c r="I570" s="482"/>
      <c r="J570" s="482"/>
      <c r="K570" s="482"/>
      <c r="L570" s="371">
        <f>SUM(L569)</f>
        <v>17.32</v>
      </c>
    </row>
    <row r="571" spans="1:12" ht="15" customHeight="1" x14ac:dyDescent="0.25">
      <c r="A571" s="182"/>
      <c r="B571" s="183"/>
      <c r="C571" s="183"/>
      <c r="D571" s="183"/>
      <c r="E571" s="183"/>
      <c r="F571" s="183"/>
      <c r="G571" s="183"/>
      <c r="H571" s="482" t="s">
        <v>1846</v>
      </c>
      <c r="I571" s="482"/>
      <c r="J571" s="482"/>
      <c r="K571" s="482"/>
      <c r="L571" s="374">
        <v>1</v>
      </c>
    </row>
    <row r="572" spans="1:12" ht="15" customHeight="1" x14ac:dyDescent="0.25">
      <c r="A572" s="182"/>
      <c r="B572" s="183"/>
      <c r="C572" s="183"/>
      <c r="D572" s="183"/>
      <c r="E572" s="183"/>
      <c r="F572" s="183"/>
      <c r="G572" s="183"/>
      <c r="H572" s="482" t="s">
        <v>1847</v>
      </c>
      <c r="I572" s="482"/>
      <c r="J572" s="482"/>
      <c r="K572" s="482"/>
      <c r="L572" s="371">
        <f>TRUNC(L570/L571,4)</f>
        <v>17.32</v>
      </c>
    </row>
    <row r="573" spans="1:12" ht="20.100000000000001" customHeight="1" x14ac:dyDescent="0.25">
      <c r="A573" s="488" t="s">
        <v>1880</v>
      </c>
      <c r="B573" s="489"/>
      <c r="C573" s="489"/>
      <c r="D573" s="489"/>
      <c r="E573" s="489"/>
      <c r="F573" s="489"/>
      <c r="G573" s="233" t="s">
        <v>44</v>
      </c>
      <c r="H573" s="515" t="s">
        <v>1837</v>
      </c>
      <c r="I573" s="515"/>
      <c r="J573" s="515" t="s">
        <v>1881</v>
      </c>
      <c r="K573" s="515"/>
      <c r="L573" s="169" t="s">
        <v>1882</v>
      </c>
    </row>
    <row r="574" spans="1:12" ht="15" customHeight="1" x14ac:dyDescent="0.25">
      <c r="A574" s="170" t="s">
        <v>2170</v>
      </c>
      <c r="B574" s="492" t="s">
        <v>2171</v>
      </c>
      <c r="C574" s="492"/>
      <c r="D574" s="492"/>
      <c r="E574" s="492"/>
      <c r="F574" s="492"/>
      <c r="G574" s="127" t="s">
        <v>85</v>
      </c>
      <c r="H574" s="524">
        <v>3.6499999999999998E-2</v>
      </c>
      <c r="I574" s="524"/>
      <c r="J574" s="525">
        <v>152</v>
      </c>
      <c r="K574" s="525"/>
      <c r="L574" s="171">
        <f>TRUNC(TRUNC(H574,8)*J574,2)</f>
        <v>5.54</v>
      </c>
    </row>
    <row r="575" spans="1:12" ht="15" customHeight="1" x14ac:dyDescent="0.25">
      <c r="A575" s="170" t="s">
        <v>2263</v>
      </c>
      <c r="B575" s="492" t="s">
        <v>2264</v>
      </c>
      <c r="C575" s="492"/>
      <c r="D575" s="492"/>
      <c r="E575" s="492"/>
      <c r="F575" s="492"/>
      <c r="G575" s="127" t="s">
        <v>1817</v>
      </c>
      <c r="H575" s="524">
        <v>8.76</v>
      </c>
      <c r="I575" s="524"/>
      <c r="J575" s="525">
        <v>0.56999999999999995</v>
      </c>
      <c r="K575" s="525"/>
      <c r="L575" s="171">
        <f>TRUNC(TRUNC(H575,8)*J575,2)</f>
        <v>4.99</v>
      </c>
    </row>
    <row r="576" spans="1:12" ht="15" customHeight="1" x14ac:dyDescent="0.25">
      <c r="A576" s="184"/>
      <c r="B576" s="141"/>
      <c r="C576" s="141"/>
      <c r="D576" s="141"/>
      <c r="E576" s="141"/>
      <c r="F576" s="141"/>
      <c r="G576" s="141"/>
      <c r="H576" s="491" t="s">
        <v>1889</v>
      </c>
      <c r="I576" s="491"/>
      <c r="J576" s="491"/>
      <c r="K576" s="491"/>
      <c r="L576" s="375">
        <f>SUM(L574:L575)</f>
        <v>10.530000000000001</v>
      </c>
    </row>
    <row r="577" spans="1:12" ht="15" customHeight="1" x14ac:dyDescent="0.25">
      <c r="A577" s="182"/>
      <c r="B577" s="183"/>
      <c r="C577" s="183"/>
      <c r="D577" s="183"/>
      <c r="E577" s="183"/>
      <c r="F577" s="183"/>
      <c r="G577" s="183"/>
      <c r="H577" s="482" t="s">
        <v>1848</v>
      </c>
      <c r="I577" s="482"/>
      <c r="J577" s="482"/>
      <c r="K577" s="482"/>
      <c r="L577" s="371">
        <f>SUM(L572,L576)</f>
        <v>27.85</v>
      </c>
    </row>
    <row r="578" spans="1:12" ht="15" customHeight="1" x14ac:dyDescent="0.25">
      <c r="A578" s="182"/>
      <c r="B578" s="183"/>
      <c r="C578" s="183"/>
      <c r="D578" s="183"/>
      <c r="E578" s="183"/>
      <c r="F578" s="183"/>
      <c r="G578" s="183"/>
      <c r="H578" s="482" t="s">
        <v>1834</v>
      </c>
      <c r="I578" s="482"/>
      <c r="J578" s="482"/>
      <c r="K578" s="482"/>
      <c r="L578" s="369">
        <f>ROUND(SUM(L577),2)</f>
        <v>27.85</v>
      </c>
    </row>
    <row r="579" spans="1:12" ht="9.9499999999999993" customHeight="1" x14ac:dyDescent="0.25">
      <c r="A579" s="182"/>
      <c r="B579" s="183"/>
      <c r="C579" s="183"/>
      <c r="D579" s="183"/>
      <c r="E579" s="183"/>
      <c r="F579" s="183"/>
      <c r="G579" s="183"/>
      <c r="H579" s="485"/>
      <c r="I579" s="485"/>
      <c r="J579" s="485"/>
      <c r="K579" s="485"/>
      <c r="L579" s="512"/>
    </row>
    <row r="580" spans="1:12" ht="27" customHeight="1" x14ac:dyDescent="0.25">
      <c r="A580" s="486" t="s">
        <v>1877</v>
      </c>
      <c r="B580" s="487"/>
      <c r="C580" s="487"/>
      <c r="D580" s="487"/>
      <c r="E580" s="487"/>
      <c r="F580" s="487"/>
      <c r="G580" s="487"/>
      <c r="H580" s="487"/>
      <c r="I580" s="487"/>
      <c r="J580" s="487"/>
      <c r="K580" s="487"/>
      <c r="L580" s="513"/>
    </row>
    <row r="581" spans="1:12" ht="20.100000000000001" customHeight="1" x14ac:dyDescent="0.25">
      <c r="A581" s="488" t="s">
        <v>1836</v>
      </c>
      <c r="B581" s="489"/>
      <c r="C581" s="489"/>
      <c r="D581" s="489"/>
      <c r="E581" s="489"/>
      <c r="F581" s="489"/>
      <c r="G581" s="233" t="s">
        <v>44</v>
      </c>
      <c r="H581" s="515" t="s">
        <v>1837</v>
      </c>
      <c r="I581" s="515"/>
      <c r="J581" s="515" t="s">
        <v>1838</v>
      </c>
      <c r="K581" s="515"/>
      <c r="L581" s="169" t="s">
        <v>1839</v>
      </c>
    </row>
    <row r="582" spans="1:12" ht="15" customHeight="1" x14ac:dyDescent="0.25">
      <c r="A582" s="170" t="s">
        <v>1878</v>
      </c>
      <c r="B582" s="490" t="s">
        <v>1879</v>
      </c>
      <c r="C582" s="490"/>
      <c r="D582" s="490"/>
      <c r="E582" s="490"/>
      <c r="F582" s="490"/>
      <c r="G582" s="127" t="s">
        <v>1024</v>
      </c>
      <c r="H582" s="524">
        <v>0.9</v>
      </c>
      <c r="I582" s="524"/>
      <c r="J582" s="517">
        <v>26.03</v>
      </c>
      <c r="K582" s="517"/>
      <c r="L582" s="370">
        <f>ROUND(ROUND(H582,8)*J582,2)</f>
        <v>23.43</v>
      </c>
    </row>
    <row r="583" spans="1:12" ht="15" customHeight="1" x14ac:dyDescent="0.25">
      <c r="A583" s="170" t="s">
        <v>1830</v>
      </c>
      <c r="B583" s="490" t="s">
        <v>1831</v>
      </c>
      <c r="C583" s="490"/>
      <c r="D583" s="490"/>
      <c r="E583" s="490"/>
      <c r="F583" s="490"/>
      <c r="G583" s="127" t="s">
        <v>1024</v>
      </c>
      <c r="H583" s="524">
        <v>0.9</v>
      </c>
      <c r="I583" s="524"/>
      <c r="J583" s="517">
        <v>19.68</v>
      </c>
      <c r="K583" s="517"/>
      <c r="L583" s="370">
        <f>ROUND(ROUND(H583,8)*J583,2)</f>
        <v>17.71</v>
      </c>
    </row>
    <row r="584" spans="1:12" ht="15" customHeight="1" x14ac:dyDescent="0.25">
      <c r="A584" s="184"/>
      <c r="B584" s="141"/>
      <c r="C584" s="141"/>
      <c r="D584" s="141"/>
      <c r="E584" s="141"/>
      <c r="F584" s="141"/>
      <c r="G584" s="141"/>
      <c r="H584" s="491" t="s">
        <v>1844</v>
      </c>
      <c r="I584" s="491"/>
      <c r="J584" s="491"/>
      <c r="K584" s="491"/>
      <c r="L584" s="369">
        <f>SUM(L582:L583)</f>
        <v>41.14</v>
      </c>
    </row>
    <row r="585" spans="1:12" ht="15" customHeight="1" x14ac:dyDescent="0.25">
      <c r="A585" s="182"/>
      <c r="B585" s="183"/>
      <c r="C585" s="183"/>
      <c r="D585" s="183"/>
      <c r="E585" s="183"/>
      <c r="F585" s="183"/>
      <c r="G585" s="183"/>
      <c r="H585" s="482" t="s">
        <v>1845</v>
      </c>
      <c r="I585" s="482"/>
      <c r="J585" s="482"/>
      <c r="K585" s="482"/>
      <c r="L585" s="371">
        <f>SUM(L584)</f>
        <v>41.14</v>
      </c>
    </row>
    <row r="586" spans="1:12" ht="15" customHeight="1" x14ac:dyDescent="0.25">
      <c r="A586" s="182"/>
      <c r="B586" s="183"/>
      <c r="C586" s="183"/>
      <c r="D586" s="183"/>
      <c r="E586" s="183"/>
      <c r="F586" s="183"/>
      <c r="G586" s="183"/>
      <c r="H586" s="482" t="s">
        <v>1846</v>
      </c>
      <c r="I586" s="482"/>
      <c r="J586" s="482"/>
      <c r="K586" s="482"/>
      <c r="L586" s="382">
        <v>1</v>
      </c>
    </row>
    <row r="587" spans="1:12" ht="15" customHeight="1" x14ac:dyDescent="0.25">
      <c r="A587" s="182"/>
      <c r="B587" s="183"/>
      <c r="C587" s="183"/>
      <c r="D587" s="183"/>
      <c r="E587" s="183"/>
      <c r="F587" s="183"/>
      <c r="G587" s="183"/>
      <c r="H587" s="482" t="s">
        <v>1847</v>
      </c>
      <c r="I587" s="482"/>
      <c r="J587" s="482"/>
      <c r="K587" s="482"/>
      <c r="L587" s="371">
        <f>ROUND(L585/L586,4)</f>
        <v>41.14</v>
      </c>
    </row>
    <row r="588" spans="1:12" ht="20.100000000000001" customHeight="1" x14ac:dyDescent="0.25">
      <c r="A588" s="488" t="s">
        <v>1880</v>
      </c>
      <c r="B588" s="489"/>
      <c r="C588" s="489"/>
      <c r="D588" s="489"/>
      <c r="E588" s="489"/>
      <c r="F588" s="489"/>
      <c r="G588" s="233" t="s">
        <v>44</v>
      </c>
      <c r="H588" s="515" t="s">
        <v>1837</v>
      </c>
      <c r="I588" s="515"/>
      <c r="J588" s="515" t="s">
        <v>1881</v>
      </c>
      <c r="K588" s="515"/>
      <c r="L588" s="169" t="s">
        <v>1882</v>
      </c>
    </row>
    <row r="589" spans="1:12" ht="15.95" customHeight="1" x14ac:dyDescent="0.25">
      <c r="A589" s="170" t="s">
        <v>1883</v>
      </c>
      <c r="B589" s="492" t="s">
        <v>1884</v>
      </c>
      <c r="C589" s="492"/>
      <c r="D589" s="492"/>
      <c r="E589" s="492"/>
      <c r="F589" s="492"/>
      <c r="G589" s="127" t="s">
        <v>1817</v>
      </c>
      <c r="H589" s="524">
        <v>8</v>
      </c>
      <c r="I589" s="524"/>
      <c r="J589" s="525">
        <v>1.77</v>
      </c>
      <c r="K589" s="525"/>
      <c r="L589" s="171">
        <f>ROUND(ROUND(H589,8)*J589,2)</f>
        <v>14.16</v>
      </c>
    </row>
    <row r="590" spans="1:12" ht="15.95" customHeight="1" x14ac:dyDescent="0.25">
      <c r="A590" s="170" t="s">
        <v>1885</v>
      </c>
      <c r="B590" s="492" t="s">
        <v>1886</v>
      </c>
      <c r="C590" s="492"/>
      <c r="D590" s="492"/>
      <c r="E590" s="492"/>
      <c r="F590" s="492"/>
      <c r="G590" s="127" t="s">
        <v>122</v>
      </c>
      <c r="H590" s="524">
        <v>1.02</v>
      </c>
      <c r="I590" s="524"/>
      <c r="J590" s="525">
        <v>96.53</v>
      </c>
      <c r="K590" s="525"/>
      <c r="L590" s="171">
        <f>ROUND(ROUND(H590,8)*J590,2)</f>
        <v>98.46</v>
      </c>
    </row>
    <row r="591" spans="1:12" ht="15" customHeight="1" x14ac:dyDescent="0.25">
      <c r="A591" s="170" t="s">
        <v>1887</v>
      </c>
      <c r="B591" s="492" t="s">
        <v>1888</v>
      </c>
      <c r="C591" s="492"/>
      <c r="D591" s="492"/>
      <c r="E591" s="492"/>
      <c r="F591" s="492"/>
      <c r="G591" s="127" t="s">
        <v>1817</v>
      </c>
      <c r="H591" s="524">
        <v>0.112</v>
      </c>
      <c r="I591" s="524"/>
      <c r="J591" s="525">
        <v>16.46</v>
      </c>
      <c r="K591" s="525"/>
      <c r="L591" s="171">
        <f>ROUND(ROUND(H591,8)*J591,2)</f>
        <v>1.84</v>
      </c>
    </row>
    <row r="592" spans="1:12" ht="15" customHeight="1" x14ac:dyDescent="0.25">
      <c r="A592" s="184"/>
      <c r="B592" s="141"/>
      <c r="C592" s="141"/>
      <c r="D592" s="141"/>
      <c r="E592" s="141"/>
      <c r="F592" s="141"/>
      <c r="G592" s="141"/>
      <c r="H592" s="491" t="s">
        <v>1889</v>
      </c>
      <c r="I592" s="491"/>
      <c r="J592" s="491"/>
      <c r="K592" s="491"/>
      <c r="L592" s="375">
        <f>SUM(L589:L591)</f>
        <v>114.46</v>
      </c>
    </row>
    <row r="593" spans="1:12" ht="15" customHeight="1" x14ac:dyDescent="0.25">
      <c r="A593" s="182"/>
      <c r="B593" s="183"/>
      <c r="C593" s="183"/>
      <c r="D593" s="183"/>
      <c r="E593" s="183"/>
      <c r="F593" s="183"/>
      <c r="G593" s="183"/>
      <c r="H593" s="482" t="s">
        <v>1848</v>
      </c>
      <c r="I593" s="482"/>
      <c r="J593" s="482"/>
      <c r="K593" s="482"/>
      <c r="L593" s="371">
        <f>SUM(L587,L592)</f>
        <v>155.6</v>
      </c>
    </row>
    <row r="594" spans="1:12" ht="15" customHeight="1" x14ac:dyDescent="0.25">
      <c r="A594" s="483" t="s">
        <v>1890</v>
      </c>
      <c r="B594" s="484"/>
      <c r="C594" s="484"/>
      <c r="D594" s="484"/>
      <c r="E594" s="183"/>
      <c r="F594" s="183"/>
      <c r="G594" s="183"/>
      <c r="H594" s="482" t="s">
        <v>1834</v>
      </c>
      <c r="I594" s="482"/>
      <c r="J594" s="482"/>
      <c r="K594" s="482"/>
      <c r="L594" s="369">
        <v>155.6</v>
      </c>
    </row>
    <row r="595" spans="1:12" ht="9.9499999999999993" customHeight="1" x14ac:dyDescent="0.25">
      <c r="A595" s="182"/>
      <c r="B595" s="183"/>
      <c r="C595" s="183"/>
      <c r="D595" s="183"/>
      <c r="E595" s="183"/>
      <c r="F595" s="183"/>
      <c r="G595" s="183"/>
      <c r="H595" s="485"/>
      <c r="I595" s="485"/>
      <c r="J595" s="485"/>
      <c r="K595" s="485"/>
      <c r="L595" s="512"/>
    </row>
    <row r="596" spans="1:12" ht="20.100000000000001" customHeight="1" x14ac:dyDescent="0.25">
      <c r="A596" s="486" t="s">
        <v>3497</v>
      </c>
      <c r="B596" s="487"/>
      <c r="C596" s="487"/>
      <c r="D596" s="487"/>
      <c r="E596" s="487"/>
      <c r="F596" s="487"/>
      <c r="G596" s="487"/>
      <c r="H596" s="487"/>
      <c r="I596" s="487"/>
      <c r="J596" s="487"/>
      <c r="K596" s="487"/>
      <c r="L596" s="513"/>
    </row>
    <row r="597" spans="1:12" ht="15" customHeight="1" x14ac:dyDescent="0.25">
      <c r="A597" s="474" t="s">
        <v>1812</v>
      </c>
      <c r="B597" s="475"/>
      <c r="C597" s="475"/>
      <c r="D597" s="476" t="s">
        <v>42</v>
      </c>
      <c r="E597" s="476"/>
      <c r="F597" s="476"/>
      <c r="G597" s="230" t="s">
        <v>44</v>
      </c>
      <c r="H597" s="476" t="s">
        <v>1813</v>
      </c>
      <c r="I597" s="476"/>
      <c r="J597" s="476" t="s">
        <v>1814</v>
      </c>
      <c r="K597" s="476"/>
      <c r="L597" s="366" t="s">
        <v>1802</v>
      </c>
    </row>
    <row r="598" spans="1:12" ht="15" customHeight="1" x14ac:dyDescent="0.25">
      <c r="A598" s="181" t="s">
        <v>1892</v>
      </c>
      <c r="B598" s="509" t="s">
        <v>1893</v>
      </c>
      <c r="C598" s="509"/>
      <c r="D598" s="481" t="s">
        <v>82</v>
      </c>
      <c r="E598" s="481"/>
      <c r="F598" s="481"/>
      <c r="G598" s="231" t="s">
        <v>1817</v>
      </c>
      <c r="H598" s="510">
        <v>0.91300000000000003</v>
      </c>
      <c r="I598" s="510"/>
      <c r="J598" s="511">
        <v>2.21</v>
      </c>
      <c r="K598" s="511"/>
      <c r="L598" s="367">
        <f>TRUNC(TRUNC(H598,8)*J598,2)</f>
        <v>2.0099999999999998</v>
      </c>
    </row>
    <row r="599" spans="1:12" ht="15" customHeight="1" x14ac:dyDescent="0.25">
      <c r="A599" s="181" t="s">
        <v>2994</v>
      </c>
      <c r="B599" s="509" t="s">
        <v>2995</v>
      </c>
      <c r="C599" s="509"/>
      <c r="D599" s="481" t="s">
        <v>82</v>
      </c>
      <c r="E599" s="481"/>
      <c r="F599" s="481"/>
      <c r="G599" s="231" t="s">
        <v>1817</v>
      </c>
      <c r="H599" s="510">
        <v>0.127</v>
      </c>
      <c r="I599" s="510"/>
      <c r="J599" s="511">
        <v>4.22</v>
      </c>
      <c r="K599" s="511"/>
      <c r="L599" s="367">
        <f>TRUNC(TRUNC(H599,8)*J599,2)</f>
        <v>0.53</v>
      </c>
    </row>
    <row r="600" spans="1:12" ht="29.1" customHeight="1" x14ac:dyDescent="0.25">
      <c r="A600" s="181" t="s">
        <v>3498</v>
      </c>
      <c r="B600" s="509" t="s">
        <v>3499</v>
      </c>
      <c r="C600" s="509"/>
      <c r="D600" s="481" t="s">
        <v>82</v>
      </c>
      <c r="E600" s="481"/>
      <c r="F600" s="481"/>
      <c r="G600" s="231" t="s">
        <v>188</v>
      </c>
      <c r="H600" s="510">
        <v>1.04</v>
      </c>
      <c r="I600" s="510"/>
      <c r="J600" s="511">
        <v>32.29</v>
      </c>
      <c r="K600" s="511"/>
      <c r="L600" s="367">
        <f>TRUNC(TRUNC(H600,8)*J600,2)</f>
        <v>33.58</v>
      </c>
    </row>
    <row r="601" spans="1:12" ht="15" customHeight="1" x14ac:dyDescent="0.25">
      <c r="A601" s="182"/>
      <c r="B601" s="183"/>
      <c r="C601" s="183"/>
      <c r="D601" s="183"/>
      <c r="E601" s="183"/>
      <c r="F601" s="183"/>
      <c r="G601" s="183"/>
      <c r="H601" s="477" t="s">
        <v>1826</v>
      </c>
      <c r="I601" s="477"/>
      <c r="J601" s="477"/>
      <c r="K601" s="477"/>
      <c r="L601" s="368">
        <f>SUM(L598:L600)</f>
        <v>36.119999999999997</v>
      </c>
    </row>
    <row r="602" spans="1:12" ht="15" customHeight="1" x14ac:dyDescent="0.25">
      <c r="A602" s="474" t="s">
        <v>2190</v>
      </c>
      <c r="B602" s="475"/>
      <c r="C602" s="475"/>
      <c r="D602" s="476" t="s">
        <v>42</v>
      </c>
      <c r="E602" s="476"/>
      <c r="F602" s="476"/>
      <c r="G602" s="230" t="s">
        <v>44</v>
      </c>
      <c r="H602" s="476" t="s">
        <v>1813</v>
      </c>
      <c r="I602" s="476"/>
      <c r="J602" s="476" t="s">
        <v>1814</v>
      </c>
      <c r="K602" s="476"/>
      <c r="L602" s="366" t="s">
        <v>1802</v>
      </c>
    </row>
    <row r="603" spans="1:12" ht="21" customHeight="1" x14ac:dyDescent="0.25">
      <c r="A603" s="181" t="s">
        <v>3500</v>
      </c>
      <c r="B603" s="509" t="s">
        <v>3501</v>
      </c>
      <c r="C603" s="509"/>
      <c r="D603" s="481" t="s">
        <v>82</v>
      </c>
      <c r="E603" s="481"/>
      <c r="F603" s="481"/>
      <c r="G603" s="231" t="s">
        <v>1024</v>
      </c>
      <c r="H603" s="510">
        <v>0.39904699999999999</v>
      </c>
      <c r="I603" s="510"/>
      <c r="J603" s="511">
        <v>36.32</v>
      </c>
      <c r="K603" s="511"/>
      <c r="L603" s="367">
        <f>TRUNC(TRUNC(H603,8)*J603,2)</f>
        <v>14.49</v>
      </c>
    </row>
    <row r="604" spans="1:12" ht="15" customHeight="1" x14ac:dyDescent="0.25">
      <c r="A604" s="181" t="s">
        <v>2375</v>
      </c>
      <c r="B604" s="509" t="s">
        <v>2376</v>
      </c>
      <c r="C604" s="509"/>
      <c r="D604" s="481" t="s">
        <v>82</v>
      </c>
      <c r="E604" s="481"/>
      <c r="F604" s="481"/>
      <c r="G604" s="231" t="s">
        <v>1024</v>
      </c>
      <c r="H604" s="510">
        <v>0.19952349999999999</v>
      </c>
      <c r="I604" s="510"/>
      <c r="J604" s="511">
        <v>28.97</v>
      </c>
      <c r="K604" s="511"/>
      <c r="L604" s="367">
        <f>TRUNC(TRUNC(H604,8)*J604,2)</f>
        <v>5.78</v>
      </c>
    </row>
    <row r="605" spans="1:12" ht="18" customHeight="1" x14ac:dyDescent="0.25">
      <c r="A605" s="182"/>
      <c r="B605" s="183"/>
      <c r="C605" s="183"/>
      <c r="D605" s="183"/>
      <c r="E605" s="183"/>
      <c r="F605" s="183"/>
      <c r="G605" s="183"/>
      <c r="H605" s="477" t="s">
        <v>2195</v>
      </c>
      <c r="I605" s="477"/>
      <c r="J605" s="477"/>
      <c r="K605" s="477"/>
      <c r="L605" s="368">
        <f>SUM(L603:L604)</f>
        <v>20.27</v>
      </c>
    </row>
    <row r="606" spans="1:12" ht="15" customHeight="1" x14ac:dyDescent="0.25">
      <c r="A606" s="182"/>
      <c r="B606" s="183"/>
      <c r="C606" s="183"/>
      <c r="D606" s="183"/>
      <c r="E606" s="183"/>
      <c r="F606" s="183"/>
      <c r="G606" s="183"/>
      <c r="H606" s="482" t="s">
        <v>1834</v>
      </c>
      <c r="I606" s="482"/>
      <c r="J606" s="482"/>
      <c r="K606" s="482"/>
      <c r="L606" s="369">
        <f>ROUND(SUM(L601,L605),2)</f>
        <v>56.39</v>
      </c>
    </row>
    <row r="607" spans="1:12" ht="9.9499999999999993" customHeight="1" x14ac:dyDescent="0.25">
      <c r="A607" s="182"/>
      <c r="B607" s="183"/>
      <c r="C607" s="183"/>
      <c r="D607" s="183"/>
      <c r="E607" s="183"/>
      <c r="F607" s="183"/>
      <c r="G607" s="183"/>
      <c r="H607" s="485"/>
      <c r="I607" s="485"/>
      <c r="J607" s="485"/>
      <c r="K607" s="485"/>
      <c r="L607" s="512"/>
    </row>
    <row r="608" spans="1:12" ht="20.100000000000001" customHeight="1" x14ac:dyDescent="0.25">
      <c r="A608" s="486" t="s">
        <v>3502</v>
      </c>
      <c r="B608" s="487"/>
      <c r="C608" s="487"/>
      <c r="D608" s="487"/>
      <c r="E608" s="487"/>
      <c r="F608" s="487"/>
      <c r="G608" s="487"/>
      <c r="H608" s="487"/>
      <c r="I608" s="487"/>
      <c r="J608" s="487"/>
      <c r="K608" s="487"/>
      <c r="L608" s="513"/>
    </row>
    <row r="609" spans="1:12" ht="20.100000000000001" customHeight="1" x14ac:dyDescent="0.25">
      <c r="A609" s="488" t="s">
        <v>1836</v>
      </c>
      <c r="B609" s="489"/>
      <c r="C609" s="489"/>
      <c r="D609" s="489"/>
      <c r="E609" s="489"/>
      <c r="F609" s="489"/>
      <c r="G609" s="233" t="s">
        <v>44</v>
      </c>
      <c r="H609" s="515" t="s">
        <v>1837</v>
      </c>
      <c r="I609" s="515"/>
      <c r="J609" s="515" t="s">
        <v>1838</v>
      </c>
      <c r="K609" s="515"/>
      <c r="L609" s="169" t="s">
        <v>1839</v>
      </c>
    </row>
    <row r="610" spans="1:12" ht="15" customHeight="1" x14ac:dyDescent="0.25">
      <c r="A610" s="170" t="s">
        <v>1851</v>
      </c>
      <c r="B610" s="490" t="s">
        <v>1852</v>
      </c>
      <c r="C610" s="490"/>
      <c r="D610" s="490"/>
      <c r="E610" s="490"/>
      <c r="F610" s="490"/>
      <c r="G610" s="127" t="s">
        <v>1024</v>
      </c>
      <c r="H610" s="524">
        <v>0.4</v>
      </c>
      <c r="I610" s="524"/>
      <c r="J610" s="517">
        <v>26.03</v>
      </c>
      <c r="K610" s="517"/>
      <c r="L610" s="370">
        <f>TRUNC(TRUNC(H610,8)*J610,2)</f>
        <v>10.41</v>
      </c>
    </row>
    <row r="611" spans="1:12" ht="15" customHeight="1" x14ac:dyDescent="0.25">
      <c r="A611" s="170" t="s">
        <v>1830</v>
      </c>
      <c r="B611" s="490" t="s">
        <v>1831</v>
      </c>
      <c r="C611" s="490"/>
      <c r="D611" s="490"/>
      <c r="E611" s="490"/>
      <c r="F611" s="490"/>
      <c r="G611" s="127" t="s">
        <v>1024</v>
      </c>
      <c r="H611" s="524">
        <v>0.44</v>
      </c>
      <c r="I611" s="524"/>
      <c r="J611" s="517">
        <v>19.68</v>
      </c>
      <c r="K611" s="517"/>
      <c r="L611" s="370">
        <f>TRUNC(TRUNC(H611,8)*J611,2)</f>
        <v>8.65</v>
      </c>
    </row>
    <row r="612" spans="1:12" ht="15" customHeight="1" x14ac:dyDescent="0.25">
      <c r="A612" s="184"/>
      <c r="B612" s="141"/>
      <c r="C612" s="141"/>
      <c r="D612" s="141"/>
      <c r="E612" s="141"/>
      <c r="F612" s="141"/>
      <c r="G612" s="141"/>
      <c r="H612" s="491" t="s">
        <v>1844</v>
      </c>
      <c r="I612" s="491"/>
      <c r="J612" s="491"/>
      <c r="K612" s="491"/>
      <c r="L612" s="369">
        <f>SUM(L610:L611)</f>
        <v>19.060000000000002</v>
      </c>
    </row>
    <row r="613" spans="1:12" ht="15" customHeight="1" x14ac:dyDescent="0.25">
      <c r="A613" s="182"/>
      <c r="B613" s="183"/>
      <c r="C613" s="183"/>
      <c r="D613" s="183"/>
      <c r="E613" s="183"/>
      <c r="F613" s="183"/>
      <c r="G613" s="183"/>
      <c r="H613" s="482" t="s">
        <v>1845</v>
      </c>
      <c r="I613" s="482"/>
      <c r="J613" s="482"/>
      <c r="K613" s="482"/>
      <c r="L613" s="371">
        <f>SUM(L612)</f>
        <v>19.060000000000002</v>
      </c>
    </row>
    <row r="614" spans="1:12" ht="15" customHeight="1" x14ac:dyDescent="0.25">
      <c r="A614" s="182"/>
      <c r="B614" s="183"/>
      <c r="C614" s="183"/>
      <c r="D614" s="183"/>
      <c r="E614" s="183"/>
      <c r="F614" s="183"/>
      <c r="G614" s="183"/>
      <c r="H614" s="482" t="s">
        <v>1846</v>
      </c>
      <c r="I614" s="482"/>
      <c r="J614" s="482"/>
      <c r="K614" s="482"/>
      <c r="L614" s="374">
        <v>1</v>
      </c>
    </row>
    <row r="615" spans="1:12" ht="15" customHeight="1" x14ac:dyDescent="0.25">
      <c r="A615" s="182"/>
      <c r="B615" s="183"/>
      <c r="C615" s="183"/>
      <c r="D615" s="183"/>
      <c r="E615" s="183"/>
      <c r="F615" s="183"/>
      <c r="G615" s="183"/>
      <c r="H615" s="482" t="s">
        <v>1847</v>
      </c>
      <c r="I615" s="482"/>
      <c r="J615" s="482"/>
      <c r="K615" s="482"/>
      <c r="L615" s="371">
        <f>TRUNC(L613/L614,4)</f>
        <v>19.059999999999999</v>
      </c>
    </row>
    <row r="616" spans="1:12" ht="20.100000000000001" customHeight="1" x14ac:dyDescent="0.25">
      <c r="A616" s="488" t="s">
        <v>1880</v>
      </c>
      <c r="B616" s="489"/>
      <c r="C616" s="489"/>
      <c r="D616" s="489"/>
      <c r="E616" s="489"/>
      <c r="F616" s="489"/>
      <c r="G616" s="233" t="s">
        <v>44</v>
      </c>
      <c r="H616" s="515" t="s">
        <v>1837</v>
      </c>
      <c r="I616" s="515"/>
      <c r="J616" s="515" t="s">
        <v>1881</v>
      </c>
      <c r="K616" s="515"/>
      <c r="L616" s="169" t="s">
        <v>1882</v>
      </c>
    </row>
    <row r="617" spans="1:12" ht="15" customHeight="1" x14ac:dyDescent="0.25">
      <c r="A617" s="170" t="s">
        <v>2170</v>
      </c>
      <c r="B617" s="492" t="s">
        <v>2171</v>
      </c>
      <c r="C617" s="492"/>
      <c r="D617" s="492"/>
      <c r="E617" s="492"/>
      <c r="F617" s="492"/>
      <c r="G617" s="127" t="s">
        <v>85</v>
      </c>
      <c r="H617" s="524">
        <v>4.5999999999999999E-3</v>
      </c>
      <c r="I617" s="524"/>
      <c r="J617" s="525">
        <v>152</v>
      </c>
      <c r="K617" s="525"/>
      <c r="L617" s="171">
        <f>TRUNC(TRUNC(H617,8)*J617,2)</f>
        <v>0.69</v>
      </c>
    </row>
    <row r="618" spans="1:12" ht="15" customHeight="1" x14ac:dyDescent="0.25">
      <c r="A618" s="170" t="s">
        <v>3131</v>
      </c>
      <c r="B618" s="492" t="s">
        <v>3132</v>
      </c>
      <c r="C618" s="492"/>
      <c r="D618" s="492"/>
      <c r="E618" s="492"/>
      <c r="F618" s="492"/>
      <c r="G618" s="127" t="s">
        <v>1817</v>
      </c>
      <c r="H618" s="524">
        <v>0.68</v>
      </c>
      <c r="I618" s="524"/>
      <c r="J618" s="525">
        <v>1.08</v>
      </c>
      <c r="K618" s="525"/>
      <c r="L618" s="171">
        <f>TRUNC(TRUNC(H618,8)*J618,2)</f>
        <v>0.73</v>
      </c>
    </row>
    <row r="619" spans="1:12" ht="15" customHeight="1" x14ac:dyDescent="0.25">
      <c r="A619" s="170" t="s">
        <v>2263</v>
      </c>
      <c r="B619" s="492" t="s">
        <v>2264</v>
      </c>
      <c r="C619" s="492"/>
      <c r="D619" s="492"/>
      <c r="E619" s="492"/>
      <c r="F619" s="492"/>
      <c r="G619" s="127" t="s">
        <v>1817</v>
      </c>
      <c r="H619" s="524">
        <v>1.37</v>
      </c>
      <c r="I619" s="524"/>
      <c r="J619" s="525">
        <v>0.56999999999999995</v>
      </c>
      <c r="K619" s="525"/>
      <c r="L619" s="171">
        <f>TRUNC(TRUNC(H619,8)*J619,2)</f>
        <v>0.78</v>
      </c>
    </row>
    <row r="620" spans="1:12" ht="15" customHeight="1" x14ac:dyDescent="0.25">
      <c r="A620" s="170" t="s">
        <v>3503</v>
      </c>
      <c r="B620" s="492" t="s">
        <v>3504</v>
      </c>
      <c r="C620" s="492"/>
      <c r="D620" s="492"/>
      <c r="E620" s="492"/>
      <c r="F620" s="492"/>
      <c r="G620" s="127" t="s">
        <v>188</v>
      </c>
      <c r="H620" s="524">
        <v>1</v>
      </c>
      <c r="I620" s="524"/>
      <c r="J620" s="525">
        <v>30.48</v>
      </c>
      <c r="K620" s="525"/>
      <c r="L620" s="171">
        <f>TRUNC(TRUNC(H620,8)*J620,2)</f>
        <v>30.48</v>
      </c>
    </row>
    <row r="621" spans="1:12" ht="15" customHeight="1" x14ac:dyDescent="0.25">
      <c r="A621" s="184"/>
      <c r="B621" s="141"/>
      <c r="C621" s="141"/>
      <c r="D621" s="141"/>
      <c r="E621" s="141"/>
      <c r="F621" s="141"/>
      <c r="G621" s="141"/>
      <c r="H621" s="491" t="s">
        <v>1889</v>
      </c>
      <c r="I621" s="491"/>
      <c r="J621" s="491"/>
      <c r="K621" s="491"/>
      <c r="L621" s="375">
        <f>SUM(L617:L620)</f>
        <v>32.68</v>
      </c>
    </row>
    <row r="622" spans="1:12" ht="15" customHeight="1" x14ac:dyDescent="0.25">
      <c r="A622" s="182"/>
      <c r="B622" s="183"/>
      <c r="C622" s="183"/>
      <c r="D622" s="183"/>
      <c r="E622" s="183"/>
      <c r="F622" s="183"/>
      <c r="G622" s="183"/>
      <c r="H622" s="482" t="s">
        <v>1848</v>
      </c>
      <c r="I622" s="482"/>
      <c r="J622" s="482"/>
      <c r="K622" s="482"/>
      <c r="L622" s="371">
        <f>SUM(L615,L621)</f>
        <v>51.739999999999995</v>
      </c>
    </row>
    <row r="623" spans="1:12" ht="15" customHeight="1" x14ac:dyDescent="0.25">
      <c r="A623" s="182"/>
      <c r="B623" s="183"/>
      <c r="C623" s="183"/>
      <c r="D623" s="183"/>
      <c r="E623" s="183"/>
      <c r="F623" s="183"/>
      <c r="G623" s="183"/>
      <c r="H623" s="482" t="s">
        <v>1834</v>
      </c>
      <c r="I623" s="482"/>
      <c r="J623" s="482"/>
      <c r="K623" s="482"/>
      <c r="L623" s="369">
        <f>ROUND(SUM(L622),2)</f>
        <v>51.74</v>
      </c>
    </row>
    <row r="624" spans="1:12" ht="9.9499999999999993" customHeight="1" x14ac:dyDescent="0.25">
      <c r="A624" s="182"/>
      <c r="B624" s="183"/>
      <c r="C624" s="183"/>
      <c r="D624" s="183"/>
      <c r="E624" s="183"/>
      <c r="F624" s="183"/>
      <c r="G624" s="183"/>
      <c r="H624" s="485"/>
      <c r="I624" s="485"/>
      <c r="J624" s="485"/>
      <c r="K624" s="485"/>
      <c r="L624" s="512"/>
    </row>
    <row r="625" spans="1:12" ht="20.100000000000001" customHeight="1" x14ac:dyDescent="0.25">
      <c r="A625" s="486" t="s">
        <v>3505</v>
      </c>
      <c r="B625" s="487"/>
      <c r="C625" s="487"/>
      <c r="D625" s="487"/>
      <c r="E625" s="487"/>
      <c r="F625" s="487"/>
      <c r="G625" s="487"/>
      <c r="H625" s="487"/>
      <c r="I625" s="487"/>
      <c r="J625" s="487"/>
      <c r="K625" s="487"/>
      <c r="L625" s="513"/>
    </row>
    <row r="626" spans="1:12" ht="12.95" customHeight="1" x14ac:dyDescent="0.25">
      <c r="A626" s="518" t="s">
        <v>2641</v>
      </c>
      <c r="B626" s="519"/>
      <c r="C626" s="519"/>
      <c r="D626" s="520" t="s">
        <v>2642</v>
      </c>
      <c r="E626" s="520"/>
      <c r="F626" s="515" t="s">
        <v>2643</v>
      </c>
      <c r="G626" s="515"/>
      <c r="H626" s="515" t="s">
        <v>2644</v>
      </c>
      <c r="I626" s="515"/>
      <c r="J626" s="515"/>
      <c r="K626" s="515"/>
      <c r="L626" s="521" t="s">
        <v>1839</v>
      </c>
    </row>
    <row r="627" spans="1:12" ht="12" customHeight="1" x14ac:dyDescent="0.25">
      <c r="A627" s="518"/>
      <c r="B627" s="519"/>
      <c r="C627" s="519"/>
      <c r="D627" s="520"/>
      <c r="E627" s="520"/>
      <c r="F627" s="230" t="s">
        <v>2645</v>
      </c>
      <c r="G627" s="230" t="s">
        <v>2646</v>
      </c>
      <c r="H627" s="476" t="s">
        <v>2645</v>
      </c>
      <c r="I627" s="476"/>
      <c r="J627" s="476" t="s">
        <v>2646</v>
      </c>
      <c r="K627" s="476"/>
      <c r="L627" s="521"/>
    </row>
    <row r="628" spans="1:12" ht="15" customHeight="1" x14ac:dyDescent="0.25">
      <c r="A628" s="170" t="s">
        <v>3506</v>
      </c>
      <c r="B628" s="492" t="s">
        <v>3507</v>
      </c>
      <c r="C628" s="492"/>
      <c r="D628" s="522">
        <v>1</v>
      </c>
      <c r="E628" s="522"/>
      <c r="F628" s="244">
        <v>0.61</v>
      </c>
      <c r="G628" s="244">
        <v>0.39</v>
      </c>
      <c r="H628" s="523">
        <v>356.63529999999997</v>
      </c>
      <c r="I628" s="523"/>
      <c r="J628" s="523">
        <v>97.716399999999993</v>
      </c>
      <c r="K628" s="523"/>
      <c r="L628" s="371">
        <f t="shared" ref="L628:L633" si="6">ROUND(D628*(ROUND(F628*H628,4)+ROUND(G628*J628,4)),4)</f>
        <v>255.65690000000001</v>
      </c>
    </row>
    <row r="629" spans="1:12" ht="15" customHeight="1" x14ac:dyDescent="0.25">
      <c r="A629" s="170" t="s">
        <v>3508</v>
      </c>
      <c r="B629" s="492" t="s">
        <v>3509</v>
      </c>
      <c r="C629" s="492"/>
      <c r="D629" s="522">
        <v>1</v>
      </c>
      <c r="E629" s="522"/>
      <c r="F629" s="244">
        <v>0.41</v>
      </c>
      <c r="G629" s="244">
        <v>0.59</v>
      </c>
      <c r="H629" s="523">
        <v>4.9687999999999999</v>
      </c>
      <c r="I629" s="523"/>
      <c r="J629" s="523">
        <v>3.4601999999999999</v>
      </c>
      <c r="K629" s="523"/>
      <c r="L629" s="371">
        <f t="shared" si="6"/>
        <v>4.0787000000000004</v>
      </c>
    </row>
    <row r="630" spans="1:12" ht="15" customHeight="1" x14ac:dyDescent="0.25">
      <c r="A630" s="170" t="s">
        <v>3510</v>
      </c>
      <c r="B630" s="492" t="s">
        <v>3511</v>
      </c>
      <c r="C630" s="492"/>
      <c r="D630" s="522">
        <v>1</v>
      </c>
      <c r="E630" s="522"/>
      <c r="F630" s="244">
        <v>0.43</v>
      </c>
      <c r="G630" s="244">
        <v>0.56999999999999995</v>
      </c>
      <c r="H630" s="523">
        <v>342.27229999999997</v>
      </c>
      <c r="I630" s="523"/>
      <c r="J630" s="523">
        <v>151.34200000000001</v>
      </c>
      <c r="K630" s="523"/>
      <c r="L630" s="371">
        <f t="shared" si="6"/>
        <v>233.44200000000001</v>
      </c>
    </row>
    <row r="631" spans="1:12" ht="15" customHeight="1" x14ac:dyDescent="0.25">
      <c r="A631" s="170" t="s">
        <v>3512</v>
      </c>
      <c r="B631" s="492" t="s">
        <v>3513</v>
      </c>
      <c r="C631" s="492"/>
      <c r="D631" s="522">
        <v>1</v>
      </c>
      <c r="E631" s="522"/>
      <c r="F631" s="244">
        <v>0.96</v>
      </c>
      <c r="G631" s="244">
        <v>0.04</v>
      </c>
      <c r="H631" s="523">
        <v>305.59570000000002</v>
      </c>
      <c r="I631" s="523"/>
      <c r="J631" s="523">
        <v>150.94229999999999</v>
      </c>
      <c r="K631" s="523"/>
      <c r="L631" s="371">
        <f t="shared" si="6"/>
        <v>299.40960000000001</v>
      </c>
    </row>
    <row r="632" spans="1:12" ht="15.95" customHeight="1" x14ac:dyDescent="0.25">
      <c r="A632" s="170" t="s">
        <v>3514</v>
      </c>
      <c r="B632" s="492" t="s">
        <v>3515</v>
      </c>
      <c r="C632" s="492"/>
      <c r="D632" s="522">
        <v>1</v>
      </c>
      <c r="E632" s="522"/>
      <c r="F632" s="244">
        <v>1</v>
      </c>
      <c r="G632" s="244">
        <v>0</v>
      </c>
      <c r="H632" s="523">
        <v>239.02789999999999</v>
      </c>
      <c r="I632" s="523"/>
      <c r="J632" s="523">
        <v>109.70650000000001</v>
      </c>
      <c r="K632" s="523"/>
      <c r="L632" s="371">
        <f t="shared" si="6"/>
        <v>239.02789999999999</v>
      </c>
    </row>
    <row r="633" spans="1:12" ht="15" customHeight="1" x14ac:dyDescent="0.25">
      <c r="A633" s="170" t="s">
        <v>3516</v>
      </c>
      <c r="B633" s="492" t="s">
        <v>3517</v>
      </c>
      <c r="C633" s="492"/>
      <c r="D633" s="522">
        <v>1</v>
      </c>
      <c r="E633" s="522"/>
      <c r="F633" s="244">
        <v>0.41</v>
      </c>
      <c r="G633" s="244">
        <v>0.59</v>
      </c>
      <c r="H633" s="523">
        <v>176.57220000000001</v>
      </c>
      <c r="I633" s="523"/>
      <c r="J633" s="523">
        <v>70.844800000000006</v>
      </c>
      <c r="K633" s="523"/>
      <c r="L633" s="371">
        <f t="shared" si="6"/>
        <v>114.193</v>
      </c>
    </row>
    <row r="634" spans="1:12" ht="15" customHeight="1" x14ac:dyDescent="0.25">
      <c r="A634" s="184"/>
      <c r="B634" s="141"/>
      <c r="C634" s="141"/>
      <c r="D634" s="141"/>
      <c r="E634" s="141"/>
      <c r="F634" s="141"/>
      <c r="G634" s="141"/>
      <c r="H634" s="491" t="s">
        <v>2649</v>
      </c>
      <c r="I634" s="491"/>
      <c r="J634" s="491"/>
      <c r="K634" s="491"/>
      <c r="L634" s="373">
        <f>SUM(L627:L633)</f>
        <v>1145.8081</v>
      </c>
    </row>
    <row r="635" spans="1:12" ht="20.100000000000001" customHeight="1" x14ac:dyDescent="0.25">
      <c r="A635" s="488" t="s">
        <v>1836</v>
      </c>
      <c r="B635" s="489"/>
      <c r="C635" s="489"/>
      <c r="D635" s="489"/>
      <c r="E635" s="489"/>
      <c r="F635" s="489"/>
      <c r="G635" s="233" t="s">
        <v>44</v>
      </c>
      <c r="H635" s="515" t="s">
        <v>1837</v>
      </c>
      <c r="I635" s="515"/>
      <c r="J635" s="515" t="s">
        <v>1838</v>
      </c>
      <c r="K635" s="515"/>
      <c r="L635" s="169" t="s">
        <v>1839</v>
      </c>
    </row>
    <row r="636" spans="1:12" ht="15" customHeight="1" x14ac:dyDescent="0.25">
      <c r="A636" s="170" t="s">
        <v>3084</v>
      </c>
      <c r="B636" s="490" t="s">
        <v>3085</v>
      </c>
      <c r="C636" s="490"/>
      <c r="D636" s="490"/>
      <c r="E636" s="490"/>
      <c r="F636" s="490"/>
      <c r="G636" s="127" t="s">
        <v>1935</v>
      </c>
      <c r="H636" s="522">
        <v>1</v>
      </c>
      <c r="I636" s="522"/>
      <c r="J636" s="531">
        <v>23.171399999999998</v>
      </c>
      <c r="K636" s="531"/>
      <c r="L636" s="374">
        <f>ROUND(ROUND(H636,5)*J636,4)</f>
        <v>23.171399999999998</v>
      </c>
    </row>
    <row r="637" spans="1:12" ht="15" customHeight="1" x14ac:dyDescent="0.25">
      <c r="A637" s="184"/>
      <c r="B637" s="141"/>
      <c r="C637" s="141"/>
      <c r="D637" s="141"/>
      <c r="E637" s="141"/>
      <c r="F637" s="141"/>
      <c r="G637" s="141"/>
      <c r="H637" s="491" t="s">
        <v>1844</v>
      </c>
      <c r="I637" s="491"/>
      <c r="J637" s="491"/>
      <c r="K637" s="491"/>
      <c r="L637" s="378">
        <f>SUM(L636:L636)</f>
        <v>23.171399999999998</v>
      </c>
    </row>
    <row r="638" spans="1:12" ht="15" customHeight="1" x14ac:dyDescent="0.25">
      <c r="A638" s="182"/>
      <c r="B638" s="183"/>
      <c r="C638" s="183"/>
      <c r="D638" s="183"/>
      <c r="E638" s="183"/>
      <c r="F638" s="183"/>
      <c r="G638" s="183"/>
      <c r="H638" s="482" t="s">
        <v>1845</v>
      </c>
      <c r="I638" s="482"/>
      <c r="J638" s="482"/>
      <c r="K638" s="482"/>
      <c r="L638" s="371">
        <f>SUM(L634,L637)</f>
        <v>1168.9794999999999</v>
      </c>
    </row>
    <row r="639" spans="1:12" ht="15" customHeight="1" x14ac:dyDescent="0.25">
      <c r="A639" s="182"/>
      <c r="B639" s="183"/>
      <c r="C639" s="183"/>
      <c r="D639" s="183"/>
      <c r="E639" s="183"/>
      <c r="F639" s="183"/>
      <c r="G639" s="183"/>
      <c r="H639" s="482" t="s">
        <v>1846</v>
      </c>
      <c r="I639" s="482"/>
      <c r="J639" s="482"/>
      <c r="K639" s="482"/>
      <c r="L639" s="372">
        <v>672.8</v>
      </c>
    </row>
    <row r="640" spans="1:12" ht="15" customHeight="1" x14ac:dyDescent="0.25">
      <c r="A640" s="182"/>
      <c r="B640" s="183"/>
      <c r="C640" s="183"/>
      <c r="D640" s="183"/>
      <c r="E640" s="183"/>
      <c r="F640" s="183"/>
      <c r="G640" s="183"/>
      <c r="H640" s="482" t="s">
        <v>1847</v>
      </c>
      <c r="I640" s="482"/>
      <c r="J640" s="482"/>
      <c r="K640" s="482"/>
      <c r="L640" s="371">
        <f>ROUND(L638/L639,4)</f>
        <v>1.7375</v>
      </c>
    </row>
    <row r="641" spans="1:12" ht="15" customHeight="1" x14ac:dyDescent="0.25">
      <c r="A641" s="182"/>
      <c r="B641" s="183"/>
      <c r="C641" s="183"/>
      <c r="D641" s="183"/>
      <c r="E641" s="183"/>
      <c r="F641" s="183"/>
      <c r="G641" s="183"/>
      <c r="H641" s="482" t="s">
        <v>3518</v>
      </c>
      <c r="I641" s="482"/>
      <c r="J641" s="482"/>
      <c r="K641" s="482"/>
      <c r="L641" s="371">
        <f>ROUND((((D628*J628)+(D629*J629)+(D630*J630)+(D631*J631)+(D632*J632)+(D633*J633)+L637)/L639)*0.10259,4)</f>
        <v>9.2600000000000002E-2</v>
      </c>
    </row>
    <row r="642" spans="1:12" ht="15" customHeight="1" x14ac:dyDescent="0.25">
      <c r="A642" s="182"/>
      <c r="B642" s="183"/>
      <c r="C642" s="183"/>
      <c r="D642" s="183"/>
      <c r="E642" s="183"/>
      <c r="F642" s="183"/>
      <c r="G642" s="183"/>
      <c r="H642" s="482" t="s">
        <v>1848</v>
      </c>
      <c r="I642" s="482"/>
      <c r="J642" s="482"/>
      <c r="K642" s="482"/>
      <c r="L642" s="371">
        <f>SUM(L640,L641)</f>
        <v>1.8301000000000001</v>
      </c>
    </row>
    <row r="643" spans="1:12" ht="15" customHeight="1" x14ac:dyDescent="0.25">
      <c r="A643" s="182"/>
      <c r="B643" s="183"/>
      <c r="C643" s="183"/>
      <c r="D643" s="183"/>
      <c r="E643" s="183"/>
      <c r="F643" s="183"/>
      <c r="G643" s="183"/>
      <c r="H643" s="482" t="s">
        <v>1834</v>
      </c>
      <c r="I643" s="482"/>
      <c r="J643" s="482"/>
      <c r="K643" s="482"/>
      <c r="L643" s="369">
        <f>ROUND(SUM(L642),2)</f>
        <v>1.83</v>
      </c>
    </row>
    <row r="644" spans="1:12" ht="9.9499999999999993" customHeight="1" x14ac:dyDescent="0.25">
      <c r="A644" s="182"/>
      <c r="B644" s="183"/>
      <c r="C644" s="183"/>
      <c r="D644" s="183"/>
      <c r="E644" s="183"/>
      <c r="F644" s="183"/>
      <c r="G644" s="183"/>
      <c r="H644" s="485"/>
      <c r="I644" s="485"/>
      <c r="J644" s="485"/>
      <c r="K644" s="485"/>
      <c r="L644" s="512"/>
    </row>
    <row r="645" spans="1:12" ht="27" customHeight="1" x14ac:dyDescent="0.25">
      <c r="A645" s="486" t="s">
        <v>3519</v>
      </c>
      <c r="B645" s="487"/>
      <c r="C645" s="487"/>
      <c r="D645" s="487"/>
      <c r="E645" s="487"/>
      <c r="F645" s="487"/>
      <c r="G645" s="487"/>
      <c r="H645" s="487"/>
      <c r="I645" s="487"/>
      <c r="J645" s="487"/>
      <c r="K645" s="487"/>
      <c r="L645" s="513"/>
    </row>
    <row r="646" spans="1:12" ht="20.100000000000001" customHeight="1" x14ac:dyDescent="0.25">
      <c r="A646" s="488" t="s">
        <v>1836</v>
      </c>
      <c r="B646" s="489"/>
      <c r="C646" s="489"/>
      <c r="D646" s="489"/>
      <c r="E646" s="489"/>
      <c r="F646" s="489"/>
      <c r="G646" s="233" t="s">
        <v>44</v>
      </c>
      <c r="H646" s="515" t="s">
        <v>1837</v>
      </c>
      <c r="I646" s="515"/>
      <c r="J646" s="515" t="s">
        <v>1838</v>
      </c>
      <c r="K646" s="515"/>
      <c r="L646" s="169" t="s">
        <v>1839</v>
      </c>
    </row>
    <row r="647" spans="1:12" ht="15" customHeight="1" x14ac:dyDescent="0.25">
      <c r="A647" s="170" t="s">
        <v>3520</v>
      </c>
      <c r="B647" s="490" t="s">
        <v>3521</v>
      </c>
      <c r="C647" s="490"/>
      <c r="D647" s="490"/>
      <c r="E647" s="490"/>
      <c r="F647" s="490"/>
      <c r="G647" s="127" t="s">
        <v>1024</v>
      </c>
      <c r="H647" s="524">
        <v>0.26319999999999999</v>
      </c>
      <c r="I647" s="524"/>
      <c r="J647" s="517">
        <v>26.03</v>
      </c>
      <c r="K647" s="517"/>
      <c r="L647" s="370">
        <f>TRUNC(TRUNC(H647,8)*J647,2)</f>
        <v>6.85</v>
      </c>
    </row>
    <row r="648" spans="1:12" ht="15" customHeight="1" x14ac:dyDescent="0.25">
      <c r="A648" s="170" t="s">
        <v>1830</v>
      </c>
      <c r="B648" s="490" t="s">
        <v>1831</v>
      </c>
      <c r="C648" s="490"/>
      <c r="D648" s="490"/>
      <c r="E648" s="490"/>
      <c r="F648" s="490"/>
      <c r="G648" s="127" t="s">
        <v>1024</v>
      </c>
      <c r="H648" s="524">
        <v>0.26319999999999999</v>
      </c>
      <c r="I648" s="524"/>
      <c r="J648" s="517">
        <v>19.68</v>
      </c>
      <c r="K648" s="517"/>
      <c r="L648" s="370">
        <f>TRUNC(TRUNC(H648,8)*J648,2)</f>
        <v>5.17</v>
      </c>
    </row>
    <row r="649" spans="1:12" ht="15" customHeight="1" x14ac:dyDescent="0.25">
      <c r="A649" s="184"/>
      <c r="B649" s="141"/>
      <c r="C649" s="141"/>
      <c r="D649" s="141"/>
      <c r="E649" s="141"/>
      <c r="F649" s="141"/>
      <c r="G649" s="141"/>
      <c r="H649" s="491" t="s">
        <v>1844</v>
      </c>
      <c r="I649" s="491"/>
      <c r="J649" s="491"/>
      <c r="K649" s="491"/>
      <c r="L649" s="369">
        <f>SUM(L647:L648)</f>
        <v>12.02</v>
      </c>
    </row>
    <row r="650" spans="1:12" ht="15" customHeight="1" x14ac:dyDescent="0.25">
      <c r="A650" s="182"/>
      <c r="B650" s="183"/>
      <c r="C650" s="183"/>
      <c r="D650" s="183"/>
      <c r="E650" s="183"/>
      <c r="F650" s="183"/>
      <c r="G650" s="183"/>
      <c r="H650" s="482" t="s">
        <v>1845</v>
      </c>
      <c r="I650" s="482"/>
      <c r="J650" s="482"/>
      <c r="K650" s="482"/>
      <c r="L650" s="371">
        <f>SUM(L649)</f>
        <v>12.02</v>
      </c>
    </row>
    <row r="651" spans="1:12" ht="15" customHeight="1" x14ac:dyDescent="0.25">
      <c r="A651" s="182"/>
      <c r="B651" s="183"/>
      <c r="C651" s="183"/>
      <c r="D651" s="183"/>
      <c r="E651" s="183"/>
      <c r="F651" s="183"/>
      <c r="G651" s="183"/>
      <c r="H651" s="482" t="s">
        <v>1846</v>
      </c>
      <c r="I651" s="482"/>
      <c r="J651" s="482"/>
      <c r="K651" s="482"/>
      <c r="L651" s="374">
        <v>1</v>
      </c>
    </row>
    <row r="652" spans="1:12" ht="15" customHeight="1" x14ac:dyDescent="0.25">
      <c r="A652" s="182"/>
      <c r="B652" s="183"/>
      <c r="C652" s="183"/>
      <c r="D652" s="183"/>
      <c r="E652" s="183"/>
      <c r="F652" s="183"/>
      <c r="G652" s="183"/>
      <c r="H652" s="482" t="s">
        <v>1847</v>
      </c>
      <c r="I652" s="482"/>
      <c r="J652" s="482"/>
      <c r="K652" s="482"/>
      <c r="L652" s="371">
        <f>TRUNC(L650/L651,4)</f>
        <v>12.02</v>
      </c>
    </row>
    <row r="653" spans="1:12" ht="20.100000000000001" customHeight="1" x14ac:dyDescent="0.25">
      <c r="A653" s="488" t="s">
        <v>1880</v>
      </c>
      <c r="B653" s="489"/>
      <c r="C653" s="489"/>
      <c r="D653" s="489"/>
      <c r="E653" s="489"/>
      <c r="F653" s="489"/>
      <c r="G653" s="233" t="s">
        <v>44</v>
      </c>
      <c r="H653" s="515" t="s">
        <v>1837</v>
      </c>
      <c r="I653" s="515"/>
      <c r="J653" s="515" t="s">
        <v>1881</v>
      </c>
      <c r="K653" s="515"/>
      <c r="L653" s="169" t="s">
        <v>1882</v>
      </c>
    </row>
    <row r="654" spans="1:12" ht="15" customHeight="1" x14ac:dyDescent="0.25">
      <c r="A654" s="170" t="s">
        <v>2170</v>
      </c>
      <c r="B654" s="492" t="s">
        <v>2171</v>
      </c>
      <c r="C654" s="492"/>
      <c r="D654" s="492"/>
      <c r="E654" s="492"/>
      <c r="F654" s="492"/>
      <c r="G654" s="127" t="s">
        <v>85</v>
      </c>
      <c r="H654" s="524">
        <v>9.7999999999999997E-3</v>
      </c>
      <c r="I654" s="524"/>
      <c r="J654" s="525">
        <v>152</v>
      </c>
      <c r="K654" s="525"/>
      <c r="L654" s="171">
        <f>TRUNC(TRUNC(H654,8)*J654,2)</f>
        <v>1.48</v>
      </c>
    </row>
    <row r="655" spans="1:12" ht="15" customHeight="1" x14ac:dyDescent="0.25">
      <c r="A655" s="170" t="s">
        <v>3522</v>
      </c>
      <c r="B655" s="492" t="s">
        <v>3523</v>
      </c>
      <c r="C655" s="492"/>
      <c r="D655" s="492"/>
      <c r="E655" s="492"/>
      <c r="F655" s="492"/>
      <c r="G655" s="127" t="s">
        <v>226</v>
      </c>
      <c r="H655" s="524">
        <v>48</v>
      </c>
      <c r="I655" s="524"/>
      <c r="J655" s="525">
        <v>1.74</v>
      </c>
      <c r="K655" s="525"/>
      <c r="L655" s="171">
        <f>TRUNC(TRUNC(H655,8)*J655,2)</f>
        <v>83.52</v>
      </c>
    </row>
    <row r="656" spans="1:12" ht="15" customHeight="1" x14ac:dyDescent="0.25">
      <c r="A656" s="170" t="s">
        <v>3524</v>
      </c>
      <c r="B656" s="492" t="s">
        <v>3525</v>
      </c>
      <c r="C656" s="492"/>
      <c r="D656" s="492"/>
      <c r="E656" s="492"/>
      <c r="F656" s="492"/>
      <c r="G656" s="127" t="s">
        <v>85</v>
      </c>
      <c r="H656" s="524">
        <v>0.1</v>
      </c>
      <c r="I656" s="524"/>
      <c r="J656" s="525">
        <v>105.85</v>
      </c>
      <c r="K656" s="525"/>
      <c r="L656" s="171">
        <f>TRUNC(TRUNC(H656,8)*J656,2)</f>
        <v>10.58</v>
      </c>
    </row>
    <row r="657" spans="1:12" ht="15" customHeight="1" x14ac:dyDescent="0.25">
      <c r="A657" s="184"/>
      <c r="B657" s="141"/>
      <c r="C657" s="141"/>
      <c r="D657" s="141"/>
      <c r="E657" s="141"/>
      <c r="F657" s="141"/>
      <c r="G657" s="141"/>
      <c r="H657" s="491" t="s">
        <v>1889</v>
      </c>
      <c r="I657" s="491"/>
      <c r="J657" s="491"/>
      <c r="K657" s="491"/>
      <c r="L657" s="375">
        <f>SUM(L654:L656)</f>
        <v>95.58</v>
      </c>
    </row>
    <row r="658" spans="1:12" ht="20.100000000000001" customHeight="1" x14ac:dyDescent="0.25">
      <c r="A658" s="488" t="s">
        <v>2009</v>
      </c>
      <c r="B658" s="489"/>
      <c r="C658" s="489"/>
      <c r="D658" s="489"/>
      <c r="E658" s="489"/>
      <c r="F658" s="489"/>
      <c r="G658" s="233" t="s">
        <v>44</v>
      </c>
      <c r="H658" s="515" t="s">
        <v>1837</v>
      </c>
      <c r="I658" s="515"/>
      <c r="J658" s="515" t="s">
        <v>1814</v>
      </c>
      <c r="K658" s="515"/>
      <c r="L658" s="169" t="s">
        <v>1882</v>
      </c>
    </row>
    <row r="659" spans="1:12" ht="15" customHeight="1" x14ac:dyDescent="0.25">
      <c r="A659" s="170" t="s">
        <v>3526</v>
      </c>
      <c r="B659" s="492" t="s">
        <v>3527</v>
      </c>
      <c r="C659" s="492"/>
      <c r="D659" s="492"/>
      <c r="E659" s="492"/>
      <c r="F659" s="492"/>
      <c r="G659" s="127"/>
      <c r="H659" s="526">
        <v>0.12609999999999999</v>
      </c>
      <c r="I659" s="526"/>
      <c r="J659" s="525">
        <v>29.06</v>
      </c>
      <c r="K659" s="525"/>
      <c r="L659" s="171">
        <f>TRUNC(TRUNC(H659,8)*J659,2)</f>
        <v>3.66</v>
      </c>
    </row>
    <row r="660" spans="1:12" ht="15.95" customHeight="1" x14ac:dyDescent="0.25">
      <c r="A660" s="170" t="s">
        <v>3528</v>
      </c>
      <c r="B660" s="492" t="s">
        <v>3529</v>
      </c>
      <c r="C660" s="492"/>
      <c r="D660" s="492"/>
      <c r="E660" s="492"/>
      <c r="F660" s="492"/>
      <c r="G660" s="127"/>
      <c r="H660" s="526">
        <v>5.4999999999999997E-3</v>
      </c>
      <c r="I660" s="526"/>
      <c r="J660" s="525">
        <v>36.520000000000003</v>
      </c>
      <c r="K660" s="525"/>
      <c r="L660" s="171">
        <f>TRUNC(TRUNC(H660,8)*J660,2)</f>
        <v>0.2</v>
      </c>
    </row>
    <row r="661" spans="1:12" ht="15.95" customHeight="1" x14ac:dyDescent="0.25">
      <c r="A661" s="170" t="s">
        <v>3530</v>
      </c>
      <c r="B661" s="492" t="s">
        <v>3531</v>
      </c>
      <c r="C661" s="492"/>
      <c r="D661" s="492"/>
      <c r="E661" s="492"/>
      <c r="F661" s="492"/>
      <c r="G661" s="127"/>
      <c r="H661" s="526">
        <v>0.1278</v>
      </c>
      <c r="I661" s="526"/>
      <c r="J661" s="525">
        <v>0.44</v>
      </c>
      <c r="K661" s="525"/>
      <c r="L661" s="171">
        <f>TRUNC(TRUNC(H661,8)*J661,2)</f>
        <v>0.05</v>
      </c>
    </row>
    <row r="662" spans="1:12" ht="15.95" customHeight="1" x14ac:dyDescent="0.25">
      <c r="A662" s="170" t="s">
        <v>3532</v>
      </c>
      <c r="B662" s="492" t="s">
        <v>3533</v>
      </c>
      <c r="C662" s="492"/>
      <c r="D662" s="492"/>
      <c r="E662" s="492"/>
      <c r="F662" s="492"/>
      <c r="G662" s="127"/>
      <c r="H662" s="526">
        <v>3.8E-3</v>
      </c>
      <c r="I662" s="526"/>
      <c r="J662" s="525">
        <v>10.24</v>
      </c>
      <c r="K662" s="525"/>
      <c r="L662" s="171">
        <f>TRUNC(TRUNC(H662,8)*J662,2)</f>
        <v>0.03</v>
      </c>
    </row>
    <row r="663" spans="1:12" ht="15" customHeight="1" x14ac:dyDescent="0.25">
      <c r="A663" s="184"/>
      <c r="B663" s="141"/>
      <c r="C663" s="141"/>
      <c r="D663" s="141"/>
      <c r="E663" s="141"/>
      <c r="F663" s="141"/>
      <c r="G663" s="141"/>
      <c r="H663" s="491" t="s">
        <v>2014</v>
      </c>
      <c r="I663" s="491"/>
      <c r="J663" s="491"/>
      <c r="K663" s="491"/>
      <c r="L663" s="375">
        <f>SUM(L659:L662)</f>
        <v>3.94</v>
      </c>
    </row>
    <row r="664" spans="1:12" ht="15" customHeight="1" x14ac:dyDescent="0.25">
      <c r="A664" s="182"/>
      <c r="B664" s="183"/>
      <c r="C664" s="183"/>
      <c r="D664" s="183"/>
      <c r="E664" s="183"/>
      <c r="F664" s="183"/>
      <c r="G664" s="183"/>
      <c r="H664" s="482" t="s">
        <v>1848</v>
      </c>
      <c r="I664" s="482"/>
      <c r="J664" s="482"/>
      <c r="K664" s="482"/>
      <c r="L664" s="371">
        <f>SUM(L652,L657,L663)</f>
        <v>111.53999999999999</v>
      </c>
    </row>
    <row r="665" spans="1:12" ht="15" customHeight="1" x14ac:dyDescent="0.25">
      <c r="A665" s="182"/>
      <c r="B665" s="183"/>
      <c r="C665" s="183"/>
      <c r="D665" s="183"/>
      <c r="E665" s="183"/>
      <c r="F665" s="183"/>
      <c r="G665" s="183"/>
      <c r="H665" s="482" t="s">
        <v>1834</v>
      </c>
      <c r="I665" s="482"/>
      <c r="J665" s="482"/>
      <c r="K665" s="482"/>
      <c r="L665" s="369">
        <f>ROUND(SUM(L664),2)</f>
        <v>111.54</v>
      </c>
    </row>
    <row r="666" spans="1:12" ht="9.9499999999999993" customHeight="1" x14ac:dyDescent="0.25">
      <c r="A666" s="182"/>
      <c r="B666" s="183"/>
      <c r="C666" s="183"/>
      <c r="D666" s="183"/>
      <c r="E666" s="183"/>
      <c r="F666" s="183"/>
      <c r="G666" s="183"/>
      <c r="H666" s="485"/>
      <c r="I666" s="485"/>
      <c r="J666" s="485"/>
      <c r="K666" s="485"/>
      <c r="L666" s="512"/>
    </row>
    <row r="667" spans="1:12" ht="20.100000000000001" customHeight="1" x14ac:dyDescent="0.25">
      <c r="A667" s="486" t="s">
        <v>1891</v>
      </c>
      <c r="B667" s="487"/>
      <c r="C667" s="487"/>
      <c r="D667" s="487"/>
      <c r="E667" s="487"/>
      <c r="F667" s="487"/>
      <c r="G667" s="487"/>
      <c r="H667" s="487"/>
      <c r="I667" s="487"/>
      <c r="J667" s="487"/>
      <c r="K667" s="487"/>
      <c r="L667" s="513"/>
    </row>
    <row r="668" spans="1:12" ht="15" customHeight="1" x14ac:dyDescent="0.25">
      <c r="A668" s="474" t="s">
        <v>1812</v>
      </c>
      <c r="B668" s="475"/>
      <c r="C668" s="475"/>
      <c r="D668" s="476" t="s">
        <v>42</v>
      </c>
      <c r="E668" s="476"/>
      <c r="F668" s="476"/>
      <c r="G668" s="230" t="s">
        <v>44</v>
      </c>
      <c r="H668" s="476" t="s">
        <v>1813</v>
      </c>
      <c r="I668" s="476"/>
      <c r="J668" s="476" t="s">
        <v>1814</v>
      </c>
      <c r="K668" s="476"/>
      <c r="L668" s="366" t="s">
        <v>1802</v>
      </c>
    </row>
    <row r="669" spans="1:12" ht="15" customHeight="1" x14ac:dyDescent="0.25">
      <c r="A669" s="181" t="s">
        <v>1892</v>
      </c>
      <c r="B669" s="509" t="s">
        <v>1893</v>
      </c>
      <c r="C669" s="509"/>
      <c r="D669" s="481" t="s">
        <v>82</v>
      </c>
      <c r="E669" s="481"/>
      <c r="F669" s="481"/>
      <c r="G669" s="231" t="s">
        <v>1817</v>
      </c>
      <c r="H669" s="510">
        <v>9.1300000000000008</v>
      </c>
      <c r="I669" s="510"/>
      <c r="J669" s="511">
        <v>2.21</v>
      </c>
      <c r="K669" s="511"/>
      <c r="L669" s="367">
        <f>ROUND(ROUND(H669,8)*J669,2)</f>
        <v>20.18</v>
      </c>
    </row>
    <row r="670" spans="1:12" ht="21" customHeight="1" x14ac:dyDescent="0.25">
      <c r="A670" s="181" t="s">
        <v>1894</v>
      </c>
      <c r="B670" s="509" t="s">
        <v>1895</v>
      </c>
      <c r="C670" s="509"/>
      <c r="D670" s="481" t="s">
        <v>1896</v>
      </c>
      <c r="E670" s="481"/>
      <c r="F670" s="481"/>
      <c r="G670" s="231" t="s">
        <v>122</v>
      </c>
      <c r="H670" s="510">
        <v>1.06</v>
      </c>
      <c r="I670" s="510"/>
      <c r="J670" s="511">
        <v>309.68</v>
      </c>
      <c r="K670" s="511"/>
      <c r="L670" s="367">
        <f>ROUND(ROUND(H670,8)*J670,2)</f>
        <v>328.26</v>
      </c>
    </row>
    <row r="671" spans="1:12" ht="15" customHeight="1" x14ac:dyDescent="0.25">
      <c r="A671" s="182"/>
      <c r="B671" s="183"/>
      <c r="C671" s="183"/>
      <c r="D671" s="183"/>
      <c r="E671" s="183"/>
      <c r="F671" s="183"/>
      <c r="G671" s="183"/>
      <c r="H671" s="477" t="s">
        <v>1826</v>
      </c>
      <c r="I671" s="477"/>
      <c r="J671" s="477"/>
      <c r="K671" s="477"/>
      <c r="L671" s="368">
        <f>SUM(L669:L670)</f>
        <v>348.44</v>
      </c>
    </row>
    <row r="672" spans="1:12" ht="15" customHeight="1" x14ac:dyDescent="0.25">
      <c r="A672" s="474" t="s">
        <v>1827</v>
      </c>
      <c r="B672" s="475"/>
      <c r="C672" s="475"/>
      <c r="D672" s="476" t="s">
        <v>42</v>
      </c>
      <c r="E672" s="476"/>
      <c r="F672" s="476"/>
      <c r="G672" s="230" t="s">
        <v>44</v>
      </c>
      <c r="H672" s="476" t="s">
        <v>1813</v>
      </c>
      <c r="I672" s="476"/>
      <c r="J672" s="476" t="s">
        <v>1814</v>
      </c>
      <c r="K672" s="476"/>
      <c r="L672" s="366" t="s">
        <v>1802</v>
      </c>
    </row>
    <row r="673" spans="1:12" ht="15" customHeight="1" x14ac:dyDescent="0.25">
      <c r="A673" s="181" t="s">
        <v>1851</v>
      </c>
      <c r="B673" s="509" t="s">
        <v>1852</v>
      </c>
      <c r="C673" s="509"/>
      <c r="D673" s="481" t="s">
        <v>51</v>
      </c>
      <c r="E673" s="481"/>
      <c r="F673" s="481"/>
      <c r="G673" s="231" t="s">
        <v>1024</v>
      </c>
      <c r="H673" s="510">
        <v>0.71166669999999999</v>
      </c>
      <c r="I673" s="510"/>
      <c r="J673" s="511">
        <v>26.03</v>
      </c>
      <c r="K673" s="511"/>
      <c r="L673" s="367">
        <f>ROUND(ROUND(H673,8)*J673,2)</f>
        <v>18.52</v>
      </c>
    </row>
    <row r="674" spans="1:12" ht="15" customHeight="1" x14ac:dyDescent="0.25">
      <c r="A674" s="181" t="s">
        <v>1830</v>
      </c>
      <c r="B674" s="509" t="s">
        <v>1831</v>
      </c>
      <c r="C674" s="509"/>
      <c r="D674" s="481" t="s">
        <v>51</v>
      </c>
      <c r="E674" s="481"/>
      <c r="F674" s="481"/>
      <c r="G674" s="231" t="s">
        <v>1024</v>
      </c>
      <c r="H674" s="510">
        <v>0.35583330000000002</v>
      </c>
      <c r="I674" s="510"/>
      <c r="J674" s="511">
        <v>19.68</v>
      </c>
      <c r="K674" s="511"/>
      <c r="L674" s="367">
        <f>ROUND(ROUND(H674,8)*J674,2)</f>
        <v>7</v>
      </c>
    </row>
    <row r="675" spans="1:12" ht="15" customHeight="1" x14ac:dyDescent="0.25">
      <c r="A675" s="182"/>
      <c r="B675" s="183"/>
      <c r="C675" s="183"/>
      <c r="D675" s="183"/>
      <c r="E675" s="183"/>
      <c r="F675" s="183"/>
      <c r="G675" s="183"/>
      <c r="H675" s="477" t="s">
        <v>1832</v>
      </c>
      <c r="I675" s="477"/>
      <c r="J675" s="477"/>
      <c r="K675" s="477"/>
      <c r="L675" s="368">
        <f>SUM(L673:L674)</f>
        <v>25.52</v>
      </c>
    </row>
    <row r="676" spans="1:12" ht="15" customHeight="1" x14ac:dyDescent="0.25">
      <c r="A676" s="483" t="s">
        <v>1897</v>
      </c>
      <c r="B676" s="484"/>
      <c r="C676" s="484"/>
      <c r="D676" s="484"/>
      <c r="E676" s="183"/>
      <c r="F676" s="183"/>
      <c r="G676" s="183"/>
      <c r="H676" s="482" t="s">
        <v>1834</v>
      </c>
      <c r="I676" s="482"/>
      <c r="J676" s="482"/>
      <c r="K676" s="482"/>
      <c r="L676" s="369">
        <v>373.96</v>
      </c>
    </row>
    <row r="677" spans="1:12" ht="9.9499999999999993" customHeight="1" x14ac:dyDescent="0.25">
      <c r="A677" s="182"/>
      <c r="B677" s="183"/>
      <c r="C677" s="183"/>
      <c r="D677" s="183"/>
      <c r="E677" s="183"/>
      <c r="F677" s="183"/>
      <c r="G677" s="183"/>
      <c r="H677" s="485"/>
      <c r="I677" s="485"/>
      <c r="J677" s="485"/>
      <c r="K677" s="485"/>
      <c r="L677" s="512"/>
    </row>
    <row r="678" spans="1:12" ht="20.100000000000001" customHeight="1" x14ac:dyDescent="0.25">
      <c r="A678" s="486" t="s">
        <v>3534</v>
      </c>
      <c r="B678" s="487"/>
      <c r="C678" s="487"/>
      <c r="D678" s="487"/>
      <c r="E678" s="487"/>
      <c r="F678" s="487"/>
      <c r="G678" s="487"/>
      <c r="H678" s="487"/>
      <c r="I678" s="487"/>
      <c r="J678" s="487"/>
      <c r="K678" s="487"/>
      <c r="L678" s="513"/>
    </row>
    <row r="679" spans="1:12" ht="20.100000000000001" customHeight="1" x14ac:dyDescent="0.25">
      <c r="A679" s="488" t="s">
        <v>1880</v>
      </c>
      <c r="B679" s="489"/>
      <c r="C679" s="489"/>
      <c r="D679" s="489"/>
      <c r="E679" s="489"/>
      <c r="F679" s="489"/>
      <c r="G679" s="233" t="s">
        <v>44</v>
      </c>
      <c r="H679" s="515" t="s">
        <v>1837</v>
      </c>
      <c r="I679" s="515"/>
      <c r="J679" s="515" t="s">
        <v>1881</v>
      </c>
      <c r="K679" s="515"/>
      <c r="L679" s="169" t="s">
        <v>1882</v>
      </c>
    </row>
    <row r="680" spans="1:12" ht="15.95" customHeight="1" x14ac:dyDescent="0.25">
      <c r="A680" s="170" t="s">
        <v>3535</v>
      </c>
      <c r="B680" s="492" t="s">
        <v>3536</v>
      </c>
      <c r="C680" s="492"/>
      <c r="D680" s="492"/>
      <c r="E680" s="492"/>
      <c r="F680" s="492"/>
      <c r="G680" s="127" t="s">
        <v>122</v>
      </c>
      <c r="H680" s="524">
        <v>1</v>
      </c>
      <c r="I680" s="524"/>
      <c r="J680" s="525">
        <v>99.96</v>
      </c>
      <c r="K680" s="525"/>
      <c r="L680" s="171">
        <f>TRUNC(TRUNC(H680,8)*J680,2)</f>
        <v>99.96</v>
      </c>
    </row>
    <row r="681" spans="1:12" ht="15" customHeight="1" x14ac:dyDescent="0.25">
      <c r="A681" s="184"/>
      <c r="B681" s="141"/>
      <c r="C681" s="141"/>
      <c r="D681" s="141"/>
      <c r="E681" s="141"/>
      <c r="F681" s="141"/>
      <c r="G681" s="141"/>
      <c r="H681" s="491" t="s">
        <v>1889</v>
      </c>
      <c r="I681" s="491"/>
      <c r="J681" s="491"/>
      <c r="K681" s="491"/>
      <c r="L681" s="375">
        <f>SUM(L680:L680)</f>
        <v>99.96</v>
      </c>
    </row>
    <row r="682" spans="1:12" ht="15" customHeight="1" x14ac:dyDescent="0.25">
      <c r="A682" s="182"/>
      <c r="B682" s="183"/>
      <c r="C682" s="183"/>
      <c r="D682" s="183"/>
      <c r="E682" s="183"/>
      <c r="F682" s="183"/>
      <c r="G682" s="183"/>
      <c r="H682" s="482" t="s">
        <v>1848</v>
      </c>
      <c r="I682" s="482"/>
      <c r="J682" s="482"/>
      <c r="K682" s="482"/>
      <c r="L682" s="371">
        <f>SUM(L681)</f>
        <v>99.96</v>
      </c>
    </row>
    <row r="683" spans="1:12" ht="15" customHeight="1" x14ac:dyDescent="0.25">
      <c r="A683" s="182"/>
      <c r="B683" s="183"/>
      <c r="C683" s="183"/>
      <c r="D683" s="183"/>
      <c r="E683" s="183"/>
      <c r="F683" s="183"/>
      <c r="G683" s="183"/>
      <c r="H683" s="482" t="s">
        <v>1834</v>
      </c>
      <c r="I683" s="482"/>
      <c r="J683" s="482"/>
      <c r="K683" s="482"/>
      <c r="L683" s="369">
        <f>ROUND(SUM(L682),2)</f>
        <v>99.96</v>
      </c>
    </row>
    <row r="684" spans="1:12" ht="9.9499999999999993" customHeight="1" x14ac:dyDescent="0.25">
      <c r="A684" s="182"/>
      <c r="B684" s="183"/>
      <c r="C684" s="183"/>
      <c r="D684" s="183"/>
      <c r="E684" s="183"/>
      <c r="F684" s="183"/>
      <c r="G684" s="183"/>
      <c r="H684" s="485"/>
      <c r="I684" s="485"/>
      <c r="J684" s="485"/>
      <c r="K684" s="485"/>
      <c r="L684" s="512"/>
    </row>
    <row r="685" spans="1:12" ht="20.100000000000001" customHeight="1" x14ac:dyDescent="0.25">
      <c r="A685" s="486" t="s">
        <v>3537</v>
      </c>
      <c r="B685" s="487"/>
      <c r="C685" s="487"/>
      <c r="D685" s="487"/>
      <c r="E685" s="487"/>
      <c r="F685" s="487"/>
      <c r="G685" s="487"/>
      <c r="H685" s="487"/>
      <c r="I685" s="487"/>
      <c r="J685" s="487"/>
      <c r="K685" s="487"/>
      <c r="L685" s="513"/>
    </row>
    <row r="686" spans="1:12" ht="20.100000000000001" customHeight="1" x14ac:dyDescent="0.25">
      <c r="A686" s="488" t="s">
        <v>1836</v>
      </c>
      <c r="B686" s="489"/>
      <c r="C686" s="489"/>
      <c r="D686" s="489"/>
      <c r="E686" s="489"/>
      <c r="F686" s="489"/>
      <c r="G686" s="233" t="s">
        <v>44</v>
      </c>
      <c r="H686" s="515" t="s">
        <v>1837</v>
      </c>
      <c r="I686" s="515"/>
      <c r="J686" s="515" t="s">
        <v>1838</v>
      </c>
      <c r="K686" s="515"/>
      <c r="L686" s="169" t="s">
        <v>1839</v>
      </c>
    </row>
    <row r="687" spans="1:12" ht="15" customHeight="1" x14ac:dyDescent="0.25">
      <c r="A687" s="170" t="s">
        <v>1840</v>
      </c>
      <c r="B687" s="490" t="s">
        <v>1841</v>
      </c>
      <c r="C687" s="490"/>
      <c r="D687" s="490"/>
      <c r="E687" s="490"/>
      <c r="F687" s="490"/>
      <c r="G687" s="127" t="s">
        <v>1024</v>
      </c>
      <c r="H687" s="524">
        <v>0.5</v>
      </c>
      <c r="I687" s="524"/>
      <c r="J687" s="517">
        <v>21.94</v>
      </c>
      <c r="K687" s="517"/>
      <c r="L687" s="370">
        <f>TRUNC(TRUNC(H687,8)*J687,2)</f>
        <v>10.97</v>
      </c>
    </row>
    <row r="688" spans="1:12" ht="15" customHeight="1" x14ac:dyDescent="0.25">
      <c r="A688" s="170" t="s">
        <v>1851</v>
      </c>
      <c r="B688" s="490" t="s">
        <v>1852</v>
      </c>
      <c r="C688" s="490"/>
      <c r="D688" s="490"/>
      <c r="E688" s="490"/>
      <c r="F688" s="490"/>
      <c r="G688" s="127" t="s">
        <v>1024</v>
      </c>
      <c r="H688" s="524">
        <v>0.5</v>
      </c>
      <c r="I688" s="524"/>
      <c r="J688" s="517">
        <v>26.03</v>
      </c>
      <c r="K688" s="517"/>
      <c r="L688" s="370">
        <f>TRUNC(TRUNC(H688,8)*J688,2)</f>
        <v>13.01</v>
      </c>
    </row>
    <row r="689" spans="1:12" ht="15" customHeight="1" x14ac:dyDescent="0.25">
      <c r="A689" s="184"/>
      <c r="B689" s="141"/>
      <c r="C689" s="141"/>
      <c r="D689" s="141"/>
      <c r="E689" s="141"/>
      <c r="F689" s="141"/>
      <c r="G689" s="141"/>
      <c r="H689" s="491" t="s">
        <v>1844</v>
      </c>
      <c r="I689" s="491"/>
      <c r="J689" s="491"/>
      <c r="K689" s="491"/>
      <c r="L689" s="369">
        <f>SUM(L687:L688)</f>
        <v>23.98</v>
      </c>
    </row>
    <row r="690" spans="1:12" ht="15" customHeight="1" x14ac:dyDescent="0.25">
      <c r="A690" s="182"/>
      <c r="B690" s="183"/>
      <c r="C690" s="183"/>
      <c r="D690" s="183"/>
      <c r="E690" s="183"/>
      <c r="F690" s="183"/>
      <c r="G690" s="183"/>
      <c r="H690" s="482" t="s">
        <v>1845</v>
      </c>
      <c r="I690" s="482"/>
      <c r="J690" s="482"/>
      <c r="K690" s="482"/>
      <c r="L690" s="371">
        <f>SUM(L689)</f>
        <v>23.98</v>
      </c>
    </row>
    <row r="691" spans="1:12" ht="15" customHeight="1" x14ac:dyDescent="0.25">
      <c r="A691" s="182"/>
      <c r="B691" s="183"/>
      <c r="C691" s="183"/>
      <c r="D691" s="183"/>
      <c r="E691" s="183"/>
      <c r="F691" s="183"/>
      <c r="G691" s="183"/>
      <c r="H691" s="482" t="s">
        <v>1846</v>
      </c>
      <c r="I691" s="482"/>
      <c r="J691" s="482"/>
      <c r="K691" s="482"/>
      <c r="L691" s="374">
        <v>1</v>
      </c>
    </row>
    <row r="692" spans="1:12" ht="15" customHeight="1" x14ac:dyDescent="0.25">
      <c r="A692" s="182"/>
      <c r="B692" s="183"/>
      <c r="C692" s="183"/>
      <c r="D692" s="183"/>
      <c r="E692" s="183"/>
      <c r="F692" s="183"/>
      <c r="G692" s="183"/>
      <c r="H692" s="482" t="s">
        <v>1847</v>
      </c>
      <c r="I692" s="482"/>
      <c r="J692" s="482"/>
      <c r="K692" s="482"/>
      <c r="L692" s="371">
        <f>TRUNC(L690/L691,4)</f>
        <v>23.98</v>
      </c>
    </row>
    <row r="693" spans="1:12" ht="20.100000000000001" customHeight="1" x14ac:dyDescent="0.25">
      <c r="A693" s="488" t="s">
        <v>1880</v>
      </c>
      <c r="B693" s="489"/>
      <c r="C693" s="489"/>
      <c r="D693" s="489"/>
      <c r="E693" s="489"/>
      <c r="F693" s="489"/>
      <c r="G693" s="233" t="s">
        <v>44</v>
      </c>
      <c r="H693" s="515" t="s">
        <v>1837</v>
      </c>
      <c r="I693" s="515"/>
      <c r="J693" s="515" t="s">
        <v>1881</v>
      </c>
      <c r="K693" s="515"/>
      <c r="L693" s="169" t="s">
        <v>1882</v>
      </c>
    </row>
    <row r="694" spans="1:12" ht="15" customHeight="1" x14ac:dyDescent="0.25">
      <c r="A694" s="170" t="s">
        <v>3538</v>
      </c>
      <c r="B694" s="492" t="s">
        <v>3539</v>
      </c>
      <c r="C694" s="492"/>
      <c r="D694" s="492"/>
      <c r="E694" s="492"/>
      <c r="F694" s="492"/>
      <c r="G694" s="127" t="s">
        <v>188</v>
      </c>
      <c r="H694" s="524">
        <v>1.03</v>
      </c>
      <c r="I694" s="524"/>
      <c r="J694" s="525">
        <v>15.43</v>
      </c>
      <c r="K694" s="525"/>
      <c r="L694" s="171">
        <f>TRUNC(TRUNC(H694,8)*J694,2)</f>
        <v>15.89</v>
      </c>
    </row>
    <row r="695" spans="1:12" ht="15" customHeight="1" x14ac:dyDescent="0.25">
      <c r="A695" s="170" t="s">
        <v>3540</v>
      </c>
      <c r="B695" s="492" t="s">
        <v>3541</v>
      </c>
      <c r="C695" s="492"/>
      <c r="D695" s="492"/>
      <c r="E695" s="492"/>
      <c r="F695" s="492"/>
      <c r="G695" s="127" t="s">
        <v>1817</v>
      </c>
      <c r="H695" s="524">
        <v>7.0000000000000007E-2</v>
      </c>
      <c r="I695" s="524"/>
      <c r="J695" s="525">
        <v>15.2</v>
      </c>
      <c r="K695" s="525"/>
      <c r="L695" s="171">
        <f>TRUNC(TRUNC(H695,8)*J695,2)</f>
        <v>1.06</v>
      </c>
    </row>
    <row r="696" spans="1:12" ht="15" customHeight="1" x14ac:dyDescent="0.25">
      <c r="A696" s="184"/>
      <c r="B696" s="141"/>
      <c r="C696" s="141"/>
      <c r="D696" s="141"/>
      <c r="E696" s="141"/>
      <c r="F696" s="141"/>
      <c r="G696" s="141"/>
      <c r="H696" s="491" t="s">
        <v>1889</v>
      </c>
      <c r="I696" s="491"/>
      <c r="J696" s="491"/>
      <c r="K696" s="491"/>
      <c r="L696" s="375">
        <f>SUM(L694:L695)</f>
        <v>16.95</v>
      </c>
    </row>
    <row r="697" spans="1:12" ht="15" customHeight="1" x14ac:dyDescent="0.25">
      <c r="A697" s="182"/>
      <c r="B697" s="183"/>
      <c r="C697" s="183"/>
      <c r="D697" s="183"/>
      <c r="E697" s="183"/>
      <c r="F697" s="183"/>
      <c r="G697" s="183"/>
      <c r="H697" s="482" t="s">
        <v>1848</v>
      </c>
      <c r="I697" s="482"/>
      <c r="J697" s="482"/>
      <c r="K697" s="482"/>
      <c r="L697" s="371">
        <f>SUM(L692,L696)</f>
        <v>40.93</v>
      </c>
    </row>
    <row r="698" spans="1:12" ht="15" customHeight="1" x14ac:dyDescent="0.25">
      <c r="A698" s="182"/>
      <c r="B698" s="183"/>
      <c r="C698" s="183"/>
      <c r="D698" s="183"/>
      <c r="E698" s="183"/>
      <c r="F698" s="183"/>
      <c r="G698" s="183"/>
      <c r="H698" s="482" t="s">
        <v>1834</v>
      </c>
      <c r="I698" s="482"/>
      <c r="J698" s="482"/>
      <c r="K698" s="482"/>
      <c r="L698" s="369">
        <f>ROUND(SUM(L697),2)</f>
        <v>40.93</v>
      </c>
    </row>
    <row r="699" spans="1:12" ht="9.9499999999999993" customHeight="1" x14ac:dyDescent="0.25">
      <c r="A699" s="182"/>
      <c r="B699" s="183"/>
      <c r="C699" s="183"/>
      <c r="D699" s="183"/>
      <c r="E699" s="183"/>
      <c r="F699" s="183"/>
      <c r="G699" s="183"/>
      <c r="H699" s="485"/>
      <c r="I699" s="485"/>
      <c r="J699" s="485"/>
      <c r="K699" s="485"/>
      <c r="L699" s="512"/>
    </row>
    <row r="700" spans="1:12" ht="20.100000000000001" customHeight="1" x14ac:dyDescent="0.25">
      <c r="A700" s="486" t="s">
        <v>3542</v>
      </c>
      <c r="B700" s="487"/>
      <c r="C700" s="487"/>
      <c r="D700" s="487"/>
      <c r="E700" s="487"/>
      <c r="F700" s="487"/>
      <c r="G700" s="487"/>
      <c r="H700" s="487"/>
      <c r="I700" s="487"/>
      <c r="J700" s="487"/>
      <c r="K700" s="487"/>
      <c r="L700" s="513"/>
    </row>
    <row r="701" spans="1:12" ht="20.100000000000001" customHeight="1" x14ac:dyDescent="0.25">
      <c r="A701" s="488" t="s">
        <v>1836</v>
      </c>
      <c r="B701" s="489"/>
      <c r="C701" s="489"/>
      <c r="D701" s="489"/>
      <c r="E701" s="489"/>
      <c r="F701" s="489"/>
      <c r="G701" s="233" t="s">
        <v>44</v>
      </c>
      <c r="H701" s="515" t="s">
        <v>1837</v>
      </c>
      <c r="I701" s="515"/>
      <c r="J701" s="515" t="s">
        <v>1838</v>
      </c>
      <c r="K701" s="515"/>
      <c r="L701" s="169" t="s">
        <v>1839</v>
      </c>
    </row>
    <row r="702" spans="1:12" ht="15" customHeight="1" x14ac:dyDescent="0.25">
      <c r="A702" s="170" t="s">
        <v>1840</v>
      </c>
      <c r="B702" s="490" t="s">
        <v>1841</v>
      </c>
      <c r="C702" s="490"/>
      <c r="D702" s="490"/>
      <c r="E702" s="490"/>
      <c r="F702" s="490"/>
      <c r="G702" s="127" t="s">
        <v>1024</v>
      </c>
      <c r="H702" s="524">
        <v>2.85</v>
      </c>
      <c r="I702" s="524"/>
      <c r="J702" s="517">
        <v>21.94</v>
      </c>
      <c r="K702" s="517"/>
      <c r="L702" s="370">
        <f>TRUNC(TRUNC(H702,8)*J702,2)</f>
        <v>62.52</v>
      </c>
    </row>
    <row r="703" spans="1:12" ht="15" customHeight="1" x14ac:dyDescent="0.25">
      <c r="A703" s="170" t="s">
        <v>1842</v>
      </c>
      <c r="B703" s="490" t="s">
        <v>1843</v>
      </c>
      <c r="C703" s="490"/>
      <c r="D703" s="490"/>
      <c r="E703" s="490"/>
      <c r="F703" s="490"/>
      <c r="G703" s="127" t="s">
        <v>1024</v>
      </c>
      <c r="H703" s="524">
        <v>2.85</v>
      </c>
      <c r="I703" s="524"/>
      <c r="J703" s="517">
        <v>26.03</v>
      </c>
      <c r="K703" s="517"/>
      <c r="L703" s="370">
        <f>TRUNC(TRUNC(H703,8)*J703,2)</f>
        <v>74.180000000000007</v>
      </c>
    </row>
    <row r="704" spans="1:12" ht="15" customHeight="1" x14ac:dyDescent="0.25">
      <c r="A704" s="184"/>
      <c r="B704" s="141"/>
      <c r="C704" s="141"/>
      <c r="D704" s="141"/>
      <c r="E704" s="141"/>
      <c r="F704" s="141"/>
      <c r="G704" s="141"/>
      <c r="H704" s="491" t="s">
        <v>1844</v>
      </c>
      <c r="I704" s="491"/>
      <c r="J704" s="491"/>
      <c r="K704" s="491"/>
      <c r="L704" s="369">
        <f>SUM(L702:L703)</f>
        <v>136.70000000000002</v>
      </c>
    </row>
    <row r="705" spans="1:12" ht="15" customHeight="1" x14ac:dyDescent="0.25">
      <c r="A705" s="182"/>
      <c r="B705" s="183"/>
      <c r="C705" s="183"/>
      <c r="D705" s="183"/>
      <c r="E705" s="183"/>
      <c r="F705" s="183"/>
      <c r="G705" s="183"/>
      <c r="H705" s="482" t="s">
        <v>1845</v>
      </c>
      <c r="I705" s="482"/>
      <c r="J705" s="482"/>
      <c r="K705" s="482"/>
      <c r="L705" s="371">
        <f>SUM(L704)</f>
        <v>136.70000000000002</v>
      </c>
    </row>
    <row r="706" spans="1:12" ht="15" customHeight="1" x14ac:dyDescent="0.25">
      <c r="A706" s="182"/>
      <c r="B706" s="183"/>
      <c r="C706" s="183"/>
      <c r="D706" s="183"/>
      <c r="E706" s="183"/>
      <c r="F706" s="183"/>
      <c r="G706" s="183"/>
      <c r="H706" s="482" t="s">
        <v>1846</v>
      </c>
      <c r="I706" s="482"/>
      <c r="J706" s="482"/>
      <c r="K706" s="482"/>
      <c r="L706" s="374">
        <v>1</v>
      </c>
    </row>
    <row r="707" spans="1:12" ht="15" customHeight="1" x14ac:dyDescent="0.25">
      <c r="A707" s="182"/>
      <c r="B707" s="183"/>
      <c r="C707" s="183"/>
      <c r="D707" s="183"/>
      <c r="E707" s="183"/>
      <c r="F707" s="183"/>
      <c r="G707" s="183"/>
      <c r="H707" s="482" t="s">
        <v>1847</v>
      </c>
      <c r="I707" s="482"/>
      <c r="J707" s="482"/>
      <c r="K707" s="482"/>
      <c r="L707" s="371">
        <f>TRUNC(L705/L706,4)</f>
        <v>136.69999999999999</v>
      </c>
    </row>
    <row r="708" spans="1:12" ht="20.100000000000001" customHeight="1" x14ac:dyDescent="0.25">
      <c r="A708" s="488" t="s">
        <v>1880</v>
      </c>
      <c r="B708" s="489"/>
      <c r="C708" s="489"/>
      <c r="D708" s="489"/>
      <c r="E708" s="489"/>
      <c r="F708" s="489"/>
      <c r="G708" s="233" t="s">
        <v>44</v>
      </c>
      <c r="H708" s="515" t="s">
        <v>1837</v>
      </c>
      <c r="I708" s="515"/>
      <c r="J708" s="515" t="s">
        <v>1881</v>
      </c>
      <c r="K708" s="515"/>
      <c r="L708" s="169" t="s">
        <v>1882</v>
      </c>
    </row>
    <row r="709" spans="1:12" ht="15" customHeight="1" x14ac:dyDescent="0.25">
      <c r="A709" s="170" t="s">
        <v>3327</v>
      </c>
      <c r="B709" s="492" t="s">
        <v>3328</v>
      </c>
      <c r="C709" s="492"/>
      <c r="D709" s="492"/>
      <c r="E709" s="492"/>
      <c r="F709" s="492"/>
      <c r="G709" s="127" t="s">
        <v>226</v>
      </c>
      <c r="H709" s="524">
        <v>1</v>
      </c>
      <c r="I709" s="524"/>
      <c r="J709" s="525">
        <v>33.06</v>
      </c>
      <c r="K709" s="525"/>
      <c r="L709" s="171">
        <f t="shared" ref="L709:L714" si="7">TRUNC(TRUNC(H709,8)*J709,2)</f>
        <v>33.06</v>
      </c>
    </row>
    <row r="710" spans="1:12" ht="15" customHeight="1" x14ac:dyDescent="0.25">
      <c r="A710" s="170" t="s">
        <v>3543</v>
      </c>
      <c r="B710" s="492" t="s">
        <v>3544</v>
      </c>
      <c r="C710" s="492"/>
      <c r="D710" s="492"/>
      <c r="E710" s="492"/>
      <c r="F710" s="492"/>
      <c r="G710" s="127" t="s">
        <v>226</v>
      </c>
      <c r="H710" s="524">
        <v>1</v>
      </c>
      <c r="I710" s="524"/>
      <c r="J710" s="525">
        <v>1561.81</v>
      </c>
      <c r="K710" s="525"/>
      <c r="L710" s="171">
        <f t="shared" si="7"/>
        <v>1561.81</v>
      </c>
    </row>
    <row r="711" spans="1:12" ht="15" customHeight="1" x14ac:dyDescent="0.25">
      <c r="A711" s="170" t="s">
        <v>3343</v>
      </c>
      <c r="B711" s="492" t="s">
        <v>3344</v>
      </c>
      <c r="C711" s="492"/>
      <c r="D711" s="492"/>
      <c r="E711" s="492"/>
      <c r="F711" s="492"/>
      <c r="G711" s="127" t="s">
        <v>226</v>
      </c>
      <c r="H711" s="524">
        <v>2</v>
      </c>
      <c r="I711" s="524"/>
      <c r="J711" s="525">
        <v>0.09</v>
      </c>
      <c r="K711" s="525"/>
      <c r="L711" s="171">
        <f t="shared" si="7"/>
        <v>0.18</v>
      </c>
    </row>
    <row r="712" spans="1:12" ht="15.95" customHeight="1" x14ac:dyDescent="0.25">
      <c r="A712" s="170" t="s">
        <v>3351</v>
      </c>
      <c r="B712" s="492" t="s">
        <v>3352</v>
      </c>
      <c r="C712" s="492"/>
      <c r="D712" s="492"/>
      <c r="E712" s="492"/>
      <c r="F712" s="492"/>
      <c r="G712" s="127" t="s">
        <v>226</v>
      </c>
      <c r="H712" s="524">
        <v>2</v>
      </c>
      <c r="I712" s="524"/>
      <c r="J712" s="525">
        <v>14.1</v>
      </c>
      <c r="K712" s="525"/>
      <c r="L712" s="171">
        <f t="shared" si="7"/>
        <v>28.2</v>
      </c>
    </row>
    <row r="713" spans="1:12" ht="15" customHeight="1" x14ac:dyDescent="0.25">
      <c r="A713" s="170" t="s">
        <v>3545</v>
      </c>
      <c r="B713" s="492" t="s">
        <v>3546</v>
      </c>
      <c r="C713" s="492"/>
      <c r="D713" s="492"/>
      <c r="E713" s="492"/>
      <c r="F713" s="492"/>
      <c r="G713" s="127" t="s">
        <v>1817</v>
      </c>
      <c r="H713" s="524">
        <v>0.1469</v>
      </c>
      <c r="I713" s="524"/>
      <c r="J713" s="525">
        <v>82.46</v>
      </c>
      <c r="K713" s="525"/>
      <c r="L713" s="171">
        <f t="shared" si="7"/>
        <v>12.11</v>
      </c>
    </row>
    <row r="714" spans="1:12" ht="15" customHeight="1" x14ac:dyDescent="0.25">
      <c r="A714" s="170" t="s">
        <v>3547</v>
      </c>
      <c r="B714" s="492" t="s">
        <v>3548</v>
      </c>
      <c r="C714" s="492"/>
      <c r="D714" s="492"/>
      <c r="E714" s="492"/>
      <c r="F714" s="492"/>
      <c r="G714" s="127" t="s">
        <v>226</v>
      </c>
      <c r="H714" s="524">
        <v>1</v>
      </c>
      <c r="I714" s="524"/>
      <c r="J714" s="525">
        <v>138.56</v>
      </c>
      <c r="K714" s="525"/>
      <c r="L714" s="171">
        <f t="shared" si="7"/>
        <v>138.56</v>
      </c>
    </row>
    <row r="715" spans="1:12" ht="15" customHeight="1" x14ac:dyDescent="0.25">
      <c r="A715" s="184"/>
      <c r="B715" s="141"/>
      <c r="C715" s="141"/>
      <c r="D715" s="141"/>
      <c r="E715" s="141"/>
      <c r="F715" s="141"/>
      <c r="G715" s="141"/>
      <c r="H715" s="491" t="s">
        <v>1889</v>
      </c>
      <c r="I715" s="491"/>
      <c r="J715" s="491"/>
      <c r="K715" s="491"/>
      <c r="L715" s="375">
        <f>SUM(L709:L714)</f>
        <v>1773.9199999999998</v>
      </c>
    </row>
    <row r="716" spans="1:12" ht="15" customHeight="1" x14ac:dyDescent="0.25">
      <c r="A716" s="182"/>
      <c r="B716" s="183"/>
      <c r="C716" s="183"/>
      <c r="D716" s="183"/>
      <c r="E716" s="183"/>
      <c r="F716" s="183"/>
      <c r="G716" s="183"/>
      <c r="H716" s="482" t="s">
        <v>1848</v>
      </c>
      <c r="I716" s="482"/>
      <c r="J716" s="482"/>
      <c r="K716" s="482"/>
      <c r="L716" s="371">
        <f>SUM(L707,L715)</f>
        <v>1910.62</v>
      </c>
    </row>
    <row r="717" spans="1:12" ht="15" customHeight="1" x14ac:dyDescent="0.25">
      <c r="A717" s="182"/>
      <c r="B717" s="183"/>
      <c r="C717" s="183"/>
      <c r="D717" s="183"/>
      <c r="E717" s="183"/>
      <c r="F717" s="183"/>
      <c r="G717" s="183"/>
      <c r="H717" s="482" t="s">
        <v>1834</v>
      </c>
      <c r="I717" s="482"/>
      <c r="J717" s="482"/>
      <c r="K717" s="482"/>
      <c r="L717" s="369">
        <f>ROUND(SUM(L716),2)</f>
        <v>1910.62</v>
      </c>
    </row>
    <row r="718" spans="1:12" ht="9.9499999999999993" customHeight="1" x14ac:dyDescent="0.25">
      <c r="A718" s="182"/>
      <c r="B718" s="183"/>
      <c r="C718" s="183"/>
      <c r="D718" s="183"/>
      <c r="E718" s="183"/>
      <c r="F718" s="183"/>
      <c r="G718" s="183"/>
      <c r="H718" s="485"/>
      <c r="I718" s="485"/>
      <c r="J718" s="485"/>
      <c r="K718" s="485"/>
      <c r="L718" s="512"/>
    </row>
    <row r="719" spans="1:12" ht="20.100000000000001" customHeight="1" x14ac:dyDescent="0.25">
      <c r="A719" s="486" t="s">
        <v>3549</v>
      </c>
      <c r="B719" s="487"/>
      <c r="C719" s="487"/>
      <c r="D719" s="487"/>
      <c r="E719" s="487"/>
      <c r="F719" s="487"/>
      <c r="G719" s="487"/>
      <c r="H719" s="487"/>
      <c r="I719" s="487"/>
      <c r="J719" s="487"/>
      <c r="K719" s="487"/>
      <c r="L719" s="513"/>
    </row>
    <row r="720" spans="1:12" ht="20.100000000000001" customHeight="1" x14ac:dyDescent="0.25">
      <c r="A720" s="488" t="s">
        <v>1836</v>
      </c>
      <c r="B720" s="489"/>
      <c r="C720" s="489"/>
      <c r="D720" s="489"/>
      <c r="E720" s="489"/>
      <c r="F720" s="489"/>
      <c r="G720" s="233" t="s">
        <v>44</v>
      </c>
      <c r="H720" s="515" t="s">
        <v>1837</v>
      </c>
      <c r="I720" s="515"/>
      <c r="J720" s="515" t="s">
        <v>1838</v>
      </c>
      <c r="K720" s="515"/>
      <c r="L720" s="169" t="s">
        <v>1839</v>
      </c>
    </row>
    <row r="721" spans="1:12" ht="15" customHeight="1" x14ac:dyDescent="0.25">
      <c r="A721" s="170" t="s">
        <v>1840</v>
      </c>
      <c r="B721" s="490" t="s">
        <v>1841</v>
      </c>
      <c r="C721" s="490"/>
      <c r="D721" s="490"/>
      <c r="E721" s="490"/>
      <c r="F721" s="490"/>
      <c r="G721" s="127" t="s">
        <v>1024</v>
      </c>
      <c r="H721" s="524">
        <v>0.65</v>
      </c>
      <c r="I721" s="524"/>
      <c r="J721" s="517">
        <v>21.94</v>
      </c>
      <c r="K721" s="517"/>
      <c r="L721" s="370">
        <f>TRUNC(TRUNC(H721,8)*J721,2)</f>
        <v>14.26</v>
      </c>
    </row>
    <row r="722" spans="1:12" ht="15" customHeight="1" x14ac:dyDescent="0.25">
      <c r="A722" s="170" t="s">
        <v>1842</v>
      </c>
      <c r="B722" s="490" t="s">
        <v>1843</v>
      </c>
      <c r="C722" s="490"/>
      <c r="D722" s="490"/>
      <c r="E722" s="490"/>
      <c r="F722" s="490"/>
      <c r="G722" s="127" t="s">
        <v>1024</v>
      </c>
      <c r="H722" s="524">
        <v>0.65</v>
      </c>
      <c r="I722" s="524"/>
      <c r="J722" s="517">
        <v>26.03</v>
      </c>
      <c r="K722" s="517"/>
      <c r="L722" s="370">
        <f>TRUNC(TRUNC(H722,8)*J722,2)</f>
        <v>16.91</v>
      </c>
    </row>
    <row r="723" spans="1:12" ht="15" customHeight="1" x14ac:dyDescent="0.25">
      <c r="A723" s="184"/>
      <c r="B723" s="141"/>
      <c r="C723" s="141"/>
      <c r="D723" s="141"/>
      <c r="E723" s="141"/>
      <c r="F723" s="141"/>
      <c r="G723" s="141"/>
      <c r="H723" s="491" t="s">
        <v>1844</v>
      </c>
      <c r="I723" s="491"/>
      <c r="J723" s="491"/>
      <c r="K723" s="491"/>
      <c r="L723" s="369">
        <f>SUM(L721:L722)</f>
        <v>31.17</v>
      </c>
    </row>
    <row r="724" spans="1:12" ht="15" customHeight="1" x14ac:dyDescent="0.25">
      <c r="A724" s="182"/>
      <c r="B724" s="183"/>
      <c r="C724" s="183"/>
      <c r="D724" s="183"/>
      <c r="E724" s="183"/>
      <c r="F724" s="183"/>
      <c r="G724" s="183"/>
      <c r="H724" s="482" t="s">
        <v>1845</v>
      </c>
      <c r="I724" s="482"/>
      <c r="J724" s="482"/>
      <c r="K724" s="482"/>
      <c r="L724" s="371">
        <f>SUM(L723)</f>
        <v>31.17</v>
      </c>
    </row>
    <row r="725" spans="1:12" ht="15" customHeight="1" x14ac:dyDescent="0.25">
      <c r="A725" s="182"/>
      <c r="B725" s="183"/>
      <c r="C725" s="183"/>
      <c r="D725" s="183"/>
      <c r="E725" s="183"/>
      <c r="F725" s="183"/>
      <c r="G725" s="183"/>
      <c r="H725" s="482" t="s">
        <v>1846</v>
      </c>
      <c r="I725" s="482"/>
      <c r="J725" s="482"/>
      <c r="K725" s="482"/>
      <c r="L725" s="374">
        <v>1</v>
      </c>
    </row>
    <row r="726" spans="1:12" ht="15" customHeight="1" x14ac:dyDescent="0.25">
      <c r="A726" s="182"/>
      <c r="B726" s="183"/>
      <c r="C726" s="183"/>
      <c r="D726" s="183"/>
      <c r="E726" s="183"/>
      <c r="F726" s="183"/>
      <c r="G726" s="183"/>
      <c r="H726" s="482" t="s">
        <v>1847</v>
      </c>
      <c r="I726" s="482"/>
      <c r="J726" s="482"/>
      <c r="K726" s="482"/>
      <c r="L726" s="371">
        <f>TRUNC(L724/L725,4)</f>
        <v>31.17</v>
      </c>
    </row>
    <row r="727" spans="1:12" ht="20.100000000000001" customHeight="1" x14ac:dyDescent="0.25">
      <c r="A727" s="488" t="s">
        <v>1880</v>
      </c>
      <c r="B727" s="489"/>
      <c r="C727" s="489"/>
      <c r="D727" s="489"/>
      <c r="E727" s="489"/>
      <c r="F727" s="489"/>
      <c r="G727" s="233" t="s">
        <v>44</v>
      </c>
      <c r="H727" s="515" t="s">
        <v>1837</v>
      </c>
      <c r="I727" s="515"/>
      <c r="J727" s="515" t="s">
        <v>1881</v>
      </c>
      <c r="K727" s="515"/>
      <c r="L727" s="169" t="s">
        <v>1882</v>
      </c>
    </row>
    <row r="728" spans="1:12" ht="15" customHeight="1" x14ac:dyDescent="0.25">
      <c r="A728" s="170" t="s">
        <v>3361</v>
      </c>
      <c r="B728" s="492" t="s">
        <v>3362</v>
      </c>
      <c r="C728" s="492"/>
      <c r="D728" s="492"/>
      <c r="E728" s="492"/>
      <c r="F728" s="492"/>
      <c r="G728" s="127" t="s">
        <v>188</v>
      </c>
      <c r="H728" s="524">
        <v>0.28000000000000003</v>
      </c>
      <c r="I728" s="524"/>
      <c r="J728" s="525">
        <v>0.24</v>
      </c>
      <c r="K728" s="525"/>
      <c r="L728" s="171">
        <f>TRUNC(TRUNC(H728,8)*J728,2)</f>
        <v>0.06</v>
      </c>
    </row>
    <row r="729" spans="1:12" ht="15.95" customHeight="1" x14ac:dyDescent="0.25">
      <c r="A729" s="170" t="s">
        <v>3550</v>
      </c>
      <c r="B729" s="492" t="s">
        <v>3551</v>
      </c>
      <c r="C729" s="492"/>
      <c r="D729" s="492"/>
      <c r="E729" s="492"/>
      <c r="F729" s="492"/>
      <c r="G729" s="127" t="s">
        <v>226</v>
      </c>
      <c r="H729" s="524">
        <v>1</v>
      </c>
      <c r="I729" s="524"/>
      <c r="J729" s="525">
        <v>253.44</v>
      </c>
      <c r="K729" s="525"/>
      <c r="L729" s="171">
        <f>TRUNC(TRUNC(H729,8)*J729,2)</f>
        <v>253.44</v>
      </c>
    </row>
    <row r="730" spans="1:12" ht="15" customHeight="1" x14ac:dyDescent="0.25">
      <c r="A730" s="184"/>
      <c r="B730" s="141"/>
      <c r="C730" s="141"/>
      <c r="D730" s="141"/>
      <c r="E730" s="141"/>
      <c r="F730" s="141"/>
      <c r="G730" s="141"/>
      <c r="H730" s="491" t="s">
        <v>1889</v>
      </c>
      <c r="I730" s="491"/>
      <c r="J730" s="491"/>
      <c r="K730" s="491"/>
      <c r="L730" s="375">
        <f>SUM(L728:L729)</f>
        <v>253.5</v>
      </c>
    </row>
    <row r="731" spans="1:12" ht="15" customHeight="1" x14ac:dyDescent="0.25">
      <c r="A731" s="182"/>
      <c r="B731" s="183"/>
      <c r="C731" s="183"/>
      <c r="D731" s="183"/>
      <c r="E731" s="183"/>
      <c r="F731" s="183"/>
      <c r="G731" s="183"/>
      <c r="H731" s="482" t="s">
        <v>1848</v>
      </c>
      <c r="I731" s="482"/>
      <c r="J731" s="482"/>
      <c r="K731" s="482"/>
      <c r="L731" s="371">
        <f>SUM(L726,L730)</f>
        <v>284.67</v>
      </c>
    </row>
    <row r="732" spans="1:12" ht="15" customHeight="1" x14ac:dyDescent="0.25">
      <c r="A732" s="182"/>
      <c r="B732" s="183"/>
      <c r="C732" s="183"/>
      <c r="D732" s="183"/>
      <c r="E732" s="183"/>
      <c r="F732" s="183"/>
      <c r="G732" s="183"/>
      <c r="H732" s="482" t="s">
        <v>1834</v>
      </c>
      <c r="I732" s="482"/>
      <c r="J732" s="482"/>
      <c r="K732" s="482"/>
      <c r="L732" s="369">
        <f>ROUND(SUM(L731),2)</f>
        <v>284.67</v>
      </c>
    </row>
    <row r="733" spans="1:12" ht="9.9499999999999993" customHeight="1" x14ac:dyDescent="0.25">
      <c r="A733" s="182"/>
      <c r="B733" s="183"/>
      <c r="C733" s="183"/>
      <c r="D733" s="183"/>
      <c r="E733" s="183"/>
      <c r="F733" s="183"/>
      <c r="G733" s="183"/>
      <c r="H733" s="485"/>
      <c r="I733" s="485"/>
      <c r="J733" s="485"/>
      <c r="K733" s="485"/>
      <c r="L733" s="512"/>
    </row>
    <row r="734" spans="1:12" ht="27" customHeight="1" x14ac:dyDescent="0.25">
      <c r="A734" s="486" t="s">
        <v>3552</v>
      </c>
      <c r="B734" s="487"/>
      <c r="C734" s="487"/>
      <c r="D734" s="487"/>
      <c r="E734" s="487"/>
      <c r="F734" s="487"/>
      <c r="G734" s="487"/>
      <c r="H734" s="487"/>
      <c r="I734" s="487"/>
      <c r="J734" s="487"/>
      <c r="K734" s="487"/>
      <c r="L734" s="513"/>
    </row>
    <row r="735" spans="1:12" ht="20.100000000000001" customHeight="1" x14ac:dyDescent="0.25">
      <c r="A735" s="488" t="s">
        <v>1836</v>
      </c>
      <c r="B735" s="489"/>
      <c r="C735" s="489"/>
      <c r="D735" s="489"/>
      <c r="E735" s="489"/>
      <c r="F735" s="489"/>
      <c r="G735" s="233" t="s">
        <v>44</v>
      </c>
      <c r="H735" s="515" t="s">
        <v>1837</v>
      </c>
      <c r="I735" s="515"/>
      <c r="J735" s="515" t="s">
        <v>1838</v>
      </c>
      <c r="K735" s="515"/>
      <c r="L735" s="169" t="s">
        <v>1839</v>
      </c>
    </row>
    <row r="736" spans="1:12" ht="15" customHeight="1" x14ac:dyDescent="0.25">
      <c r="A736" s="170" t="s">
        <v>1840</v>
      </c>
      <c r="B736" s="490" t="s">
        <v>1841</v>
      </c>
      <c r="C736" s="490"/>
      <c r="D736" s="490"/>
      <c r="E736" s="490"/>
      <c r="F736" s="490"/>
      <c r="G736" s="127" t="s">
        <v>1024</v>
      </c>
      <c r="H736" s="524">
        <v>2.5499999999999998</v>
      </c>
      <c r="I736" s="524"/>
      <c r="J736" s="517">
        <v>21.94</v>
      </c>
      <c r="K736" s="517"/>
      <c r="L736" s="370">
        <f>TRUNC(TRUNC(H736,8)*J736,2)</f>
        <v>55.94</v>
      </c>
    </row>
    <row r="737" spans="1:12" ht="15" customHeight="1" x14ac:dyDescent="0.25">
      <c r="A737" s="170" t="s">
        <v>1842</v>
      </c>
      <c r="B737" s="490" t="s">
        <v>1843</v>
      </c>
      <c r="C737" s="490"/>
      <c r="D737" s="490"/>
      <c r="E737" s="490"/>
      <c r="F737" s="490"/>
      <c r="G737" s="127" t="s">
        <v>1024</v>
      </c>
      <c r="H737" s="524">
        <v>2.5499999999999998</v>
      </c>
      <c r="I737" s="524"/>
      <c r="J737" s="517">
        <v>26.03</v>
      </c>
      <c r="K737" s="517"/>
      <c r="L737" s="370">
        <f>TRUNC(TRUNC(H737,8)*J737,2)</f>
        <v>66.37</v>
      </c>
    </row>
    <row r="738" spans="1:12" ht="15" customHeight="1" x14ac:dyDescent="0.25">
      <c r="A738" s="184"/>
      <c r="B738" s="141"/>
      <c r="C738" s="141"/>
      <c r="D738" s="141"/>
      <c r="E738" s="141"/>
      <c r="F738" s="141"/>
      <c r="G738" s="141"/>
      <c r="H738" s="491" t="s">
        <v>1844</v>
      </c>
      <c r="I738" s="491"/>
      <c r="J738" s="491"/>
      <c r="K738" s="491"/>
      <c r="L738" s="369">
        <f>SUM(L736:L737)</f>
        <v>122.31</v>
      </c>
    </row>
    <row r="739" spans="1:12" ht="15" customHeight="1" x14ac:dyDescent="0.25">
      <c r="A739" s="182"/>
      <c r="B739" s="183"/>
      <c r="C739" s="183"/>
      <c r="D739" s="183"/>
      <c r="E739" s="183"/>
      <c r="F739" s="183"/>
      <c r="G739" s="183"/>
      <c r="H739" s="482" t="s">
        <v>1845</v>
      </c>
      <c r="I739" s="482"/>
      <c r="J739" s="482"/>
      <c r="K739" s="482"/>
      <c r="L739" s="371">
        <f>SUM(L738)</f>
        <v>122.31</v>
      </c>
    </row>
    <row r="740" spans="1:12" ht="15" customHeight="1" x14ac:dyDescent="0.25">
      <c r="A740" s="182"/>
      <c r="B740" s="183"/>
      <c r="C740" s="183"/>
      <c r="D740" s="183"/>
      <c r="E740" s="183"/>
      <c r="F740" s="183"/>
      <c r="G740" s="183"/>
      <c r="H740" s="482" t="s">
        <v>1846</v>
      </c>
      <c r="I740" s="482"/>
      <c r="J740" s="482"/>
      <c r="K740" s="482"/>
      <c r="L740" s="374">
        <v>1</v>
      </c>
    </row>
    <row r="741" spans="1:12" ht="15" customHeight="1" x14ac:dyDescent="0.25">
      <c r="A741" s="182"/>
      <c r="B741" s="183"/>
      <c r="C741" s="183"/>
      <c r="D741" s="183"/>
      <c r="E741" s="183"/>
      <c r="F741" s="183"/>
      <c r="G741" s="183"/>
      <c r="H741" s="482" t="s">
        <v>1847</v>
      </c>
      <c r="I741" s="482"/>
      <c r="J741" s="482"/>
      <c r="K741" s="482"/>
      <c r="L741" s="371">
        <f>TRUNC(L739/L740,4)</f>
        <v>122.31</v>
      </c>
    </row>
    <row r="742" spans="1:12" ht="20.100000000000001" customHeight="1" x14ac:dyDescent="0.25">
      <c r="A742" s="488" t="s">
        <v>1880</v>
      </c>
      <c r="B742" s="489"/>
      <c r="C742" s="489"/>
      <c r="D742" s="489"/>
      <c r="E742" s="489"/>
      <c r="F742" s="489"/>
      <c r="G742" s="233" t="s">
        <v>44</v>
      </c>
      <c r="H742" s="515" t="s">
        <v>1837</v>
      </c>
      <c r="I742" s="515"/>
      <c r="J742" s="515" t="s">
        <v>1881</v>
      </c>
      <c r="K742" s="515"/>
      <c r="L742" s="169" t="s">
        <v>1882</v>
      </c>
    </row>
    <row r="743" spans="1:12" ht="15.95" customHeight="1" x14ac:dyDescent="0.25">
      <c r="A743" s="170" t="s">
        <v>3351</v>
      </c>
      <c r="B743" s="492" t="s">
        <v>3352</v>
      </c>
      <c r="C743" s="492"/>
      <c r="D743" s="492"/>
      <c r="E743" s="492"/>
      <c r="F743" s="492"/>
      <c r="G743" s="127" t="s">
        <v>226</v>
      </c>
      <c r="H743" s="524">
        <v>2</v>
      </c>
      <c r="I743" s="524"/>
      <c r="J743" s="525">
        <v>14.1</v>
      </c>
      <c r="K743" s="525"/>
      <c r="L743" s="171">
        <f t="shared" ref="L743:L748" si="8">TRUNC(TRUNC(H743,8)*J743,2)</f>
        <v>28.2</v>
      </c>
    </row>
    <row r="744" spans="1:12" ht="15" customHeight="1" x14ac:dyDescent="0.25">
      <c r="A744" s="170" t="s">
        <v>3553</v>
      </c>
      <c r="B744" s="492" t="s">
        <v>3554</v>
      </c>
      <c r="C744" s="492"/>
      <c r="D744" s="492"/>
      <c r="E744" s="492"/>
      <c r="F744" s="492"/>
      <c r="G744" s="127" t="s">
        <v>226</v>
      </c>
      <c r="H744" s="524">
        <v>1</v>
      </c>
      <c r="I744" s="524"/>
      <c r="J744" s="525">
        <v>36.29</v>
      </c>
      <c r="K744" s="525"/>
      <c r="L744" s="171">
        <f t="shared" si="8"/>
        <v>36.29</v>
      </c>
    </row>
    <row r="745" spans="1:12" ht="15" customHeight="1" x14ac:dyDescent="0.25">
      <c r="A745" s="170" t="s">
        <v>3361</v>
      </c>
      <c r="B745" s="492" t="s">
        <v>3362</v>
      </c>
      <c r="C745" s="492"/>
      <c r="D745" s="492"/>
      <c r="E745" s="492"/>
      <c r="F745" s="492"/>
      <c r="G745" s="127" t="s">
        <v>188</v>
      </c>
      <c r="H745" s="524">
        <v>0.84</v>
      </c>
      <c r="I745" s="524"/>
      <c r="J745" s="525">
        <v>0.24</v>
      </c>
      <c r="K745" s="525"/>
      <c r="L745" s="171">
        <f t="shared" si="8"/>
        <v>0.2</v>
      </c>
    </row>
    <row r="746" spans="1:12" ht="15" customHeight="1" x14ac:dyDescent="0.25">
      <c r="A746" s="170" t="s">
        <v>3555</v>
      </c>
      <c r="B746" s="492" t="s">
        <v>3556</v>
      </c>
      <c r="C746" s="492"/>
      <c r="D746" s="492"/>
      <c r="E746" s="492"/>
      <c r="F746" s="492"/>
      <c r="G746" s="127" t="s">
        <v>226</v>
      </c>
      <c r="H746" s="524">
        <v>1</v>
      </c>
      <c r="I746" s="524"/>
      <c r="J746" s="525">
        <v>1169.08</v>
      </c>
      <c r="K746" s="525"/>
      <c r="L746" s="171">
        <f t="shared" si="8"/>
        <v>1169.08</v>
      </c>
    </row>
    <row r="747" spans="1:12" ht="15" customHeight="1" x14ac:dyDescent="0.25">
      <c r="A747" s="170" t="s">
        <v>3557</v>
      </c>
      <c r="B747" s="492" t="s">
        <v>3558</v>
      </c>
      <c r="C747" s="492"/>
      <c r="D747" s="492"/>
      <c r="E747" s="492"/>
      <c r="F747" s="492"/>
      <c r="G747" s="127" t="s">
        <v>226</v>
      </c>
      <c r="H747" s="524">
        <v>1</v>
      </c>
      <c r="I747" s="524"/>
      <c r="J747" s="525">
        <v>146.44999999999999</v>
      </c>
      <c r="K747" s="525"/>
      <c r="L747" s="171">
        <f t="shared" si="8"/>
        <v>146.44999999999999</v>
      </c>
    </row>
    <row r="748" spans="1:12" ht="15" customHeight="1" x14ac:dyDescent="0.25">
      <c r="A748" s="170" t="s">
        <v>3559</v>
      </c>
      <c r="B748" s="492" t="s">
        <v>3560</v>
      </c>
      <c r="C748" s="492"/>
      <c r="D748" s="492"/>
      <c r="E748" s="492"/>
      <c r="F748" s="492"/>
      <c r="G748" s="127" t="s">
        <v>226</v>
      </c>
      <c r="H748" s="524">
        <v>1</v>
      </c>
      <c r="I748" s="524"/>
      <c r="J748" s="525">
        <v>37.42</v>
      </c>
      <c r="K748" s="525"/>
      <c r="L748" s="171">
        <f t="shared" si="8"/>
        <v>37.42</v>
      </c>
    </row>
    <row r="749" spans="1:12" ht="15" customHeight="1" x14ac:dyDescent="0.25">
      <c r="A749" s="184"/>
      <c r="B749" s="141"/>
      <c r="C749" s="141"/>
      <c r="D749" s="141"/>
      <c r="E749" s="141"/>
      <c r="F749" s="141"/>
      <c r="G749" s="141"/>
      <c r="H749" s="491" t="s">
        <v>1889</v>
      </c>
      <c r="I749" s="491"/>
      <c r="J749" s="491"/>
      <c r="K749" s="491"/>
      <c r="L749" s="375">
        <f>SUM(L743:L748)</f>
        <v>1417.64</v>
      </c>
    </row>
    <row r="750" spans="1:12" ht="15" customHeight="1" x14ac:dyDescent="0.25">
      <c r="A750" s="182"/>
      <c r="B750" s="183"/>
      <c r="C750" s="183"/>
      <c r="D750" s="183"/>
      <c r="E750" s="183"/>
      <c r="F750" s="183"/>
      <c r="G750" s="183"/>
      <c r="H750" s="482" t="s">
        <v>1848</v>
      </c>
      <c r="I750" s="482"/>
      <c r="J750" s="482"/>
      <c r="K750" s="482"/>
      <c r="L750" s="371">
        <f>SUM(L741,L749)</f>
        <v>1539.95</v>
      </c>
    </row>
    <row r="751" spans="1:12" ht="15" customHeight="1" x14ac:dyDescent="0.25">
      <c r="A751" s="182"/>
      <c r="B751" s="183"/>
      <c r="C751" s="183"/>
      <c r="D751" s="183"/>
      <c r="E751" s="183"/>
      <c r="F751" s="183"/>
      <c r="G751" s="183"/>
      <c r="H751" s="482" t="s">
        <v>1834</v>
      </c>
      <c r="I751" s="482"/>
      <c r="J751" s="482"/>
      <c r="K751" s="482"/>
      <c r="L751" s="369">
        <f>ROUND(SUM(L750),2)</f>
        <v>1539.95</v>
      </c>
    </row>
    <row r="752" spans="1:12" ht="9.9499999999999993" customHeight="1" x14ac:dyDescent="0.25">
      <c r="A752" s="182"/>
      <c r="B752" s="183"/>
      <c r="C752" s="183"/>
      <c r="D752" s="183"/>
      <c r="E752" s="183"/>
      <c r="F752" s="183"/>
      <c r="G752" s="183"/>
      <c r="H752" s="485"/>
      <c r="I752" s="485"/>
      <c r="J752" s="485"/>
      <c r="K752" s="485"/>
      <c r="L752" s="512"/>
    </row>
    <row r="753" spans="1:12" ht="20.100000000000001" customHeight="1" x14ac:dyDescent="0.25">
      <c r="A753" s="486" t="s">
        <v>3561</v>
      </c>
      <c r="B753" s="487"/>
      <c r="C753" s="487"/>
      <c r="D753" s="487"/>
      <c r="E753" s="487"/>
      <c r="F753" s="487"/>
      <c r="G753" s="487"/>
      <c r="H753" s="487"/>
      <c r="I753" s="487"/>
      <c r="J753" s="487"/>
      <c r="K753" s="487"/>
      <c r="L753" s="513"/>
    </row>
    <row r="754" spans="1:12" ht="15" customHeight="1" x14ac:dyDescent="0.25">
      <c r="A754" s="474" t="s">
        <v>1812</v>
      </c>
      <c r="B754" s="475"/>
      <c r="C754" s="475"/>
      <c r="D754" s="476" t="s">
        <v>42</v>
      </c>
      <c r="E754" s="476"/>
      <c r="F754" s="476"/>
      <c r="G754" s="230" t="s">
        <v>44</v>
      </c>
      <c r="H754" s="476" t="s">
        <v>1813</v>
      </c>
      <c r="I754" s="476"/>
      <c r="J754" s="476" t="s">
        <v>1814</v>
      </c>
      <c r="K754" s="476"/>
      <c r="L754" s="366" t="s">
        <v>1802</v>
      </c>
    </row>
    <row r="755" spans="1:12" ht="21" customHeight="1" x14ac:dyDescent="0.25">
      <c r="A755" s="181" t="s">
        <v>3562</v>
      </c>
      <c r="B755" s="509" t="s">
        <v>3563</v>
      </c>
      <c r="C755" s="509"/>
      <c r="D755" s="481" t="s">
        <v>82</v>
      </c>
      <c r="E755" s="481"/>
      <c r="F755" s="481"/>
      <c r="G755" s="231" t="s">
        <v>226</v>
      </c>
      <c r="H755" s="510">
        <v>1</v>
      </c>
      <c r="I755" s="510"/>
      <c r="J755" s="511">
        <v>56.11</v>
      </c>
      <c r="K755" s="511"/>
      <c r="L755" s="367">
        <f>TRUNC(TRUNC(H755,8)*J755,2)</f>
        <v>56.11</v>
      </c>
    </row>
    <row r="756" spans="1:12" ht="15" customHeight="1" x14ac:dyDescent="0.25">
      <c r="A756" s="182"/>
      <c r="B756" s="183"/>
      <c r="C756" s="183"/>
      <c r="D756" s="183"/>
      <c r="E756" s="183"/>
      <c r="F756" s="183"/>
      <c r="G756" s="183"/>
      <c r="H756" s="477" t="s">
        <v>1826</v>
      </c>
      <c r="I756" s="477"/>
      <c r="J756" s="477"/>
      <c r="K756" s="477"/>
      <c r="L756" s="368">
        <f>SUM(L755:L755)</f>
        <v>56.11</v>
      </c>
    </row>
    <row r="757" spans="1:12" ht="15" customHeight="1" x14ac:dyDescent="0.25">
      <c r="A757" s="474" t="s">
        <v>2190</v>
      </c>
      <c r="B757" s="475"/>
      <c r="C757" s="475"/>
      <c r="D757" s="476" t="s">
        <v>42</v>
      </c>
      <c r="E757" s="476"/>
      <c r="F757" s="476"/>
      <c r="G757" s="230" t="s">
        <v>44</v>
      </c>
      <c r="H757" s="476" t="s">
        <v>1813</v>
      </c>
      <c r="I757" s="476"/>
      <c r="J757" s="476" t="s">
        <v>1814</v>
      </c>
      <c r="K757" s="476"/>
      <c r="L757" s="366" t="s">
        <v>1802</v>
      </c>
    </row>
    <row r="758" spans="1:12" ht="21" customHeight="1" x14ac:dyDescent="0.25">
      <c r="A758" s="181" t="s">
        <v>2815</v>
      </c>
      <c r="B758" s="509" t="s">
        <v>2816</v>
      </c>
      <c r="C758" s="509"/>
      <c r="D758" s="481" t="s">
        <v>82</v>
      </c>
      <c r="E758" s="481"/>
      <c r="F758" s="481"/>
      <c r="G758" s="231" t="s">
        <v>1024</v>
      </c>
      <c r="H758" s="510">
        <v>0.56420700000000001</v>
      </c>
      <c r="I758" s="510"/>
      <c r="J758" s="511">
        <v>33.270000000000003</v>
      </c>
      <c r="K758" s="511"/>
      <c r="L758" s="367">
        <f>TRUNC(TRUNC(H758,8)*J758,2)</f>
        <v>18.77</v>
      </c>
    </row>
    <row r="759" spans="1:12" ht="15" customHeight="1" x14ac:dyDescent="0.25">
      <c r="A759" s="181" t="s">
        <v>2375</v>
      </c>
      <c r="B759" s="509" t="s">
        <v>2376</v>
      </c>
      <c r="C759" s="509"/>
      <c r="D759" s="481" t="s">
        <v>82</v>
      </c>
      <c r="E759" s="481"/>
      <c r="F759" s="481"/>
      <c r="G759" s="231" t="s">
        <v>1024</v>
      </c>
      <c r="H759" s="510">
        <v>0.21656429999999999</v>
      </c>
      <c r="I759" s="510"/>
      <c r="J759" s="511">
        <v>28.97</v>
      </c>
      <c r="K759" s="511"/>
      <c r="L759" s="367">
        <f>TRUNC(TRUNC(H759,8)*J759,2)</f>
        <v>6.27</v>
      </c>
    </row>
    <row r="760" spans="1:12" ht="18" customHeight="1" x14ac:dyDescent="0.25">
      <c r="A760" s="182"/>
      <c r="B760" s="183"/>
      <c r="C760" s="183"/>
      <c r="D760" s="183"/>
      <c r="E760" s="183"/>
      <c r="F760" s="183"/>
      <c r="G760" s="183"/>
      <c r="H760" s="477" t="s">
        <v>2195</v>
      </c>
      <c r="I760" s="477"/>
      <c r="J760" s="477"/>
      <c r="K760" s="477"/>
      <c r="L760" s="368">
        <f>SUM(L758:L759)</f>
        <v>25.04</v>
      </c>
    </row>
    <row r="761" spans="1:12" ht="15" customHeight="1" x14ac:dyDescent="0.25">
      <c r="A761" s="182"/>
      <c r="B761" s="183"/>
      <c r="C761" s="183"/>
      <c r="D761" s="183"/>
      <c r="E761" s="183"/>
      <c r="F761" s="183"/>
      <c r="G761" s="183"/>
      <c r="H761" s="482" t="s">
        <v>1834</v>
      </c>
      <c r="I761" s="482"/>
      <c r="J761" s="482"/>
      <c r="K761" s="482"/>
      <c r="L761" s="369">
        <f>ROUND(SUM(L756,L760),2)</f>
        <v>81.150000000000006</v>
      </c>
    </row>
    <row r="762" spans="1:12" ht="9.9499999999999993" customHeight="1" x14ac:dyDescent="0.25">
      <c r="A762" s="182"/>
      <c r="B762" s="183"/>
      <c r="C762" s="183"/>
      <c r="D762" s="183"/>
      <c r="E762" s="183"/>
      <c r="F762" s="183"/>
      <c r="G762" s="183"/>
      <c r="H762" s="485"/>
      <c r="I762" s="485"/>
      <c r="J762" s="485"/>
      <c r="K762" s="485"/>
      <c r="L762" s="512"/>
    </row>
    <row r="763" spans="1:12" ht="20.100000000000001" customHeight="1" x14ac:dyDescent="0.25">
      <c r="A763" s="486" t="s">
        <v>3564</v>
      </c>
      <c r="B763" s="487"/>
      <c r="C763" s="487"/>
      <c r="D763" s="487"/>
      <c r="E763" s="487"/>
      <c r="F763" s="487"/>
      <c r="G763" s="487"/>
      <c r="H763" s="487"/>
      <c r="I763" s="487"/>
      <c r="J763" s="487"/>
      <c r="K763" s="487"/>
      <c r="L763" s="513"/>
    </row>
    <row r="764" spans="1:12" ht="15" customHeight="1" x14ac:dyDescent="0.25">
      <c r="A764" s="474" t="s">
        <v>1812</v>
      </c>
      <c r="B764" s="475"/>
      <c r="C764" s="475"/>
      <c r="D764" s="476" t="s">
        <v>42</v>
      </c>
      <c r="E764" s="476"/>
      <c r="F764" s="476"/>
      <c r="G764" s="230" t="s">
        <v>44</v>
      </c>
      <c r="H764" s="476" t="s">
        <v>1813</v>
      </c>
      <c r="I764" s="476"/>
      <c r="J764" s="476" t="s">
        <v>1814</v>
      </c>
      <c r="K764" s="476"/>
      <c r="L764" s="366" t="s">
        <v>1802</v>
      </c>
    </row>
    <row r="765" spans="1:12" ht="21" customHeight="1" x14ac:dyDescent="0.25">
      <c r="A765" s="181" t="s">
        <v>3565</v>
      </c>
      <c r="B765" s="509" t="s">
        <v>3566</v>
      </c>
      <c r="C765" s="509"/>
      <c r="D765" s="481" t="s">
        <v>82</v>
      </c>
      <c r="E765" s="481"/>
      <c r="F765" s="481"/>
      <c r="G765" s="231" t="s">
        <v>226</v>
      </c>
      <c r="H765" s="510">
        <v>1</v>
      </c>
      <c r="I765" s="510"/>
      <c r="J765" s="511">
        <v>53.9</v>
      </c>
      <c r="K765" s="511"/>
      <c r="L765" s="367">
        <f>TRUNC(TRUNC(H765,8)*J765,2)</f>
        <v>53.9</v>
      </c>
    </row>
    <row r="766" spans="1:12" ht="15" customHeight="1" x14ac:dyDescent="0.25">
      <c r="A766" s="182"/>
      <c r="B766" s="183"/>
      <c r="C766" s="183"/>
      <c r="D766" s="183"/>
      <c r="E766" s="183"/>
      <c r="F766" s="183"/>
      <c r="G766" s="183"/>
      <c r="H766" s="477" t="s">
        <v>1826</v>
      </c>
      <c r="I766" s="477"/>
      <c r="J766" s="477"/>
      <c r="K766" s="477"/>
      <c r="L766" s="368">
        <f>SUM(L765:L765)</f>
        <v>53.9</v>
      </c>
    </row>
    <row r="767" spans="1:12" ht="15" customHeight="1" x14ac:dyDescent="0.25">
      <c r="A767" s="474" t="s">
        <v>2190</v>
      </c>
      <c r="B767" s="475"/>
      <c r="C767" s="475"/>
      <c r="D767" s="476" t="s">
        <v>42</v>
      </c>
      <c r="E767" s="476"/>
      <c r="F767" s="476"/>
      <c r="G767" s="230" t="s">
        <v>44</v>
      </c>
      <c r="H767" s="476" t="s">
        <v>1813</v>
      </c>
      <c r="I767" s="476"/>
      <c r="J767" s="476" t="s">
        <v>1814</v>
      </c>
      <c r="K767" s="476"/>
      <c r="L767" s="366" t="s">
        <v>1802</v>
      </c>
    </row>
    <row r="768" spans="1:12" ht="21" customHeight="1" x14ac:dyDescent="0.25">
      <c r="A768" s="181" t="s">
        <v>2815</v>
      </c>
      <c r="B768" s="509" t="s">
        <v>2816</v>
      </c>
      <c r="C768" s="509"/>
      <c r="D768" s="481" t="s">
        <v>82</v>
      </c>
      <c r="E768" s="481"/>
      <c r="F768" s="481"/>
      <c r="G768" s="231" t="s">
        <v>1024</v>
      </c>
      <c r="H768" s="510">
        <v>0.37613799999999997</v>
      </c>
      <c r="I768" s="510"/>
      <c r="J768" s="511">
        <v>33.270000000000003</v>
      </c>
      <c r="K768" s="511"/>
      <c r="L768" s="367">
        <f>TRUNC(TRUNC(H768,8)*J768,2)</f>
        <v>12.51</v>
      </c>
    </row>
    <row r="769" spans="1:12" ht="15" customHeight="1" x14ac:dyDescent="0.25">
      <c r="A769" s="181" t="s">
        <v>2375</v>
      </c>
      <c r="B769" s="509" t="s">
        <v>2376</v>
      </c>
      <c r="C769" s="509"/>
      <c r="D769" s="481" t="s">
        <v>82</v>
      </c>
      <c r="E769" s="481"/>
      <c r="F769" s="481"/>
      <c r="G769" s="231" t="s">
        <v>1024</v>
      </c>
      <c r="H769" s="510">
        <v>0.14437620000000001</v>
      </c>
      <c r="I769" s="510"/>
      <c r="J769" s="511">
        <v>28.97</v>
      </c>
      <c r="K769" s="511"/>
      <c r="L769" s="367">
        <f>TRUNC(TRUNC(H769,8)*J769,2)</f>
        <v>4.18</v>
      </c>
    </row>
    <row r="770" spans="1:12" ht="18" customHeight="1" x14ac:dyDescent="0.25">
      <c r="A770" s="182"/>
      <c r="B770" s="183"/>
      <c r="C770" s="183"/>
      <c r="D770" s="183"/>
      <c r="E770" s="183"/>
      <c r="F770" s="183"/>
      <c r="G770" s="183"/>
      <c r="H770" s="477" t="s">
        <v>2195</v>
      </c>
      <c r="I770" s="477"/>
      <c r="J770" s="477"/>
      <c r="K770" s="477"/>
      <c r="L770" s="368">
        <f>SUM(L768:L769)</f>
        <v>16.689999999999998</v>
      </c>
    </row>
    <row r="771" spans="1:12" ht="15" customHeight="1" x14ac:dyDescent="0.25">
      <c r="A771" s="182"/>
      <c r="B771" s="183"/>
      <c r="C771" s="183"/>
      <c r="D771" s="183"/>
      <c r="E771" s="183"/>
      <c r="F771" s="183"/>
      <c r="G771" s="183"/>
      <c r="H771" s="482" t="s">
        <v>1834</v>
      </c>
      <c r="I771" s="482"/>
      <c r="J771" s="482"/>
      <c r="K771" s="482"/>
      <c r="L771" s="369">
        <f>ROUND(SUM(L766,L770),2)</f>
        <v>70.59</v>
      </c>
    </row>
    <row r="772" spans="1:12" ht="9.9499999999999993" customHeight="1" x14ac:dyDescent="0.25">
      <c r="A772" s="182"/>
      <c r="B772" s="183"/>
      <c r="C772" s="183"/>
      <c r="D772" s="183"/>
      <c r="E772" s="183"/>
      <c r="F772" s="183"/>
      <c r="G772" s="183"/>
      <c r="H772" s="485"/>
      <c r="I772" s="485"/>
      <c r="J772" s="485"/>
      <c r="K772" s="485"/>
      <c r="L772" s="512"/>
    </row>
    <row r="773" spans="1:12" ht="20.100000000000001" customHeight="1" x14ac:dyDescent="0.25">
      <c r="A773" s="486" t="s">
        <v>3567</v>
      </c>
      <c r="B773" s="487"/>
      <c r="C773" s="487"/>
      <c r="D773" s="487"/>
      <c r="E773" s="487"/>
      <c r="F773" s="487"/>
      <c r="G773" s="487"/>
      <c r="H773" s="487"/>
      <c r="I773" s="487"/>
      <c r="J773" s="487"/>
      <c r="K773" s="487"/>
      <c r="L773" s="513"/>
    </row>
    <row r="774" spans="1:12" ht="20.100000000000001" customHeight="1" x14ac:dyDescent="0.25">
      <c r="A774" s="488" t="s">
        <v>1836</v>
      </c>
      <c r="B774" s="489"/>
      <c r="C774" s="489"/>
      <c r="D774" s="489"/>
      <c r="E774" s="489"/>
      <c r="F774" s="489"/>
      <c r="G774" s="233" t="s">
        <v>44</v>
      </c>
      <c r="H774" s="515" t="s">
        <v>1837</v>
      </c>
      <c r="I774" s="515"/>
      <c r="J774" s="515" t="s">
        <v>1838</v>
      </c>
      <c r="K774" s="515"/>
      <c r="L774" s="169" t="s">
        <v>1839</v>
      </c>
    </row>
    <row r="775" spans="1:12" ht="15" customHeight="1" x14ac:dyDescent="0.25">
      <c r="A775" s="170" t="s">
        <v>1840</v>
      </c>
      <c r="B775" s="490" t="s">
        <v>1841</v>
      </c>
      <c r="C775" s="490"/>
      <c r="D775" s="490"/>
      <c r="E775" s="490"/>
      <c r="F775" s="490"/>
      <c r="G775" s="127" t="s">
        <v>1024</v>
      </c>
      <c r="H775" s="524">
        <v>0.5</v>
      </c>
      <c r="I775" s="524"/>
      <c r="J775" s="517">
        <v>21.94</v>
      </c>
      <c r="K775" s="517"/>
      <c r="L775" s="370">
        <f>TRUNC(TRUNC(H775,8)*J775,2)</f>
        <v>10.97</v>
      </c>
    </row>
    <row r="776" spans="1:12" ht="15" customHeight="1" x14ac:dyDescent="0.25">
      <c r="A776" s="170" t="s">
        <v>1842</v>
      </c>
      <c r="B776" s="490" t="s">
        <v>1843</v>
      </c>
      <c r="C776" s="490"/>
      <c r="D776" s="490"/>
      <c r="E776" s="490"/>
      <c r="F776" s="490"/>
      <c r="G776" s="127" t="s">
        <v>1024</v>
      </c>
      <c r="H776" s="524">
        <v>0.5</v>
      </c>
      <c r="I776" s="524"/>
      <c r="J776" s="517">
        <v>26.03</v>
      </c>
      <c r="K776" s="517"/>
      <c r="L776" s="370">
        <f>TRUNC(TRUNC(H776,8)*J776,2)</f>
        <v>13.01</v>
      </c>
    </row>
    <row r="777" spans="1:12" ht="15" customHeight="1" x14ac:dyDescent="0.25">
      <c r="A777" s="184"/>
      <c r="B777" s="141"/>
      <c r="C777" s="141"/>
      <c r="D777" s="141"/>
      <c r="E777" s="141"/>
      <c r="F777" s="141"/>
      <c r="G777" s="141"/>
      <c r="H777" s="491" t="s">
        <v>1844</v>
      </c>
      <c r="I777" s="491"/>
      <c r="J777" s="491"/>
      <c r="K777" s="491"/>
      <c r="L777" s="369">
        <f>SUM(L775:L776)</f>
        <v>23.98</v>
      </c>
    </row>
    <row r="778" spans="1:12" ht="15" customHeight="1" x14ac:dyDescent="0.25">
      <c r="A778" s="182"/>
      <c r="B778" s="183"/>
      <c r="C778" s="183"/>
      <c r="D778" s="183"/>
      <c r="E778" s="183"/>
      <c r="F778" s="183"/>
      <c r="G778" s="183"/>
      <c r="H778" s="482" t="s">
        <v>1845</v>
      </c>
      <c r="I778" s="482"/>
      <c r="J778" s="482"/>
      <c r="K778" s="482"/>
      <c r="L778" s="371">
        <f>SUM(L777)</f>
        <v>23.98</v>
      </c>
    </row>
    <row r="779" spans="1:12" ht="15" customHeight="1" x14ac:dyDescent="0.25">
      <c r="A779" s="182"/>
      <c r="B779" s="183"/>
      <c r="C779" s="183"/>
      <c r="D779" s="183"/>
      <c r="E779" s="183"/>
      <c r="F779" s="183"/>
      <c r="G779" s="183"/>
      <c r="H779" s="482" t="s">
        <v>1846</v>
      </c>
      <c r="I779" s="482"/>
      <c r="J779" s="482"/>
      <c r="K779" s="482"/>
      <c r="L779" s="374">
        <v>1</v>
      </c>
    </row>
    <row r="780" spans="1:12" ht="15" customHeight="1" x14ac:dyDescent="0.25">
      <c r="A780" s="182"/>
      <c r="B780" s="183"/>
      <c r="C780" s="183"/>
      <c r="D780" s="183"/>
      <c r="E780" s="183"/>
      <c r="F780" s="183"/>
      <c r="G780" s="183"/>
      <c r="H780" s="482" t="s">
        <v>1847</v>
      </c>
      <c r="I780" s="482"/>
      <c r="J780" s="482"/>
      <c r="K780" s="482"/>
      <c r="L780" s="371">
        <f>TRUNC(L778/L779,4)</f>
        <v>23.98</v>
      </c>
    </row>
    <row r="781" spans="1:12" ht="20.100000000000001" customHeight="1" x14ac:dyDescent="0.25">
      <c r="A781" s="488" t="s">
        <v>1880</v>
      </c>
      <c r="B781" s="489"/>
      <c r="C781" s="489"/>
      <c r="D781" s="489"/>
      <c r="E781" s="489"/>
      <c r="F781" s="489"/>
      <c r="G781" s="233" t="s">
        <v>44</v>
      </c>
      <c r="H781" s="515" t="s">
        <v>1837</v>
      </c>
      <c r="I781" s="515"/>
      <c r="J781" s="515" t="s">
        <v>1881</v>
      </c>
      <c r="K781" s="515"/>
      <c r="L781" s="169" t="s">
        <v>1882</v>
      </c>
    </row>
    <row r="782" spans="1:12" ht="15" customHeight="1" x14ac:dyDescent="0.25">
      <c r="A782" s="170" t="s">
        <v>3568</v>
      </c>
      <c r="B782" s="492" t="s">
        <v>3569</v>
      </c>
      <c r="C782" s="492"/>
      <c r="D782" s="492"/>
      <c r="E782" s="492"/>
      <c r="F782" s="492"/>
      <c r="G782" s="127" t="s">
        <v>226</v>
      </c>
      <c r="H782" s="524">
        <v>1</v>
      </c>
      <c r="I782" s="524"/>
      <c r="J782" s="525">
        <v>317.07</v>
      </c>
      <c r="K782" s="525"/>
      <c r="L782" s="171">
        <f>TRUNC(TRUNC(H782,8)*J782,2)</f>
        <v>317.07</v>
      </c>
    </row>
    <row r="783" spans="1:12" ht="15" customHeight="1" x14ac:dyDescent="0.25">
      <c r="A783" s="170" t="s">
        <v>3361</v>
      </c>
      <c r="B783" s="492" t="s">
        <v>3362</v>
      </c>
      <c r="C783" s="492"/>
      <c r="D783" s="492"/>
      <c r="E783" s="492"/>
      <c r="F783" s="492"/>
      <c r="G783" s="127" t="s">
        <v>188</v>
      </c>
      <c r="H783" s="524">
        <v>0.28000000000000003</v>
      </c>
      <c r="I783" s="524"/>
      <c r="J783" s="525">
        <v>0.24</v>
      </c>
      <c r="K783" s="525"/>
      <c r="L783" s="171">
        <f>TRUNC(TRUNC(H783,8)*J783,2)</f>
        <v>0.06</v>
      </c>
    </row>
    <row r="784" spans="1:12" ht="15" customHeight="1" x14ac:dyDescent="0.25">
      <c r="A784" s="184"/>
      <c r="B784" s="141"/>
      <c r="C784" s="141"/>
      <c r="D784" s="141"/>
      <c r="E784" s="141"/>
      <c r="F784" s="141"/>
      <c r="G784" s="141"/>
      <c r="H784" s="491" t="s">
        <v>1889</v>
      </c>
      <c r="I784" s="491"/>
      <c r="J784" s="491"/>
      <c r="K784" s="491"/>
      <c r="L784" s="375">
        <f>SUM(L782:L783)</f>
        <v>317.13</v>
      </c>
    </row>
    <row r="785" spans="1:12" ht="15" customHeight="1" x14ac:dyDescent="0.25">
      <c r="A785" s="182"/>
      <c r="B785" s="183"/>
      <c r="C785" s="183"/>
      <c r="D785" s="183"/>
      <c r="E785" s="183"/>
      <c r="F785" s="183"/>
      <c r="G785" s="183"/>
      <c r="H785" s="482" t="s">
        <v>1848</v>
      </c>
      <c r="I785" s="482"/>
      <c r="J785" s="482"/>
      <c r="K785" s="482"/>
      <c r="L785" s="371">
        <f>SUM(L780,L784)</f>
        <v>341.11</v>
      </c>
    </row>
    <row r="786" spans="1:12" ht="15" customHeight="1" x14ac:dyDescent="0.25">
      <c r="A786" s="182"/>
      <c r="B786" s="183"/>
      <c r="C786" s="183"/>
      <c r="D786" s="183"/>
      <c r="E786" s="183"/>
      <c r="F786" s="183"/>
      <c r="G786" s="183"/>
      <c r="H786" s="482" t="s">
        <v>1834</v>
      </c>
      <c r="I786" s="482"/>
      <c r="J786" s="482"/>
      <c r="K786" s="482"/>
      <c r="L786" s="369">
        <f>ROUND(SUM(L785),2)</f>
        <v>341.11</v>
      </c>
    </row>
    <row r="787" spans="1:12" ht="9.9499999999999993" customHeight="1" x14ac:dyDescent="0.25">
      <c r="A787" s="182"/>
      <c r="B787" s="183"/>
      <c r="C787" s="183"/>
      <c r="D787" s="183"/>
      <c r="E787" s="183"/>
      <c r="F787" s="183"/>
      <c r="G787" s="183"/>
      <c r="H787" s="485"/>
      <c r="I787" s="485"/>
      <c r="J787" s="485"/>
      <c r="K787" s="485"/>
      <c r="L787" s="512"/>
    </row>
    <row r="788" spans="1:12" ht="20.100000000000001" customHeight="1" x14ac:dyDescent="0.25">
      <c r="A788" s="486" t="s">
        <v>3570</v>
      </c>
      <c r="B788" s="487"/>
      <c r="C788" s="487"/>
      <c r="D788" s="487"/>
      <c r="E788" s="487"/>
      <c r="F788" s="487"/>
      <c r="G788" s="487"/>
      <c r="H788" s="487"/>
      <c r="I788" s="487"/>
      <c r="J788" s="487"/>
      <c r="K788" s="487"/>
      <c r="L788" s="513"/>
    </row>
    <row r="789" spans="1:12" ht="20.100000000000001" customHeight="1" x14ac:dyDescent="0.25">
      <c r="A789" s="488" t="s">
        <v>1836</v>
      </c>
      <c r="B789" s="489"/>
      <c r="C789" s="489"/>
      <c r="D789" s="489"/>
      <c r="E789" s="489"/>
      <c r="F789" s="489"/>
      <c r="G789" s="233" t="s">
        <v>44</v>
      </c>
      <c r="H789" s="515" t="s">
        <v>1837</v>
      </c>
      <c r="I789" s="515"/>
      <c r="J789" s="515" t="s">
        <v>1838</v>
      </c>
      <c r="K789" s="515"/>
      <c r="L789" s="169" t="s">
        <v>1839</v>
      </c>
    </row>
    <row r="790" spans="1:12" ht="15" customHeight="1" x14ac:dyDescent="0.25">
      <c r="A790" s="170" t="s">
        <v>1851</v>
      </c>
      <c r="B790" s="490" t="s">
        <v>1852</v>
      </c>
      <c r="C790" s="490"/>
      <c r="D790" s="490"/>
      <c r="E790" s="490"/>
      <c r="F790" s="490"/>
      <c r="G790" s="127" t="s">
        <v>1024</v>
      </c>
      <c r="H790" s="524">
        <v>1</v>
      </c>
      <c r="I790" s="524"/>
      <c r="J790" s="517">
        <v>26.03</v>
      </c>
      <c r="K790" s="517"/>
      <c r="L790" s="370">
        <f>TRUNC(TRUNC(H790,8)*J790,2)</f>
        <v>26.03</v>
      </c>
    </row>
    <row r="791" spans="1:12" ht="15" customHeight="1" x14ac:dyDescent="0.25">
      <c r="A791" s="170" t="s">
        <v>1830</v>
      </c>
      <c r="B791" s="490" t="s">
        <v>1831</v>
      </c>
      <c r="C791" s="490"/>
      <c r="D791" s="490"/>
      <c r="E791" s="490"/>
      <c r="F791" s="490"/>
      <c r="G791" s="127" t="s">
        <v>1024</v>
      </c>
      <c r="H791" s="524">
        <v>0.3</v>
      </c>
      <c r="I791" s="524"/>
      <c r="J791" s="517">
        <v>19.68</v>
      </c>
      <c r="K791" s="517"/>
      <c r="L791" s="370">
        <f>TRUNC(TRUNC(H791,8)*J791,2)</f>
        <v>5.9</v>
      </c>
    </row>
    <row r="792" spans="1:12" ht="15" customHeight="1" x14ac:dyDescent="0.25">
      <c r="A792" s="184"/>
      <c r="B792" s="141"/>
      <c r="C792" s="141"/>
      <c r="D792" s="141"/>
      <c r="E792" s="141"/>
      <c r="F792" s="141"/>
      <c r="G792" s="141"/>
      <c r="H792" s="491" t="s">
        <v>1844</v>
      </c>
      <c r="I792" s="491"/>
      <c r="J792" s="491"/>
      <c r="K792" s="491"/>
      <c r="L792" s="369">
        <f>SUM(L790:L791)</f>
        <v>31.93</v>
      </c>
    </row>
    <row r="793" spans="1:12" ht="15" customHeight="1" x14ac:dyDescent="0.25">
      <c r="A793" s="182"/>
      <c r="B793" s="183"/>
      <c r="C793" s="183"/>
      <c r="D793" s="183"/>
      <c r="E793" s="183"/>
      <c r="F793" s="183"/>
      <c r="G793" s="183"/>
      <c r="H793" s="482" t="s">
        <v>1845</v>
      </c>
      <c r="I793" s="482"/>
      <c r="J793" s="482"/>
      <c r="K793" s="482"/>
      <c r="L793" s="371">
        <f>SUM(L792)</f>
        <v>31.93</v>
      </c>
    </row>
    <row r="794" spans="1:12" ht="15" customHeight="1" x14ac:dyDescent="0.25">
      <c r="A794" s="182"/>
      <c r="B794" s="183"/>
      <c r="C794" s="183"/>
      <c r="D794" s="183"/>
      <c r="E794" s="183"/>
      <c r="F794" s="183"/>
      <c r="G794" s="183"/>
      <c r="H794" s="482" t="s">
        <v>1846</v>
      </c>
      <c r="I794" s="482"/>
      <c r="J794" s="482"/>
      <c r="K794" s="482"/>
      <c r="L794" s="374">
        <v>1</v>
      </c>
    </row>
    <row r="795" spans="1:12" ht="15" customHeight="1" x14ac:dyDescent="0.25">
      <c r="A795" s="182"/>
      <c r="B795" s="183"/>
      <c r="C795" s="183"/>
      <c r="D795" s="183"/>
      <c r="E795" s="183"/>
      <c r="F795" s="183"/>
      <c r="G795" s="183"/>
      <c r="H795" s="482" t="s">
        <v>1847</v>
      </c>
      <c r="I795" s="482"/>
      <c r="J795" s="482"/>
      <c r="K795" s="482"/>
      <c r="L795" s="371">
        <f>TRUNC(L793/L794,4)</f>
        <v>31.93</v>
      </c>
    </row>
    <row r="796" spans="1:12" ht="20.100000000000001" customHeight="1" x14ac:dyDescent="0.25">
      <c r="A796" s="488" t="s">
        <v>1880</v>
      </c>
      <c r="B796" s="489"/>
      <c r="C796" s="489"/>
      <c r="D796" s="489"/>
      <c r="E796" s="489"/>
      <c r="F796" s="489"/>
      <c r="G796" s="233" t="s">
        <v>44</v>
      </c>
      <c r="H796" s="515" t="s">
        <v>1837</v>
      </c>
      <c r="I796" s="515"/>
      <c r="J796" s="515" t="s">
        <v>1881</v>
      </c>
      <c r="K796" s="515"/>
      <c r="L796" s="169" t="s">
        <v>1882</v>
      </c>
    </row>
    <row r="797" spans="1:12" ht="15" customHeight="1" x14ac:dyDescent="0.25">
      <c r="A797" s="170" t="s">
        <v>3571</v>
      </c>
      <c r="B797" s="492" t="s">
        <v>3572</v>
      </c>
      <c r="C797" s="492"/>
      <c r="D797" s="492"/>
      <c r="E797" s="492"/>
      <c r="F797" s="492"/>
      <c r="G797" s="127" t="s">
        <v>226</v>
      </c>
      <c r="H797" s="524">
        <v>1</v>
      </c>
      <c r="I797" s="524"/>
      <c r="J797" s="525">
        <v>103.82</v>
      </c>
      <c r="K797" s="525"/>
      <c r="L797" s="171">
        <f>TRUNC(TRUNC(H797,8)*J797,2)</f>
        <v>103.82</v>
      </c>
    </row>
    <row r="798" spans="1:12" ht="15" customHeight="1" x14ac:dyDescent="0.25">
      <c r="A798" s="184"/>
      <c r="B798" s="141"/>
      <c r="C798" s="141"/>
      <c r="D798" s="141"/>
      <c r="E798" s="141"/>
      <c r="F798" s="141"/>
      <c r="G798" s="141"/>
      <c r="H798" s="491" t="s">
        <v>1889</v>
      </c>
      <c r="I798" s="491"/>
      <c r="J798" s="491"/>
      <c r="K798" s="491"/>
      <c r="L798" s="375">
        <f>SUM(L797:L797)</f>
        <v>103.82</v>
      </c>
    </row>
    <row r="799" spans="1:12" ht="15" customHeight="1" x14ac:dyDescent="0.25">
      <c r="A799" s="182"/>
      <c r="B799" s="183"/>
      <c r="C799" s="183"/>
      <c r="D799" s="183"/>
      <c r="E799" s="183"/>
      <c r="F799" s="183"/>
      <c r="G799" s="183"/>
      <c r="H799" s="482" t="s">
        <v>1848</v>
      </c>
      <c r="I799" s="482"/>
      <c r="J799" s="482"/>
      <c r="K799" s="482"/>
      <c r="L799" s="371">
        <f>SUM(L795,L798)</f>
        <v>135.75</v>
      </c>
    </row>
    <row r="800" spans="1:12" ht="15" customHeight="1" x14ac:dyDescent="0.25">
      <c r="A800" s="182"/>
      <c r="B800" s="183"/>
      <c r="C800" s="183"/>
      <c r="D800" s="183"/>
      <c r="E800" s="183"/>
      <c r="F800" s="183"/>
      <c r="G800" s="183"/>
      <c r="H800" s="482" t="s">
        <v>1834</v>
      </c>
      <c r="I800" s="482"/>
      <c r="J800" s="482"/>
      <c r="K800" s="482"/>
      <c r="L800" s="369">
        <f>ROUND(SUM(L799),2)</f>
        <v>135.75</v>
      </c>
    </row>
    <row r="801" spans="1:12" ht="9.9499999999999993" customHeight="1" x14ac:dyDescent="0.25">
      <c r="A801" s="182"/>
      <c r="B801" s="183"/>
      <c r="C801" s="183"/>
      <c r="D801" s="183"/>
      <c r="E801" s="183"/>
      <c r="F801" s="183"/>
      <c r="G801" s="183"/>
      <c r="H801" s="485"/>
      <c r="I801" s="485"/>
      <c r="J801" s="485"/>
      <c r="K801" s="485"/>
      <c r="L801" s="512"/>
    </row>
    <row r="802" spans="1:12" ht="20.100000000000001" customHeight="1" x14ac:dyDescent="0.25">
      <c r="A802" s="486" t="s">
        <v>3573</v>
      </c>
      <c r="B802" s="487"/>
      <c r="C802" s="487"/>
      <c r="D802" s="487"/>
      <c r="E802" s="487"/>
      <c r="F802" s="487"/>
      <c r="G802" s="487"/>
      <c r="H802" s="487"/>
      <c r="I802" s="487"/>
      <c r="J802" s="487"/>
      <c r="K802" s="487"/>
      <c r="L802" s="513"/>
    </row>
    <row r="803" spans="1:12" ht="20.100000000000001" customHeight="1" x14ac:dyDescent="0.25">
      <c r="A803" s="488" t="s">
        <v>1836</v>
      </c>
      <c r="B803" s="489"/>
      <c r="C803" s="489"/>
      <c r="D803" s="489"/>
      <c r="E803" s="489"/>
      <c r="F803" s="489"/>
      <c r="G803" s="233" t="s">
        <v>44</v>
      </c>
      <c r="H803" s="515" t="s">
        <v>1837</v>
      </c>
      <c r="I803" s="515"/>
      <c r="J803" s="515" t="s">
        <v>1838</v>
      </c>
      <c r="K803" s="515"/>
      <c r="L803" s="169" t="s">
        <v>1839</v>
      </c>
    </row>
    <row r="804" spans="1:12" ht="15" customHeight="1" x14ac:dyDescent="0.25">
      <c r="A804" s="170" t="s">
        <v>1851</v>
      </c>
      <c r="B804" s="490" t="s">
        <v>1852</v>
      </c>
      <c r="C804" s="490"/>
      <c r="D804" s="490"/>
      <c r="E804" s="490"/>
      <c r="F804" s="490"/>
      <c r="G804" s="127" t="s">
        <v>1024</v>
      </c>
      <c r="H804" s="524">
        <v>1</v>
      </c>
      <c r="I804" s="524"/>
      <c r="J804" s="517">
        <v>26.03</v>
      </c>
      <c r="K804" s="517"/>
      <c r="L804" s="370">
        <f>TRUNC(TRUNC(H804,8)*J804,2)</f>
        <v>26.03</v>
      </c>
    </row>
    <row r="805" spans="1:12" ht="15" customHeight="1" x14ac:dyDescent="0.25">
      <c r="A805" s="170" t="s">
        <v>1830</v>
      </c>
      <c r="B805" s="490" t="s">
        <v>1831</v>
      </c>
      <c r="C805" s="490"/>
      <c r="D805" s="490"/>
      <c r="E805" s="490"/>
      <c r="F805" s="490"/>
      <c r="G805" s="127" t="s">
        <v>1024</v>
      </c>
      <c r="H805" s="524">
        <v>0.3</v>
      </c>
      <c r="I805" s="524"/>
      <c r="J805" s="517">
        <v>19.68</v>
      </c>
      <c r="K805" s="517"/>
      <c r="L805" s="370">
        <f>TRUNC(TRUNC(H805,8)*J805,2)</f>
        <v>5.9</v>
      </c>
    </row>
    <row r="806" spans="1:12" ht="15" customHeight="1" x14ac:dyDescent="0.25">
      <c r="A806" s="184"/>
      <c r="B806" s="141"/>
      <c r="C806" s="141"/>
      <c r="D806" s="141"/>
      <c r="E806" s="141"/>
      <c r="F806" s="141"/>
      <c r="G806" s="141"/>
      <c r="H806" s="491" t="s">
        <v>1844</v>
      </c>
      <c r="I806" s="491"/>
      <c r="J806" s="491"/>
      <c r="K806" s="491"/>
      <c r="L806" s="369">
        <f>SUM(L804:L805)</f>
        <v>31.93</v>
      </c>
    </row>
    <row r="807" spans="1:12" ht="15" customHeight="1" x14ac:dyDescent="0.25">
      <c r="A807" s="182"/>
      <c r="B807" s="183"/>
      <c r="C807" s="183"/>
      <c r="D807" s="183"/>
      <c r="E807" s="183"/>
      <c r="F807" s="183"/>
      <c r="G807" s="183"/>
      <c r="H807" s="482" t="s">
        <v>1845</v>
      </c>
      <c r="I807" s="482"/>
      <c r="J807" s="482"/>
      <c r="K807" s="482"/>
      <c r="L807" s="371">
        <f>SUM(L806)</f>
        <v>31.93</v>
      </c>
    </row>
    <row r="808" spans="1:12" ht="15" customHeight="1" x14ac:dyDescent="0.25">
      <c r="A808" s="182"/>
      <c r="B808" s="183"/>
      <c r="C808" s="183"/>
      <c r="D808" s="183"/>
      <c r="E808" s="183"/>
      <c r="F808" s="183"/>
      <c r="G808" s="183"/>
      <c r="H808" s="482" t="s">
        <v>1846</v>
      </c>
      <c r="I808" s="482"/>
      <c r="J808" s="482"/>
      <c r="K808" s="482"/>
      <c r="L808" s="374">
        <v>1</v>
      </c>
    </row>
    <row r="809" spans="1:12" ht="15" customHeight="1" x14ac:dyDescent="0.25">
      <c r="A809" s="182"/>
      <c r="B809" s="183"/>
      <c r="C809" s="183"/>
      <c r="D809" s="183"/>
      <c r="E809" s="183"/>
      <c r="F809" s="183"/>
      <c r="G809" s="183"/>
      <c r="H809" s="482" t="s">
        <v>1847</v>
      </c>
      <c r="I809" s="482"/>
      <c r="J809" s="482"/>
      <c r="K809" s="482"/>
      <c r="L809" s="371">
        <f>TRUNC(L807/L808,4)</f>
        <v>31.93</v>
      </c>
    </row>
    <row r="810" spans="1:12" ht="20.100000000000001" customHeight="1" x14ac:dyDescent="0.25">
      <c r="A810" s="488" t="s">
        <v>1880</v>
      </c>
      <c r="B810" s="489"/>
      <c r="C810" s="489"/>
      <c r="D810" s="489"/>
      <c r="E810" s="489"/>
      <c r="F810" s="489"/>
      <c r="G810" s="233" t="s">
        <v>44</v>
      </c>
      <c r="H810" s="515" t="s">
        <v>1837</v>
      </c>
      <c r="I810" s="515"/>
      <c r="J810" s="515" t="s">
        <v>1881</v>
      </c>
      <c r="K810" s="515"/>
      <c r="L810" s="169" t="s">
        <v>1882</v>
      </c>
    </row>
    <row r="811" spans="1:12" ht="15" customHeight="1" x14ac:dyDescent="0.25">
      <c r="A811" s="170" t="s">
        <v>3574</v>
      </c>
      <c r="B811" s="492" t="s">
        <v>3575</v>
      </c>
      <c r="C811" s="492"/>
      <c r="D811" s="492"/>
      <c r="E811" s="492"/>
      <c r="F811" s="492"/>
      <c r="G811" s="127" t="s">
        <v>226</v>
      </c>
      <c r="H811" s="524">
        <v>1</v>
      </c>
      <c r="I811" s="524"/>
      <c r="J811" s="525">
        <v>129.9</v>
      </c>
      <c r="K811" s="525"/>
      <c r="L811" s="171">
        <f>TRUNC(TRUNC(H811,8)*J811,2)</f>
        <v>129.9</v>
      </c>
    </row>
    <row r="812" spans="1:12" ht="15" customHeight="1" x14ac:dyDescent="0.25">
      <c r="A812" s="184"/>
      <c r="B812" s="141"/>
      <c r="C812" s="141"/>
      <c r="D812" s="141"/>
      <c r="E812" s="141"/>
      <c r="F812" s="141"/>
      <c r="G812" s="141"/>
      <c r="H812" s="491" t="s">
        <v>1889</v>
      </c>
      <c r="I812" s="491"/>
      <c r="J812" s="491"/>
      <c r="K812" s="491"/>
      <c r="L812" s="375">
        <f>SUM(L811:L811)</f>
        <v>129.9</v>
      </c>
    </row>
    <row r="813" spans="1:12" ht="15" customHeight="1" x14ac:dyDescent="0.25">
      <c r="A813" s="182"/>
      <c r="B813" s="183"/>
      <c r="C813" s="183"/>
      <c r="D813" s="183"/>
      <c r="E813" s="183"/>
      <c r="F813" s="183"/>
      <c r="G813" s="183"/>
      <c r="H813" s="482" t="s">
        <v>1848</v>
      </c>
      <c r="I813" s="482"/>
      <c r="J813" s="482"/>
      <c r="K813" s="482"/>
      <c r="L813" s="371">
        <f>SUM(L809,L812)</f>
        <v>161.83000000000001</v>
      </c>
    </row>
    <row r="814" spans="1:12" ht="15" customHeight="1" x14ac:dyDescent="0.25">
      <c r="A814" s="182"/>
      <c r="B814" s="183"/>
      <c r="C814" s="183"/>
      <c r="D814" s="183"/>
      <c r="E814" s="183"/>
      <c r="F814" s="183"/>
      <c r="G814" s="183"/>
      <c r="H814" s="482" t="s">
        <v>1834</v>
      </c>
      <c r="I814" s="482"/>
      <c r="J814" s="482"/>
      <c r="K814" s="482"/>
      <c r="L814" s="369">
        <f>ROUND(SUM(L813),2)</f>
        <v>161.83000000000001</v>
      </c>
    </row>
    <row r="815" spans="1:12" ht="9.9499999999999993" customHeight="1" x14ac:dyDescent="0.25">
      <c r="A815" s="182"/>
      <c r="B815" s="183"/>
      <c r="C815" s="183"/>
      <c r="D815" s="183"/>
      <c r="E815" s="183"/>
      <c r="F815" s="183"/>
      <c r="G815" s="183"/>
      <c r="H815" s="485"/>
      <c r="I815" s="485"/>
      <c r="J815" s="485"/>
      <c r="K815" s="485"/>
      <c r="L815" s="512"/>
    </row>
    <row r="816" spans="1:12" ht="20.100000000000001" customHeight="1" x14ac:dyDescent="0.25">
      <c r="A816" s="486" t="s">
        <v>3576</v>
      </c>
      <c r="B816" s="487"/>
      <c r="C816" s="487"/>
      <c r="D816" s="487"/>
      <c r="E816" s="487"/>
      <c r="F816" s="487"/>
      <c r="G816" s="487"/>
      <c r="H816" s="487"/>
      <c r="I816" s="487"/>
      <c r="J816" s="487"/>
      <c r="K816" s="487"/>
      <c r="L816" s="513"/>
    </row>
    <row r="817" spans="1:12" ht="20.100000000000001" customHeight="1" x14ac:dyDescent="0.25">
      <c r="A817" s="488" t="s">
        <v>1836</v>
      </c>
      <c r="B817" s="489"/>
      <c r="C817" s="489"/>
      <c r="D817" s="489"/>
      <c r="E817" s="489"/>
      <c r="F817" s="489"/>
      <c r="G817" s="233" t="s">
        <v>44</v>
      </c>
      <c r="H817" s="515" t="s">
        <v>1837</v>
      </c>
      <c r="I817" s="515"/>
      <c r="J817" s="515" t="s">
        <v>1838</v>
      </c>
      <c r="K817" s="515"/>
      <c r="L817" s="169" t="s">
        <v>1839</v>
      </c>
    </row>
    <row r="818" spans="1:12" ht="15" customHeight="1" x14ac:dyDescent="0.25">
      <c r="A818" s="170" t="s">
        <v>1851</v>
      </c>
      <c r="B818" s="490" t="s">
        <v>1852</v>
      </c>
      <c r="C818" s="490"/>
      <c r="D818" s="490"/>
      <c r="E818" s="490"/>
      <c r="F818" s="490"/>
      <c r="G818" s="127" t="s">
        <v>1024</v>
      </c>
      <c r="H818" s="524">
        <v>1</v>
      </c>
      <c r="I818" s="524"/>
      <c r="J818" s="517">
        <v>26.03</v>
      </c>
      <c r="K818" s="517"/>
      <c r="L818" s="370">
        <f>TRUNC(TRUNC(H818,8)*J818,2)</f>
        <v>26.03</v>
      </c>
    </row>
    <row r="819" spans="1:12" ht="15" customHeight="1" x14ac:dyDescent="0.25">
      <c r="A819" s="170" t="s">
        <v>1830</v>
      </c>
      <c r="B819" s="490" t="s">
        <v>1831</v>
      </c>
      <c r="C819" s="490"/>
      <c r="D819" s="490"/>
      <c r="E819" s="490"/>
      <c r="F819" s="490"/>
      <c r="G819" s="127" t="s">
        <v>1024</v>
      </c>
      <c r="H819" s="524">
        <v>0.3</v>
      </c>
      <c r="I819" s="524"/>
      <c r="J819" s="517">
        <v>19.68</v>
      </c>
      <c r="K819" s="517"/>
      <c r="L819" s="370">
        <f>TRUNC(TRUNC(H819,8)*J819,2)</f>
        <v>5.9</v>
      </c>
    </row>
    <row r="820" spans="1:12" ht="15" customHeight="1" x14ac:dyDescent="0.25">
      <c r="A820" s="184"/>
      <c r="B820" s="141"/>
      <c r="C820" s="141"/>
      <c r="D820" s="141"/>
      <c r="E820" s="141"/>
      <c r="F820" s="141"/>
      <c r="G820" s="141"/>
      <c r="H820" s="491" t="s">
        <v>1844</v>
      </c>
      <c r="I820" s="491"/>
      <c r="J820" s="491"/>
      <c r="K820" s="491"/>
      <c r="L820" s="369">
        <f>SUM(L818:L819)</f>
        <v>31.93</v>
      </c>
    </row>
    <row r="821" spans="1:12" ht="15" customHeight="1" x14ac:dyDescent="0.25">
      <c r="A821" s="182"/>
      <c r="B821" s="183"/>
      <c r="C821" s="183"/>
      <c r="D821" s="183"/>
      <c r="E821" s="183"/>
      <c r="F821" s="183"/>
      <c r="G821" s="183"/>
      <c r="H821" s="482" t="s">
        <v>1845</v>
      </c>
      <c r="I821" s="482"/>
      <c r="J821" s="482"/>
      <c r="K821" s="482"/>
      <c r="L821" s="371">
        <f>SUM(L820)</f>
        <v>31.93</v>
      </c>
    </row>
    <row r="822" spans="1:12" ht="15" customHeight="1" x14ac:dyDescent="0.25">
      <c r="A822" s="182"/>
      <c r="B822" s="183"/>
      <c r="C822" s="183"/>
      <c r="D822" s="183"/>
      <c r="E822" s="183"/>
      <c r="F822" s="183"/>
      <c r="G822" s="183"/>
      <c r="H822" s="482" t="s">
        <v>1846</v>
      </c>
      <c r="I822" s="482"/>
      <c r="J822" s="482"/>
      <c r="K822" s="482"/>
      <c r="L822" s="374">
        <v>1</v>
      </c>
    </row>
    <row r="823" spans="1:12" ht="15" customHeight="1" x14ac:dyDescent="0.25">
      <c r="A823" s="182"/>
      <c r="B823" s="183"/>
      <c r="C823" s="183"/>
      <c r="D823" s="183"/>
      <c r="E823" s="183"/>
      <c r="F823" s="183"/>
      <c r="G823" s="183"/>
      <c r="H823" s="482" t="s">
        <v>1847</v>
      </c>
      <c r="I823" s="482"/>
      <c r="J823" s="482"/>
      <c r="K823" s="482"/>
      <c r="L823" s="371">
        <f>TRUNC(L821/L822,4)</f>
        <v>31.93</v>
      </c>
    </row>
    <row r="824" spans="1:12" ht="20.100000000000001" customHeight="1" x14ac:dyDescent="0.25">
      <c r="A824" s="488" t="s">
        <v>1880</v>
      </c>
      <c r="B824" s="489"/>
      <c r="C824" s="489"/>
      <c r="D824" s="489"/>
      <c r="E824" s="489"/>
      <c r="F824" s="489"/>
      <c r="G824" s="233" t="s">
        <v>44</v>
      </c>
      <c r="H824" s="515" t="s">
        <v>1837</v>
      </c>
      <c r="I824" s="515"/>
      <c r="J824" s="515" t="s">
        <v>1881</v>
      </c>
      <c r="K824" s="515"/>
      <c r="L824" s="169" t="s">
        <v>1882</v>
      </c>
    </row>
    <row r="825" spans="1:12" ht="15" customHeight="1" x14ac:dyDescent="0.25">
      <c r="A825" s="170" t="s">
        <v>3577</v>
      </c>
      <c r="B825" s="492" t="s">
        <v>3578</v>
      </c>
      <c r="C825" s="492"/>
      <c r="D825" s="492"/>
      <c r="E825" s="492"/>
      <c r="F825" s="492"/>
      <c r="G825" s="127" t="s">
        <v>226</v>
      </c>
      <c r="H825" s="524">
        <v>1</v>
      </c>
      <c r="I825" s="524"/>
      <c r="J825" s="525">
        <v>146.27000000000001</v>
      </c>
      <c r="K825" s="525"/>
      <c r="L825" s="171">
        <f>TRUNC(TRUNC(H825,8)*J825,2)</f>
        <v>146.27000000000001</v>
      </c>
    </row>
    <row r="826" spans="1:12" ht="15" customHeight="1" x14ac:dyDescent="0.25">
      <c r="A826" s="184"/>
      <c r="B826" s="141"/>
      <c r="C826" s="141"/>
      <c r="D826" s="141"/>
      <c r="E826" s="141"/>
      <c r="F826" s="141"/>
      <c r="G826" s="141"/>
      <c r="H826" s="491" t="s">
        <v>1889</v>
      </c>
      <c r="I826" s="491"/>
      <c r="J826" s="491"/>
      <c r="K826" s="491"/>
      <c r="L826" s="375">
        <f>SUM(L825:L825)</f>
        <v>146.27000000000001</v>
      </c>
    </row>
    <row r="827" spans="1:12" ht="15" customHeight="1" x14ac:dyDescent="0.25">
      <c r="A827" s="182"/>
      <c r="B827" s="183"/>
      <c r="C827" s="183"/>
      <c r="D827" s="183"/>
      <c r="E827" s="183"/>
      <c r="F827" s="183"/>
      <c r="G827" s="183"/>
      <c r="H827" s="482" t="s">
        <v>1848</v>
      </c>
      <c r="I827" s="482"/>
      <c r="J827" s="482"/>
      <c r="K827" s="482"/>
      <c r="L827" s="371">
        <f>SUM(L823,L826)</f>
        <v>178.20000000000002</v>
      </c>
    </row>
    <row r="828" spans="1:12" ht="15" customHeight="1" x14ac:dyDescent="0.25">
      <c r="A828" s="182"/>
      <c r="B828" s="183"/>
      <c r="C828" s="183"/>
      <c r="D828" s="183"/>
      <c r="E828" s="183"/>
      <c r="F828" s="183"/>
      <c r="G828" s="183"/>
      <c r="H828" s="482" t="s">
        <v>1834</v>
      </c>
      <c r="I828" s="482"/>
      <c r="J828" s="482"/>
      <c r="K828" s="482"/>
      <c r="L828" s="369">
        <f>ROUND(SUM(L827),2)</f>
        <v>178.2</v>
      </c>
    </row>
    <row r="829" spans="1:12" ht="9.9499999999999993" customHeight="1" x14ac:dyDescent="0.25">
      <c r="A829" s="182"/>
      <c r="B829" s="183"/>
      <c r="C829" s="183"/>
      <c r="D829" s="183"/>
      <c r="E829" s="183"/>
      <c r="F829" s="183"/>
      <c r="G829" s="183"/>
      <c r="H829" s="485"/>
      <c r="I829" s="485"/>
      <c r="J829" s="485"/>
      <c r="K829" s="485"/>
      <c r="L829" s="512"/>
    </row>
    <row r="830" spans="1:12" ht="20.100000000000001" customHeight="1" x14ac:dyDescent="0.25">
      <c r="A830" s="486" t="s">
        <v>3579</v>
      </c>
      <c r="B830" s="487"/>
      <c r="C830" s="487"/>
      <c r="D830" s="487"/>
      <c r="E830" s="487"/>
      <c r="F830" s="487"/>
      <c r="G830" s="487"/>
      <c r="H830" s="487"/>
      <c r="I830" s="487"/>
      <c r="J830" s="487"/>
      <c r="K830" s="487"/>
      <c r="L830" s="513"/>
    </row>
    <row r="831" spans="1:12" ht="20.100000000000001" customHeight="1" x14ac:dyDescent="0.25">
      <c r="A831" s="488" t="s">
        <v>1836</v>
      </c>
      <c r="B831" s="489"/>
      <c r="C831" s="489"/>
      <c r="D831" s="489"/>
      <c r="E831" s="489"/>
      <c r="F831" s="489"/>
      <c r="G831" s="233" t="s">
        <v>44</v>
      </c>
      <c r="H831" s="515" t="s">
        <v>1837</v>
      </c>
      <c r="I831" s="515"/>
      <c r="J831" s="515" t="s">
        <v>1838</v>
      </c>
      <c r="K831" s="515"/>
      <c r="L831" s="169" t="s">
        <v>1839</v>
      </c>
    </row>
    <row r="832" spans="1:12" ht="15" customHeight="1" x14ac:dyDescent="0.25">
      <c r="A832" s="170" t="s">
        <v>1840</v>
      </c>
      <c r="B832" s="490" t="s">
        <v>1841</v>
      </c>
      <c r="C832" s="490"/>
      <c r="D832" s="490"/>
      <c r="E832" s="490"/>
      <c r="F832" s="490"/>
      <c r="G832" s="127" t="s">
        <v>1024</v>
      </c>
      <c r="H832" s="524">
        <v>0.85</v>
      </c>
      <c r="I832" s="524"/>
      <c r="J832" s="517">
        <v>21.94</v>
      </c>
      <c r="K832" s="517"/>
      <c r="L832" s="370">
        <f>TRUNC(TRUNC(H832,8)*J832,2)</f>
        <v>18.64</v>
      </c>
    </row>
    <row r="833" spans="1:12" ht="15" customHeight="1" x14ac:dyDescent="0.25">
      <c r="A833" s="170" t="s">
        <v>1842</v>
      </c>
      <c r="B833" s="490" t="s">
        <v>1843</v>
      </c>
      <c r="C833" s="490"/>
      <c r="D833" s="490"/>
      <c r="E833" s="490"/>
      <c r="F833" s="490"/>
      <c r="G833" s="127" t="s">
        <v>1024</v>
      </c>
      <c r="H833" s="524">
        <v>0.85</v>
      </c>
      <c r="I833" s="524"/>
      <c r="J833" s="517">
        <v>26.03</v>
      </c>
      <c r="K833" s="517"/>
      <c r="L833" s="370">
        <f>TRUNC(TRUNC(H833,8)*J833,2)</f>
        <v>22.12</v>
      </c>
    </row>
    <row r="834" spans="1:12" ht="15" customHeight="1" x14ac:dyDescent="0.25">
      <c r="A834" s="184"/>
      <c r="B834" s="141"/>
      <c r="C834" s="141"/>
      <c r="D834" s="141"/>
      <c r="E834" s="141"/>
      <c r="F834" s="141"/>
      <c r="G834" s="141"/>
      <c r="H834" s="491" t="s">
        <v>1844</v>
      </c>
      <c r="I834" s="491"/>
      <c r="J834" s="491"/>
      <c r="K834" s="491"/>
      <c r="L834" s="369">
        <f>SUM(L832:L833)</f>
        <v>40.760000000000005</v>
      </c>
    </row>
    <row r="835" spans="1:12" ht="15" customHeight="1" x14ac:dyDescent="0.25">
      <c r="A835" s="182"/>
      <c r="B835" s="183"/>
      <c r="C835" s="183"/>
      <c r="D835" s="183"/>
      <c r="E835" s="183"/>
      <c r="F835" s="183"/>
      <c r="G835" s="183"/>
      <c r="H835" s="482" t="s">
        <v>1845</v>
      </c>
      <c r="I835" s="482"/>
      <c r="J835" s="482"/>
      <c r="K835" s="482"/>
      <c r="L835" s="371">
        <f>SUM(L834)</f>
        <v>40.760000000000005</v>
      </c>
    </row>
    <row r="836" spans="1:12" ht="15" customHeight="1" x14ac:dyDescent="0.25">
      <c r="A836" s="182"/>
      <c r="B836" s="183"/>
      <c r="C836" s="183"/>
      <c r="D836" s="183"/>
      <c r="E836" s="183"/>
      <c r="F836" s="183"/>
      <c r="G836" s="183"/>
      <c r="H836" s="482" t="s">
        <v>1846</v>
      </c>
      <c r="I836" s="482"/>
      <c r="J836" s="482"/>
      <c r="K836" s="482"/>
      <c r="L836" s="374">
        <v>1</v>
      </c>
    </row>
    <row r="837" spans="1:12" ht="15" customHeight="1" x14ac:dyDescent="0.25">
      <c r="A837" s="182"/>
      <c r="B837" s="183"/>
      <c r="C837" s="183"/>
      <c r="D837" s="183"/>
      <c r="E837" s="183"/>
      <c r="F837" s="183"/>
      <c r="G837" s="183"/>
      <c r="H837" s="482" t="s">
        <v>1847</v>
      </c>
      <c r="I837" s="482"/>
      <c r="J837" s="482"/>
      <c r="K837" s="482"/>
      <c r="L837" s="371">
        <f>TRUNC(L835/L836,4)</f>
        <v>40.76</v>
      </c>
    </row>
    <row r="838" spans="1:12" ht="20.100000000000001" customHeight="1" x14ac:dyDescent="0.25">
      <c r="A838" s="488" t="s">
        <v>1880</v>
      </c>
      <c r="B838" s="489"/>
      <c r="C838" s="489"/>
      <c r="D838" s="489"/>
      <c r="E838" s="489"/>
      <c r="F838" s="489"/>
      <c r="G838" s="233" t="s">
        <v>44</v>
      </c>
      <c r="H838" s="515" t="s">
        <v>1837</v>
      </c>
      <c r="I838" s="515"/>
      <c r="J838" s="515" t="s">
        <v>1881</v>
      </c>
      <c r="K838" s="515"/>
      <c r="L838" s="169" t="s">
        <v>1882</v>
      </c>
    </row>
    <row r="839" spans="1:12" ht="15" customHeight="1" x14ac:dyDescent="0.25">
      <c r="A839" s="170" t="s">
        <v>3580</v>
      </c>
      <c r="B839" s="492" t="s">
        <v>3581</v>
      </c>
      <c r="C839" s="492"/>
      <c r="D839" s="492"/>
      <c r="E839" s="492"/>
      <c r="F839" s="492"/>
      <c r="G839" s="127" t="s">
        <v>226</v>
      </c>
      <c r="H839" s="524">
        <v>1</v>
      </c>
      <c r="I839" s="524"/>
      <c r="J839" s="525">
        <v>98.73</v>
      </c>
      <c r="K839" s="525"/>
      <c r="L839" s="171">
        <f>TRUNC(TRUNC(H839,8)*J839,2)</f>
        <v>98.73</v>
      </c>
    </row>
    <row r="840" spans="1:12" ht="15" customHeight="1" x14ac:dyDescent="0.25">
      <c r="A840" s="170" t="s">
        <v>3553</v>
      </c>
      <c r="B840" s="492" t="s">
        <v>3554</v>
      </c>
      <c r="C840" s="492"/>
      <c r="D840" s="492"/>
      <c r="E840" s="492"/>
      <c r="F840" s="492"/>
      <c r="G840" s="127" t="s">
        <v>226</v>
      </c>
      <c r="H840" s="524">
        <v>1</v>
      </c>
      <c r="I840" s="524"/>
      <c r="J840" s="525">
        <v>36.29</v>
      </c>
      <c r="K840" s="525"/>
      <c r="L840" s="171">
        <f>TRUNC(TRUNC(H840,8)*J840,2)</f>
        <v>36.29</v>
      </c>
    </row>
    <row r="841" spans="1:12" ht="15" customHeight="1" x14ac:dyDescent="0.25">
      <c r="A841" s="170" t="s">
        <v>3361</v>
      </c>
      <c r="B841" s="492" t="s">
        <v>3362</v>
      </c>
      <c r="C841" s="492"/>
      <c r="D841" s="492"/>
      <c r="E841" s="492"/>
      <c r="F841" s="492"/>
      <c r="G841" s="127" t="s">
        <v>188</v>
      </c>
      <c r="H841" s="524">
        <v>0.56000000000000005</v>
      </c>
      <c r="I841" s="524"/>
      <c r="J841" s="525">
        <v>0.24</v>
      </c>
      <c r="K841" s="525"/>
      <c r="L841" s="171">
        <f>TRUNC(TRUNC(H841,8)*J841,2)</f>
        <v>0.13</v>
      </c>
    </row>
    <row r="842" spans="1:12" ht="15" customHeight="1" x14ac:dyDescent="0.25">
      <c r="A842" s="170" t="s">
        <v>3582</v>
      </c>
      <c r="B842" s="492" t="s">
        <v>3583</v>
      </c>
      <c r="C842" s="492"/>
      <c r="D842" s="492"/>
      <c r="E842" s="492"/>
      <c r="F842" s="492"/>
      <c r="G842" s="127" t="s">
        <v>226</v>
      </c>
      <c r="H842" s="524">
        <v>1</v>
      </c>
      <c r="I842" s="524"/>
      <c r="J842" s="525">
        <v>141.79</v>
      </c>
      <c r="K842" s="525"/>
      <c r="L842" s="171">
        <f>TRUNC(TRUNC(H842,8)*J842,2)</f>
        <v>141.79</v>
      </c>
    </row>
    <row r="843" spans="1:12" ht="15" customHeight="1" x14ac:dyDescent="0.25">
      <c r="A843" s="170" t="s">
        <v>3559</v>
      </c>
      <c r="B843" s="492" t="s">
        <v>3560</v>
      </c>
      <c r="C843" s="492"/>
      <c r="D843" s="492"/>
      <c r="E843" s="492"/>
      <c r="F843" s="492"/>
      <c r="G843" s="127" t="s">
        <v>226</v>
      </c>
      <c r="H843" s="524">
        <v>1</v>
      </c>
      <c r="I843" s="524"/>
      <c r="J843" s="525">
        <v>37.42</v>
      </c>
      <c r="K843" s="525"/>
      <c r="L843" s="171">
        <f>TRUNC(TRUNC(H843,8)*J843,2)</f>
        <v>37.42</v>
      </c>
    </row>
    <row r="844" spans="1:12" ht="15" customHeight="1" x14ac:dyDescent="0.25">
      <c r="A844" s="184"/>
      <c r="B844" s="141"/>
      <c r="C844" s="141"/>
      <c r="D844" s="141"/>
      <c r="E844" s="141"/>
      <c r="F844" s="141"/>
      <c r="G844" s="141"/>
      <c r="H844" s="491" t="s">
        <v>1889</v>
      </c>
      <c r="I844" s="491"/>
      <c r="J844" s="491"/>
      <c r="K844" s="491"/>
      <c r="L844" s="375">
        <f>SUM(L839:L843)</f>
        <v>314.36</v>
      </c>
    </row>
    <row r="845" spans="1:12" ht="15" customHeight="1" x14ac:dyDescent="0.25">
      <c r="A845" s="182"/>
      <c r="B845" s="183"/>
      <c r="C845" s="183"/>
      <c r="D845" s="183"/>
      <c r="E845" s="183"/>
      <c r="F845" s="183"/>
      <c r="G845" s="183"/>
      <c r="H845" s="482" t="s">
        <v>1848</v>
      </c>
      <c r="I845" s="482"/>
      <c r="J845" s="482"/>
      <c r="K845" s="482"/>
      <c r="L845" s="371">
        <f>SUM(L837,L844)</f>
        <v>355.12</v>
      </c>
    </row>
    <row r="846" spans="1:12" ht="15" customHeight="1" x14ac:dyDescent="0.25">
      <c r="A846" s="182"/>
      <c r="B846" s="183"/>
      <c r="C846" s="183"/>
      <c r="D846" s="183"/>
      <c r="E846" s="183"/>
      <c r="F846" s="183"/>
      <c r="G846" s="183"/>
      <c r="H846" s="482" t="s">
        <v>1834</v>
      </c>
      <c r="I846" s="482"/>
      <c r="J846" s="482"/>
      <c r="K846" s="482"/>
      <c r="L846" s="369">
        <f>ROUND(SUM(L845),2)</f>
        <v>355.12</v>
      </c>
    </row>
    <row r="847" spans="1:12" ht="9.9499999999999993" customHeight="1" x14ac:dyDescent="0.25">
      <c r="A847" s="182"/>
      <c r="B847" s="183"/>
      <c r="C847" s="183"/>
      <c r="D847" s="183"/>
      <c r="E847" s="183"/>
      <c r="F847" s="183"/>
      <c r="G847" s="183"/>
      <c r="H847" s="485"/>
      <c r="I847" s="485"/>
      <c r="J847" s="485"/>
      <c r="K847" s="485"/>
      <c r="L847" s="512"/>
    </row>
    <row r="848" spans="1:12" ht="20.100000000000001" customHeight="1" x14ac:dyDescent="0.25">
      <c r="A848" s="486" t="s">
        <v>1898</v>
      </c>
      <c r="B848" s="487"/>
      <c r="C848" s="487"/>
      <c r="D848" s="487"/>
      <c r="E848" s="487"/>
      <c r="F848" s="487"/>
      <c r="G848" s="487"/>
      <c r="H848" s="487"/>
      <c r="I848" s="487"/>
      <c r="J848" s="487"/>
      <c r="K848" s="487"/>
      <c r="L848" s="513"/>
    </row>
    <row r="849" spans="1:12" ht="15" customHeight="1" x14ac:dyDescent="0.25">
      <c r="A849" s="474" t="s">
        <v>1812</v>
      </c>
      <c r="B849" s="475"/>
      <c r="C849" s="475"/>
      <c r="D849" s="476" t="s">
        <v>42</v>
      </c>
      <c r="E849" s="476"/>
      <c r="F849" s="476"/>
      <c r="G849" s="230" t="s">
        <v>44</v>
      </c>
      <c r="H849" s="476" t="s">
        <v>1813</v>
      </c>
      <c r="I849" s="476"/>
      <c r="J849" s="476" t="s">
        <v>1814</v>
      </c>
      <c r="K849" s="476"/>
      <c r="L849" s="366" t="s">
        <v>1802</v>
      </c>
    </row>
    <row r="850" spans="1:12" ht="15" customHeight="1" x14ac:dyDescent="0.25">
      <c r="A850" s="181" t="s">
        <v>1899</v>
      </c>
      <c r="B850" s="509" t="s">
        <v>1900</v>
      </c>
      <c r="C850" s="509"/>
      <c r="D850" s="481" t="s">
        <v>51</v>
      </c>
      <c r="E850" s="481"/>
      <c r="F850" s="481"/>
      <c r="G850" s="231" t="s">
        <v>122</v>
      </c>
      <c r="H850" s="510">
        <v>1</v>
      </c>
      <c r="I850" s="510"/>
      <c r="J850" s="511">
        <v>467.46</v>
      </c>
      <c r="K850" s="511"/>
      <c r="L850" s="367">
        <f>ROUND(ROUND(H850,8)*J850,2)</f>
        <v>467.46</v>
      </c>
    </row>
    <row r="851" spans="1:12" ht="15" customHeight="1" x14ac:dyDescent="0.25">
      <c r="A851" s="182"/>
      <c r="B851" s="183"/>
      <c r="C851" s="183"/>
      <c r="D851" s="183"/>
      <c r="E851" s="183"/>
      <c r="F851" s="183"/>
      <c r="G851" s="183"/>
      <c r="H851" s="477" t="s">
        <v>1826</v>
      </c>
      <c r="I851" s="477"/>
      <c r="J851" s="477"/>
      <c r="K851" s="477"/>
      <c r="L851" s="368">
        <f>SUM(L850:L850)</f>
        <v>467.46</v>
      </c>
    </row>
    <row r="852" spans="1:12" ht="15" customHeight="1" x14ac:dyDescent="0.25">
      <c r="A852" s="474" t="s">
        <v>1827</v>
      </c>
      <c r="B852" s="475"/>
      <c r="C852" s="475"/>
      <c r="D852" s="476" t="s">
        <v>42</v>
      </c>
      <c r="E852" s="476"/>
      <c r="F852" s="476"/>
      <c r="G852" s="230" t="s">
        <v>44</v>
      </c>
      <c r="H852" s="476" t="s">
        <v>1813</v>
      </c>
      <c r="I852" s="476"/>
      <c r="J852" s="476" t="s">
        <v>1814</v>
      </c>
      <c r="K852" s="476"/>
      <c r="L852" s="366" t="s">
        <v>1802</v>
      </c>
    </row>
    <row r="853" spans="1:12" ht="15" customHeight="1" x14ac:dyDescent="0.25">
      <c r="A853" s="181" t="s">
        <v>1851</v>
      </c>
      <c r="B853" s="509" t="s">
        <v>1852</v>
      </c>
      <c r="C853" s="509"/>
      <c r="D853" s="481" t="s">
        <v>51</v>
      </c>
      <c r="E853" s="481"/>
      <c r="F853" s="481"/>
      <c r="G853" s="231" t="s">
        <v>1024</v>
      </c>
      <c r="H853" s="510">
        <v>0.3</v>
      </c>
      <c r="I853" s="510"/>
      <c r="J853" s="511">
        <v>26.03</v>
      </c>
      <c r="K853" s="511"/>
      <c r="L853" s="367">
        <f>ROUND(ROUND(H853,8)*J853,2)</f>
        <v>7.81</v>
      </c>
    </row>
    <row r="854" spans="1:12" ht="15" customHeight="1" x14ac:dyDescent="0.25">
      <c r="A854" s="181" t="s">
        <v>1830</v>
      </c>
      <c r="B854" s="509" t="s">
        <v>1831</v>
      </c>
      <c r="C854" s="509"/>
      <c r="D854" s="481" t="s">
        <v>51</v>
      </c>
      <c r="E854" s="481"/>
      <c r="F854" s="481"/>
      <c r="G854" s="231" t="s">
        <v>1024</v>
      </c>
      <c r="H854" s="510">
        <v>0.3</v>
      </c>
      <c r="I854" s="510"/>
      <c r="J854" s="511">
        <v>19.68</v>
      </c>
      <c r="K854" s="511"/>
      <c r="L854" s="367">
        <f>ROUND(ROUND(H854,8)*J854,2)</f>
        <v>5.9</v>
      </c>
    </row>
    <row r="855" spans="1:12" ht="15" customHeight="1" x14ac:dyDescent="0.25">
      <c r="A855" s="182"/>
      <c r="B855" s="183"/>
      <c r="C855" s="183"/>
      <c r="D855" s="183"/>
      <c r="E855" s="183"/>
      <c r="F855" s="183"/>
      <c r="G855" s="183"/>
      <c r="H855" s="477" t="s">
        <v>1832</v>
      </c>
      <c r="I855" s="477"/>
      <c r="J855" s="477"/>
      <c r="K855" s="477"/>
      <c r="L855" s="368">
        <f>SUM(L853:L854)</f>
        <v>13.71</v>
      </c>
    </row>
    <row r="856" spans="1:12" ht="15" customHeight="1" x14ac:dyDescent="0.25">
      <c r="A856" s="483" t="s">
        <v>1901</v>
      </c>
      <c r="B856" s="484"/>
      <c r="C856" s="484"/>
      <c r="D856" s="484"/>
      <c r="E856" s="183"/>
      <c r="F856" s="183"/>
      <c r="G856" s="183"/>
      <c r="H856" s="482" t="s">
        <v>1834</v>
      </c>
      <c r="I856" s="482"/>
      <c r="J856" s="482"/>
      <c r="K856" s="482"/>
      <c r="L856" s="369">
        <v>481.17</v>
      </c>
    </row>
    <row r="857" spans="1:12" ht="9.9499999999999993" customHeight="1" x14ac:dyDescent="0.25">
      <c r="A857" s="182"/>
      <c r="B857" s="183"/>
      <c r="C857" s="183"/>
      <c r="D857" s="183"/>
      <c r="E857" s="183"/>
      <c r="F857" s="183"/>
      <c r="G857" s="183"/>
      <c r="H857" s="485"/>
      <c r="I857" s="485"/>
      <c r="J857" s="485"/>
      <c r="K857" s="485"/>
      <c r="L857" s="512"/>
    </row>
    <row r="858" spans="1:12" ht="20.100000000000001" customHeight="1" x14ac:dyDescent="0.25">
      <c r="A858" s="486" t="s">
        <v>1902</v>
      </c>
      <c r="B858" s="487"/>
      <c r="C858" s="487"/>
      <c r="D858" s="487"/>
      <c r="E858" s="487"/>
      <c r="F858" s="487"/>
      <c r="G858" s="487"/>
      <c r="H858" s="487"/>
      <c r="I858" s="487"/>
      <c r="J858" s="487"/>
      <c r="K858" s="487"/>
      <c r="L858" s="513"/>
    </row>
    <row r="859" spans="1:12" ht="15" customHeight="1" x14ac:dyDescent="0.25">
      <c r="A859" s="474" t="s">
        <v>1812</v>
      </c>
      <c r="B859" s="475"/>
      <c r="C859" s="475"/>
      <c r="D859" s="476" t="s">
        <v>42</v>
      </c>
      <c r="E859" s="476"/>
      <c r="F859" s="476"/>
      <c r="G859" s="230" t="s">
        <v>44</v>
      </c>
      <c r="H859" s="476" t="s">
        <v>1813</v>
      </c>
      <c r="I859" s="476"/>
      <c r="J859" s="476" t="s">
        <v>1814</v>
      </c>
      <c r="K859" s="476"/>
      <c r="L859" s="366" t="s">
        <v>1802</v>
      </c>
    </row>
    <row r="860" spans="1:12" ht="29.1" customHeight="1" x14ac:dyDescent="0.25">
      <c r="A860" s="181" t="s">
        <v>1903</v>
      </c>
      <c r="B860" s="509" t="s">
        <v>1904</v>
      </c>
      <c r="C860" s="509"/>
      <c r="D860" s="481" t="s">
        <v>1859</v>
      </c>
      <c r="E860" s="481"/>
      <c r="F860" s="481"/>
      <c r="G860" s="231" t="s">
        <v>1905</v>
      </c>
      <c r="H860" s="510">
        <v>2.3E-2</v>
      </c>
      <c r="I860" s="510"/>
      <c r="J860" s="511">
        <v>97.84</v>
      </c>
      <c r="K860" s="511"/>
      <c r="L860" s="367">
        <f>ROUND(ROUND(H860,8)*J860,2)</f>
        <v>2.25</v>
      </c>
    </row>
    <row r="861" spans="1:12" ht="15" customHeight="1" x14ac:dyDescent="0.25">
      <c r="A861" s="181" t="s">
        <v>1906</v>
      </c>
      <c r="B861" s="509" t="s">
        <v>1907</v>
      </c>
      <c r="C861" s="509"/>
      <c r="D861" s="481" t="s">
        <v>1859</v>
      </c>
      <c r="E861" s="481"/>
      <c r="F861" s="481"/>
      <c r="G861" s="231" t="s">
        <v>188</v>
      </c>
      <c r="H861" s="510">
        <v>10.1</v>
      </c>
      <c r="I861" s="510"/>
      <c r="J861" s="511">
        <v>11.5</v>
      </c>
      <c r="K861" s="511"/>
      <c r="L861" s="367">
        <f>ROUND(ROUND(H861,8)*J861,2)</f>
        <v>116.15</v>
      </c>
    </row>
    <row r="862" spans="1:12" ht="15" customHeight="1" x14ac:dyDescent="0.25">
      <c r="A862" s="181" t="s">
        <v>1908</v>
      </c>
      <c r="B862" s="509" t="s">
        <v>1909</v>
      </c>
      <c r="C862" s="509"/>
      <c r="D862" s="481" t="s">
        <v>1859</v>
      </c>
      <c r="E862" s="481"/>
      <c r="F862" s="481"/>
      <c r="G862" s="231" t="s">
        <v>188</v>
      </c>
      <c r="H862" s="510">
        <v>8.5</v>
      </c>
      <c r="I862" s="510"/>
      <c r="J862" s="511">
        <v>3.86</v>
      </c>
      <c r="K862" s="511"/>
      <c r="L862" s="367">
        <f>ROUND(ROUND(H862,8)*J862,2)</f>
        <v>32.81</v>
      </c>
    </row>
    <row r="863" spans="1:12" ht="21" customHeight="1" x14ac:dyDescent="0.25">
      <c r="A863" s="181" t="s">
        <v>1910</v>
      </c>
      <c r="B863" s="509" t="s">
        <v>1911</v>
      </c>
      <c r="C863" s="509"/>
      <c r="D863" s="481" t="s">
        <v>1859</v>
      </c>
      <c r="E863" s="481"/>
      <c r="F863" s="481"/>
      <c r="G863" s="231" t="s">
        <v>226</v>
      </c>
      <c r="H863" s="510">
        <v>39.200000000000003</v>
      </c>
      <c r="I863" s="510"/>
      <c r="J863" s="511">
        <v>3.46</v>
      </c>
      <c r="K863" s="511"/>
      <c r="L863" s="367">
        <f>ROUND(ROUND(H863,8)*J863,2)</f>
        <v>135.63</v>
      </c>
    </row>
    <row r="864" spans="1:12" ht="15" customHeight="1" x14ac:dyDescent="0.25">
      <c r="A864" s="182"/>
      <c r="B864" s="183"/>
      <c r="C864" s="183"/>
      <c r="D864" s="183"/>
      <c r="E864" s="183"/>
      <c r="F864" s="183"/>
      <c r="G864" s="183"/>
      <c r="H864" s="477" t="s">
        <v>1826</v>
      </c>
      <c r="I864" s="477"/>
      <c r="J864" s="477"/>
      <c r="K864" s="477"/>
      <c r="L864" s="368">
        <f>SUM(L860:L863)</f>
        <v>286.84000000000003</v>
      </c>
    </row>
    <row r="865" spans="1:12" ht="15" customHeight="1" x14ac:dyDescent="0.25">
      <c r="A865" s="474" t="s">
        <v>1827</v>
      </c>
      <c r="B865" s="475"/>
      <c r="C865" s="475"/>
      <c r="D865" s="476" t="s">
        <v>42</v>
      </c>
      <c r="E865" s="476"/>
      <c r="F865" s="476"/>
      <c r="G865" s="230" t="s">
        <v>44</v>
      </c>
      <c r="H865" s="476" t="s">
        <v>1813</v>
      </c>
      <c r="I865" s="476"/>
      <c r="J865" s="476" t="s">
        <v>1814</v>
      </c>
      <c r="K865" s="476"/>
      <c r="L865" s="366" t="s">
        <v>1802</v>
      </c>
    </row>
    <row r="866" spans="1:12" ht="15" customHeight="1" x14ac:dyDescent="0.25">
      <c r="A866" s="181" t="s">
        <v>1828</v>
      </c>
      <c r="B866" s="509" t="s">
        <v>1829</v>
      </c>
      <c r="C866" s="509"/>
      <c r="D866" s="481" t="s">
        <v>51</v>
      </c>
      <c r="E866" s="481"/>
      <c r="F866" s="481"/>
      <c r="G866" s="231" t="s">
        <v>1024</v>
      </c>
      <c r="H866" s="510">
        <v>12</v>
      </c>
      <c r="I866" s="510"/>
      <c r="J866" s="511">
        <v>26.03</v>
      </c>
      <c r="K866" s="511"/>
      <c r="L866" s="367">
        <f>ROUND(ROUND(H866,8)*J866,2)</f>
        <v>312.36</v>
      </c>
    </row>
    <row r="867" spans="1:12" ht="15" customHeight="1" x14ac:dyDescent="0.25">
      <c r="A867" s="181" t="s">
        <v>1830</v>
      </c>
      <c r="B867" s="509" t="s">
        <v>1831</v>
      </c>
      <c r="C867" s="509"/>
      <c r="D867" s="481" t="s">
        <v>51</v>
      </c>
      <c r="E867" s="481"/>
      <c r="F867" s="481"/>
      <c r="G867" s="231" t="s">
        <v>1024</v>
      </c>
      <c r="H867" s="510">
        <v>16</v>
      </c>
      <c r="I867" s="510"/>
      <c r="J867" s="511">
        <v>19.68</v>
      </c>
      <c r="K867" s="511"/>
      <c r="L867" s="367">
        <f>ROUND(ROUND(H867,8)*J867,2)</f>
        <v>314.88</v>
      </c>
    </row>
    <row r="868" spans="1:12" ht="15" customHeight="1" x14ac:dyDescent="0.25">
      <c r="A868" s="182"/>
      <c r="B868" s="183"/>
      <c r="C868" s="183"/>
      <c r="D868" s="183"/>
      <c r="E868" s="183"/>
      <c r="F868" s="183"/>
      <c r="G868" s="183"/>
      <c r="H868" s="477" t="s">
        <v>1832</v>
      </c>
      <c r="I868" s="477"/>
      <c r="J868" s="477"/>
      <c r="K868" s="477"/>
      <c r="L868" s="368">
        <f>SUM(L866:L867)</f>
        <v>627.24</v>
      </c>
    </row>
    <row r="869" spans="1:12" ht="15" customHeight="1" x14ac:dyDescent="0.25">
      <c r="A869" s="474" t="s">
        <v>1912</v>
      </c>
      <c r="B869" s="475"/>
      <c r="C869" s="475"/>
      <c r="D869" s="476" t="s">
        <v>42</v>
      </c>
      <c r="E869" s="476"/>
      <c r="F869" s="476"/>
      <c r="G869" s="230" t="s">
        <v>44</v>
      </c>
      <c r="H869" s="476" t="s">
        <v>1813</v>
      </c>
      <c r="I869" s="476"/>
      <c r="J869" s="476" t="s">
        <v>1814</v>
      </c>
      <c r="K869" s="476"/>
      <c r="L869" s="366" t="s">
        <v>1802</v>
      </c>
    </row>
    <row r="870" spans="1:12" ht="38.1" customHeight="1" x14ac:dyDescent="0.25">
      <c r="A870" s="181" t="s">
        <v>1913</v>
      </c>
      <c r="B870" s="509" t="s">
        <v>1914</v>
      </c>
      <c r="C870" s="509"/>
      <c r="D870" s="481" t="s">
        <v>51</v>
      </c>
      <c r="E870" s="481"/>
      <c r="F870" s="481"/>
      <c r="G870" s="231" t="s">
        <v>54</v>
      </c>
      <c r="H870" s="510">
        <v>0.9</v>
      </c>
      <c r="I870" s="510"/>
      <c r="J870" s="511">
        <v>28.73</v>
      </c>
      <c r="K870" s="511"/>
      <c r="L870" s="367">
        <f>ROUND(ROUND(H870,8)*J870,2)</f>
        <v>25.86</v>
      </c>
    </row>
    <row r="871" spans="1:12" ht="15" customHeight="1" x14ac:dyDescent="0.25">
      <c r="A871" s="182"/>
      <c r="B871" s="183"/>
      <c r="C871" s="183"/>
      <c r="D871" s="183"/>
      <c r="E871" s="183"/>
      <c r="F871" s="183"/>
      <c r="G871" s="183"/>
      <c r="H871" s="477" t="s">
        <v>1915</v>
      </c>
      <c r="I871" s="477"/>
      <c r="J871" s="477"/>
      <c r="K871" s="477"/>
      <c r="L871" s="368">
        <f>SUM(L870:L870)</f>
        <v>25.86</v>
      </c>
    </row>
    <row r="872" spans="1:12" ht="15" customHeight="1" x14ac:dyDescent="0.25">
      <c r="A872" s="483" t="s">
        <v>1916</v>
      </c>
      <c r="B872" s="484"/>
      <c r="C872" s="484"/>
      <c r="D872" s="484"/>
      <c r="E872" s="183"/>
      <c r="F872" s="183"/>
      <c r="G872" s="183"/>
      <c r="H872" s="482" t="s">
        <v>1834</v>
      </c>
      <c r="I872" s="482"/>
      <c r="J872" s="482"/>
      <c r="K872" s="482"/>
      <c r="L872" s="369">
        <v>939.94</v>
      </c>
    </row>
    <row r="873" spans="1:12" ht="2.1" customHeight="1" x14ac:dyDescent="0.25">
      <c r="A873" s="483"/>
      <c r="B873" s="484"/>
      <c r="C873" s="484"/>
      <c r="D873" s="484"/>
      <c r="E873" s="183"/>
      <c r="F873" s="183"/>
      <c r="G873" s="183"/>
      <c r="H873" s="183"/>
      <c r="I873" s="183"/>
      <c r="J873" s="183"/>
      <c r="K873" s="183"/>
      <c r="L873" s="383"/>
    </row>
    <row r="874" spans="1:12" ht="9.9499999999999993" customHeight="1" x14ac:dyDescent="0.25">
      <c r="A874" s="182"/>
      <c r="B874" s="183"/>
      <c r="C874" s="183"/>
      <c r="D874" s="183"/>
      <c r="E874" s="183"/>
      <c r="F874" s="183"/>
      <c r="G874" s="183"/>
      <c r="H874" s="485"/>
      <c r="I874" s="485"/>
      <c r="J874" s="485"/>
      <c r="K874" s="485"/>
      <c r="L874" s="512"/>
    </row>
    <row r="875" spans="1:12" ht="20.100000000000001" customHeight="1" x14ac:dyDescent="0.25">
      <c r="A875" s="486" t="s">
        <v>3584</v>
      </c>
      <c r="B875" s="487"/>
      <c r="C875" s="487"/>
      <c r="D875" s="487"/>
      <c r="E875" s="487"/>
      <c r="F875" s="487"/>
      <c r="G875" s="487"/>
      <c r="H875" s="487"/>
      <c r="I875" s="487"/>
      <c r="J875" s="487"/>
      <c r="K875" s="487"/>
      <c r="L875" s="513"/>
    </row>
    <row r="876" spans="1:12" ht="20.100000000000001" customHeight="1" x14ac:dyDescent="0.25">
      <c r="A876" s="488" t="s">
        <v>1836</v>
      </c>
      <c r="B876" s="489"/>
      <c r="C876" s="489"/>
      <c r="D876" s="489"/>
      <c r="E876" s="489"/>
      <c r="F876" s="489"/>
      <c r="G876" s="233" t="s">
        <v>44</v>
      </c>
      <c r="H876" s="515" t="s">
        <v>1837</v>
      </c>
      <c r="I876" s="515"/>
      <c r="J876" s="515" t="s">
        <v>1838</v>
      </c>
      <c r="K876" s="515"/>
      <c r="L876" s="169" t="s">
        <v>1839</v>
      </c>
    </row>
    <row r="877" spans="1:12" ht="15" customHeight="1" x14ac:dyDescent="0.25">
      <c r="A877" s="170" t="s">
        <v>1851</v>
      </c>
      <c r="B877" s="490" t="s">
        <v>1852</v>
      </c>
      <c r="C877" s="490"/>
      <c r="D877" s="490"/>
      <c r="E877" s="490"/>
      <c r="F877" s="490"/>
      <c r="G877" s="127" t="s">
        <v>1024</v>
      </c>
      <c r="H877" s="524">
        <v>1.5</v>
      </c>
      <c r="I877" s="524"/>
      <c r="J877" s="517">
        <v>26.03</v>
      </c>
      <c r="K877" s="517"/>
      <c r="L877" s="370">
        <f>TRUNC(TRUNC(H877,8)*J877,2)</f>
        <v>39.04</v>
      </c>
    </row>
    <row r="878" spans="1:12" ht="15" customHeight="1" x14ac:dyDescent="0.25">
      <c r="A878" s="170" t="s">
        <v>1830</v>
      </c>
      <c r="B878" s="490" t="s">
        <v>1831</v>
      </c>
      <c r="C878" s="490"/>
      <c r="D878" s="490"/>
      <c r="E878" s="490"/>
      <c r="F878" s="490"/>
      <c r="G878" s="127" t="s">
        <v>1024</v>
      </c>
      <c r="H878" s="524">
        <v>1</v>
      </c>
      <c r="I878" s="524"/>
      <c r="J878" s="517">
        <v>19.68</v>
      </c>
      <c r="K878" s="517"/>
      <c r="L878" s="370">
        <f>TRUNC(TRUNC(H878,8)*J878,2)</f>
        <v>19.68</v>
      </c>
    </row>
    <row r="879" spans="1:12" ht="15" customHeight="1" x14ac:dyDescent="0.25">
      <c r="A879" s="184"/>
      <c r="B879" s="141"/>
      <c r="C879" s="141"/>
      <c r="D879" s="141"/>
      <c r="E879" s="141"/>
      <c r="F879" s="141"/>
      <c r="G879" s="141"/>
      <c r="H879" s="491" t="s">
        <v>1844</v>
      </c>
      <c r="I879" s="491"/>
      <c r="J879" s="491"/>
      <c r="K879" s="491"/>
      <c r="L879" s="369">
        <f>SUM(L877:L878)</f>
        <v>58.72</v>
      </c>
    </row>
    <row r="880" spans="1:12" ht="15" customHeight="1" x14ac:dyDescent="0.25">
      <c r="A880" s="182"/>
      <c r="B880" s="183"/>
      <c r="C880" s="183"/>
      <c r="D880" s="183"/>
      <c r="E880" s="183"/>
      <c r="F880" s="183"/>
      <c r="G880" s="183"/>
      <c r="H880" s="482" t="s">
        <v>1845</v>
      </c>
      <c r="I880" s="482"/>
      <c r="J880" s="482"/>
      <c r="K880" s="482"/>
      <c r="L880" s="371">
        <f>SUM(L879)</f>
        <v>58.72</v>
      </c>
    </row>
    <row r="881" spans="1:12" ht="15" customHeight="1" x14ac:dyDescent="0.25">
      <c r="A881" s="182"/>
      <c r="B881" s="183"/>
      <c r="C881" s="183"/>
      <c r="D881" s="183"/>
      <c r="E881" s="183"/>
      <c r="F881" s="183"/>
      <c r="G881" s="183"/>
      <c r="H881" s="482" t="s">
        <v>1846</v>
      </c>
      <c r="I881" s="482"/>
      <c r="J881" s="482"/>
      <c r="K881" s="482"/>
      <c r="L881" s="374">
        <v>1</v>
      </c>
    </row>
    <row r="882" spans="1:12" ht="15" customHeight="1" x14ac:dyDescent="0.25">
      <c r="A882" s="182"/>
      <c r="B882" s="183"/>
      <c r="C882" s="183"/>
      <c r="D882" s="183"/>
      <c r="E882" s="183"/>
      <c r="F882" s="183"/>
      <c r="G882" s="183"/>
      <c r="H882" s="482" t="s">
        <v>1847</v>
      </c>
      <c r="I882" s="482"/>
      <c r="J882" s="482"/>
      <c r="K882" s="482"/>
      <c r="L882" s="371">
        <f>TRUNC(L880/L881,4)</f>
        <v>58.72</v>
      </c>
    </row>
    <row r="883" spans="1:12" ht="20.100000000000001" customHeight="1" x14ac:dyDescent="0.25">
      <c r="A883" s="488" t="s">
        <v>1880</v>
      </c>
      <c r="B883" s="489"/>
      <c r="C883" s="489"/>
      <c r="D883" s="489"/>
      <c r="E883" s="489"/>
      <c r="F883" s="489"/>
      <c r="G883" s="233" t="s">
        <v>44</v>
      </c>
      <c r="H883" s="515" t="s">
        <v>1837</v>
      </c>
      <c r="I883" s="515"/>
      <c r="J883" s="515" t="s">
        <v>1881</v>
      </c>
      <c r="K883" s="515"/>
      <c r="L883" s="169" t="s">
        <v>1882</v>
      </c>
    </row>
    <row r="884" spans="1:12" ht="15" customHeight="1" x14ac:dyDescent="0.25">
      <c r="A884" s="170" t="s">
        <v>2170</v>
      </c>
      <c r="B884" s="492" t="s">
        <v>2171</v>
      </c>
      <c r="C884" s="492"/>
      <c r="D884" s="492"/>
      <c r="E884" s="492"/>
      <c r="F884" s="492"/>
      <c r="G884" s="127" t="s">
        <v>85</v>
      </c>
      <c r="H884" s="524">
        <v>5.0000000000000001E-3</v>
      </c>
      <c r="I884" s="524"/>
      <c r="J884" s="525">
        <v>152</v>
      </c>
      <c r="K884" s="525"/>
      <c r="L884" s="171">
        <f>TRUNC(TRUNC(H884,8)*J884,2)</f>
        <v>0.76</v>
      </c>
    </row>
    <row r="885" spans="1:12" ht="15" customHeight="1" x14ac:dyDescent="0.25">
      <c r="A885" s="170" t="s">
        <v>2263</v>
      </c>
      <c r="B885" s="492" t="s">
        <v>2264</v>
      </c>
      <c r="C885" s="492"/>
      <c r="D885" s="492"/>
      <c r="E885" s="492"/>
      <c r="F885" s="492"/>
      <c r="G885" s="127" t="s">
        <v>1817</v>
      </c>
      <c r="H885" s="524">
        <v>1.94</v>
      </c>
      <c r="I885" s="524"/>
      <c r="J885" s="525">
        <v>0.56999999999999995</v>
      </c>
      <c r="K885" s="525"/>
      <c r="L885" s="171">
        <f>TRUNC(TRUNC(H885,8)*J885,2)</f>
        <v>1.1000000000000001</v>
      </c>
    </row>
    <row r="886" spans="1:12" ht="15" customHeight="1" x14ac:dyDescent="0.25">
      <c r="A886" s="170" t="s">
        <v>3585</v>
      </c>
      <c r="B886" s="492" t="s">
        <v>3586</v>
      </c>
      <c r="C886" s="492"/>
      <c r="D886" s="492"/>
      <c r="E886" s="492"/>
      <c r="F886" s="492"/>
      <c r="G886" s="127" t="s">
        <v>122</v>
      </c>
      <c r="H886" s="524">
        <v>1</v>
      </c>
      <c r="I886" s="524"/>
      <c r="J886" s="525">
        <v>953.49</v>
      </c>
      <c r="K886" s="525"/>
      <c r="L886" s="171">
        <f>TRUNC(TRUNC(H886,8)*J886,2)</f>
        <v>953.49</v>
      </c>
    </row>
    <row r="887" spans="1:12" ht="15" customHeight="1" x14ac:dyDescent="0.25">
      <c r="A887" s="184"/>
      <c r="B887" s="141"/>
      <c r="C887" s="141"/>
      <c r="D887" s="141"/>
      <c r="E887" s="141"/>
      <c r="F887" s="141"/>
      <c r="G887" s="141"/>
      <c r="H887" s="491" t="s">
        <v>1889</v>
      </c>
      <c r="I887" s="491"/>
      <c r="J887" s="491"/>
      <c r="K887" s="491"/>
      <c r="L887" s="375">
        <f>SUM(L884:L886)</f>
        <v>955.35</v>
      </c>
    </row>
    <row r="888" spans="1:12" ht="15" customHeight="1" x14ac:dyDescent="0.25">
      <c r="A888" s="182"/>
      <c r="B888" s="183"/>
      <c r="C888" s="183"/>
      <c r="D888" s="183"/>
      <c r="E888" s="183"/>
      <c r="F888" s="183"/>
      <c r="G888" s="183"/>
      <c r="H888" s="482" t="s">
        <v>1848</v>
      </c>
      <c r="I888" s="482"/>
      <c r="J888" s="482"/>
      <c r="K888" s="482"/>
      <c r="L888" s="371">
        <f>SUM(L882,L887)</f>
        <v>1014.07</v>
      </c>
    </row>
    <row r="889" spans="1:12" ht="15" customHeight="1" x14ac:dyDescent="0.25">
      <c r="A889" s="182"/>
      <c r="B889" s="183"/>
      <c r="C889" s="183"/>
      <c r="D889" s="183"/>
      <c r="E889" s="183"/>
      <c r="F889" s="183"/>
      <c r="G889" s="183"/>
      <c r="H889" s="482" t="s">
        <v>1834</v>
      </c>
      <c r="I889" s="482"/>
      <c r="J889" s="482"/>
      <c r="K889" s="482"/>
      <c r="L889" s="369">
        <f>ROUND(SUM(L888),2)</f>
        <v>1014.07</v>
      </c>
    </row>
    <row r="890" spans="1:12" ht="9.9499999999999993" customHeight="1" x14ac:dyDescent="0.25">
      <c r="A890" s="182"/>
      <c r="B890" s="183"/>
      <c r="C890" s="183"/>
      <c r="D890" s="183"/>
      <c r="E890" s="183"/>
      <c r="F890" s="183"/>
      <c r="G890" s="183"/>
      <c r="H890" s="485"/>
      <c r="I890" s="485"/>
      <c r="J890" s="485"/>
      <c r="K890" s="485"/>
      <c r="L890" s="512"/>
    </row>
    <row r="891" spans="1:12" ht="20.100000000000001" customHeight="1" x14ac:dyDescent="0.25">
      <c r="A891" s="486" t="s">
        <v>1917</v>
      </c>
      <c r="B891" s="487"/>
      <c r="C891" s="487"/>
      <c r="D891" s="487"/>
      <c r="E891" s="487"/>
      <c r="F891" s="487"/>
      <c r="G891" s="487"/>
      <c r="H891" s="487"/>
      <c r="I891" s="487"/>
      <c r="J891" s="487"/>
      <c r="K891" s="487"/>
      <c r="L891" s="513"/>
    </row>
    <row r="892" spans="1:12" ht="15" customHeight="1" x14ac:dyDescent="0.25">
      <c r="A892" s="474" t="s">
        <v>1812</v>
      </c>
      <c r="B892" s="475"/>
      <c r="C892" s="475"/>
      <c r="D892" s="476" t="s">
        <v>42</v>
      </c>
      <c r="E892" s="476"/>
      <c r="F892" s="476"/>
      <c r="G892" s="230" t="s">
        <v>44</v>
      </c>
      <c r="H892" s="476" t="s">
        <v>1813</v>
      </c>
      <c r="I892" s="476"/>
      <c r="J892" s="476" t="s">
        <v>1814</v>
      </c>
      <c r="K892" s="476"/>
      <c r="L892" s="366" t="s">
        <v>1802</v>
      </c>
    </row>
    <row r="893" spans="1:12" ht="29.1" customHeight="1" x14ac:dyDescent="0.25">
      <c r="A893" s="181" t="s">
        <v>1918</v>
      </c>
      <c r="B893" s="509" t="s">
        <v>1919</v>
      </c>
      <c r="C893" s="509"/>
      <c r="D893" s="481" t="s">
        <v>82</v>
      </c>
      <c r="E893" s="481"/>
      <c r="F893" s="481"/>
      <c r="G893" s="231" t="s">
        <v>226</v>
      </c>
      <c r="H893" s="510">
        <v>4.72</v>
      </c>
      <c r="I893" s="510"/>
      <c r="J893" s="511">
        <v>0.61</v>
      </c>
      <c r="K893" s="511"/>
      <c r="L893" s="367">
        <f>ROUND(ROUND(H893,8)*J893,2)</f>
        <v>2.88</v>
      </c>
    </row>
    <row r="894" spans="1:12" ht="29.1" customHeight="1" x14ac:dyDescent="0.25">
      <c r="A894" s="181" t="s">
        <v>1920</v>
      </c>
      <c r="B894" s="509" t="s">
        <v>1921</v>
      </c>
      <c r="C894" s="509"/>
      <c r="D894" s="481" t="s">
        <v>82</v>
      </c>
      <c r="E894" s="481"/>
      <c r="F894" s="481"/>
      <c r="G894" s="231" t="s">
        <v>188</v>
      </c>
      <c r="H894" s="510">
        <v>2.202</v>
      </c>
      <c r="I894" s="510"/>
      <c r="J894" s="511">
        <v>24.92</v>
      </c>
      <c r="K894" s="511"/>
      <c r="L894" s="367">
        <f>ROUND(ROUND(H894,8)*J894,2)</f>
        <v>54.87</v>
      </c>
    </row>
    <row r="895" spans="1:12" ht="21" customHeight="1" x14ac:dyDescent="0.25">
      <c r="A895" s="181" t="s">
        <v>1922</v>
      </c>
      <c r="B895" s="509" t="s">
        <v>1923</v>
      </c>
      <c r="C895" s="509"/>
      <c r="D895" s="481" t="s">
        <v>82</v>
      </c>
      <c r="E895" s="481"/>
      <c r="F895" s="481"/>
      <c r="G895" s="231" t="s">
        <v>1924</v>
      </c>
      <c r="H895" s="510">
        <v>6.3700000000000007E-2</v>
      </c>
      <c r="I895" s="510"/>
      <c r="J895" s="511">
        <v>29.78</v>
      </c>
      <c r="K895" s="511"/>
      <c r="L895" s="367">
        <f>ROUND(ROUND(H895,8)*J895,2)</f>
        <v>1.9</v>
      </c>
    </row>
    <row r="896" spans="1:12" ht="15" customHeight="1" x14ac:dyDescent="0.25">
      <c r="A896" s="182"/>
      <c r="B896" s="183"/>
      <c r="C896" s="183"/>
      <c r="D896" s="183"/>
      <c r="E896" s="183"/>
      <c r="F896" s="183"/>
      <c r="G896" s="183"/>
      <c r="H896" s="477" t="s">
        <v>1826</v>
      </c>
      <c r="I896" s="477"/>
      <c r="J896" s="477"/>
      <c r="K896" s="477"/>
      <c r="L896" s="368">
        <f>SUM(L893:L895)</f>
        <v>59.65</v>
      </c>
    </row>
    <row r="897" spans="1:12" ht="15" customHeight="1" x14ac:dyDescent="0.25">
      <c r="A897" s="474" t="s">
        <v>1827</v>
      </c>
      <c r="B897" s="475"/>
      <c r="C897" s="475"/>
      <c r="D897" s="476" t="s">
        <v>42</v>
      </c>
      <c r="E897" s="476"/>
      <c r="F897" s="476"/>
      <c r="G897" s="230" t="s">
        <v>44</v>
      </c>
      <c r="H897" s="476" t="s">
        <v>1813</v>
      </c>
      <c r="I897" s="476"/>
      <c r="J897" s="476" t="s">
        <v>1814</v>
      </c>
      <c r="K897" s="476"/>
      <c r="L897" s="366" t="s">
        <v>1802</v>
      </c>
    </row>
    <row r="898" spans="1:12" ht="15" customHeight="1" x14ac:dyDescent="0.25">
      <c r="A898" s="181" t="s">
        <v>1851</v>
      </c>
      <c r="B898" s="509" t="s">
        <v>1852</v>
      </c>
      <c r="C898" s="509"/>
      <c r="D898" s="481" t="s">
        <v>51</v>
      </c>
      <c r="E898" s="481"/>
      <c r="F898" s="481"/>
      <c r="G898" s="231" t="s">
        <v>1024</v>
      </c>
      <c r="H898" s="510">
        <v>0.4088619</v>
      </c>
      <c r="I898" s="510"/>
      <c r="J898" s="511">
        <v>26.03</v>
      </c>
      <c r="K898" s="511"/>
      <c r="L898" s="367">
        <f>ROUND(ROUND(H898,8)*J898,2)</f>
        <v>10.64</v>
      </c>
    </row>
    <row r="899" spans="1:12" ht="15" customHeight="1" x14ac:dyDescent="0.25">
      <c r="A899" s="181" t="s">
        <v>1830</v>
      </c>
      <c r="B899" s="509" t="s">
        <v>1831</v>
      </c>
      <c r="C899" s="509"/>
      <c r="D899" s="481" t="s">
        <v>51</v>
      </c>
      <c r="E899" s="481"/>
      <c r="F899" s="481"/>
      <c r="G899" s="231" t="s">
        <v>1024</v>
      </c>
      <c r="H899" s="510">
        <v>0.1155479</v>
      </c>
      <c r="I899" s="510"/>
      <c r="J899" s="511">
        <v>19.68</v>
      </c>
      <c r="K899" s="511"/>
      <c r="L899" s="367">
        <f>ROUND(ROUND(H899,8)*J899,2)</f>
        <v>2.27</v>
      </c>
    </row>
    <row r="900" spans="1:12" ht="15" customHeight="1" x14ac:dyDescent="0.25">
      <c r="A900" s="182"/>
      <c r="B900" s="183"/>
      <c r="C900" s="183"/>
      <c r="D900" s="183"/>
      <c r="E900" s="183"/>
      <c r="F900" s="183"/>
      <c r="G900" s="183"/>
      <c r="H900" s="477" t="s">
        <v>1832</v>
      </c>
      <c r="I900" s="477"/>
      <c r="J900" s="477"/>
      <c r="K900" s="477"/>
      <c r="L900" s="368">
        <f>SUM(L898:L899)</f>
        <v>12.91</v>
      </c>
    </row>
    <row r="901" spans="1:12" ht="15" customHeight="1" x14ac:dyDescent="0.25">
      <c r="A901" s="474" t="s">
        <v>1912</v>
      </c>
      <c r="B901" s="475"/>
      <c r="C901" s="475"/>
      <c r="D901" s="476" t="s">
        <v>42</v>
      </c>
      <c r="E901" s="476"/>
      <c r="F901" s="476"/>
      <c r="G901" s="230" t="s">
        <v>44</v>
      </c>
      <c r="H901" s="476" t="s">
        <v>1813</v>
      </c>
      <c r="I901" s="476"/>
      <c r="J901" s="476" t="s">
        <v>1814</v>
      </c>
      <c r="K901" s="476"/>
      <c r="L901" s="366" t="s">
        <v>1802</v>
      </c>
    </row>
    <row r="902" spans="1:12" ht="21" customHeight="1" x14ac:dyDescent="0.25">
      <c r="A902" s="181" t="s">
        <v>1925</v>
      </c>
      <c r="B902" s="509" t="s">
        <v>1926</v>
      </c>
      <c r="C902" s="509"/>
      <c r="D902" s="481" t="s">
        <v>1927</v>
      </c>
      <c r="E902" s="481"/>
      <c r="F902" s="481"/>
      <c r="G902" s="231" t="s">
        <v>197</v>
      </c>
      <c r="H902" s="510">
        <v>1</v>
      </c>
      <c r="I902" s="510"/>
      <c r="J902" s="511">
        <v>523.09</v>
      </c>
      <c r="K902" s="511"/>
      <c r="L902" s="367">
        <f>ROUND(ROUND(H902,8)*J902,2)</f>
        <v>523.09</v>
      </c>
    </row>
    <row r="903" spans="1:12" ht="15" customHeight="1" x14ac:dyDescent="0.25">
      <c r="A903" s="182"/>
      <c r="B903" s="183"/>
      <c r="C903" s="183"/>
      <c r="D903" s="183"/>
      <c r="E903" s="183"/>
      <c r="F903" s="183"/>
      <c r="G903" s="183"/>
      <c r="H903" s="477" t="s">
        <v>1915</v>
      </c>
      <c r="I903" s="477"/>
      <c r="J903" s="477"/>
      <c r="K903" s="477"/>
      <c r="L903" s="368">
        <f>SUM(L902:L902)</f>
        <v>523.09</v>
      </c>
    </row>
    <row r="904" spans="1:12" ht="15" customHeight="1" x14ac:dyDescent="0.25">
      <c r="A904" s="483" t="s">
        <v>1928</v>
      </c>
      <c r="B904" s="484"/>
      <c r="C904" s="484"/>
      <c r="D904" s="484"/>
      <c r="E904" s="183"/>
      <c r="F904" s="183"/>
      <c r="G904" s="183"/>
      <c r="H904" s="482" t="s">
        <v>1834</v>
      </c>
      <c r="I904" s="482"/>
      <c r="J904" s="482"/>
      <c r="K904" s="482"/>
      <c r="L904" s="369">
        <v>595.65</v>
      </c>
    </row>
    <row r="905" spans="1:12" ht="9.9499999999999993" customHeight="1" x14ac:dyDescent="0.25">
      <c r="A905" s="182"/>
      <c r="B905" s="183"/>
      <c r="C905" s="183"/>
      <c r="D905" s="183"/>
      <c r="E905" s="183"/>
      <c r="F905" s="183"/>
      <c r="G905" s="183"/>
      <c r="H905" s="485"/>
      <c r="I905" s="485"/>
      <c r="J905" s="485"/>
      <c r="K905" s="485"/>
      <c r="L905" s="512"/>
    </row>
    <row r="906" spans="1:12" ht="20.100000000000001" customHeight="1" x14ac:dyDescent="0.25">
      <c r="A906" s="486" t="s">
        <v>1929</v>
      </c>
      <c r="B906" s="487"/>
      <c r="C906" s="487"/>
      <c r="D906" s="487"/>
      <c r="E906" s="487"/>
      <c r="F906" s="487"/>
      <c r="G906" s="487"/>
      <c r="H906" s="487"/>
      <c r="I906" s="487"/>
      <c r="J906" s="487"/>
      <c r="K906" s="487"/>
      <c r="L906" s="513"/>
    </row>
    <row r="907" spans="1:12" ht="15" customHeight="1" x14ac:dyDescent="0.25">
      <c r="A907" s="474" t="s">
        <v>1827</v>
      </c>
      <c r="B907" s="475"/>
      <c r="C907" s="475"/>
      <c r="D907" s="476" t="s">
        <v>42</v>
      </c>
      <c r="E907" s="476"/>
      <c r="F907" s="476"/>
      <c r="G907" s="230" t="s">
        <v>44</v>
      </c>
      <c r="H907" s="476" t="s">
        <v>1813</v>
      </c>
      <c r="I907" s="476"/>
      <c r="J907" s="476" t="s">
        <v>1814</v>
      </c>
      <c r="K907" s="476"/>
      <c r="L907" s="366" t="s">
        <v>1802</v>
      </c>
    </row>
    <row r="908" spans="1:12" ht="15" customHeight="1" x14ac:dyDescent="0.25">
      <c r="A908" s="181" t="s">
        <v>1828</v>
      </c>
      <c r="B908" s="509" t="s">
        <v>1829</v>
      </c>
      <c r="C908" s="509"/>
      <c r="D908" s="481" t="s">
        <v>51</v>
      </c>
      <c r="E908" s="481"/>
      <c r="F908" s="481"/>
      <c r="G908" s="231" t="s">
        <v>1024</v>
      </c>
      <c r="H908" s="510">
        <v>1</v>
      </c>
      <c r="I908" s="510"/>
      <c r="J908" s="511">
        <v>26.03</v>
      </c>
      <c r="K908" s="511"/>
      <c r="L908" s="367">
        <f>ROUND(ROUND(H908,8)*J908,2)</f>
        <v>26.03</v>
      </c>
    </row>
    <row r="909" spans="1:12" ht="15" customHeight="1" x14ac:dyDescent="0.25">
      <c r="A909" s="181" t="s">
        <v>1830</v>
      </c>
      <c r="B909" s="509" t="s">
        <v>1831</v>
      </c>
      <c r="C909" s="509"/>
      <c r="D909" s="481" t="s">
        <v>51</v>
      </c>
      <c r="E909" s="481"/>
      <c r="F909" s="481"/>
      <c r="G909" s="231" t="s">
        <v>1024</v>
      </c>
      <c r="H909" s="510">
        <v>2</v>
      </c>
      <c r="I909" s="510"/>
      <c r="J909" s="511">
        <v>19.68</v>
      </c>
      <c r="K909" s="511"/>
      <c r="L909" s="367">
        <f>ROUND(ROUND(H909,8)*J909,2)</f>
        <v>39.36</v>
      </c>
    </row>
    <row r="910" spans="1:12" ht="15" customHeight="1" x14ac:dyDescent="0.25">
      <c r="A910" s="182"/>
      <c r="B910" s="183"/>
      <c r="C910" s="183"/>
      <c r="D910" s="183"/>
      <c r="E910" s="183"/>
      <c r="F910" s="183"/>
      <c r="G910" s="183"/>
      <c r="H910" s="477" t="s">
        <v>1832</v>
      </c>
      <c r="I910" s="477"/>
      <c r="J910" s="477"/>
      <c r="K910" s="477"/>
      <c r="L910" s="368">
        <f>SUM(L908:L909)</f>
        <v>65.39</v>
      </c>
    </row>
    <row r="911" spans="1:12" ht="15" customHeight="1" x14ac:dyDescent="0.25">
      <c r="A911" s="483" t="s">
        <v>1930</v>
      </c>
      <c r="B911" s="484"/>
      <c r="C911" s="484"/>
      <c r="D911" s="484"/>
      <c r="E911" s="183"/>
      <c r="F911" s="183"/>
      <c r="G911" s="183"/>
      <c r="H911" s="482" t="s">
        <v>1834</v>
      </c>
      <c r="I911" s="482"/>
      <c r="J911" s="482"/>
      <c r="K911" s="482"/>
      <c r="L911" s="369">
        <v>65.39</v>
      </c>
    </row>
    <row r="912" spans="1:12" ht="9.9499999999999993" customHeight="1" x14ac:dyDescent="0.25">
      <c r="A912" s="182"/>
      <c r="B912" s="183"/>
      <c r="C912" s="183"/>
      <c r="D912" s="183"/>
      <c r="E912" s="183"/>
      <c r="F912" s="183"/>
      <c r="G912" s="183"/>
      <c r="H912" s="485"/>
      <c r="I912" s="485"/>
      <c r="J912" s="485"/>
      <c r="K912" s="485"/>
      <c r="L912" s="512"/>
    </row>
    <row r="913" spans="1:12" ht="20.100000000000001" customHeight="1" x14ac:dyDescent="0.25">
      <c r="A913" s="486" t="s">
        <v>1931</v>
      </c>
      <c r="B913" s="487"/>
      <c r="C913" s="487"/>
      <c r="D913" s="487"/>
      <c r="E913" s="487"/>
      <c r="F913" s="487"/>
      <c r="G913" s="487"/>
      <c r="H913" s="487"/>
      <c r="I913" s="487"/>
      <c r="J913" s="487"/>
      <c r="K913" s="487"/>
      <c r="L913" s="513"/>
    </row>
    <row r="914" spans="1:12" ht="15" customHeight="1" x14ac:dyDescent="0.25">
      <c r="A914" s="474" t="s">
        <v>1932</v>
      </c>
      <c r="B914" s="475"/>
      <c r="C914" s="475"/>
      <c r="D914" s="476" t="s">
        <v>42</v>
      </c>
      <c r="E914" s="476"/>
      <c r="F914" s="476"/>
      <c r="G914" s="230" t="s">
        <v>44</v>
      </c>
      <c r="H914" s="476" t="s">
        <v>1813</v>
      </c>
      <c r="I914" s="476"/>
      <c r="J914" s="476" t="s">
        <v>1814</v>
      </c>
      <c r="K914" s="476"/>
      <c r="L914" s="366" t="s">
        <v>1802</v>
      </c>
    </row>
    <row r="915" spans="1:12" ht="15" customHeight="1" x14ac:dyDescent="0.25">
      <c r="A915" s="181" t="s">
        <v>1933</v>
      </c>
      <c r="B915" s="509" t="s">
        <v>1934</v>
      </c>
      <c r="C915" s="509"/>
      <c r="D915" s="481" t="s">
        <v>341</v>
      </c>
      <c r="E915" s="481"/>
      <c r="F915" s="481"/>
      <c r="G915" s="231" t="s">
        <v>1935</v>
      </c>
      <c r="H915" s="510">
        <v>0.5</v>
      </c>
      <c r="I915" s="510"/>
      <c r="J915" s="511">
        <v>3.9</v>
      </c>
      <c r="K915" s="511"/>
      <c r="L915" s="367">
        <f>ROUND(ROUND(H915,8)*J915,2)</f>
        <v>1.95</v>
      </c>
    </row>
    <row r="916" spans="1:12" ht="15" customHeight="1" x14ac:dyDescent="0.25">
      <c r="A916" s="181" t="s">
        <v>1936</v>
      </c>
      <c r="B916" s="509" t="s">
        <v>1937</v>
      </c>
      <c r="C916" s="509"/>
      <c r="D916" s="481" t="s">
        <v>341</v>
      </c>
      <c r="E916" s="481"/>
      <c r="F916" s="481"/>
      <c r="G916" s="231" t="s">
        <v>1935</v>
      </c>
      <c r="H916" s="510">
        <v>3</v>
      </c>
      <c r="I916" s="510"/>
      <c r="J916" s="511">
        <v>3.9</v>
      </c>
      <c r="K916" s="511"/>
      <c r="L916" s="367">
        <f>ROUND(ROUND(H916,8)*J916,2)</f>
        <v>11.7</v>
      </c>
    </row>
    <row r="917" spans="1:12" ht="15" customHeight="1" x14ac:dyDescent="0.25">
      <c r="A917" s="182"/>
      <c r="B917" s="183"/>
      <c r="C917" s="183"/>
      <c r="D917" s="183"/>
      <c r="E917" s="183"/>
      <c r="F917" s="183"/>
      <c r="G917" s="183"/>
      <c r="H917" s="477" t="s">
        <v>1938</v>
      </c>
      <c r="I917" s="477"/>
      <c r="J917" s="477"/>
      <c r="K917" s="477"/>
      <c r="L917" s="368">
        <f>SUM(L915:L916)</f>
        <v>13.649999999999999</v>
      </c>
    </row>
    <row r="918" spans="1:12" ht="15" customHeight="1" x14ac:dyDescent="0.25">
      <c r="A918" s="474" t="s">
        <v>1812</v>
      </c>
      <c r="B918" s="475"/>
      <c r="C918" s="475"/>
      <c r="D918" s="476" t="s">
        <v>42</v>
      </c>
      <c r="E918" s="476"/>
      <c r="F918" s="476"/>
      <c r="G918" s="230" t="s">
        <v>44</v>
      </c>
      <c r="H918" s="476" t="s">
        <v>1813</v>
      </c>
      <c r="I918" s="476"/>
      <c r="J918" s="476" t="s">
        <v>1814</v>
      </c>
      <c r="K918" s="476"/>
      <c r="L918" s="366" t="s">
        <v>1802</v>
      </c>
    </row>
    <row r="919" spans="1:12" ht="15" customHeight="1" x14ac:dyDescent="0.25">
      <c r="A919" s="181" t="s">
        <v>1939</v>
      </c>
      <c r="B919" s="509" t="s">
        <v>1940</v>
      </c>
      <c r="C919" s="509"/>
      <c r="D919" s="481" t="s">
        <v>341</v>
      </c>
      <c r="E919" s="481"/>
      <c r="F919" s="481"/>
      <c r="G919" s="231" t="s">
        <v>786</v>
      </c>
      <c r="H919" s="510">
        <v>0.25</v>
      </c>
      <c r="I919" s="510"/>
      <c r="J919" s="511">
        <v>46.26</v>
      </c>
      <c r="K919" s="511"/>
      <c r="L919" s="367">
        <f t="shared" ref="L919:L924" si="9">ROUND(ROUND(H919,8)*J919,2)</f>
        <v>11.57</v>
      </c>
    </row>
    <row r="920" spans="1:12" ht="15" customHeight="1" x14ac:dyDescent="0.25">
      <c r="A920" s="181" t="s">
        <v>1941</v>
      </c>
      <c r="B920" s="509" t="s">
        <v>1942</v>
      </c>
      <c r="C920" s="509"/>
      <c r="D920" s="481" t="s">
        <v>341</v>
      </c>
      <c r="E920" s="481"/>
      <c r="F920" s="481"/>
      <c r="G920" s="231" t="s">
        <v>579</v>
      </c>
      <c r="H920" s="510">
        <v>0.54</v>
      </c>
      <c r="I920" s="510"/>
      <c r="J920" s="511">
        <v>85.75</v>
      </c>
      <c r="K920" s="511"/>
      <c r="L920" s="367">
        <f t="shared" si="9"/>
        <v>46.31</v>
      </c>
    </row>
    <row r="921" spans="1:12" ht="21" customHeight="1" x14ac:dyDescent="0.25">
      <c r="A921" s="181" t="s">
        <v>1943</v>
      </c>
      <c r="B921" s="509" t="s">
        <v>1944</v>
      </c>
      <c r="C921" s="509"/>
      <c r="D921" s="481" t="s">
        <v>341</v>
      </c>
      <c r="E921" s="481"/>
      <c r="F921" s="481"/>
      <c r="G921" s="231" t="s">
        <v>579</v>
      </c>
      <c r="H921" s="510">
        <v>1</v>
      </c>
      <c r="I921" s="510"/>
      <c r="J921" s="511">
        <v>0.97</v>
      </c>
      <c r="K921" s="511"/>
      <c r="L921" s="367">
        <f t="shared" si="9"/>
        <v>0.97</v>
      </c>
    </row>
    <row r="922" spans="1:12" ht="15" customHeight="1" x14ac:dyDescent="0.25">
      <c r="A922" s="181" t="s">
        <v>1945</v>
      </c>
      <c r="B922" s="509" t="s">
        <v>1946</v>
      </c>
      <c r="C922" s="509"/>
      <c r="D922" s="481" t="s">
        <v>341</v>
      </c>
      <c r="E922" s="481"/>
      <c r="F922" s="481"/>
      <c r="G922" s="231" t="s">
        <v>54</v>
      </c>
      <c r="H922" s="510">
        <v>0.25</v>
      </c>
      <c r="I922" s="510"/>
      <c r="J922" s="511">
        <v>22.27</v>
      </c>
      <c r="K922" s="511"/>
      <c r="L922" s="367">
        <f t="shared" si="9"/>
        <v>5.57</v>
      </c>
    </row>
    <row r="923" spans="1:12" ht="15" customHeight="1" x14ac:dyDescent="0.25">
      <c r="A923" s="181" t="s">
        <v>1947</v>
      </c>
      <c r="B923" s="509" t="s">
        <v>1948</v>
      </c>
      <c r="C923" s="509"/>
      <c r="D923" s="481" t="s">
        <v>341</v>
      </c>
      <c r="E923" s="481"/>
      <c r="F923" s="481"/>
      <c r="G923" s="231" t="s">
        <v>579</v>
      </c>
      <c r="H923" s="510">
        <v>1</v>
      </c>
      <c r="I923" s="510"/>
      <c r="J923" s="511">
        <v>4.92</v>
      </c>
      <c r="K923" s="511"/>
      <c r="L923" s="367">
        <f t="shared" si="9"/>
        <v>4.92</v>
      </c>
    </row>
    <row r="924" spans="1:12" ht="15" customHeight="1" x14ac:dyDescent="0.25">
      <c r="A924" s="181" t="s">
        <v>1949</v>
      </c>
      <c r="B924" s="509" t="s">
        <v>1950</v>
      </c>
      <c r="C924" s="509"/>
      <c r="D924" s="481" t="s">
        <v>341</v>
      </c>
      <c r="E924" s="481"/>
      <c r="F924" s="481"/>
      <c r="G924" s="231" t="s">
        <v>1951</v>
      </c>
      <c r="H924" s="510">
        <v>0.09</v>
      </c>
      <c r="I924" s="510"/>
      <c r="J924" s="511">
        <v>63.46</v>
      </c>
      <c r="K924" s="511"/>
      <c r="L924" s="367">
        <f t="shared" si="9"/>
        <v>5.71</v>
      </c>
    </row>
    <row r="925" spans="1:12" ht="15" customHeight="1" x14ac:dyDescent="0.25">
      <c r="A925" s="182"/>
      <c r="B925" s="183"/>
      <c r="C925" s="183"/>
      <c r="D925" s="183"/>
      <c r="E925" s="183"/>
      <c r="F925" s="183"/>
      <c r="G925" s="183"/>
      <c r="H925" s="477" t="s">
        <v>1826</v>
      </c>
      <c r="I925" s="477"/>
      <c r="J925" s="477"/>
      <c r="K925" s="477"/>
      <c r="L925" s="368">
        <f>SUM(L919:L924)</f>
        <v>75.05</v>
      </c>
    </row>
    <row r="926" spans="1:12" ht="15" customHeight="1" x14ac:dyDescent="0.25">
      <c r="A926" s="474" t="s">
        <v>1827</v>
      </c>
      <c r="B926" s="475"/>
      <c r="C926" s="475"/>
      <c r="D926" s="476" t="s">
        <v>42</v>
      </c>
      <c r="E926" s="476"/>
      <c r="F926" s="476"/>
      <c r="G926" s="230" t="s">
        <v>44</v>
      </c>
      <c r="H926" s="476" t="s">
        <v>1813</v>
      </c>
      <c r="I926" s="476"/>
      <c r="J926" s="476" t="s">
        <v>1814</v>
      </c>
      <c r="K926" s="476"/>
      <c r="L926" s="366" t="s">
        <v>1802</v>
      </c>
    </row>
    <row r="927" spans="1:12" ht="15" customHeight="1" x14ac:dyDescent="0.25">
      <c r="A927" s="181" t="s">
        <v>1952</v>
      </c>
      <c r="B927" s="509" t="s">
        <v>1953</v>
      </c>
      <c r="C927" s="509"/>
      <c r="D927" s="481" t="s">
        <v>341</v>
      </c>
      <c r="E927" s="481"/>
      <c r="F927" s="481"/>
      <c r="G927" s="231" t="s">
        <v>1935</v>
      </c>
      <c r="H927" s="510">
        <v>0.5</v>
      </c>
      <c r="I927" s="510"/>
      <c r="J927" s="511">
        <v>15.88</v>
      </c>
      <c r="K927" s="511"/>
      <c r="L927" s="367">
        <f>ROUND(ROUND(H927,8)*J927,2)</f>
        <v>7.94</v>
      </c>
    </row>
    <row r="928" spans="1:12" ht="15" customHeight="1" x14ac:dyDescent="0.25">
      <c r="A928" s="181" t="s">
        <v>1828</v>
      </c>
      <c r="B928" s="509" t="s">
        <v>1829</v>
      </c>
      <c r="C928" s="509"/>
      <c r="D928" s="481" t="s">
        <v>51</v>
      </c>
      <c r="E928" s="481"/>
      <c r="F928" s="481"/>
      <c r="G928" s="231" t="s">
        <v>1024</v>
      </c>
      <c r="H928" s="510">
        <v>1</v>
      </c>
      <c r="I928" s="510"/>
      <c r="J928" s="511">
        <v>26.03</v>
      </c>
      <c r="K928" s="511"/>
      <c r="L928" s="367">
        <f>ROUND(ROUND(H928,8)*J928,2)</f>
        <v>26.03</v>
      </c>
    </row>
    <row r="929" spans="1:12" ht="15" customHeight="1" x14ac:dyDescent="0.25">
      <c r="A929" s="181" t="s">
        <v>1954</v>
      </c>
      <c r="B929" s="509" t="s">
        <v>1955</v>
      </c>
      <c r="C929" s="509"/>
      <c r="D929" s="481" t="s">
        <v>341</v>
      </c>
      <c r="E929" s="481"/>
      <c r="F929" s="481"/>
      <c r="G929" s="231" t="s">
        <v>1935</v>
      </c>
      <c r="H929" s="510">
        <v>3</v>
      </c>
      <c r="I929" s="510"/>
      <c r="J929" s="511">
        <v>74.599999999999994</v>
      </c>
      <c r="K929" s="511"/>
      <c r="L929" s="367">
        <f>ROUND(ROUND(H929,8)*J929,2)</f>
        <v>223.8</v>
      </c>
    </row>
    <row r="930" spans="1:12" ht="15" customHeight="1" x14ac:dyDescent="0.25">
      <c r="A930" s="182"/>
      <c r="B930" s="183"/>
      <c r="C930" s="183"/>
      <c r="D930" s="183"/>
      <c r="E930" s="183"/>
      <c r="F930" s="183"/>
      <c r="G930" s="183"/>
      <c r="H930" s="477" t="s">
        <v>1832</v>
      </c>
      <c r="I930" s="477"/>
      <c r="J930" s="477"/>
      <c r="K930" s="477"/>
      <c r="L930" s="368">
        <f>SUM(L927:L929)</f>
        <v>257.77</v>
      </c>
    </row>
    <row r="931" spans="1:12" ht="15" customHeight="1" x14ac:dyDescent="0.25">
      <c r="A931" s="483" t="s">
        <v>1956</v>
      </c>
      <c r="B931" s="484"/>
      <c r="C931" s="484"/>
      <c r="D931" s="484"/>
      <c r="E931" s="183"/>
      <c r="F931" s="183"/>
      <c r="G931" s="183"/>
      <c r="H931" s="482" t="s">
        <v>1834</v>
      </c>
      <c r="I931" s="482"/>
      <c r="J931" s="482"/>
      <c r="K931" s="482"/>
      <c r="L931" s="369">
        <v>346.47</v>
      </c>
    </row>
    <row r="932" spans="1:12" ht="9.9499999999999993" customHeight="1" x14ac:dyDescent="0.25">
      <c r="A932" s="182"/>
      <c r="B932" s="183"/>
      <c r="C932" s="183"/>
      <c r="D932" s="183"/>
      <c r="E932" s="183"/>
      <c r="F932" s="183"/>
      <c r="G932" s="183"/>
      <c r="H932" s="485"/>
      <c r="I932" s="485"/>
      <c r="J932" s="485"/>
      <c r="K932" s="485"/>
      <c r="L932" s="512"/>
    </row>
    <row r="933" spans="1:12" ht="20.100000000000001" customHeight="1" x14ac:dyDescent="0.25">
      <c r="A933" s="486" t="s">
        <v>1957</v>
      </c>
      <c r="B933" s="487"/>
      <c r="C933" s="487"/>
      <c r="D933" s="487"/>
      <c r="E933" s="487"/>
      <c r="F933" s="487"/>
      <c r="G933" s="487"/>
      <c r="H933" s="487"/>
      <c r="I933" s="487"/>
      <c r="J933" s="487"/>
      <c r="K933" s="487"/>
      <c r="L933" s="513"/>
    </row>
    <row r="934" spans="1:12" ht="15" customHeight="1" x14ac:dyDescent="0.25">
      <c r="A934" s="474" t="s">
        <v>1812</v>
      </c>
      <c r="B934" s="475"/>
      <c r="C934" s="475"/>
      <c r="D934" s="476" t="s">
        <v>42</v>
      </c>
      <c r="E934" s="476"/>
      <c r="F934" s="476"/>
      <c r="G934" s="230" t="s">
        <v>44</v>
      </c>
      <c r="H934" s="476" t="s">
        <v>1813</v>
      </c>
      <c r="I934" s="476"/>
      <c r="J934" s="476" t="s">
        <v>1814</v>
      </c>
      <c r="K934" s="476"/>
      <c r="L934" s="366" t="s">
        <v>1802</v>
      </c>
    </row>
    <row r="935" spans="1:12" ht="45.95" customHeight="1" x14ac:dyDescent="0.25">
      <c r="A935" s="181" t="s">
        <v>1958</v>
      </c>
      <c r="B935" s="509" t="s">
        <v>1959</v>
      </c>
      <c r="C935" s="509"/>
      <c r="D935" s="481" t="s">
        <v>82</v>
      </c>
      <c r="E935" s="481"/>
      <c r="F935" s="481"/>
      <c r="G935" s="231" t="s">
        <v>1960</v>
      </c>
      <c r="H935" s="510">
        <v>2</v>
      </c>
      <c r="I935" s="510"/>
      <c r="J935" s="511">
        <v>159.03</v>
      </c>
      <c r="K935" s="511"/>
      <c r="L935" s="367">
        <f>ROUND(ROUND(H935,8)*J935,2)</f>
        <v>318.06</v>
      </c>
    </row>
    <row r="936" spans="1:12" ht="21" customHeight="1" x14ac:dyDescent="0.25">
      <c r="A936" s="181" t="s">
        <v>1961</v>
      </c>
      <c r="B936" s="509" t="s">
        <v>1962</v>
      </c>
      <c r="C936" s="509"/>
      <c r="D936" s="481" t="s">
        <v>1963</v>
      </c>
      <c r="E936" s="481"/>
      <c r="F936" s="481"/>
      <c r="G936" s="231" t="s">
        <v>251</v>
      </c>
      <c r="H936" s="510">
        <v>1</v>
      </c>
      <c r="I936" s="510"/>
      <c r="J936" s="511">
        <v>127.23</v>
      </c>
      <c r="K936" s="511"/>
      <c r="L936" s="367">
        <f>ROUND(ROUND(H936,8)*J936,2)</f>
        <v>127.23</v>
      </c>
    </row>
    <row r="937" spans="1:12" ht="21" customHeight="1" x14ac:dyDescent="0.25">
      <c r="A937" s="181" t="s">
        <v>1964</v>
      </c>
      <c r="B937" s="509" t="s">
        <v>1965</v>
      </c>
      <c r="C937" s="509"/>
      <c r="D937" s="481" t="s">
        <v>82</v>
      </c>
      <c r="E937" s="481"/>
      <c r="F937" s="481"/>
      <c r="G937" s="231" t="s">
        <v>226</v>
      </c>
      <c r="H937" s="510">
        <v>2</v>
      </c>
      <c r="I937" s="510"/>
      <c r="J937" s="511">
        <v>857.05</v>
      </c>
      <c r="K937" s="511"/>
      <c r="L937" s="367">
        <f>ROUND(ROUND(H937,8)*J937,2)</f>
        <v>1714.1</v>
      </c>
    </row>
    <row r="938" spans="1:12" ht="15" customHeight="1" x14ac:dyDescent="0.25">
      <c r="A938" s="181" t="s">
        <v>1966</v>
      </c>
      <c r="B938" s="509" t="s">
        <v>1967</v>
      </c>
      <c r="C938" s="509"/>
      <c r="D938" s="481" t="s">
        <v>82</v>
      </c>
      <c r="E938" s="481"/>
      <c r="F938" s="481"/>
      <c r="G938" s="231" t="s">
        <v>122</v>
      </c>
      <c r="H938" s="510">
        <v>3.09</v>
      </c>
      <c r="I938" s="510"/>
      <c r="J938" s="511">
        <v>383.86</v>
      </c>
      <c r="K938" s="511"/>
      <c r="L938" s="367">
        <f>ROUND(ROUND(H938,8)*J938,2)</f>
        <v>1186.1300000000001</v>
      </c>
    </row>
    <row r="939" spans="1:12" ht="15" customHeight="1" x14ac:dyDescent="0.25">
      <c r="A939" s="182"/>
      <c r="B939" s="183"/>
      <c r="C939" s="183"/>
      <c r="D939" s="183"/>
      <c r="E939" s="183"/>
      <c r="F939" s="183"/>
      <c r="G939" s="183"/>
      <c r="H939" s="477" t="s">
        <v>1826</v>
      </c>
      <c r="I939" s="477"/>
      <c r="J939" s="477"/>
      <c r="K939" s="477"/>
      <c r="L939" s="368">
        <f>SUM(L935:L938)</f>
        <v>3345.52</v>
      </c>
    </row>
    <row r="940" spans="1:12" ht="15" customHeight="1" x14ac:dyDescent="0.25">
      <c r="A940" s="474" t="s">
        <v>1827</v>
      </c>
      <c r="B940" s="475"/>
      <c r="C940" s="475"/>
      <c r="D940" s="476" t="s">
        <v>42</v>
      </c>
      <c r="E940" s="476"/>
      <c r="F940" s="476"/>
      <c r="G940" s="230" t="s">
        <v>44</v>
      </c>
      <c r="H940" s="476" t="s">
        <v>1813</v>
      </c>
      <c r="I940" s="476"/>
      <c r="J940" s="476" t="s">
        <v>1814</v>
      </c>
      <c r="K940" s="476"/>
      <c r="L940" s="366" t="s">
        <v>1802</v>
      </c>
    </row>
    <row r="941" spans="1:12" ht="15" customHeight="1" x14ac:dyDescent="0.25">
      <c r="A941" s="181" t="s">
        <v>1830</v>
      </c>
      <c r="B941" s="509" t="s">
        <v>1831</v>
      </c>
      <c r="C941" s="509"/>
      <c r="D941" s="481" t="s">
        <v>51</v>
      </c>
      <c r="E941" s="481"/>
      <c r="F941" s="481"/>
      <c r="G941" s="231" t="s">
        <v>1024</v>
      </c>
      <c r="H941" s="510">
        <v>5.7070166999999996</v>
      </c>
      <c r="I941" s="510"/>
      <c r="J941" s="511">
        <v>19.68</v>
      </c>
      <c r="K941" s="511"/>
      <c r="L941" s="367">
        <f>ROUND(ROUND(H941,8)*J941,2)</f>
        <v>112.31</v>
      </c>
    </row>
    <row r="942" spans="1:12" ht="15" customHeight="1" x14ac:dyDescent="0.25">
      <c r="A942" s="181" t="s">
        <v>1968</v>
      </c>
      <c r="B942" s="509" t="s">
        <v>1969</v>
      </c>
      <c r="C942" s="509"/>
      <c r="D942" s="481" t="s">
        <v>51</v>
      </c>
      <c r="E942" s="481"/>
      <c r="F942" s="481"/>
      <c r="G942" s="231" t="s">
        <v>1024</v>
      </c>
      <c r="H942" s="510">
        <v>6.6149510999999999</v>
      </c>
      <c r="I942" s="510"/>
      <c r="J942" s="511">
        <v>26.03</v>
      </c>
      <c r="K942" s="511"/>
      <c r="L942" s="367">
        <f>ROUND(ROUND(H942,8)*J942,2)</f>
        <v>172.19</v>
      </c>
    </row>
    <row r="943" spans="1:12" ht="15" customHeight="1" x14ac:dyDescent="0.25">
      <c r="A943" s="182"/>
      <c r="B943" s="183"/>
      <c r="C943" s="183"/>
      <c r="D943" s="183"/>
      <c r="E943" s="183"/>
      <c r="F943" s="183"/>
      <c r="G943" s="183"/>
      <c r="H943" s="477" t="s">
        <v>1832</v>
      </c>
      <c r="I943" s="477"/>
      <c r="J943" s="477"/>
      <c r="K943" s="477"/>
      <c r="L943" s="368">
        <f>SUM(L941:L942)</f>
        <v>284.5</v>
      </c>
    </row>
    <row r="944" spans="1:12" ht="15" customHeight="1" x14ac:dyDescent="0.25">
      <c r="A944" s="483" t="s">
        <v>1970</v>
      </c>
      <c r="B944" s="484"/>
      <c r="C944" s="484"/>
      <c r="D944" s="484"/>
      <c r="E944" s="183"/>
      <c r="F944" s="183"/>
      <c r="G944" s="183"/>
      <c r="H944" s="482" t="s">
        <v>1834</v>
      </c>
      <c r="I944" s="482"/>
      <c r="J944" s="482"/>
      <c r="K944" s="482"/>
      <c r="L944" s="369">
        <v>3630.02</v>
      </c>
    </row>
    <row r="945" spans="1:12" ht="9.9499999999999993" customHeight="1" x14ac:dyDescent="0.25">
      <c r="A945" s="182"/>
      <c r="B945" s="183"/>
      <c r="C945" s="183"/>
      <c r="D945" s="183"/>
      <c r="E945" s="183"/>
      <c r="F945" s="183"/>
      <c r="G945" s="183"/>
      <c r="H945" s="485"/>
      <c r="I945" s="485"/>
      <c r="J945" s="485"/>
      <c r="K945" s="485"/>
      <c r="L945" s="512"/>
    </row>
    <row r="946" spans="1:12" ht="20.100000000000001" customHeight="1" x14ac:dyDescent="0.25">
      <c r="A946" s="486" t="s">
        <v>1971</v>
      </c>
      <c r="B946" s="487"/>
      <c r="C946" s="487"/>
      <c r="D946" s="487"/>
      <c r="E946" s="487"/>
      <c r="F946" s="487"/>
      <c r="G946" s="487"/>
      <c r="H946" s="487"/>
      <c r="I946" s="487"/>
      <c r="J946" s="487"/>
      <c r="K946" s="487"/>
      <c r="L946" s="513"/>
    </row>
    <row r="947" spans="1:12" ht="15" customHeight="1" x14ac:dyDescent="0.25">
      <c r="A947" s="474" t="s">
        <v>1812</v>
      </c>
      <c r="B947" s="475"/>
      <c r="C947" s="475"/>
      <c r="D947" s="476" t="s">
        <v>42</v>
      </c>
      <c r="E947" s="476"/>
      <c r="F947" s="476"/>
      <c r="G947" s="230" t="s">
        <v>44</v>
      </c>
      <c r="H947" s="476" t="s">
        <v>1813</v>
      </c>
      <c r="I947" s="476"/>
      <c r="J947" s="476" t="s">
        <v>1814</v>
      </c>
      <c r="K947" s="476"/>
      <c r="L947" s="366" t="s">
        <v>1802</v>
      </c>
    </row>
    <row r="948" spans="1:12" ht="45.95" customHeight="1" x14ac:dyDescent="0.25">
      <c r="A948" s="181" t="s">
        <v>1958</v>
      </c>
      <c r="B948" s="509" t="s">
        <v>1959</v>
      </c>
      <c r="C948" s="509"/>
      <c r="D948" s="481" t="s">
        <v>82</v>
      </c>
      <c r="E948" s="481"/>
      <c r="F948" s="481"/>
      <c r="G948" s="231" t="s">
        <v>1960</v>
      </c>
      <c r="H948" s="510">
        <v>2</v>
      </c>
      <c r="I948" s="510"/>
      <c r="J948" s="511">
        <v>159.03</v>
      </c>
      <c r="K948" s="511"/>
      <c r="L948" s="367">
        <f>ROUND(ROUND(H948,8)*J948,2)</f>
        <v>318.06</v>
      </c>
    </row>
    <row r="949" spans="1:12" ht="21" customHeight="1" x14ac:dyDescent="0.25">
      <c r="A949" s="181" t="s">
        <v>1961</v>
      </c>
      <c r="B949" s="509" t="s">
        <v>1962</v>
      </c>
      <c r="C949" s="509"/>
      <c r="D949" s="481" t="s">
        <v>1963</v>
      </c>
      <c r="E949" s="481"/>
      <c r="F949" s="481"/>
      <c r="G949" s="231" t="s">
        <v>251</v>
      </c>
      <c r="H949" s="510">
        <v>1</v>
      </c>
      <c r="I949" s="510"/>
      <c r="J949" s="511">
        <v>127.23</v>
      </c>
      <c r="K949" s="511"/>
      <c r="L949" s="367">
        <f>ROUND(ROUND(H949,8)*J949,2)</f>
        <v>127.23</v>
      </c>
    </row>
    <row r="950" spans="1:12" ht="21" customHeight="1" x14ac:dyDescent="0.25">
      <c r="A950" s="181" t="s">
        <v>1964</v>
      </c>
      <c r="B950" s="509" t="s">
        <v>1965</v>
      </c>
      <c r="C950" s="509"/>
      <c r="D950" s="481" t="s">
        <v>82</v>
      </c>
      <c r="E950" s="481"/>
      <c r="F950" s="481"/>
      <c r="G950" s="231" t="s">
        <v>226</v>
      </c>
      <c r="H950" s="510">
        <v>2</v>
      </c>
      <c r="I950" s="510"/>
      <c r="J950" s="511">
        <v>857.05</v>
      </c>
      <c r="K950" s="511"/>
      <c r="L950" s="367">
        <f>ROUND(ROUND(H950,8)*J950,2)</f>
        <v>1714.1</v>
      </c>
    </row>
    <row r="951" spans="1:12" ht="15" customHeight="1" x14ac:dyDescent="0.25">
      <c r="A951" s="181" t="s">
        <v>1966</v>
      </c>
      <c r="B951" s="509" t="s">
        <v>1967</v>
      </c>
      <c r="C951" s="509"/>
      <c r="D951" s="481" t="s">
        <v>82</v>
      </c>
      <c r="E951" s="481"/>
      <c r="F951" s="481"/>
      <c r="G951" s="231" t="s">
        <v>122</v>
      </c>
      <c r="H951" s="510">
        <v>2.58</v>
      </c>
      <c r="I951" s="510"/>
      <c r="J951" s="511">
        <v>383.86</v>
      </c>
      <c r="K951" s="511"/>
      <c r="L951" s="367">
        <f>ROUND(ROUND(H951,8)*J951,2)</f>
        <v>990.36</v>
      </c>
    </row>
    <row r="952" spans="1:12" ht="15" customHeight="1" x14ac:dyDescent="0.25">
      <c r="A952" s="182"/>
      <c r="B952" s="183"/>
      <c r="C952" s="183"/>
      <c r="D952" s="183"/>
      <c r="E952" s="183"/>
      <c r="F952" s="183"/>
      <c r="G952" s="183"/>
      <c r="H952" s="477" t="s">
        <v>1826</v>
      </c>
      <c r="I952" s="477"/>
      <c r="J952" s="477"/>
      <c r="K952" s="477"/>
      <c r="L952" s="368">
        <f>SUM(L948:L951)</f>
        <v>3149.75</v>
      </c>
    </row>
    <row r="953" spans="1:12" ht="15" customHeight="1" x14ac:dyDescent="0.25">
      <c r="A953" s="474" t="s">
        <v>1827</v>
      </c>
      <c r="B953" s="475"/>
      <c r="C953" s="475"/>
      <c r="D953" s="476" t="s">
        <v>42</v>
      </c>
      <c r="E953" s="476"/>
      <c r="F953" s="476"/>
      <c r="G953" s="230" t="s">
        <v>44</v>
      </c>
      <c r="H953" s="476" t="s">
        <v>1813</v>
      </c>
      <c r="I953" s="476"/>
      <c r="J953" s="476" t="s">
        <v>1814</v>
      </c>
      <c r="K953" s="476"/>
      <c r="L953" s="366" t="s">
        <v>1802</v>
      </c>
    </row>
    <row r="954" spans="1:12" ht="15" customHeight="1" x14ac:dyDescent="0.25">
      <c r="A954" s="181" t="s">
        <v>1830</v>
      </c>
      <c r="B954" s="509" t="s">
        <v>1831</v>
      </c>
      <c r="C954" s="509"/>
      <c r="D954" s="481" t="s">
        <v>51</v>
      </c>
      <c r="E954" s="481"/>
      <c r="F954" s="481"/>
      <c r="G954" s="231" t="s">
        <v>1024</v>
      </c>
      <c r="H954" s="510">
        <v>5.7070166999999996</v>
      </c>
      <c r="I954" s="510"/>
      <c r="J954" s="511">
        <v>19.68</v>
      </c>
      <c r="K954" s="511"/>
      <c r="L954" s="367">
        <f>ROUND(ROUND(H954,8)*J954,2)</f>
        <v>112.31</v>
      </c>
    </row>
    <row r="955" spans="1:12" ht="15" customHeight="1" x14ac:dyDescent="0.25">
      <c r="A955" s="181" t="s">
        <v>1968</v>
      </c>
      <c r="B955" s="509" t="s">
        <v>1969</v>
      </c>
      <c r="C955" s="509"/>
      <c r="D955" s="481" t="s">
        <v>51</v>
      </c>
      <c r="E955" s="481"/>
      <c r="F955" s="481"/>
      <c r="G955" s="231" t="s">
        <v>1024</v>
      </c>
      <c r="H955" s="510">
        <v>6.6149510999999999</v>
      </c>
      <c r="I955" s="510"/>
      <c r="J955" s="511">
        <v>26.03</v>
      </c>
      <c r="K955" s="511"/>
      <c r="L955" s="367">
        <f>ROUND(ROUND(H955,8)*J955,2)</f>
        <v>172.19</v>
      </c>
    </row>
    <row r="956" spans="1:12" ht="15" customHeight="1" x14ac:dyDescent="0.25">
      <c r="A956" s="182"/>
      <c r="B956" s="183"/>
      <c r="C956" s="183"/>
      <c r="D956" s="183"/>
      <c r="E956" s="183"/>
      <c r="F956" s="183"/>
      <c r="G956" s="183"/>
      <c r="H956" s="477" t="s">
        <v>1832</v>
      </c>
      <c r="I956" s="477"/>
      <c r="J956" s="477"/>
      <c r="K956" s="477"/>
      <c r="L956" s="368">
        <f>SUM(L954:L955)</f>
        <v>284.5</v>
      </c>
    </row>
    <row r="957" spans="1:12" ht="15" customHeight="1" x14ac:dyDescent="0.25">
      <c r="A957" s="483" t="s">
        <v>1970</v>
      </c>
      <c r="B957" s="484"/>
      <c r="C957" s="484"/>
      <c r="D957" s="484"/>
      <c r="E957" s="183"/>
      <c r="F957" s="183"/>
      <c r="G957" s="183"/>
      <c r="H957" s="482" t="s">
        <v>1834</v>
      </c>
      <c r="I957" s="482"/>
      <c r="J957" s="482"/>
      <c r="K957" s="482"/>
      <c r="L957" s="369">
        <v>3434.25</v>
      </c>
    </row>
    <row r="958" spans="1:12" ht="9.9499999999999993" customHeight="1" x14ac:dyDescent="0.25">
      <c r="A958" s="182"/>
      <c r="B958" s="183"/>
      <c r="C958" s="183"/>
      <c r="D958" s="183"/>
      <c r="E958" s="183"/>
      <c r="F958" s="183"/>
      <c r="G958" s="183"/>
      <c r="H958" s="485"/>
      <c r="I958" s="485"/>
      <c r="J958" s="485"/>
      <c r="K958" s="485"/>
      <c r="L958" s="512"/>
    </row>
    <row r="959" spans="1:12" ht="20.100000000000001" customHeight="1" x14ac:dyDescent="0.25">
      <c r="A959" s="486" t="s">
        <v>1972</v>
      </c>
      <c r="B959" s="487"/>
      <c r="C959" s="487"/>
      <c r="D959" s="487"/>
      <c r="E959" s="487"/>
      <c r="F959" s="487"/>
      <c r="G959" s="487"/>
      <c r="H959" s="487"/>
      <c r="I959" s="487"/>
      <c r="J959" s="487"/>
      <c r="K959" s="487"/>
      <c r="L959" s="513"/>
    </row>
    <row r="960" spans="1:12" ht="15" customHeight="1" x14ac:dyDescent="0.25">
      <c r="A960" s="474" t="s">
        <v>1812</v>
      </c>
      <c r="B960" s="475"/>
      <c r="C960" s="475"/>
      <c r="D960" s="476" t="s">
        <v>42</v>
      </c>
      <c r="E960" s="476"/>
      <c r="F960" s="476"/>
      <c r="G960" s="230" t="s">
        <v>44</v>
      </c>
      <c r="H960" s="476" t="s">
        <v>1813</v>
      </c>
      <c r="I960" s="476"/>
      <c r="J960" s="476" t="s">
        <v>1814</v>
      </c>
      <c r="K960" s="476"/>
      <c r="L960" s="366" t="s">
        <v>1802</v>
      </c>
    </row>
    <row r="961" spans="1:12" ht="15" customHeight="1" x14ac:dyDescent="0.25">
      <c r="A961" s="181" t="s">
        <v>1973</v>
      </c>
      <c r="B961" s="509" t="s">
        <v>1974</v>
      </c>
      <c r="C961" s="509"/>
      <c r="D961" s="481" t="s">
        <v>341</v>
      </c>
      <c r="E961" s="481"/>
      <c r="F961" s="481"/>
      <c r="G961" s="231" t="s">
        <v>1951</v>
      </c>
      <c r="H961" s="510">
        <v>0.3</v>
      </c>
      <c r="I961" s="510"/>
      <c r="J961" s="511">
        <v>74.89</v>
      </c>
      <c r="K961" s="511"/>
      <c r="L961" s="367">
        <f>ROUND(ROUND(H961,8)*J961,2)</f>
        <v>22.47</v>
      </c>
    </row>
    <row r="962" spans="1:12" ht="15" customHeight="1" x14ac:dyDescent="0.25">
      <c r="A962" s="181" t="s">
        <v>1975</v>
      </c>
      <c r="B962" s="509" t="s">
        <v>1976</v>
      </c>
      <c r="C962" s="509"/>
      <c r="D962" s="481" t="s">
        <v>341</v>
      </c>
      <c r="E962" s="481"/>
      <c r="F962" s="481"/>
      <c r="G962" s="231" t="s">
        <v>579</v>
      </c>
      <c r="H962" s="510">
        <v>0.4</v>
      </c>
      <c r="I962" s="510"/>
      <c r="J962" s="511">
        <v>5.45</v>
      </c>
      <c r="K962" s="511"/>
      <c r="L962" s="367">
        <f>ROUND(ROUND(H962,8)*J962,2)</f>
        <v>2.1800000000000002</v>
      </c>
    </row>
    <row r="963" spans="1:12" ht="15" customHeight="1" x14ac:dyDescent="0.25">
      <c r="A963" s="182"/>
      <c r="B963" s="183"/>
      <c r="C963" s="183"/>
      <c r="D963" s="183"/>
      <c r="E963" s="183"/>
      <c r="F963" s="183"/>
      <c r="G963" s="183"/>
      <c r="H963" s="477" t="s">
        <v>1826</v>
      </c>
      <c r="I963" s="477"/>
      <c r="J963" s="477"/>
      <c r="K963" s="477"/>
      <c r="L963" s="368">
        <f>SUM(L961:L962)</f>
        <v>24.65</v>
      </c>
    </row>
    <row r="964" spans="1:12" ht="15" customHeight="1" x14ac:dyDescent="0.25">
      <c r="A964" s="474" t="s">
        <v>1827</v>
      </c>
      <c r="B964" s="475"/>
      <c r="C964" s="475"/>
      <c r="D964" s="476" t="s">
        <v>42</v>
      </c>
      <c r="E964" s="476"/>
      <c r="F964" s="476"/>
      <c r="G964" s="230" t="s">
        <v>44</v>
      </c>
      <c r="H964" s="476" t="s">
        <v>1813</v>
      </c>
      <c r="I964" s="476"/>
      <c r="J964" s="476" t="s">
        <v>1814</v>
      </c>
      <c r="K964" s="476"/>
      <c r="L964" s="366" t="s">
        <v>1802</v>
      </c>
    </row>
    <row r="965" spans="1:12" ht="15" customHeight="1" x14ac:dyDescent="0.25">
      <c r="A965" s="181" t="s">
        <v>1830</v>
      </c>
      <c r="B965" s="509" t="s">
        <v>1831</v>
      </c>
      <c r="C965" s="509"/>
      <c r="D965" s="481" t="s">
        <v>51</v>
      </c>
      <c r="E965" s="481"/>
      <c r="F965" s="481"/>
      <c r="G965" s="231" t="s">
        <v>1024</v>
      </c>
      <c r="H965" s="510">
        <v>0.3</v>
      </c>
      <c r="I965" s="510"/>
      <c r="J965" s="511">
        <v>19.68</v>
      </c>
      <c r="K965" s="511"/>
      <c r="L965" s="367">
        <f>ROUND(ROUND(H965,8)*J965,2)</f>
        <v>5.9</v>
      </c>
    </row>
    <row r="966" spans="1:12" ht="15" customHeight="1" x14ac:dyDescent="0.25">
      <c r="A966" s="182"/>
      <c r="B966" s="183"/>
      <c r="C966" s="183"/>
      <c r="D966" s="183"/>
      <c r="E966" s="183"/>
      <c r="F966" s="183"/>
      <c r="G966" s="183"/>
      <c r="H966" s="477" t="s">
        <v>1832</v>
      </c>
      <c r="I966" s="477"/>
      <c r="J966" s="477"/>
      <c r="K966" s="477"/>
      <c r="L966" s="368">
        <f>SUM(L965:L965)</f>
        <v>5.9</v>
      </c>
    </row>
    <row r="967" spans="1:12" ht="15" customHeight="1" x14ac:dyDescent="0.25">
      <c r="A967" s="474" t="s">
        <v>1912</v>
      </c>
      <c r="B967" s="475"/>
      <c r="C967" s="475"/>
      <c r="D967" s="476" t="s">
        <v>42</v>
      </c>
      <c r="E967" s="476"/>
      <c r="F967" s="476"/>
      <c r="G967" s="230" t="s">
        <v>44</v>
      </c>
      <c r="H967" s="476" t="s">
        <v>1813</v>
      </c>
      <c r="I967" s="476"/>
      <c r="J967" s="476" t="s">
        <v>1814</v>
      </c>
      <c r="K967" s="476"/>
      <c r="L967" s="366" t="s">
        <v>1802</v>
      </c>
    </row>
    <row r="968" spans="1:12" ht="21" customHeight="1" x14ac:dyDescent="0.25">
      <c r="A968" s="181" t="s">
        <v>1977</v>
      </c>
      <c r="B968" s="509" t="s">
        <v>1978</v>
      </c>
      <c r="C968" s="509"/>
      <c r="D968" s="481" t="s">
        <v>77</v>
      </c>
      <c r="E968" s="481"/>
      <c r="F968" s="481"/>
      <c r="G968" s="231" t="s">
        <v>54</v>
      </c>
      <c r="H968" s="510">
        <v>1</v>
      </c>
      <c r="I968" s="510"/>
      <c r="J968" s="511">
        <v>43.34</v>
      </c>
      <c r="K968" s="511"/>
      <c r="L968" s="367">
        <f>ROUND(ROUND(H968,8)*J968,2)</f>
        <v>43.34</v>
      </c>
    </row>
    <row r="969" spans="1:12" ht="15" customHeight="1" x14ac:dyDescent="0.25">
      <c r="A969" s="182"/>
      <c r="B969" s="183"/>
      <c r="C969" s="183"/>
      <c r="D969" s="183"/>
      <c r="E969" s="183"/>
      <c r="F969" s="183"/>
      <c r="G969" s="183"/>
      <c r="H969" s="477" t="s">
        <v>1915</v>
      </c>
      <c r="I969" s="477"/>
      <c r="J969" s="477"/>
      <c r="K969" s="477"/>
      <c r="L969" s="368">
        <f>SUM(L968:L968)</f>
        <v>43.34</v>
      </c>
    </row>
    <row r="970" spans="1:12" ht="15" customHeight="1" x14ac:dyDescent="0.25">
      <c r="A970" s="483" t="s">
        <v>1979</v>
      </c>
      <c r="B970" s="484"/>
      <c r="C970" s="484"/>
      <c r="D970" s="484"/>
      <c r="E970" s="183"/>
      <c r="F970" s="183"/>
      <c r="G970" s="183"/>
      <c r="H970" s="482" t="s">
        <v>1834</v>
      </c>
      <c r="I970" s="482"/>
      <c r="J970" s="482"/>
      <c r="K970" s="482"/>
      <c r="L970" s="369">
        <v>73.89</v>
      </c>
    </row>
    <row r="971" spans="1:12" ht="9.9499999999999993" customHeight="1" x14ac:dyDescent="0.25">
      <c r="A971" s="182"/>
      <c r="B971" s="183"/>
      <c r="C971" s="183"/>
      <c r="D971" s="183"/>
      <c r="E971" s="183"/>
      <c r="F971" s="183"/>
      <c r="G971" s="183"/>
      <c r="H971" s="485"/>
      <c r="I971" s="485"/>
      <c r="J971" s="485"/>
      <c r="K971" s="485"/>
      <c r="L971" s="512"/>
    </row>
    <row r="972" spans="1:12" ht="27" customHeight="1" x14ac:dyDescent="0.25">
      <c r="A972" s="486" t="s">
        <v>1980</v>
      </c>
      <c r="B972" s="487"/>
      <c r="C972" s="487"/>
      <c r="D972" s="487"/>
      <c r="E972" s="487"/>
      <c r="F972" s="487"/>
      <c r="G972" s="487"/>
      <c r="H972" s="487"/>
      <c r="I972" s="487"/>
      <c r="J972" s="487"/>
      <c r="K972" s="487"/>
      <c r="L972" s="513"/>
    </row>
    <row r="973" spans="1:12" ht="15" customHeight="1" x14ac:dyDescent="0.25">
      <c r="A973" s="474" t="s">
        <v>1812</v>
      </c>
      <c r="B973" s="475"/>
      <c r="C973" s="475"/>
      <c r="D973" s="476" t="s">
        <v>42</v>
      </c>
      <c r="E973" s="476"/>
      <c r="F973" s="476"/>
      <c r="G973" s="230" t="s">
        <v>44</v>
      </c>
      <c r="H973" s="476" t="s">
        <v>1813</v>
      </c>
      <c r="I973" s="476"/>
      <c r="J973" s="476" t="s">
        <v>1814</v>
      </c>
      <c r="K973" s="476"/>
      <c r="L973" s="366" t="s">
        <v>1802</v>
      </c>
    </row>
    <row r="974" spans="1:12" ht="21" customHeight="1" x14ac:dyDescent="0.25">
      <c r="A974" s="181" t="s">
        <v>1981</v>
      </c>
      <c r="B974" s="509" t="s">
        <v>1982</v>
      </c>
      <c r="C974" s="509"/>
      <c r="D974" s="481" t="s">
        <v>341</v>
      </c>
      <c r="E974" s="481"/>
      <c r="F974" s="481"/>
      <c r="G974" s="231" t="s">
        <v>786</v>
      </c>
      <c r="H974" s="510">
        <v>0.18</v>
      </c>
      <c r="I974" s="510"/>
      <c r="J974" s="511">
        <v>59.98</v>
      </c>
      <c r="K974" s="511"/>
      <c r="L974" s="367">
        <f>ROUND(ROUND(H974,8)*J974,2)</f>
        <v>10.8</v>
      </c>
    </row>
    <row r="975" spans="1:12" ht="15" customHeight="1" x14ac:dyDescent="0.25">
      <c r="A975" s="182"/>
      <c r="B975" s="183"/>
      <c r="C975" s="183"/>
      <c r="D975" s="183"/>
      <c r="E975" s="183"/>
      <c r="F975" s="183"/>
      <c r="G975" s="183"/>
      <c r="H975" s="477" t="s">
        <v>1826</v>
      </c>
      <c r="I975" s="477"/>
      <c r="J975" s="477"/>
      <c r="K975" s="477"/>
      <c r="L975" s="368">
        <f>SUM(L974:L974)</f>
        <v>10.8</v>
      </c>
    </row>
    <row r="976" spans="1:12" ht="15" customHeight="1" x14ac:dyDescent="0.25">
      <c r="A976" s="474" t="s">
        <v>1827</v>
      </c>
      <c r="B976" s="475"/>
      <c r="C976" s="475"/>
      <c r="D976" s="476" t="s">
        <v>42</v>
      </c>
      <c r="E976" s="476"/>
      <c r="F976" s="476"/>
      <c r="G976" s="230" t="s">
        <v>44</v>
      </c>
      <c r="H976" s="476" t="s">
        <v>1813</v>
      </c>
      <c r="I976" s="476"/>
      <c r="J976" s="476" t="s">
        <v>1814</v>
      </c>
      <c r="K976" s="476"/>
      <c r="L976" s="366" t="s">
        <v>1802</v>
      </c>
    </row>
    <row r="977" spans="1:12" ht="15" customHeight="1" x14ac:dyDescent="0.25">
      <c r="A977" s="181" t="s">
        <v>1983</v>
      </c>
      <c r="B977" s="509" t="s">
        <v>1984</v>
      </c>
      <c r="C977" s="509"/>
      <c r="D977" s="481" t="s">
        <v>51</v>
      </c>
      <c r="E977" s="481"/>
      <c r="F977" s="481"/>
      <c r="G977" s="231" t="s">
        <v>1024</v>
      </c>
      <c r="H977" s="510">
        <v>0.4</v>
      </c>
      <c r="I977" s="510"/>
      <c r="J977" s="511">
        <v>26.03</v>
      </c>
      <c r="K977" s="511"/>
      <c r="L977" s="367">
        <f>ROUND(ROUND(H977,8)*J977,2)</f>
        <v>10.41</v>
      </c>
    </row>
    <row r="978" spans="1:12" ht="15" customHeight="1" x14ac:dyDescent="0.25">
      <c r="A978" s="182"/>
      <c r="B978" s="183"/>
      <c r="C978" s="183"/>
      <c r="D978" s="183"/>
      <c r="E978" s="183"/>
      <c r="F978" s="183"/>
      <c r="G978" s="183"/>
      <c r="H978" s="477" t="s">
        <v>1832</v>
      </c>
      <c r="I978" s="477"/>
      <c r="J978" s="477"/>
      <c r="K978" s="477"/>
      <c r="L978" s="368">
        <f>SUM(L977:L977)</f>
        <v>10.41</v>
      </c>
    </row>
    <row r="979" spans="1:12" ht="15" customHeight="1" x14ac:dyDescent="0.25">
      <c r="A979" s="474" t="s">
        <v>1912</v>
      </c>
      <c r="B979" s="475"/>
      <c r="C979" s="475"/>
      <c r="D979" s="476" t="s">
        <v>42</v>
      </c>
      <c r="E979" s="476"/>
      <c r="F979" s="476"/>
      <c r="G979" s="230" t="s">
        <v>44</v>
      </c>
      <c r="H979" s="476" t="s">
        <v>1813</v>
      </c>
      <c r="I979" s="476"/>
      <c r="J979" s="476" t="s">
        <v>1814</v>
      </c>
      <c r="K979" s="476"/>
      <c r="L979" s="366" t="s">
        <v>1802</v>
      </c>
    </row>
    <row r="980" spans="1:12" ht="45.95" customHeight="1" x14ac:dyDescent="0.25">
      <c r="A980" s="181" t="s">
        <v>1985</v>
      </c>
      <c r="B980" s="509" t="s">
        <v>1986</v>
      </c>
      <c r="C980" s="509"/>
      <c r="D980" s="481" t="s">
        <v>51</v>
      </c>
      <c r="E980" s="481"/>
      <c r="F980" s="481"/>
      <c r="G980" s="231" t="s">
        <v>54</v>
      </c>
      <c r="H980" s="510">
        <v>1</v>
      </c>
      <c r="I980" s="510"/>
      <c r="J980" s="511">
        <v>49.07</v>
      </c>
      <c r="K980" s="511"/>
      <c r="L980" s="367">
        <f>ROUND(ROUND(H980,8)*J980,2)</f>
        <v>49.07</v>
      </c>
    </row>
    <row r="981" spans="1:12" ht="45.95" customHeight="1" x14ac:dyDescent="0.25">
      <c r="A981" s="181" t="s">
        <v>1987</v>
      </c>
      <c r="B981" s="509" t="s">
        <v>1988</v>
      </c>
      <c r="C981" s="509"/>
      <c r="D981" s="481" t="s">
        <v>51</v>
      </c>
      <c r="E981" s="481"/>
      <c r="F981" s="481"/>
      <c r="G981" s="231" t="s">
        <v>54</v>
      </c>
      <c r="H981" s="510">
        <v>1</v>
      </c>
      <c r="I981" s="510"/>
      <c r="J981" s="511">
        <v>43.8</v>
      </c>
      <c r="K981" s="511"/>
      <c r="L981" s="367">
        <f>ROUND(ROUND(H981,8)*J981,2)</f>
        <v>43.8</v>
      </c>
    </row>
    <row r="982" spans="1:12" ht="15" customHeight="1" x14ac:dyDescent="0.25">
      <c r="A982" s="182"/>
      <c r="B982" s="183"/>
      <c r="C982" s="183"/>
      <c r="D982" s="183"/>
      <c r="E982" s="183"/>
      <c r="F982" s="183"/>
      <c r="G982" s="183"/>
      <c r="H982" s="477" t="s">
        <v>1915</v>
      </c>
      <c r="I982" s="477"/>
      <c r="J982" s="477"/>
      <c r="K982" s="477"/>
      <c r="L982" s="368">
        <f>SUM(L980:L981)</f>
        <v>92.87</v>
      </c>
    </row>
    <row r="983" spans="1:12" ht="15" customHeight="1" x14ac:dyDescent="0.25">
      <c r="A983" s="483" t="s">
        <v>1989</v>
      </c>
      <c r="B983" s="484"/>
      <c r="C983" s="484"/>
      <c r="D983" s="484"/>
      <c r="E983" s="183"/>
      <c r="F983" s="183"/>
      <c r="G983" s="183"/>
      <c r="H983" s="482" t="s">
        <v>1834</v>
      </c>
      <c r="I983" s="482"/>
      <c r="J983" s="482"/>
      <c r="K983" s="482"/>
      <c r="L983" s="369">
        <v>114.08</v>
      </c>
    </row>
    <row r="984" spans="1:12" ht="9.9499999999999993" customHeight="1" x14ac:dyDescent="0.25">
      <c r="A984" s="182"/>
      <c r="B984" s="183"/>
      <c r="C984" s="183"/>
      <c r="D984" s="183"/>
      <c r="E984" s="183"/>
      <c r="F984" s="183"/>
      <c r="G984" s="183"/>
      <c r="H984" s="485"/>
      <c r="I984" s="485"/>
      <c r="J984" s="485"/>
      <c r="K984" s="485"/>
      <c r="L984" s="512"/>
    </row>
    <row r="985" spans="1:12" ht="20.100000000000001" customHeight="1" x14ac:dyDescent="0.25">
      <c r="A985" s="486" t="s">
        <v>3587</v>
      </c>
      <c r="B985" s="487"/>
      <c r="C985" s="487"/>
      <c r="D985" s="487"/>
      <c r="E985" s="487"/>
      <c r="F985" s="487"/>
      <c r="G985" s="487"/>
      <c r="H985" s="487"/>
      <c r="I985" s="487"/>
      <c r="J985" s="487"/>
      <c r="K985" s="487"/>
      <c r="L985" s="513"/>
    </row>
    <row r="986" spans="1:12" ht="15" customHeight="1" x14ac:dyDescent="0.25">
      <c r="A986" s="474" t="s">
        <v>1812</v>
      </c>
      <c r="B986" s="475"/>
      <c r="C986" s="475"/>
      <c r="D986" s="476" t="s">
        <v>42</v>
      </c>
      <c r="E986" s="476"/>
      <c r="F986" s="476"/>
      <c r="G986" s="230" t="s">
        <v>44</v>
      </c>
      <c r="H986" s="476" t="s">
        <v>1813</v>
      </c>
      <c r="I986" s="476"/>
      <c r="J986" s="476" t="s">
        <v>1814</v>
      </c>
      <c r="K986" s="476"/>
      <c r="L986" s="366" t="s">
        <v>1802</v>
      </c>
    </row>
    <row r="987" spans="1:12" ht="15" customHeight="1" x14ac:dyDescent="0.25">
      <c r="A987" s="181" t="s">
        <v>1991</v>
      </c>
      <c r="B987" s="509" t="s">
        <v>1992</v>
      </c>
      <c r="C987" s="509"/>
      <c r="D987" s="481" t="s">
        <v>82</v>
      </c>
      <c r="E987" s="481"/>
      <c r="F987" s="481"/>
      <c r="G987" s="231" t="s">
        <v>1817</v>
      </c>
      <c r="H987" s="510">
        <v>1.4999999999999999E-2</v>
      </c>
      <c r="I987" s="510"/>
      <c r="J987" s="511">
        <v>23.77</v>
      </c>
      <c r="K987" s="511"/>
      <c r="L987" s="367">
        <f>ROUND(ROUND(H987,8)*J987,2)</f>
        <v>0.36</v>
      </c>
    </row>
    <row r="988" spans="1:12" ht="15" customHeight="1" x14ac:dyDescent="0.25">
      <c r="A988" s="181" t="s">
        <v>1993</v>
      </c>
      <c r="B988" s="509" t="s">
        <v>1994</v>
      </c>
      <c r="C988" s="509"/>
      <c r="D988" s="481" t="s">
        <v>51</v>
      </c>
      <c r="E988" s="481"/>
      <c r="F988" s="481"/>
      <c r="G988" s="231" t="s">
        <v>226</v>
      </c>
      <c r="H988" s="510">
        <v>0.26500000000000001</v>
      </c>
      <c r="I988" s="510"/>
      <c r="J988" s="511">
        <v>27.06</v>
      </c>
      <c r="K988" s="511"/>
      <c r="L988" s="367">
        <f>ROUND(ROUND(H988,8)*J988,2)</f>
        <v>7.17</v>
      </c>
    </row>
    <row r="989" spans="1:12" ht="15" customHeight="1" x14ac:dyDescent="0.25">
      <c r="A989" s="181" t="s">
        <v>1995</v>
      </c>
      <c r="B989" s="509" t="s">
        <v>1996</v>
      </c>
      <c r="C989" s="509"/>
      <c r="D989" s="481" t="s">
        <v>82</v>
      </c>
      <c r="E989" s="481"/>
      <c r="F989" s="481"/>
      <c r="G989" s="231" t="s">
        <v>122</v>
      </c>
      <c r="H989" s="510">
        <v>1</v>
      </c>
      <c r="I989" s="510"/>
      <c r="J989" s="511">
        <v>294.05</v>
      </c>
      <c r="K989" s="511"/>
      <c r="L989" s="367">
        <f>ROUND(ROUND(H989,8)*J989,2)</f>
        <v>294.05</v>
      </c>
    </row>
    <row r="990" spans="1:12" ht="15" customHeight="1" x14ac:dyDescent="0.25">
      <c r="A990" s="182"/>
      <c r="B990" s="183"/>
      <c r="C990" s="183"/>
      <c r="D990" s="183"/>
      <c r="E990" s="183"/>
      <c r="F990" s="183"/>
      <c r="G990" s="183"/>
      <c r="H990" s="477" t="s">
        <v>1826</v>
      </c>
      <c r="I990" s="477"/>
      <c r="J990" s="477"/>
      <c r="K990" s="477"/>
      <c r="L990" s="368">
        <f>SUM(L987:L989)</f>
        <v>301.58</v>
      </c>
    </row>
    <row r="991" spans="1:12" ht="15" customHeight="1" x14ac:dyDescent="0.25">
      <c r="A991" s="474" t="s">
        <v>1827</v>
      </c>
      <c r="B991" s="475"/>
      <c r="C991" s="475"/>
      <c r="D991" s="476" t="s">
        <v>42</v>
      </c>
      <c r="E991" s="476"/>
      <c r="F991" s="476"/>
      <c r="G991" s="230" t="s">
        <v>44</v>
      </c>
      <c r="H991" s="476" t="s">
        <v>1813</v>
      </c>
      <c r="I991" s="476"/>
      <c r="J991" s="476" t="s">
        <v>1814</v>
      </c>
      <c r="K991" s="476"/>
      <c r="L991" s="366" t="s">
        <v>1802</v>
      </c>
    </row>
    <row r="992" spans="1:12" ht="15" customHeight="1" x14ac:dyDescent="0.25">
      <c r="A992" s="181" t="s">
        <v>1830</v>
      </c>
      <c r="B992" s="509" t="s">
        <v>1831</v>
      </c>
      <c r="C992" s="509"/>
      <c r="D992" s="481" t="s">
        <v>51</v>
      </c>
      <c r="E992" s="481"/>
      <c r="F992" s="481"/>
      <c r="G992" s="231" t="s">
        <v>1024</v>
      </c>
      <c r="H992" s="510">
        <v>0.64754670000000003</v>
      </c>
      <c r="I992" s="510"/>
      <c r="J992" s="511">
        <v>19.68</v>
      </c>
      <c r="K992" s="511"/>
      <c r="L992" s="367">
        <f>ROUND(ROUND(H992,8)*J992,2)</f>
        <v>12.74</v>
      </c>
    </row>
    <row r="993" spans="1:12" ht="15" customHeight="1" x14ac:dyDescent="0.25">
      <c r="A993" s="181" t="s">
        <v>1968</v>
      </c>
      <c r="B993" s="509" t="s">
        <v>1969</v>
      </c>
      <c r="C993" s="509"/>
      <c r="D993" s="481" t="s">
        <v>51</v>
      </c>
      <c r="E993" s="481"/>
      <c r="F993" s="481"/>
      <c r="G993" s="231" t="s">
        <v>1024</v>
      </c>
      <c r="H993" s="510">
        <v>0.67576999999999998</v>
      </c>
      <c r="I993" s="510"/>
      <c r="J993" s="511">
        <v>26.03</v>
      </c>
      <c r="K993" s="511"/>
      <c r="L993" s="367">
        <f>ROUND(ROUND(H993,8)*J993,2)</f>
        <v>17.59</v>
      </c>
    </row>
    <row r="994" spans="1:12" ht="15" customHeight="1" x14ac:dyDescent="0.25">
      <c r="A994" s="182"/>
      <c r="B994" s="183"/>
      <c r="C994" s="183"/>
      <c r="D994" s="183"/>
      <c r="E994" s="183"/>
      <c r="F994" s="183"/>
      <c r="G994" s="183"/>
      <c r="H994" s="477" t="s">
        <v>1832</v>
      </c>
      <c r="I994" s="477"/>
      <c r="J994" s="477"/>
      <c r="K994" s="477"/>
      <c r="L994" s="368">
        <f>SUM(L992:L993)</f>
        <v>30.33</v>
      </c>
    </row>
    <row r="995" spans="1:12" ht="15" customHeight="1" x14ac:dyDescent="0.25">
      <c r="A995" s="483" t="s">
        <v>1997</v>
      </c>
      <c r="B995" s="484"/>
      <c r="C995" s="484"/>
      <c r="D995" s="484"/>
      <c r="E995" s="183"/>
      <c r="F995" s="183"/>
      <c r="G995" s="183"/>
      <c r="H995" s="482" t="s">
        <v>1834</v>
      </c>
      <c r="I995" s="482"/>
      <c r="J995" s="482"/>
      <c r="K995" s="482"/>
      <c r="L995" s="369">
        <v>331.91</v>
      </c>
    </row>
    <row r="996" spans="1:12" ht="9.9499999999999993" customHeight="1" x14ac:dyDescent="0.25">
      <c r="A996" s="182"/>
      <c r="B996" s="183"/>
      <c r="C996" s="183"/>
      <c r="D996" s="183"/>
      <c r="E996" s="183"/>
      <c r="F996" s="183"/>
      <c r="G996" s="183"/>
      <c r="H996" s="485"/>
      <c r="I996" s="485"/>
      <c r="J996" s="485"/>
      <c r="K996" s="485"/>
      <c r="L996" s="512"/>
    </row>
    <row r="997" spans="1:12" ht="20.100000000000001" customHeight="1" x14ac:dyDescent="0.25">
      <c r="A997" s="486" t="s">
        <v>1998</v>
      </c>
      <c r="B997" s="487"/>
      <c r="C997" s="487"/>
      <c r="D997" s="487"/>
      <c r="E997" s="487"/>
      <c r="F997" s="487"/>
      <c r="G997" s="487"/>
      <c r="H997" s="487"/>
      <c r="I997" s="487"/>
      <c r="J997" s="487"/>
      <c r="K997" s="487"/>
      <c r="L997" s="513"/>
    </row>
    <row r="998" spans="1:12" ht="15" customHeight="1" x14ac:dyDescent="0.25">
      <c r="A998" s="474" t="s">
        <v>1812</v>
      </c>
      <c r="B998" s="475"/>
      <c r="C998" s="475"/>
      <c r="D998" s="476" t="s">
        <v>42</v>
      </c>
      <c r="E998" s="476"/>
      <c r="F998" s="476"/>
      <c r="G998" s="230" t="s">
        <v>44</v>
      </c>
      <c r="H998" s="476" t="s">
        <v>1813</v>
      </c>
      <c r="I998" s="476"/>
      <c r="J998" s="476" t="s">
        <v>1814</v>
      </c>
      <c r="K998" s="476"/>
      <c r="L998" s="366" t="s">
        <v>1802</v>
      </c>
    </row>
    <row r="999" spans="1:12" ht="21" customHeight="1" x14ac:dyDescent="0.25">
      <c r="A999" s="181" t="s">
        <v>1999</v>
      </c>
      <c r="B999" s="509" t="s">
        <v>2000</v>
      </c>
      <c r="C999" s="509"/>
      <c r="D999" s="481" t="s">
        <v>82</v>
      </c>
      <c r="E999" s="481"/>
      <c r="F999" s="481"/>
      <c r="G999" s="231" t="s">
        <v>226</v>
      </c>
      <c r="H999" s="510">
        <v>0.22</v>
      </c>
      <c r="I999" s="510"/>
      <c r="J999" s="511">
        <v>27.55</v>
      </c>
      <c r="K999" s="511"/>
      <c r="L999" s="367">
        <f>ROUND(ROUND(H999,8)*J999,2)</f>
        <v>6.06</v>
      </c>
    </row>
    <row r="1000" spans="1:12" ht="21" customHeight="1" x14ac:dyDescent="0.25">
      <c r="A1000" s="181" t="s">
        <v>2001</v>
      </c>
      <c r="B1000" s="509" t="s">
        <v>2002</v>
      </c>
      <c r="C1000" s="509"/>
      <c r="D1000" s="481" t="s">
        <v>1963</v>
      </c>
      <c r="E1000" s="481"/>
      <c r="F1000" s="481"/>
      <c r="G1000" s="231" t="s">
        <v>122</v>
      </c>
      <c r="H1000" s="510">
        <v>1</v>
      </c>
      <c r="I1000" s="510"/>
      <c r="J1000" s="511">
        <v>1239.4100000000001</v>
      </c>
      <c r="K1000" s="511"/>
      <c r="L1000" s="367">
        <f>ROUND(ROUND(H1000,8)*J1000,2)</f>
        <v>1239.4100000000001</v>
      </c>
    </row>
    <row r="1001" spans="1:12" ht="15" customHeight="1" x14ac:dyDescent="0.25">
      <c r="A1001" s="181" t="s">
        <v>2003</v>
      </c>
      <c r="B1001" s="509" t="s">
        <v>2004</v>
      </c>
      <c r="C1001" s="509"/>
      <c r="D1001" s="481" t="s">
        <v>82</v>
      </c>
      <c r="E1001" s="481"/>
      <c r="F1001" s="481"/>
      <c r="G1001" s="231" t="s">
        <v>226</v>
      </c>
      <c r="H1001" s="510">
        <v>0.8014</v>
      </c>
      <c r="I1001" s="510"/>
      <c r="J1001" s="511">
        <v>19.68</v>
      </c>
      <c r="K1001" s="511"/>
      <c r="L1001" s="367">
        <f>ROUND(ROUND(H1001,8)*J1001,2)</f>
        <v>15.77</v>
      </c>
    </row>
    <row r="1002" spans="1:12" ht="15" customHeight="1" x14ac:dyDescent="0.25">
      <c r="A1002" s="182"/>
      <c r="B1002" s="183"/>
      <c r="C1002" s="183"/>
      <c r="D1002" s="183"/>
      <c r="E1002" s="183"/>
      <c r="F1002" s="183"/>
      <c r="G1002" s="183"/>
      <c r="H1002" s="477" t="s">
        <v>1826</v>
      </c>
      <c r="I1002" s="477"/>
      <c r="J1002" s="477"/>
      <c r="K1002" s="477"/>
      <c r="L1002" s="368">
        <f>SUM(L999:L1001)</f>
        <v>1261.24</v>
      </c>
    </row>
    <row r="1003" spans="1:12" ht="15" customHeight="1" x14ac:dyDescent="0.25">
      <c r="A1003" s="474" t="s">
        <v>1827</v>
      </c>
      <c r="B1003" s="475"/>
      <c r="C1003" s="475"/>
      <c r="D1003" s="476" t="s">
        <v>42</v>
      </c>
      <c r="E1003" s="476"/>
      <c r="F1003" s="476"/>
      <c r="G1003" s="230" t="s">
        <v>44</v>
      </c>
      <c r="H1003" s="476" t="s">
        <v>1813</v>
      </c>
      <c r="I1003" s="476"/>
      <c r="J1003" s="476" t="s">
        <v>1814</v>
      </c>
      <c r="K1003" s="476"/>
      <c r="L1003" s="366" t="s">
        <v>1802</v>
      </c>
    </row>
    <row r="1004" spans="1:12" ht="15" customHeight="1" x14ac:dyDescent="0.25">
      <c r="A1004" s="181" t="s">
        <v>1828</v>
      </c>
      <c r="B1004" s="509" t="s">
        <v>1829</v>
      </c>
      <c r="C1004" s="509"/>
      <c r="D1004" s="481" t="s">
        <v>51</v>
      </c>
      <c r="E1004" s="481"/>
      <c r="F1004" s="481"/>
      <c r="G1004" s="231" t="s">
        <v>1024</v>
      </c>
      <c r="H1004" s="510">
        <v>4.2353426000000001</v>
      </c>
      <c r="I1004" s="510"/>
      <c r="J1004" s="511">
        <v>26.03</v>
      </c>
      <c r="K1004" s="511"/>
      <c r="L1004" s="367">
        <f>ROUND(ROUND(H1004,8)*J1004,2)</f>
        <v>110.25</v>
      </c>
    </row>
    <row r="1005" spans="1:12" ht="15" customHeight="1" x14ac:dyDescent="0.25">
      <c r="A1005" s="181" t="s">
        <v>1830</v>
      </c>
      <c r="B1005" s="509" t="s">
        <v>1831</v>
      </c>
      <c r="C1005" s="509"/>
      <c r="D1005" s="481" t="s">
        <v>51</v>
      </c>
      <c r="E1005" s="481"/>
      <c r="F1005" s="481"/>
      <c r="G1005" s="231" t="s">
        <v>1024</v>
      </c>
      <c r="H1005" s="510">
        <v>2.1176713</v>
      </c>
      <c r="I1005" s="510"/>
      <c r="J1005" s="511">
        <v>19.68</v>
      </c>
      <c r="K1005" s="511"/>
      <c r="L1005" s="367">
        <f>ROUND(ROUND(H1005,8)*J1005,2)</f>
        <v>41.68</v>
      </c>
    </row>
    <row r="1006" spans="1:12" ht="15" customHeight="1" x14ac:dyDescent="0.25">
      <c r="A1006" s="182"/>
      <c r="B1006" s="183"/>
      <c r="C1006" s="183"/>
      <c r="D1006" s="183"/>
      <c r="E1006" s="183"/>
      <c r="F1006" s="183"/>
      <c r="G1006" s="183"/>
      <c r="H1006" s="477" t="s">
        <v>1832</v>
      </c>
      <c r="I1006" s="477"/>
      <c r="J1006" s="477"/>
      <c r="K1006" s="477"/>
      <c r="L1006" s="368">
        <f>SUM(L1004:L1005)</f>
        <v>151.93</v>
      </c>
    </row>
    <row r="1007" spans="1:12" ht="15" customHeight="1" x14ac:dyDescent="0.25">
      <c r="A1007" s="474" t="s">
        <v>1912</v>
      </c>
      <c r="B1007" s="475"/>
      <c r="C1007" s="475"/>
      <c r="D1007" s="476" t="s">
        <v>42</v>
      </c>
      <c r="E1007" s="476"/>
      <c r="F1007" s="476"/>
      <c r="G1007" s="230" t="s">
        <v>44</v>
      </c>
      <c r="H1007" s="476" t="s">
        <v>1813</v>
      </c>
      <c r="I1007" s="476"/>
      <c r="J1007" s="476" t="s">
        <v>1814</v>
      </c>
      <c r="K1007" s="476"/>
      <c r="L1007" s="366" t="s">
        <v>1802</v>
      </c>
    </row>
    <row r="1008" spans="1:12" ht="21" customHeight="1" x14ac:dyDescent="0.25">
      <c r="A1008" s="181" t="s">
        <v>2005</v>
      </c>
      <c r="B1008" s="509" t="s">
        <v>2006</v>
      </c>
      <c r="C1008" s="509"/>
      <c r="D1008" s="481" t="s">
        <v>77</v>
      </c>
      <c r="E1008" s="481"/>
      <c r="F1008" s="481"/>
      <c r="G1008" s="231" t="s">
        <v>122</v>
      </c>
      <c r="H1008" s="510">
        <v>0.5</v>
      </c>
      <c r="I1008" s="510"/>
      <c r="J1008" s="511">
        <v>323.54000000000002</v>
      </c>
      <c r="K1008" s="511"/>
      <c r="L1008" s="367">
        <f>ROUND(ROUND(H1008,8)*J1008,2)</f>
        <v>161.77000000000001</v>
      </c>
    </row>
    <row r="1009" spans="1:12" ht="45.95" customHeight="1" x14ac:dyDescent="0.25">
      <c r="A1009" s="181" t="s">
        <v>1987</v>
      </c>
      <c r="B1009" s="509" t="s">
        <v>1988</v>
      </c>
      <c r="C1009" s="509"/>
      <c r="D1009" s="481" t="s">
        <v>51</v>
      </c>
      <c r="E1009" s="481"/>
      <c r="F1009" s="481"/>
      <c r="G1009" s="231" t="s">
        <v>54</v>
      </c>
      <c r="H1009" s="510">
        <v>1</v>
      </c>
      <c r="I1009" s="510"/>
      <c r="J1009" s="511">
        <v>43.8</v>
      </c>
      <c r="K1009" s="511"/>
      <c r="L1009" s="367">
        <f>ROUND(ROUND(H1009,8)*J1009,2)</f>
        <v>43.8</v>
      </c>
    </row>
    <row r="1010" spans="1:12" ht="15" customHeight="1" x14ac:dyDescent="0.25">
      <c r="A1010" s="182"/>
      <c r="B1010" s="183"/>
      <c r="C1010" s="183"/>
      <c r="D1010" s="183"/>
      <c r="E1010" s="183"/>
      <c r="F1010" s="183"/>
      <c r="G1010" s="183"/>
      <c r="H1010" s="477" t="s">
        <v>1915</v>
      </c>
      <c r="I1010" s="477"/>
      <c r="J1010" s="477"/>
      <c r="K1010" s="477"/>
      <c r="L1010" s="368">
        <f>SUM(L1008:L1009)</f>
        <v>205.57</v>
      </c>
    </row>
    <row r="1011" spans="1:12" ht="15" customHeight="1" x14ac:dyDescent="0.25">
      <c r="A1011" s="483" t="s">
        <v>2007</v>
      </c>
      <c r="B1011" s="484"/>
      <c r="C1011" s="484"/>
      <c r="D1011" s="484"/>
      <c r="E1011" s="183"/>
      <c r="F1011" s="183"/>
      <c r="G1011" s="183"/>
      <c r="H1011" s="482" t="s">
        <v>1834</v>
      </c>
      <c r="I1011" s="482"/>
      <c r="J1011" s="482"/>
      <c r="K1011" s="482"/>
      <c r="L1011" s="369">
        <v>1618.74</v>
      </c>
    </row>
    <row r="1012" spans="1:12" ht="2.1" customHeight="1" x14ac:dyDescent="0.25">
      <c r="A1012" s="483"/>
      <c r="B1012" s="484"/>
      <c r="C1012" s="484"/>
      <c r="D1012" s="484"/>
      <c r="E1012" s="183"/>
      <c r="F1012" s="183"/>
      <c r="G1012" s="183"/>
      <c r="H1012" s="183"/>
      <c r="I1012" s="183"/>
      <c r="J1012" s="183"/>
      <c r="K1012" s="183"/>
      <c r="L1012" s="383"/>
    </row>
    <row r="1013" spans="1:12" ht="9.9499999999999993" customHeight="1" x14ac:dyDescent="0.25">
      <c r="A1013" s="182"/>
      <c r="B1013" s="183"/>
      <c r="C1013" s="183"/>
      <c r="D1013" s="183"/>
      <c r="E1013" s="183"/>
      <c r="F1013" s="183"/>
      <c r="G1013" s="183"/>
      <c r="H1013" s="485"/>
      <c r="I1013" s="485"/>
      <c r="J1013" s="485"/>
      <c r="K1013" s="485"/>
      <c r="L1013" s="512"/>
    </row>
    <row r="1014" spans="1:12" ht="20.100000000000001" customHeight="1" x14ac:dyDescent="0.25">
      <c r="A1014" s="486" t="s">
        <v>3588</v>
      </c>
      <c r="B1014" s="487"/>
      <c r="C1014" s="487"/>
      <c r="D1014" s="487"/>
      <c r="E1014" s="487"/>
      <c r="F1014" s="487"/>
      <c r="G1014" s="487"/>
      <c r="H1014" s="487"/>
      <c r="I1014" s="487"/>
      <c r="J1014" s="487"/>
      <c r="K1014" s="487"/>
      <c r="L1014" s="513"/>
    </row>
    <row r="1015" spans="1:12" ht="20.100000000000001" customHeight="1" x14ac:dyDescent="0.25">
      <c r="A1015" s="488" t="s">
        <v>1836</v>
      </c>
      <c r="B1015" s="489"/>
      <c r="C1015" s="489"/>
      <c r="D1015" s="489"/>
      <c r="E1015" s="489"/>
      <c r="F1015" s="489"/>
      <c r="G1015" s="233" t="s">
        <v>44</v>
      </c>
      <c r="H1015" s="515" t="s">
        <v>1837</v>
      </c>
      <c r="I1015" s="515"/>
      <c r="J1015" s="515" t="s">
        <v>1838</v>
      </c>
      <c r="K1015" s="515"/>
      <c r="L1015" s="169" t="s">
        <v>1839</v>
      </c>
    </row>
    <row r="1016" spans="1:12" ht="15" customHeight="1" x14ac:dyDescent="0.25">
      <c r="A1016" s="170" t="s">
        <v>1851</v>
      </c>
      <c r="B1016" s="490" t="s">
        <v>1852</v>
      </c>
      <c r="C1016" s="490"/>
      <c r="D1016" s="490"/>
      <c r="E1016" s="490"/>
      <c r="F1016" s="490"/>
      <c r="G1016" s="127" t="s">
        <v>1024</v>
      </c>
      <c r="H1016" s="524">
        <v>2.4</v>
      </c>
      <c r="I1016" s="524"/>
      <c r="J1016" s="517">
        <v>26.03</v>
      </c>
      <c r="K1016" s="517"/>
      <c r="L1016" s="370">
        <f>ROUND(ROUND(H1016,8)*J1016,2)</f>
        <v>62.47</v>
      </c>
    </row>
    <row r="1017" spans="1:12" ht="15" customHeight="1" x14ac:dyDescent="0.25">
      <c r="A1017" s="170" t="s">
        <v>1830</v>
      </c>
      <c r="B1017" s="490" t="s">
        <v>1831</v>
      </c>
      <c r="C1017" s="490"/>
      <c r="D1017" s="490"/>
      <c r="E1017" s="490"/>
      <c r="F1017" s="490"/>
      <c r="G1017" s="127" t="s">
        <v>1024</v>
      </c>
      <c r="H1017" s="524">
        <v>4.7699999999999996</v>
      </c>
      <c r="I1017" s="524"/>
      <c r="J1017" s="517">
        <v>19.68</v>
      </c>
      <c r="K1017" s="517"/>
      <c r="L1017" s="370">
        <f>ROUND(ROUND(H1017,8)*J1017,2)</f>
        <v>93.87</v>
      </c>
    </row>
    <row r="1018" spans="1:12" ht="15" customHeight="1" x14ac:dyDescent="0.25">
      <c r="A1018" s="184"/>
      <c r="B1018" s="141"/>
      <c r="C1018" s="141"/>
      <c r="D1018" s="141"/>
      <c r="E1018" s="141"/>
      <c r="F1018" s="141"/>
      <c r="G1018" s="141"/>
      <c r="H1018" s="491" t="s">
        <v>1844</v>
      </c>
      <c r="I1018" s="491"/>
      <c r="J1018" s="491"/>
      <c r="K1018" s="491"/>
      <c r="L1018" s="369">
        <f>SUM(L1016:L1017)</f>
        <v>156.34</v>
      </c>
    </row>
    <row r="1019" spans="1:12" ht="15" customHeight="1" x14ac:dyDescent="0.25">
      <c r="A1019" s="182"/>
      <c r="B1019" s="183"/>
      <c r="C1019" s="183"/>
      <c r="D1019" s="183"/>
      <c r="E1019" s="183"/>
      <c r="F1019" s="183"/>
      <c r="G1019" s="183"/>
      <c r="H1019" s="482" t="s">
        <v>1845</v>
      </c>
      <c r="I1019" s="482"/>
      <c r="J1019" s="482"/>
      <c r="K1019" s="482"/>
      <c r="L1019" s="371">
        <f>SUM(L1018)</f>
        <v>156.34</v>
      </c>
    </row>
    <row r="1020" spans="1:12" ht="15" customHeight="1" x14ac:dyDescent="0.25">
      <c r="A1020" s="182"/>
      <c r="B1020" s="183"/>
      <c r="C1020" s="183"/>
      <c r="D1020" s="183"/>
      <c r="E1020" s="183"/>
      <c r="F1020" s="183"/>
      <c r="G1020" s="183"/>
      <c r="H1020" s="482" t="s">
        <v>1846</v>
      </c>
      <c r="I1020" s="482"/>
      <c r="J1020" s="482"/>
      <c r="K1020" s="482"/>
      <c r="L1020" s="382">
        <v>1</v>
      </c>
    </row>
    <row r="1021" spans="1:12" ht="15" customHeight="1" x14ac:dyDescent="0.25">
      <c r="A1021" s="182"/>
      <c r="B1021" s="183"/>
      <c r="C1021" s="183"/>
      <c r="D1021" s="183"/>
      <c r="E1021" s="183"/>
      <c r="F1021" s="183"/>
      <c r="G1021" s="183"/>
      <c r="H1021" s="482" t="s">
        <v>1847</v>
      </c>
      <c r="I1021" s="482"/>
      <c r="J1021" s="482"/>
      <c r="K1021" s="482"/>
      <c r="L1021" s="371">
        <f>ROUND(L1019/L1020,4)</f>
        <v>156.34</v>
      </c>
    </row>
    <row r="1022" spans="1:12" ht="20.100000000000001" customHeight="1" x14ac:dyDescent="0.25">
      <c r="A1022" s="488" t="s">
        <v>2009</v>
      </c>
      <c r="B1022" s="489"/>
      <c r="C1022" s="489"/>
      <c r="D1022" s="489"/>
      <c r="E1022" s="489"/>
      <c r="F1022" s="489"/>
      <c r="G1022" s="233" t="s">
        <v>44</v>
      </c>
      <c r="H1022" s="515" t="s">
        <v>1837</v>
      </c>
      <c r="I1022" s="515"/>
      <c r="J1022" s="515" t="s">
        <v>1814</v>
      </c>
      <c r="K1022" s="515"/>
      <c r="L1022" s="169" t="s">
        <v>1882</v>
      </c>
    </row>
    <row r="1023" spans="1:12" ht="15" customHeight="1" x14ac:dyDescent="0.25">
      <c r="A1023" s="170" t="s">
        <v>2010</v>
      </c>
      <c r="B1023" s="492" t="s">
        <v>2011</v>
      </c>
      <c r="C1023" s="492"/>
      <c r="D1023" s="492"/>
      <c r="E1023" s="492"/>
      <c r="F1023" s="492"/>
      <c r="G1023" s="127"/>
      <c r="H1023" s="526">
        <v>3.3E-3</v>
      </c>
      <c r="I1023" s="526"/>
      <c r="J1023" s="525">
        <v>452.71</v>
      </c>
      <c r="K1023" s="525"/>
      <c r="L1023" s="171">
        <f>ROUND(ROUND(H1023,8)*J1023,2)</f>
        <v>1.49</v>
      </c>
    </row>
    <row r="1024" spans="1:12" ht="15" customHeight="1" x14ac:dyDescent="0.25">
      <c r="A1024" s="170" t="s">
        <v>2012</v>
      </c>
      <c r="B1024" s="492" t="s">
        <v>2013</v>
      </c>
      <c r="C1024" s="492"/>
      <c r="D1024" s="492"/>
      <c r="E1024" s="492"/>
      <c r="F1024" s="492"/>
      <c r="G1024" s="127" t="s">
        <v>54</v>
      </c>
      <c r="H1024" s="526">
        <v>1</v>
      </c>
      <c r="I1024" s="526"/>
      <c r="J1024" s="525">
        <v>667.37</v>
      </c>
      <c r="K1024" s="525"/>
      <c r="L1024" s="171">
        <f>ROUND(ROUND(H1024,8)*J1024,2)</f>
        <v>667.37</v>
      </c>
    </row>
    <row r="1025" spans="1:12" ht="15" customHeight="1" x14ac:dyDescent="0.25">
      <c r="A1025" s="184"/>
      <c r="B1025" s="141"/>
      <c r="C1025" s="141"/>
      <c r="D1025" s="141"/>
      <c r="E1025" s="141"/>
      <c r="F1025" s="141"/>
      <c r="G1025" s="141"/>
      <c r="H1025" s="491" t="s">
        <v>2014</v>
      </c>
      <c r="I1025" s="491"/>
      <c r="J1025" s="491"/>
      <c r="K1025" s="491"/>
      <c r="L1025" s="375">
        <f>SUM(L1023:L1024)</f>
        <v>668.86</v>
      </c>
    </row>
    <row r="1026" spans="1:12" ht="15" customHeight="1" x14ac:dyDescent="0.25">
      <c r="A1026" s="182"/>
      <c r="B1026" s="183"/>
      <c r="C1026" s="183"/>
      <c r="D1026" s="183"/>
      <c r="E1026" s="183"/>
      <c r="F1026" s="183"/>
      <c r="G1026" s="183"/>
      <c r="H1026" s="482" t="s">
        <v>1848</v>
      </c>
      <c r="I1026" s="482"/>
      <c r="J1026" s="482"/>
      <c r="K1026" s="482"/>
      <c r="L1026" s="371">
        <f>SUM(L1021,L1025)</f>
        <v>825.2</v>
      </c>
    </row>
    <row r="1027" spans="1:12" ht="15" customHeight="1" x14ac:dyDescent="0.25">
      <c r="A1027" s="483" t="s">
        <v>2015</v>
      </c>
      <c r="B1027" s="484"/>
      <c r="C1027" s="484"/>
      <c r="D1027" s="484"/>
      <c r="E1027" s="183"/>
      <c r="F1027" s="183"/>
      <c r="G1027" s="183"/>
      <c r="H1027" s="482" t="s">
        <v>1834</v>
      </c>
      <c r="I1027" s="482"/>
      <c r="J1027" s="482"/>
      <c r="K1027" s="482"/>
      <c r="L1027" s="369">
        <v>825.2</v>
      </c>
    </row>
    <row r="1028" spans="1:12" ht="9.9499999999999993" customHeight="1" x14ac:dyDescent="0.25">
      <c r="A1028" s="182"/>
      <c r="B1028" s="183"/>
      <c r="C1028" s="183"/>
      <c r="D1028" s="183"/>
      <c r="E1028" s="183"/>
      <c r="F1028" s="183"/>
      <c r="G1028" s="183"/>
      <c r="H1028" s="485"/>
      <c r="I1028" s="485"/>
      <c r="J1028" s="485"/>
      <c r="K1028" s="485"/>
      <c r="L1028" s="512"/>
    </row>
    <row r="1029" spans="1:12" ht="20.100000000000001" customHeight="1" x14ac:dyDescent="0.25">
      <c r="A1029" s="486" t="s">
        <v>2016</v>
      </c>
      <c r="B1029" s="487"/>
      <c r="C1029" s="487"/>
      <c r="D1029" s="487"/>
      <c r="E1029" s="487"/>
      <c r="F1029" s="487"/>
      <c r="G1029" s="487"/>
      <c r="H1029" s="487"/>
      <c r="I1029" s="487"/>
      <c r="J1029" s="487"/>
      <c r="K1029" s="487"/>
      <c r="L1029" s="513"/>
    </row>
    <row r="1030" spans="1:12" ht="15" customHeight="1" x14ac:dyDescent="0.25">
      <c r="A1030" s="474" t="s">
        <v>1812</v>
      </c>
      <c r="B1030" s="475"/>
      <c r="C1030" s="475"/>
      <c r="D1030" s="476" t="s">
        <v>42</v>
      </c>
      <c r="E1030" s="476"/>
      <c r="F1030" s="476"/>
      <c r="G1030" s="230" t="s">
        <v>44</v>
      </c>
      <c r="H1030" s="476" t="s">
        <v>1813</v>
      </c>
      <c r="I1030" s="476"/>
      <c r="J1030" s="476" t="s">
        <v>1814</v>
      </c>
      <c r="K1030" s="476"/>
      <c r="L1030" s="366" t="s">
        <v>1802</v>
      </c>
    </row>
    <row r="1031" spans="1:12" ht="15" customHeight="1" x14ac:dyDescent="0.25">
      <c r="A1031" s="181" t="s">
        <v>2017</v>
      </c>
      <c r="B1031" s="509" t="s">
        <v>2018</v>
      </c>
      <c r="C1031" s="509"/>
      <c r="D1031" s="481" t="s">
        <v>341</v>
      </c>
      <c r="E1031" s="481"/>
      <c r="F1031" s="481"/>
      <c r="G1031" s="231" t="s">
        <v>54</v>
      </c>
      <c r="H1031" s="510">
        <v>0.105</v>
      </c>
      <c r="I1031" s="510"/>
      <c r="J1031" s="511">
        <v>616.79</v>
      </c>
      <c r="K1031" s="511"/>
      <c r="L1031" s="367">
        <f>ROUND(ROUND(H1031,8)*J1031,2)</f>
        <v>64.760000000000005</v>
      </c>
    </row>
    <row r="1032" spans="1:12" ht="15" customHeight="1" x14ac:dyDescent="0.25">
      <c r="A1032" s="182"/>
      <c r="B1032" s="183"/>
      <c r="C1032" s="183"/>
      <c r="D1032" s="183"/>
      <c r="E1032" s="183"/>
      <c r="F1032" s="183"/>
      <c r="G1032" s="183"/>
      <c r="H1032" s="477" t="s">
        <v>1826</v>
      </c>
      <c r="I1032" s="477"/>
      <c r="J1032" s="477"/>
      <c r="K1032" s="477"/>
      <c r="L1032" s="368">
        <f>SUM(L1031:L1031)</f>
        <v>64.760000000000005</v>
      </c>
    </row>
    <row r="1033" spans="1:12" ht="15" customHeight="1" x14ac:dyDescent="0.25">
      <c r="A1033" s="474" t="s">
        <v>1827</v>
      </c>
      <c r="B1033" s="475"/>
      <c r="C1033" s="475"/>
      <c r="D1033" s="476" t="s">
        <v>42</v>
      </c>
      <c r="E1033" s="476"/>
      <c r="F1033" s="476"/>
      <c r="G1033" s="230" t="s">
        <v>44</v>
      </c>
      <c r="H1033" s="476" t="s">
        <v>1813</v>
      </c>
      <c r="I1033" s="476"/>
      <c r="J1033" s="476" t="s">
        <v>1814</v>
      </c>
      <c r="K1033" s="476"/>
      <c r="L1033" s="366" t="s">
        <v>1802</v>
      </c>
    </row>
    <row r="1034" spans="1:12" ht="15" customHeight="1" x14ac:dyDescent="0.25">
      <c r="A1034" s="181" t="s">
        <v>1851</v>
      </c>
      <c r="B1034" s="509" t="s">
        <v>1852</v>
      </c>
      <c r="C1034" s="509"/>
      <c r="D1034" s="481" t="s">
        <v>51</v>
      </c>
      <c r="E1034" s="481"/>
      <c r="F1034" s="481"/>
      <c r="G1034" s="231" t="s">
        <v>1024</v>
      </c>
      <c r="H1034" s="510">
        <v>0.26</v>
      </c>
      <c r="I1034" s="510"/>
      <c r="J1034" s="511">
        <v>26.03</v>
      </c>
      <c r="K1034" s="511"/>
      <c r="L1034" s="367">
        <f>ROUND(ROUND(H1034,8)*J1034,2)</f>
        <v>6.77</v>
      </c>
    </row>
    <row r="1035" spans="1:12" ht="15" customHeight="1" x14ac:dyDescent="0.25">
      <c r="A1035" s="181" t="s">
        <v>1830</v>
      </c>
      <c r="B1035" s="509" t="s">
        <v>1831</v>
      </c>
      <c r="C1035" s="509"/>
      <c r="D1035" s="481" t="s">
        <v>51</v>
      </c>
      <c r="E1035" s="481"/>
      <c r="F1035" s="481"/>
      <c r="G1035" s="231" t="s">
        <v>1024</v>
      </c>
      <c r="H1035" s="510">
        <v>0.26</v>
      </c>
      <c r="I1035" s="510"/>
      <c r="J1035" s="511">
        <v>19.68</v>
      </c>
      <c r="K1035" s="511"/>
      <c r="L1035" s="367">
        <f>ROUND(ROUND(H1035,8)*J1035,2)</f>
        <v>5.12</v>
      </c>
    </row>
    <row r="1036" spans="1:12" ht="15" customHeight="1" x14ac:dyDescent="0.25">
      <c r="A1036" s="182"/>
      <c r="B1036" s="183"/>
      <c r="C1036" s="183"/>
      <c r="D1036" s="183"/>
      <c r="E1036" s="183"/>
      <c r="F1036" s="183"/>
      <c r="G1036" s="183"/>
      <c r="H1036" s="477" t="s">
        <v>1832</v>
      </c>
      <c r="I1036" s="477"/>
      <c r="J1036" s="477"/>
      <c r="K1036" s="477"/>
      <c r="L1036" s="368">
        <f>SUM(L1034:L1035)</f>
        <v>11.89</v>
      </c>
    </row>
    <row r="1037" spans="1:12" ht="15" customHeight="1" x14ac:dyDescent="0.25">
      <c r="A1037" s="474" t="s">
        <v>1912</v>
      </c>
      <c r="B1037" s="475"/>
      <c r="C1037" s="475"/>
      <c r="D1037" s="476" t="s">
        <v>42</v>
      </c>
      <c r="E1037" s="476"/>
      <c r="F1037" s="476"/>
      <c r="G1037" s="230" t="s">
        <v>44</v>
      </c>
      <c r="H1037" s="476" t="s">
        <v>1813</v>
      </c>
      <c r="I1037" s="476"/>
      <c r="J1037" s="476" t="s">
        <v>1814</v>
      </c>
      <c r="K1037" s="476"/>
      <c r="L1037" s="366" t="s">
        <v>1802</v>
      </c>
    </row>
    <row r="1038" spans="1:12" ht="21" customHeight="1" x14ac:dyDescent="0.25">
      <c r="A1038" s="181" t="s">
        <v>2010</v>
      </c>
      <c r="B1038" s="509" t="s">
        <v>2011</v>
      </c>
      <c r="C1038" s="509"/>
      <c r="D1038" s="481" t="s">
        <v>51</v>
      </c>
      <c r="E1038" s="481"/>
      <c r="F1038" s="481"/>
      <c r="G1038" s="231"/>
      <c r="H1038" s="510">
        <v>1.5E-3</v>
      </c>
      <c r="I1038" s="510"/>
      <c r="J1038" s="511">
        <v>452.71</v>
      </c>
      <c r="K1038" s="511"/>
      <c r="L1038" s="367">
        <f>ROUND(ROUND(H1038,8)*J1038,2)</f>
        <v>0.68</v>
      </c>
    </row>
    <row r="1039" spans="1:12" ht="15" customHeight="1" x14ac:dyDescent="0.25">
      <c r="A1039" s="182"/>
      <c r="B1039" s="183"/>
      <c r="C1039" s="183"/>
      <c r="D1039" s="183"/>
      <c r="E1039" s="183"/>
      <c r="F1039" s="183"/>
      <c r="G1039" s="183"/>
      <c r="H1039" s="477" t="s">
        <v>1915</v>
      </c>
      <c r="I1039" s="477"/>
      <c r="J1039" s="477"/>
      <c r="K1039" s="477"/>
      <c r="L1039" s="368">
        <f>SUM(L1038:L1038)</f>
        <v>0.68</v>
      </c>
    </row>
    <row r="1040" spans="1:12" ht="15" customHeight="1" x14ac:dyDescent="0.25">
      <c r="A1040" s="483" t="s">
        <v>2019</v>
      </c>
      <c r="B1040" s="484"/>
      <c r="C1040" s="484"/>
      <c r="D1040" s="484"/>
      <c r="E1040" s="183"/>
      <c r="F1040" s="183"/>
      <c r="G1040" s="183"/>
      <c r="H1040" s="482" t="s">
        <v>1834</v>
      </c>
      <c r="I1040" s="482"/>
      <c r="J1040" s="482"/>
      <c r="K1040" s="482"/>
      <c r="L1040" s="369">
        <v>77.33</v>
      </c>
    </row>
    <row r="1041" spans="1:12" ht="2.1" customHeight="1" x14ac:dyDescent="0.25">
      <c r="A1041" s="483"/>
      <c r="B1041" s="484"/>
      <c r="C1041" s="484"/>
      <c r="D1041" s="484"/>
      <c r="E1041" s="183"/>
      <c r="F1041" s="183"/>
      <c r="G1041" s="183"/>
      <c r="H1041" s="183"/>
      <c r="I1041" s="183"/>
      <c r="J1041" s="183"/>
      <c r="K1041" s="183"/>
      <c r="L1041" s="383"/>
    </row>
    <row r="1042" spans="1:12" ht="9.9499999999999993" customHeight="1" x14ac:dyDescent="0.25">
      <c r="A1042" s="182"/>
      <c r="B1042" s="183"/>
      <c r="C1042" s="183"/>
      <c r="D1042" s="183"/>
      <c r="E1042" s="183"/>
      <c r="F1042" s="183"/>
      <c r="G1042" s="183"/>
      <c r="H1042" s="485"/>
      <c r="I1042" s="485"/>
      <c r="J1042" s="485"/>
      <c r="K1042" s="485"/>
      <c r="L1042" s="512"/>
    </row>
    <row r="1043" spans="1:12" ht="20.100000000000001" customHeight="1" x14ac:dyDescent="0.25">
      <c r="A1043" s="486" t="s">
        <v>2020</v>
      </c>
      <c r="B1043" s="487"/>
      <c r="C1043" s="487"/>
      <c r="D1043" s="487"/>
      <c r="E1043" s="487"/>
      <c r="F1043" s="487"/>
      <c r="G1043" s="487"/>
      <c r="H1043" s="487"/>
      <c r="I1043" s="487"/>
      <c r="J1043" s="487"/>
      <c r="K1043" s="487"/>
      <c r="L1043" s="513"/>
    </row>
    <row r="1044" spans="1:12" ht="15" customHeight="1" x14ac:dyDescent="0.25">
      <c r="A1044" s="474" t="s">
        <v>2021</v>
      </c>
      <c r="B1044" s="475"/>
      <c r="C1044" s="475"/>
      <c r="D1044" s="476" t="s">
        <v>42</v>
      </c>
      <c r="E1044" s="476"/>
      <c r="F1044" s="476"/>
      <c r="G1044" s="230" t="s">
        <v>44</v>
      </c>
      <c r="H1044" s="476" t="s">
        <v>1813</v>
      </c>
      <c r="I1044" s="476"/>
      <c r="J1044" s="476" t="s">
        <v>1814</v>
      </c>
      <c r="K1044" s="476"/>
      <c r="L1044" s="366" t="s">
        <v>1802</v>
      </c>
    </row>
    <row r="1045" spans="1:12" ht="29.1" customHeight="1" x14ac:dyDescent="0.25">
      <c r="A1045" s="181" t="s">
        <v>2022</v>
      </c>
      <c r="B1045" s="509" t="s">
        <v>2023</v>
      </c>
      <c r="C1045" s="509"/>
      <c r="D1045" s="481" t="s">
        <v>82</v>
      </c>
      <c r="E1045" s="481"/>
      <c r="F1045" s="481"/>
      <c r="G1045" s="231" t="s">
        <v>2024</v>
      </c>
      <c r="H1045" s="510">
        <v>1.7430000000000001</v>
      </c>
      <c r="I1045" s="510"/>
      <c r="J1045" s="511">
        <v>43.96</v>
      </c>
      <c r="K1045" s="511"/>
      <c r="L1045" s="367">
        <f>ROUND(ROUND(H1045,8)*J1045,2)</f>
        <v>76.62</v>
      </c>
    </row>
    <row r="1046" spans="1:12" ht="29.1" customHeight="1" x14ac:dyDescent="0.25">
      <c r="A1046" s="181" t="s">
        <v>2025</v>
      </c>
      <c r="B1046" s="509" t="s">
        <v>2026</v>
      </c>
      <c r="C1046" s="509"/>
      <c r="D1046" s="481" t="s">
        <v>82</v>
      </c>
      <c r="E1046" s="481"/>
      <c r="F1046" s="481"/>
      <c r="G1046" s="231" t="s">
        <v>2027</v>
      </c>
      <c r="H1046" s="510">
        <v>8.9800000000000005E-2</v>
      </c>
      <c r="I1046" s="510"/>
      <c r="J1046" s="511">
        <v>45.32</v>
      </c>
      <c r="K1046" s="511"/>
      <c r="L1046" s="367">
        <f>ROUND(ROUND(H1046,8)*J1046,2)</f>
        <v>4.07</v>
      </c>
    </row>
    <row r="1047" spans="1:12" ht="18" customHeight="1" x14ac:dyDescent="0.25">
      <c r="A1047" s="182"/>
      <c r="B1047" s="183"/>
      <c r="C1047" s="183"/>
      <c r="D1047" s="183"/>
      <c r="E1047" s="183"/>
      <c r="F1047" s="183"/>
      <c r="G1047" s="183"/>
      <c r="H1047" s="477" t="s">
        <v>2028</v>
      </c>
      <c r="I1047" s="477"/>
      <c r="J1047" s="477"/>
      <c r="K1047" s="477"/>
      <c r="L1047" s="368">
        <f>SUM(L1045:L1046)</f>
        <v>80.69</v>
      </c>
    </row>
    <row r="1048" spans="1:12" ht="15" customHeight="1" x14ac:dyDescent="0.25">
      <c r="A1048" s="474" t="s">
        <v>1812</v>
      </c>
      <c r="B1048" s="475"/>
      <c r="C1048" s="475"/>
      <c r="D1048" s="476" t="s">
        <v>42</v>
      </c>
      <c r="E1048" s="476"/>
      <c r="F1048" s="476"/>
      <c r="G1048" s="230" t="s">
        <v>44</v>
      </c>
      <c r="H1048" s="476" t="s">
        <v>1813</v>
      </c>
      <c r="I1048" s="476"/>
      <c r="J1048" s="476" t="s">
        <v>1814</v>
      </c>
      <c r="K1048" s="476"/>
      <c r="L1048" s="366" t="s">
        <v>1802</v>
      </c>
    </row>
    <row r="1049" spans="1:12" ht="21" customHeight="1" x14ac:dyDescent="0.25">
      <c r="A1049" s="181" t="s">
        <v>2029</v>
      </c>
      <c r="B1049" s="509" t="s">
        <v>2030</v>
      </c>
      <c r="C1049" s="509"/>
      <c r="D1049" s="481" t="s">
        <v>82</v>
      </c>
      <c r="E1049" s="481"/>
      <c r="F1049" s="481"/>
      <c r="G1049" s="231" t="s">
        <v>1817</v>
      </c>
      <c r="H1049" s="510">
        <v>0.53</v>
      </c>
      <c r="I1049" s="510"/>
      <c r="J1049" s="511">
        <v>39.36</v>
      </c>
      <c r="K1049" s="511"/>
      <c r="L1049" s="367">
        <f>ROUND(ROUND(H1049,8)*J1049,2)</f>
        <v>20.86</v>
      </c>
    </row>
    <row r="1050" spans="1:12" ht="15" customHeight="1" x14ac:dyDescent="0.25">
      <c r="A1050" s="181" t="s">
        <v>2031</v>
      </c>
      <c r="B1050" s="509" t="s">
        <v>2032</v>
      </c>
      <c r="C1050" s="509"/>
      <c r="D1050" s="481" t="s">
        <v>82</v>
      </c>
      <c r="E1050" s="481"/>
      <c r="F1050" s="481"/>
      <c r="G1050" s="231" t="s">
        <v>1817</v>
      </c>
      <c r="H1050" s="510">
        <v>0.97</v>
      </c>
      <c r="I1050" s="510"/>
      <c r="J1050" s="511">
        <v>2.54</v>
      </c>
      <c r="K1050" s="511"/>
      <c r="L1050" s="367">
        <f>ROUND(ROUND(H1050,8)*J1050,2)</f>
        <v>2.46</v>
      </c>
    </row>
    <row r="1051" spans="1:12" ht="29.1" customHeight="1" x14ac:dyDescent="0.25">
      <c r="A1051" s="181" t="s">
        <v>2033</v>
      </c>
      <c r="B1051" s="509" t="s">
        <v>2034</v>
      </c>
      <c r="C1051" s="509"/>
      <c r="D1051" s="481" t="s">
        <v>82</v>
      </c>
      <c r="E1051" s="481"/>
      <c r="F1051" s="481"/>
      <c r="G1051" s="231" t="s">
        <v>122</v>
      </c>
      <c r="H1051" s="510">
        <v>1.05</v>
      </c>
      <c r="I1051" s="510"/>
      <c r="J1051" s="511">
        <v>363.03</v>
      </c>
      <c r="K1051" s="511"/>
      <c r="L1051" s="367">
        <f>ROUND(ROUND(H1051,8)*J1051,2)</f>
        <v>381.18</v>
      </c>
    </row>
    <row r="1052" spans="1:12" ht="15" customHeight="1" x14ac:dyDescent="0.25">
      <c r="A1052" s="182"/>
      <c r="B1052" s="183"/>
      <c r="C1052" s="183"/>
      <c r="D1052" s="183"/>
      <c r="E1052" s="183"/>
      <c r="F1052" s="183"/>
      <c r="G1052" s="183"/>
      <c r="H1052" s="477" t="s">
        <v>1826</v>
      </c>
      <c r="I1052" s="477"/>
      <c r="J1052" s="477"/>
      <c r="K1052" s="477"/>
      <c r="L1052" s="368">
        <f>SUM(L1049:L1051)</f>
        <v>404.5</v>
      </c>
    </row>
    <row r="1053" spans="1:12" ht="15" customHeight="1" x14ac:dyDescent="0.25">
      <c r="A1053" s="474" t="s">
        <v>1827</v>
      </c>
      <c r="B1053" s="475"/>
      <c r="C1053" s="475"/>
      <c r="D1053" s="476" t="s">
        <v>42</v>
      </c>
      <c r="E1053" s="476"/>
      <c r="F1053" s="476"/>
      <c r="G1053" s="230" t="s">
        <v>44</v>
      </c>
      <c r="H1053" s="476" t="s">
        <v>1813</v>
      </c>
      <c r="I1053" s="476"/>
      <c r="J1053" s="476" t="s">
        <v>1814</v>
      </c>
      <c r="K1053" s="476"/>
      <c r="L1053" s="366" t="s">
        <v>1802</v>
      </c>
    </row>
    <row r="1054" spans="1:12" ht="15" customHeight="1" x14ac:dyDescent="0.25">
      <c r="A1054" s="181" t="s">
        <v>2035</v>
      </c>
      <c r="B1054" s="509" t="s">
        <v>2036</v>
      </c>
      <c r="C1054" s="509"/>
      <c r="D1054" s="481" t="s">
        <v>51</v>
      </c>
      <c r="E1054" s="481"/>
      <c r="F1054" s="481"/>
      <c r="G1054" s="231" t="s">
        <v>1024</v>
      </c>
      <c r="H1054" s="510">
        <v>1.8328</v>
      </c>
      <c r="I1054" s="510"/>
      <c r="J1054" s="511">
        <v>26.03</v>
      </c>
      <c r="K1054" s="511"/>
      <c r="L1054" s="367">
        <f>ROUND(ROUND(H1054,8)*J1054,2)</f>
        <v>47.71</v>
      </c>
    </row>
    <row r="1055" spans="1:12" ht="15" customHeight="1" x14ac:dyDescent="0.25">
      <c r="A1055" s="181" t="s">
        <v>1830</v>
      </c>
      <c r="B1055" s="509" t="s">
        <v>1831</v>
      </c>
      <c r="C1055" s="509"/>
      <c r="D1055" s="481" t="s">
        <v>51</v>
      </c>
      <c r="E1055" s="481"/>
      <c r="F1055" s="481"/>
      <c r="G1055" s="231" t="s">
        <v>1024</v>
      </c>
      <c r="H1055" s="510">
        <v>0.91639999999999999</v>
      </c>
      <c r="I1055" s="510"/>
      <c r="J1055" s="511">
        <v>19.68</v>
      </c>
      <c r="K1055" s="511"/>
      <c r="L1055" s="367">
        <f>ROUND(ROUND(H1055,8)*J1055,2)</f>
        <v>18.03</v>
      </c>
    </row>
    <row r="1056" spans="1:12" ht="15" customHeight="1" x14ac:dyDescent="0.25">
      <c r="A1056" s="182"/>
      <c r="B1056" s="183"/>
      <c r="C1056" s="183"/>
      <c r="D1056" s="183"/>
      <c r="E1056" s="183"/>
      <c r="F1056" s="183"/>
      <c r="G1056" s="183"/>
      <c r="H1056" s="477" t="s">
        <v>1832</v>
      </c>
      <c r="I1056" s="477"/>
      <c r="J1056" s="477"/>
      <c r="K1056" s="477"/>
      <c r="L1056" s="368">
        <f>SUM(L1054:L1055)</f>
        <v>65.740000000000009</v>
      </c>
    </row>
    <row r="1057" spans="1:12" ht="15" customHeight="1" x14ac:dyDescent="0.25">
      <c r="A1057" s="483" t="s">
        <v>2037</v>
      </c>
      <c r="B1057" s="484"/>
      <c r="C1057" s="484"/>
      <c r="D1057" s="484"/>
      <c r="E1057" s="183"/>
      <c r="F1057" s="183"/>
      <c r="G1057" s="183"/>
      <c r="H1057" s="482" t="s">
        <v>1834</v>
      </c>
      <c r="I1057" s="482"/>
      <c r="J1057" s="482"/>
      <c r="K1057" s="482"/>
      <c r="L1057" s="369">
        <v>550.92999999999995</v>
      </c>
    </row>
    <row r="1058" spans="1:12" ht="2.1" customHeight="1" x14ac:dyDescent="0.25">
      <c r="A1058" s="483"/>
      <c r="B1058" s="484"/>
      <c r="C1058" s="484"/>
      <c r="D1058" s="484"/>
      <c r="E1058" s="183"/>
      <c r="F1058" s="183"/>
      <c r="G1058" s="183"/>
      <c r="H1058" s="183"/>
      <c r="I1058" s="183"/>
      <c r="J1058" s="183"/>
      <c r="K1058" s="183"/>
      <c r="L1058" s="383"/>
    </row>
    <row r="1059" spans="1:12" ht="9.9499999999999993" customHeight="1" x14ac:dyDescent="0.25">
      <c r="A1059" s="182"/>
      <c r="B1059" s="183"/>
      <c r="C1059" s="183"/>
      <c r="D1059" s="183"/>
      <c r="E1059" s="183"/>
      <c r="F1059" s="183"/>
      <c r="G1059" s="183"/>
      <c r="H1059" s="485"/>
      <c r="I1059" s="485"/>
      <c r="J1059" s="485"/>
      <c r="K1059" s="485"/>
      <c r="L1059" s="512"/>
    </row>
    <row r="1060" spans="1:12" ht="20.100000000000001" customHeight="1" x14ac:dyDescent="0.25">
      <c r="A1060" s="486" t="s">
        <v>3589</v>
      </c>
      <c r="B1060" s="487"/>
      <c r="C1060" s="487"/>
      <c r="D1060" s="487"/>
      <c r="E1060" s="487"/>
      <c r="F1060" s="487"/>
      <c r="G1060" s="487"/>
      <c r="H1060" s="487"/>
      <c r="I1060" s="487"/>
      <c r="J1060" s="487"/>
      <c r="K1060" s="487"/>
      <c r="L1060" s="513"/>
    </row>
    <row r="1061" spans="1:12" ht="20.100000000000001" customHeight="1" x14ac:dyDescent="0.25">
      <c r="A1061" s="488" t="s">
        <v>1836</v>
      </c>
      <c r="B1061" s="489"/>
      <c r="C1061" s="489"/>
      <c r="D1061" s="489"/>
      <c r="E1061" s="489"/>
      <c r="F1061" s="489"/>
      <c r="G1061" s="233" t="s">
        <v>44</v>
      </c>
      <c r="H1061" s="515" t="s">
        <v>1837</v>
      </c>
      <c r="I1061" s="515"/>
      <c r="J1061" s="515" t="s">
        <v>1838</v>
      </c>
      <c r="K1061" s="515"/>
      <c r="L1061" s="169" t="s">
        <v>1839</v>
      </c>
    </row>
    <row r="1062" spans="1:12" ht="15" customHeight="1" x14ac:dyDescent="0.25">
      <c r="A1062" s="170" t="s">
        <v>1851</v>
      </c>
      <c r="B1062" s="490" t="s">
        <v>1852</v>
      </c>
      <c r="C1062" s="490"/>
      <c r="D1062" s="490"/>
      <c r="E1062" s="490"/>
      <c r="F1062" s="490"/>
      <c r="G1062" s="127" t="s">
        <v>1024</v>
      </c>
      <c r="H1062" s="524">
        <v>3</v>
      </c>
      <c r="I1062" s="524"/>
      <c r="J1062" s="517">
        <v>26.03</v>
      </c>
      <c r="K1062" s="517"/>
      <c r="L1062" s="370">
        <f>TRUNC(TRUNC(H1062,8)*J1062,2)</f>
        <v>78.09</v>
      </c>
    </row>
    <row r="1063" spans="1:12" ht="15" customHeight="1" x14ac:dyDescent="0.25">
      <c r="A1063" s="170" t="s">
        <v>1830</v>
      </c>
      <c r="B1063" s="490" t="s">
        <v>1831</v>
      </c>
      <c r="C1063" s="490"/>
      <c r="D1063" s="490"/>
      <c r="E1063" s="490"/>
      <c r="F1063" s="490"/>
      <c r="G1063" s="127" t="s">
        <v>1024</v>
      </c>
      <c r="H1063" s="524">
        <v>3.06</v>
      </c>
      <c r="I1063" s="524"/>
      <c r="J1063" s="517">
        <v>19.68</v>
      </c>
      <c r="K1063" s="517"/>
      <c r="L1063" s="370">
        <f>TRUNC(TRUNC(H1063,8)*J1063,2)</f>
        <v>60.22</v>
      </c>
    </row>
    <row r="1064" spans="1:12" ht="15" customHeight="1" x14ac:dyDescent="0.25">
      <c r="A1064" s="184"/>
      <c r="B1064" s="141"/>
      <c r="C1064" s="141"/>
      <c r="D1064" s="141"/>
      <c r="E1064" s="141"/>
      <c r="F1064" s="141"/>
      <c r="G1064" s="141"/>
      <c r="H1064" s="491" t="s">
        <v>1844</v>
      </c>
      <c r="I1064" s="491"/>
      <c r="J1064" s="491"/>
      <c r="K1064" s="491"/>
      <c r="L1064" s="369">
        <f>SUM(L1062:L1063)</f>
        <v>138.31</v>
      </c>
    </row>
    <row r="1065" spans="1:12" ht="20.100000000000001" customHeight="1" x14ac:dyDescent="0.25">
      <c r="A1065" s="488" t="s">
        <v>3590</v>
      </c>
      <c r="B1065" s="489"/>
      <c r="C1065" s="489"/>
      <c r="D1065" s="515" t="s">
        <v>2301</v>
      </c>
      <c r="E1065" s="515"/>
      <c r="F1065" s="515" t="s">
        <v>3591</v>
      </c>
      <c r="G1065" s="515"/>
      <c r="H1065" s="515" t="s">
        <v>1836</v>
      </c>
      <c r="I1065" s="515"/>
      <c r="J1065" s="515" t="s">
        <v>3592</v>
      </c>
      <c r="K1065" s="515"/>
      <c r="L1065" s="169" t="s">
        <v>3593</v>
      </c>
    </row>
    <row r="1066" spans="1:12" ht="15" customHeight="1" x14ac:dyDescent="0.25">
      <c r="A1066" s="170" t="s">
        <v>3594</v>
      </c>
      <c r="B1066" s="492" t="s">
        <v>3595</v>
      </c>
      <c r="C1066" s="492"/>
      <c r="D1066" s="543">
        <v>0.51200000000000001</v>
      </c>
      <c r="E1066" s="543"/>
      <c r="F1066" s="544"/>
      <c r="G1066" s="544"/>
      <c r="H1066" s="544"/>
      <c r="I1066" s="544"/>
      <c r="J1066" s="544"/>
      <c r="K1066" s="544"/>
      <c r="L1066" s="171">
        <v>200.17</v>
      </c>
    </row>
    <row r="1067" spans="1:12" ht="20.100000000000001" customHeight="1" x14ac:dyDescent="0.25">
      <c r="A1067" s="184"/>
      <c r="B1067" s="141"/>
      <c r="C1067" s="141"/>
      <c r="D1067" s="141"/>
      <c r="E1067" s="141"/>
      <c r="F1067" s="491" t="s">
        <v>3596</v>
      </c>
      <c r="G1067" s="491"/>
      <c r="H1067" s="491"/>
      <c r="I1067" s="491"/>
      <c r="J1067" s="491"/>
      <c r="K1067" s="491"/>
      <c r="L1067" s="375">
        <f>SUM(L1066:L1066)</f>
        <v>200.17</v>
      </c>
    </row>
    <row r="1068" spans="1:12" ht="15" customHeight="1" x14ac:dyDescent="0.25">
      <c r="A1068" s="182"/>
      <c r="B1068" s="183"/>
      <c r="C1068" s="183"/>
      <c r="D1068" s="183"/>
      <c r="E1068" s="183"/>
      <c r="F1068" s="183"/>
      <c r="G1068" s="183"/>
      <c r="H1068" s="482" t="s">
        <v>1845</v>
      </c>
      <c r="I1068" s="482"/>
      <c r="J1068" s="482"/>
      <c r="K1068" s="482"/>
      <c r="L1068" s="371">
        <f>SUM(L1064,L1067)</f>
        <v>338.48</v>
      </c>
    </row>
    <row r="1069" spans="1:12" ht="15" customHeight="1" x14ac:dyDescent="0.25">
      <c r="A1069" s="182"/>
      <c r="B1069" s="183"/>
      <c r="C1069" s="183"/>
      <c r="D1069" s="183"/>
      <c r="E1069" s="183"/>
      <c r="F1069" s="183"/>
      <c r="G1069" s="183"/>
      <c r="H1069" s="482" t="s">
        <v>1846</v>
      </c>
      <c r="I1069" s="482"/>
      <c r="J1069" s="482"/>
      <c r="K1069" s="482"/>
      <c r="L1069" s="374">
        <v>1</v>
      </c>
    </row>
    <row r="1070" spans="1:12" ht="15" customHeight="1" x14ac:dyDescent="0.25">
      <c r="A1070" s="182"/>
      <c r="B1070" s="183"/>
      <c r="C1070" s="183"/>
      <c r="D1070" s="183"/>
      <c r="E1070" s="183"/>
      <c r="F1070" s="183"/>
      <c r="G1070" s="183"/>
      <c r="H1070" s="482" t="s">
        <v>1847</v>
      </c>
      <c r="I1070" s="482"/>
      <c r="J1070" s="482"/>
      <c r="K1070" s="482"/>
      <c r="L1070" s="371">
        <f>TRUNC(L1068/L1069,4)</f>
        <v>338.48</v>
      </c>
    </row>
    <row r="1071" spans="1:12" ht="20.100000000000001" customHeight="1" x14ac:dyDescent="0.25">
      <c r="A1071" s="488" t="s">
        <v>1880</v>
      </c>
      <c r="B1071" s="489"/>
      <c r="C1071" s="489"/>
      <c r="D1071" s="489"/>
      <c r="E1071" s="489"/>
      <c r="F1071" s="489"/>
      <c r="G1071" s="233" t="s">
        <v>44</v>
      </c>
      <c r="H1071" s="515" t="s">
        <v>1837</v>
      </c>
      <c r="I1071" s="515"/>
      <c r="J1071" s="515" t="s">
        <v>1881</v>
      </c>
      <c r="K1071" s="515"/>
      <c r="L1071" s="169" t="s">
        <v>1882</v>
      </c>
    </row>
    <row r="1072" spans="1:12" ht="15" customHeight="1" x14ac:dyDescent="0.25">
      <c r="A1072" s="170" t="s">
        <v>2170</v>
      </c>
      <c r="B1072" s="492" t="s">
        <v>2171</v>
      </c>
      <c r="C1072" s="492"/>
      <c r="D1072" s="492"/>
      <c r="E1072" s="492"/>
      <c r="F1072" s="492"/>
      <c r="G1072" s="127" t="s">
        <v>85</v>
      </c>
      <c r="H1072" s="524">
        <v>7.1739999999999998E-3</v>
      </c>
      <c r="I1072" s="524"/>
      <c r="J1072" s="525">
        <v>152</v>
      </c>
      <c r="K1072" s="525"/>
      <c r="L1072" s="171">
        <f t="shared" ref="L1072:L1078" si="10">TRUNC(TRUNC(H1072,8)*J1072,2)</f>
        <v>1.0900000000000001</v>
      </c>
    </row>
    <row r="1073" spans="1:12" ht="15" customHeight="1" x14ac:dyDescent="0.25">
      <c r="A1073" s="170" t="s">
        <v>3597</v>
      </c>
      <c r="B1073" s="492" t="s">
        <v>3598</v>
      </c>
      <c r="C1073" s="492"/>
      <c r="D1073" s="492"/>
      <c r="E1073" s="492"/>
      <c r="F1073" s="492"/>
      <c r="G1073" s="127" t="s">
        <v>188</v>
      </c>
      <c r="H1073" s="524">
        <v>16.399999999999999</v>
      </c>
      <c r="I1073" s="524"/>
      <c r="J1073" s="525">
        <v>14.93</v>
      </c>
      <c r="K1073" s="525"/>
      <c r="L1073" s="171">
        <f t="shared" si="10"/>
        <v>244.85</v>
      </c>
    </row>
    <row r="1074" spans="1:12" ht="15" customHeight="1" x14ac:dyDescent="0.25">
      <c r="A1074" s="170" t="s">
        <v>3131</v>
      </c>
      <c r="B1074" s="492" t="s">
        <v>3132</v>
      </c>
      <c r="C1074" s="492"/>
      <c r="D1074" s="492"/>
      <c r="E1074" s="492"/>
      <c r="F1074" s="492"/>
      <c r="G1074" s="127" t="s">
        <v>1817</v>
      </c>
      <c r="H1074" s="524">
        <v>0.4914</v>
      </c>
      <c r="I1074" s="524"/>
      <c r="J1074" s="525">
        <v>1.08</v>
      </c>
      <c r="K1074" s="525"/>
      <c r="L1074" s="171">
        <f t="shared" si="10"/>
        <v>0.53</v>
      </c>
    </row>
    <row r="1075" spans="1:12" ht="15" customHeight="1" x14ac:dyDescent="0.25">
      <c r="A1075" s="170" t="s">
        <v>3599</v>
      </c>
      <c r="B1075" s="492" t="s">
        <v>3600</v>
      </c>
      <c r="C1075" s="492"/>
      <c r="D1075" s="492"/>
      <c r="E1075" s="492"/>
      <c r="F1075" s="492"/>
      <c r="G1075" s="127" t="s">
        <v>188</v>
      </c>
      <c r="H1075" s="524">
        <v>1</v>
      </c>
      <c r="I1075" s="524"/>
      <c r="J1075" s="525">
        <v>8.83</v>
      </c>
      <c r="K1075" s="525"/>
      <c r="L1075" s="171">
        <f t="shared" si="10"/>
        <v>8.83</v>
      </c>
    </row>
    <row r="1076" spans="1:12" ht="15" customHeight="1" x14ac:dyDescent="0.25">
      <c r="A1076" s="170" t="s">
        <v>2263</v>
      </c>
      <c r="B1076" s="492" t="s">
        <v>2264</v>
      </c>
      <c r="C1076" s="492"/>
      <c r="D1076" s="492"/>
      <c r="E1076" s="492"/>
      <c r="F1076" s="492"/>
      <c r="G1076" s="127" t="s">
        <v>1817</v>
      </c>
      <c r="H1076" s="524">
        <v>2.0466000000000002</v>
      </c>
      <c r="I1076" s="524"/>
      <c r="J1076" s="525">
        <v>0.56999999999999995</v>
      </c>
      <c r="K1076" s="525"/>
      <c r="L1076" s="171">
        <f t="shared" si="10"/>
        <v>1.1599999999999999</v>
      </c>
    </row>
    <row r="1077" spans="1:12" ht="15" customHeight="1" x14ac:dyDescent="0.25">
      <c r="A1077" s="170" t="s">
        <v>3601</v>
      </c>
      <c r="B1077" s="492" t="s">
        <v>3602</v>
      </c>
      <c r="C1077" s="492"/>
      <c r="D1077" s="492"/>
      <c r="E1077" s="492"/>
      <c r="F1077" s="492"/>
      <c r="G1077" s="127" t="s">
        <v>1817</v>
      </c>
      <c r="H1077" s="524">
        <v>32.49</v>
      </c>
      <c r="I1077" s="524"/>
      <c r="J1077" s="525">
        <v>3.7</v>
      </c>
      <c r="K1077" s="525"/>
      <c r="L1077" s="171">
        <f t="shared" si="10"/>
        <v>120.21</v>
      </c>
    </row>
    <row r="1078" spans="1:12" ht="15" customHeight="1" x14ac:dyDescent="0.25">
      <c r="A1078" s="170" t="s">
        <v>3603</v>
      </c>
      <c r="B1078" s="492" t="s">
        <v>3604</v>
      </c>
      <c r="C1078" s="492"/>
      <c r="D1078" s="492"/>
      <c r="E1078" s="492"/>
      <c r="F1078" s="492"/>
      <c r="G1078" s="127" t="s">
        <v>226</v>
      </c>
      <c r="H1078" s="524">
        <v>0.4</v>
      </c>
      <c r="I1078" s="524"/>
      <c r="J1078" s="525">
        <v>42.69</v>
      </c>
      <c r="K1078" s="525"/>
      <c r="L1078" s="171">
        <f t="shared" si="10"/>
        <v>17.07</v>
      </c>
    </row>
    <row r="1079" spans="1:12" ht="15" customHeight="1" x14ac:dyDescent="0.25">
      <c r="A1079" s="184"/>
      <c r="B1079" s="141"/>
      <c r="C1079" s="141"/>
      <c r="D1079" s="141"/>
      <c r="E1079" s="141"/>
      <c r="F1079" s="141"/>
      <c r="G1079" s="141"/>
      <c r="H1079" s="491" t="s">
        <v>1889</v>
      </c>
      <c r="I1079" s="491"/>
      <c r="J1079" s="491"/>
      <c r="K1079" s="491"/>
      <c r="L1079" s="375">
        <f>SUM(L1072:L1078)</f>
        <v>393.74</v>
      </c>
    </row>
    <row r="1080" spans="1:12" ht="15" customHeight="1" x14ac:dyDescent="0.25">
      <c r="A1080" s="182"/>
      <c r="B1080" s="183"/>
      <c r="C1080" s="183"/>
      <c r="D1080" s="183"/>
      <c r="E1080" s="183"/>
      <c r="F1080" s="183"/>
      <c r="G1080" s="183"/>
      <c r="H1080" s="482" t="s">
        <v>1848</v>
      </c>
      <c r="I1080" s="482"/>
      <c r="J1080" s="482"/>
      <c r="K1080" s="482"/>
      <c r="L1080" s="371">
        <f>SUM(L1070,L1079)</f>
        <v>732.22</v>
      </c>
    </row>
    <row r="1081" spans="1:12" ht="15" customHeight="1" x14ac:dyDescent="0.25">
      <c r="A1081" s="182"/>
      <c r="B1081" s="183"/>
      <c r="C1081" s="183"/>
      <c r="D1081" s="183"/>
      <c r="E1081" s="183"/>
      <c r="F1081" s="183"/>
      <c r="G1081" s="183"/>
      <c r="H1081" s="482" t="s">
        <v>1834</v>
      </c>
      <c r="I1081" s="482"/>
      <c r="J1081" s="482"/>
      <c r="K1081" s="482"/>
      <c r="L1081" s="369">
        <f>ROUND(SUM(L1080),2)</f>
        <v>732.22</v>
      </c>
    </row>
    <row r="1082" spans="1:12" ht="9.9499999999999993" customHeight="1" x14ac:dyDescent="0.25">
      <c r="A1082" s="182"/>
      <c r="B1082" s="183"/>
      <c r="C1082" s="183"/>
      <c r="D1082" s="183"/>
      <c r="E1082" s="183"/>
      <c r="F1082" s="183"/>
      <c r="G1082" s="183"/>
      <c r="H1082" s="485"/>
      <c r="I1082" s="485"/>
      <c r="J1082" s="485"/>
      <c r="K1082" s="485"/>
      <c r="L1082" s="512"/>
    </row>
    <row r="1083" spans="1:12" ht="20.100000000000001" customHeight="1" x14ac:dyDescent="0.25">
      <c r="A1083" s="486" t="s">
        <v>3605</v>
      </c>
      <c r="B1083" s="487"/>
      <c r="C1083" s="487"/>
      <c r="D1083" s="487"/>
      <c r="E1083" s="487"/>
      <c r="F1083" s="487"/>
      <c r="G1083" s="487"/>
      <c r="H1083" s="487"/>
      <c r="I1083" s="487"/>
      <c r="J1083" s="487"/>
      <c r="K1083" s="487"/>
      <c r="L1083" s="513"/>
    </row>
    <row r="1084" spans="1:12" ht="20.100000000000001" customHeight="1" x14ac:dyDescent="0.25">
      <c r="A1084" s="488" t="s">
        <v>1836</v>
      </c>
      <c r="B1084" s="489"/>
      <c r="C1084" s="489"/>
      <c r="D1084" s="489"/>
      <c r="E1084" s="489"/>
      <c r="F1084" s="489"/>
      <c r="G1084" s="233" t="s">
        <v>44</v>
      </c>
      <c r="H1084" s="515" t="s">
        <v>1837</v>
      </c>
      <c r="I1084" s="515"/>
      <c r="J1084" s="515" t="s">
        <v>1838</v>
      </c>
      <c r="K1084" s="515"/>
      <c r="L1084" s="169" t="s">
        <v>1839</v>
      </c>
    </row>
    <row r="1085" spans="1:12" ht="15" customHeight="1" x14ac:dyDescent="0.25">
      <c r="A1085" s="170" t="s">
        <v>1851</v>
      </c>
      <c r="B1085" s="490" t="s">
        <v>1852</v>
      </c>
      <c r="C1085" s="490"/>
      <c r="D1085" s="490"/>
      <c r="E1085" s="490"/>
      <c r="F1085" s="490"/>
      <c r="G1085" s="127" t="s">
        <v>1024</v>
      </c>
      <c r="H1085" s="524">
        <v>3</v>
      </c>
      <c r="I1085" s="524"/>
      <c r="J1085" s="517">
        <v>26.03</v>
      </c>
      <c r="K1085" s="517"/>
      <c r="L1085" s="370">
        <f>TRUNC(TRUNC(H1085,8)*J1085,2)</f>
        <v>78.09</v>
      </c>
    </row>
    <row r="1086" spans="1:12" ht="15" customHeight="1" x14ac:dyDescent="0.25">
      <c r="A1086" s="170" t="s">
        <v>1830</v>
      </c>
      <c r="B1086" s="490" t="s">
        <v>1831</v>
      </c>
      <c r="C1086" s="490"/>
      <c r="D1086" s="490"/>
      <c r="E1086" s="490"/>
      <c r="F1086" s="490"/>
      <c r="G1086" s="127" t="s">
        <v>1024</v>
      </c>
      <c r="H1086" s="524">
        <v>3</v>
      </c>
      <c r="I1086" s="524"/>
      <c r="J1086" s="517">
        <v>19.68</v>
      </c>
      <c r="K1086" s="517"/>
      <c r="L1086" s="370">
        <f>TRUNC(TRUNC(H1086,8)*J1086,2)</f>
        <v>59.04</v>
      </c>
    </row>
    <row r="1087" spans="1:12" ht="15" customHeight="1" x14ac:dyDescent="0.25">
      <c r="A1087" s="184"/>
      <c r="B1087" s="141"/>
      <c r="C1087" s="141"/>
      <c r="D1087" s="141"/>
      <c r="E1087" s="141"/>
      <c r="F1087" s="141"/>
      <c r="G1087" s="141"/>
      <c r="H1087" s="491" t="s">
        <v>1844</v>
      </c>
      <c r="I1087" s="491"/>
      <c r="J1087" s="491"/>
      <c r="K1087" s="491"/>
      <c r="L1087" s="369">
        <f>SUM(L1085:L1086)</f>
        <v>137.13</v>
      </c>
    </row>
    <row r="1088" spans="1:12" ht="20.100000000000001" customHeight="1" x14ac:dyDescent="0.25">
      <c r="A1088" s="488" t="s">
        <v>3590</v>
      </c>
      <c r="B1088" s="489"/>
      <c r="C1088" s="489"/>
      <c r="D1088" s="515" t="s">
        <v>2301</v>
      </c>
      <c r="E1088" s="515"/>
      <c r="F1088" s="515" t="s">
        <v>3591</v>
      </c>
      <c r="G1088" s="515"/>
      <c r="H1088" s="515" t="s">
        <v>1836</v>
      </c>
      <c r="I1088" s="515"/>
      <c r="J1088" s="515" t="s">
        <v>3592</v>
      </c>
      <c r="K1088" s="515"/>
      <c r="L1088" s="169" t="s">
        <v>3593</v>
      </c>
    </row>
    <row r="1089" spans="1:12" ht="15" customHeight="1" x14ac:dyDescent="0.25">
      <c r="A1089" s="170" t="s">
        <v>3606</v>
      </c>
      <c r="B1089" s="492" t="s">
        <v>3595</v>
      </c>
      <c r="C1089" s="492"/>
      <c r="D1089" s="543">
        <v>0.51200000000000001</v>
      </c>
      <c r="E1089" s="543"/>
      <c r="F1089" s="544"/>
      <c r="G1089" s="544"/>
      <c r="H1089" s="544"/>
      <c r="I1089" s="544"/>
      <c r="J1089" s="544"/>
      <c r="K1089" s="544"/>
      <c r="L1089" s="171">
        <v>77.37</v>
      </c>
    </row>
    <row r="1090" spans="1:12" ht="20.100000000000001" customHeight="1" x14ac:dyDescent="0.25">
      <c r="A1090" s="184"/>
      <c r="B1090" s="141"/>
      <c r="C1090" s="141"/>
      <c r="D1090" s="141"/>
      <c r="E1090" s="141"/>
      <c r="F1090" s="491" t="s">
        <v>3596</v>
      </c>
      <c r="G1090" s="491"/>
      <c r="H1090" s="491"/>
      <c r="I1090" s="491"/>
      <c r="J1090" s="491"/>
      <c r="K1090" s="491"/>
      <c r="L1090" s="375">
        <f>SUM(L1089:L1089)</f>
        <v>77.37</v>
      </c>
    </row>
    <row r="1091" spans="1:12" ht="15" customHeight="1" x14ac:dyDescent="0.25">
      <c r="A1091" s="182"/>
      <c r="B1091" s="183"/>
      <c r="C1091" s="183"/>
      <c r="D1091" s="183"/>
      <c r="E1091" s="183"/>
      <c r="F1091" s="183"/>
      <c r="G1091" s="183"/>
      <c r="H1091" s="482" t="s">
        <v>1845</v>
      </c>
      <c r="I1091" s="482"/>
      <c r="J1091" s="482"/>
      <c r="K1091" s="482"/>
      <c r="L1091" s="371">
        <f>SUM(L1087,L1090)</f>
        <v>214.5</v>
      </c>
    </row>
    <row r="1092" spans="1:12" ht="15" customHeight="1" x14ac:dyDescent="0.25">
      <c r="A1092" s="182"/>
      <c r="B1092" s="183"/>
      <c r="C1092" s="183"/>
      <c r="D1092" s="183"/>
      <c r="E1092" s="183"/>
      <c r="F1092" s="183"/>
      <c r="G1092" s="183"/>
      <c r="H1092" s="482" t="s">
        <v>1846</v>
      </c>
      <c r="I1092" s="482"/>
      <c r="J1092" s="482"/>
      <c r="K1092" s="482"/>
      <c r="L1092" s="374">
        <v>1</v>
      </c>
    </row>
    <row r="1093" spans="1:12" ht="15" customHeight="1" x14ac:dyDescent="0.25">
      <c r="A1093" s="182"/>
      <c r="B1093" s="183"/>
      <c r="C1093" s="183"/>
      <c r="D1093" s="183"/>
      <c r="E1093" s="183"/>
      <c r="F1093" s="183"/>
      <c r="G1093" s="183"/>
      <c r="H1093" s="482" t="s">
        <v>1847</v>
      </c>
      <c r="I1093" s="482"/>
      <c r="J1093" s="482"/>
      <c r="K1093" s="482"/>
      <c r="L1093" s="371">
        <f>TRUNC(L1091/L1092,4)</f>
        <v>214.5</v>
      </c>
    </row>
    <row r="1094" spans="1:12" ht="20.100000000000001" customHeight="1" x14ac:dyDescent="0.25">
      <c r="A1094" s="488" t="s">
        <v>1880</v>
      </c>
      <c r="B1094" s="489"/>
      <c r="C1094" s="489"/>
      <c r="D1094" s="489"/>
      <c r="E1094" s="489"/>
      <c r="F1094" s="489"/>
      <c r="G1094" s="233" t="s">
        <v>44</v>
      </c>
      <c r="H1094" s="515" t="s">
        <v>1837</v>
      </c>
      <c r="I1094" s="515"/>
      <c r="J1094" s="515" t="s">
        <v>1881</v>
      </c>
      <c r="K1094" s="515"/>
      <c r="L1094" s="169" t="s">
        <v>1882</v>
      </c>
    </row>
    <row r="1095" spans="1:12" ht="15" customHeight="1" x14ac:dyDescent="0.25">
      <c r="A1095" s="170" t="s">
        <v>2170</v>
      </c>
      <c r="B1095" s="492" t="s">
        <v>2171</v>
      </c>
      <c r="C1095" s="492"/>
      <c r="D1095" s="492"/>
      <c r="E1095" s="492"/>
      <c r="F1095" s="492"/>
      <c r="G1095" s="127" t="s">
        <v>85</v>
      </c>
      <c r="H1095" s="524">
        <v>9.4850000000000004E-3</v>
      </c>
      <c r="I1095" s="524"/>
      <c r="J1095" s="525">
        <v>152</v>
      </c>
      <c r="K1095" s="525"/>
      <c r="L1095" s="171">
        <f t="shared" ref="L1095:L1100" si="11">TRUNC(TRUNC(H1095,8)*J1095,2)</f>
        <v>1.44</v>
      </c>
    </row>
    <row r="1096" spans="1:12" ht="15" customHeight="1" x14ac:dyDescent="0.25">
      <c r="A1096" s="170" t="s">
        <v>3607</v>
      </c>
      <c r="B1096" s="492" t="s">
        <v>3608</v>
      </c>
      <c r="C1096" s="492"/>
      <c r="D1096" s="492"/>
      <c r="E1096" s="492"/>
      <c r="F1096" s="492"/>
      <c r="G1096" s="127" t="s">
        <v>188</v>
      </c>
      <c r="H1096" s="524">
        <v>7.5221229999999997</v>
      </c>
      <c r="I1096" s="524"/>
      <c r="J1096" s="525">
        <v>9.36</v>
      </c>
      <c r="K1096" s="525"/>
      <c r="L1096" s="171">
        <f t="shared" si="11"/>
        <v>70.400000000000006</v>
      </c>
    </row>
    <row r="1097" spans="1:12" ht="15" customHeight="1" x14ac:dyDescent="0.25">
      <c r="A1097" s="170" t="s">
        <v>3609</v>
      </c>
      <c r="B1097" s="492" t="s">
        <v>3610</v>
      </c>
      <c r="C1097" s="492"/>
      <c r="D1097" s="492"/>
      <c r="E1097" s="492"/>
      <c r="F1097" s="492"/>
      <c r="G1097" s="127" t="s">
        <v>188</v>
      </c>
      <c r="H1097" s="524">
        <v>2.5870799999999998</v>
      </c>
      <c r="I1097" s="524"/>
      <c r="J1097" s="525">
        <v>11.7</v>
      </c>
      <c r="K1097" s="525"/>
      <c r="L1097" s="171">
        <f t="shared" si="11"/>
        <v>30.26</v>
      </c>
    </row>
    <row r="1098" spans="1:12" ht="15" customHeight="1" x14ac:dyDescent="0.25">
      <c r="A1098" s="170" t="s">
        <v>3131</v>
      </c>
      <c r="B1098" s="492" t="s">
        <v>3132</v>
      </c>
      <c r="C1098" s="492"/>
      <c r="D1098" s="492"/>
      <c r="E1098" s="492"/>
      <c r="F1098" s="492"/>
      <c r="G1098" s="127" t="s">
        <v>1817</v>
      </c>
      <c r="H1098" s="524">
        <v>0.56420000000000003</v>
      </c>
      <c r="I1098" s="524"/>
      <c r="J1098" s="525">
        <v>1.08</v>
      </c>
      <c r="K1098" s="525"/>
      <c r="L1098" s="171">
        <f t="shared" si="11"/>
        <v>0.6</v>
      </c>
    </row>
    <row r="1099" spans="1:12" ht="15" customHeight="1" x14ac:dyDescent="0.25">
      <c r="A1099" s="170" t="s">
        <v>2263</v>
      </c>
      <c r="B1099" s="492" t="s">
        <v>2264</v>
      </c>
      <c r="C1099" s="492"/>
      <c r="D1099" s="492"/>
      <c r="E1099" s="492"/>
      <c r="F1099" s="492"/>
      <c r="G1099" s="127" t="s">
        <v>1817</v>
      </c>
      <c r="H1099" s="524">
        <v>2.8483999999999998</v>
      </c>
      <c r="I1099" s="524"/>
      <c r="J1099" s="525">
        <v>0.56999999999999995</v>
      </c>
      <c r="K1099" s="525"/>
      <c r="L1099" s="171">
        <f t="shared" si="11"/>
        <v>1.62</v>
      </c>
    </row>
    <row r="1100" spans="1:12" ht="15" customHeight="1" x14ac:dyDescent="0.25">
      <c r="A1100" s="170" t="s">
        <v>3601</v>
      </c>
      <c r="B1100" s="492" t="s">
        <v>3602</v>
      </c>
      <c r="C1100" s="492"/>
      <c r="D1100" s="492"/>
      <c r="E1100" s="492"/>
      <c r="F1100" s="492"/>
      <c r="G1100" s="127" t="s">
        <v>1817</v>
      </c>
      <c r="H1100" s="524">
        <v>13.64</v>
      </c>
      <c r="I1100" s="524"/>
      <c r="J1100" s="525">
        <v>3.7</v>
      </c>
      <c r="K1100" s="525"/>
      <c r="L1100" s="171">
        <f t="shared" si="11"/>
        <v>50.46</v>
      </c>
    </row>
    <row r="1101" spans="1:12" ht="15" customHeight="1" x14ac:dyDescent="0.25">
      <c r="A1101" s="184"/>
      <c r="B1101" s="141"/>
      <c r="C1101" s="141"/>
      <c r="D1101" s="141"/>
      <c r="E1101" s="141"/>
      <c r="F1101" s="141"/>
      <c r="G1101" s="141"/>
      <c r="H1101" s="491" t="s">
        <v>1889</v>
      </c>
      <c r="I1101" s="491"/>
      <c r="J1101" s="491"/>
      <c r="K1101" s="491"/>
      <c r="L1101" s="375">
        <f>SUM(L1095:L1100)</f>
        <v>154.78</v>
      </c>
    </row>
    <row r="1102" spans="1:12" ht="15" customHeight="1" x14ac:dyDescent="0.25">
      <c r="A1102" s="182"/>
      <c r="B1102" s="183"/>
      <c r="C1102" s="183"/>
      <c r="D1102" s="183"/>
      <c r="E1102" s="183"/>
      <c r="F1102" s="183"/>
      <c r="G1102" s="183"/>
      <c r="H1102" s="482" t="s">
        <v>1848</v>
      </c>
      <c r="I1102" s="482"/>
      <c r="J1102" s="482"/>
      <c r="K1102" s="482"/>
      <c r="L1102" s="371">
        <f>SUM(L1093,L1101)</f>
        <v>369.28</v>
      </c>
    </row>
    <row r="1103" spans="1:12" ht="15" customHeight="1" x14ac:dyDescent="0.25">
      <c r="A1103" s="182"/>
      <c r="B1103" s="183"/>
      <c r="C1103" s="183"/>
      <c r="D1103" s="183"/>
      <c r="E1103" s="183"/>
      <c r="F1103" s="183"/>
      <c r="G1103" s="183"/>
      <c r="H1103" s="482" t="s">
        <v>1834</v>
      </c>
      <c r="I1103" s="482"/>
      <c r="J1103" s="482"/>
      <c r="K1103" s="482"/>
      <c r="L1103" s="369">
        <f>ROUND(SUM(L1102),2)</f>
        <v>369.28</v>
      </c>
    </row>
    <row r="1104" spans="1:12" ht="9.9499999999999993" customHeight="1" x14ac:dyDescent="0.25">
      <c r="A1104" s="182"/>
      <c r="B1104" s="183"/>
      <c r="C1104" s="183"/>
      <c r="D1104" s="183"/>
      <c r="E1104" s="183"/>
      <c r="F1104" s="183"/>
      <c r="G1104" s="183"/>
      <c r="H1104" s="485"/>
      <c r="I1104" s="485"/>
      <c r="J1104" s="485"/>
      <c r="K1104" s="485"/>
      <c r="L1104" s="512"/>
    </row>
    <row r="1105" spans="1:12" ht="20.100000000000001" customHeight="1" x14ac:dyDescent="0.25">
      <c r="A1105" s="486" t="s">
        <v>3611</v>
      </c>
      <c r="B1105" s="487"/>
      <c r="C1105" s="487"/>
      <c r="D1105" s="487"/>
      <c r="E1105" s="487"/>
      <c r="F1105" s="487"/>
      <c r="G1105" s="487"/>
      <c r="H1105" s="487"/>
      <c r="I1105" s="487"/>
      <c r="J1105" s="487"/>
      <c r="K1105" s="487"/>
      <c r="L1105" s="513"/>
    </row>
    <row r="1106" spans="1:12" ht="20.100000000000001" customHeight="1" x14ac:dyDescent="0.25">
      <c r="A1106" s="488" t="s">
        <v>1836</v>
      </c>
      <c r="B1106" s="489"/>
      <c r="C1106" s="489"/>
      <c r="D1106" s="489"/>
      <c r="E1106" s="489"/>
      <c r="F1106" s="489"/>
      <c r="G1106" s="233" t="s">
        <v>44</v>
      </c>
      <c r="H1106" s="515" t="s">
        <v>1837</v>
      </c>
      <c r="I1106" s="515"/>
      <c r="J1106" s="515" t="s">
        <v>1838</v>
      </c>
      <c r="K1106" s="515"/>
      <c r="L1106" s="169" t="s">
        <v>1839</v>
      </c>
    </row>
    <row r="1107" spans="1:12" ht="15" customHeight="1" x14ac:dyDescent="0.25">
      <c r="A1107" s="170" t="s">
        <v>1840</v>
      </c>
      <c r="B1107" s="490" t="s">
        <v>1841</v>
      </c>
      <c r="C1107" s="490"/>
      <c r="D1107" s="490"/>
      <c r="E1107" s="490"/>
      <c r="F1107" s="490"/>
      <c r="G1107" s="127" t="s">
        <v>1024</v>
      </c>
      <c r="H1107" s="524">
        <v>0.6</v>
      </c>
      <c r="I1107" s="524"/>
      <c r="J1107" s="517">
        <v>21.94</v>
      </c>
      <c r="K1107" s="517"/>
      <c r="L1107" s="370">
        <f>TRUNC(TRUNC(H1107,8)*J1107,2)</f>
        <v>13.16</v>
      </c>
    </row>
    <row r="1108" spans="1:12" ht="15" customHeight="1" x14ac:dyDescent="0.25">
      <c r="A1108" s="170" t="s">
        <v>1983</v>
      </c>
      <c r="B1108" s="490" t="s">
        <v>1984</v>
      </c>
      <c r="C1108" s="490"/>
      <c r="D1108" s="490"/>
      <c r="E1108" s="490"/>
      <c r="F1108" s="490"/>
      <c r="G1108" s="127" t="s">
        <v>1024</v>
      </c>
      <c r="H1108" s="524">
        <v>0.5</v>
      </c>
      <c r="I1108" s="524"/>
      <c r="J1108" s="517">
        <v>26.03</v>
      </c>
      <c r="K1108" s="517"/>
      <c r="L1108" s="370">
        <f>TRUNC(TRUNC(H1108,8)*J1108,2)</f>
        <v>13.01</v>
      </c>
    </row>
    <row r="1109" spans="1:12" ht="15" customHeight="1" x14ac:dyDescent="0.25">
      <c r="A1109" s="184"/>
      <c r="B1109" s="141"/>
      <c r="C1109" s="141"/>
      <c r="D1109" s="141"/>
      <c r="E1109" s="141"/>
      <c r="F1109" s="141"/>
      <c r="G1109" s="141"/>
      <c r="H1109" s="491" t="s">
        <v>1844</v>
      </c>
      <c r="I1109" s="491"/>
      <c r="J1109" s="491"/>
      <c r="K1109" s="491"/>
      <c r="L1109" s="369">
        <f>SUM(L1107:L1108)</f>
        <v>26.17</v>
      </c>
    </row>
    <row r="1110" spans="1:12" ht="15" customHeight="1" x14ac:dyDescent="0.25">
      <c r="A1110" s="182"/>
      <c r="B1110" s="183"/>
      <c r="C1110" s="183"/>
      <c r="D1110" s="183"/>
      <c r="E1110" s="183"/>
      <c r="F1110" s="183"/>
      <c r="G1110" s="183"/>
      <c r="H1110" s="482" t="s">
        <v>1845</v>
      </c>
      <c r="I1110" s="482"/>
      <c r="J1110" s="482"/>
      <c r="K1110" s="482"/>
      <c r="L1110" s="371">
        <f>SUM(L1109)</f>
        <v>26.17</v>
      </c>
    </row>
    <row r="1111" spans="1:12" ht="15" customHeight="1" x14ac:dyDescent="0.25">
      <c r="A1111" s="182"/>
      <c r="B1111" s="183"/>
      <c r="C1111" s="183"/>
      <c r="D1111" s="183"/>
      <c r="E1111" s="183"/>
      <c r="F1111" s="183"/>
      <c r="G1111" s="183"/>
      <c r="H1111" s="482" t="s">
        <v>1846</v>
      </c>
      <c r="I1111" s="482"/>
      <c r="J1111" s="482"/>
      <c r="K1111" s="482"/>
      <c r="L1111" s="374">
        <v>1</v>
      </c>
    </row>
    <row r="1112" spans="1:12" ht="15" customHeight="1" x14ac:dyDescent="0.25">
      <c r="A1112" s="182"/>
      <c r="B1112" s="183"/>
      <c r="C1112" s="183"/>
      <c r="D1112" s="183"/>
      <c r="E1112" s="183"/>
      <c r="F1112" s="183"/>
      <c r="G1112" s="183"/>
      <c r="H1112" s="482" t="s">
        <v>1847</v>
      </c>
      <c r="I1112" s="482"/>
      <c r="J1112" s="482"/>
      <c r="K1112" s="482"/>
      <c r="L1112" s="371">
        <f>TRUNC(L1110/L1111,4)</f>
        <v>26.17</v>
      </c>
    </row>
    <row r="1113" spans="1:12" ht="20.100000000000001" customHeight="1" x14ac:dyDescent="0.25">
      <c r="A1113" s="488" t="s">
        <v>1880</v>
      </c>
      <c r="B1113" s="489"/>
      <c r="C1113" s="489"/>
      <c r="D1113" s="489"/>
      <c r="E1113" s="489"/>
      <c r="F1113" s="489"/>
      <c r="G1113" s="233" t="s">
        <v>44</v>
      </c>
      <c r="H1113" s="515" t="s">
        <v>1837</v>
      </c>
      <c r="I1113" s="515"/>
      <c r="J1113" s="515" t="s">
        <v>1881</v>
      </c>
      <c r="K1113" s="515"/>
      <c r="L1113" s="169" t="s">
        <v>1882</v>
      </c>
    </row>
    <row r="1114" spans="1:12" ht="15" customHeight="1" x14ac:dyDescent="0.25">
      <c r="A1114" s="170" t="s">
        <v>2997</v>
      </c>
      <c r="B1114" s="492" t="s">
        <v>2998</v>
      </c>
      <c r="C1114" s="492"/>
      <c r="D1114" s="492"/>
      <c r="E1114" s="492"/>
      <c r="F1114" s="492"/>
      <c r="G1114" s="127" t="s">
        <v>1006</v>
      </c>
      <c r="H1114" s="524">
        <v>0.03</v>
      </c>
      <c r="I1114" s="524"/>
      <c r="J1114" s="525">
        <v>15.92</v>
      </c>
      <c r="K1114" s="525"/>
      <c r="L1114" s="171">
        <f>TRUNC(TRUNC(H1114,8)*J1114,2)</f>
        <v>0.47</v>
      </c>
    </row>
    <row r="1115" spans="1:12" ht="15" customHeight="1" x14ac:dyDescent="0.25">
      <c r="A1115" s="170" t="s">
        <v>2999</v>
      </c>
      <c r="B1115" s="492" t="s">
        <v>3000</v>
      </c>
      <c r="C1115" s="492"/>
      <c r="D1115" s="492"/>
      <c r="E1115" s="492"/>
      <c r="F1115" s="492"/>
      <c r="G1115" s="127" t="s">
        <v>1006</v>
      </c>
      <c r="H1115" s="524">
        <v>0.18</v>
      </c>
      <c r="I1115" s="524"/>
      <c r="J1115" s="525">
        <v>47.36</v>
      </c>
      <c r="K1115" s="525"/>
      <c r="L1115" s="171">
        <f>TRUNC(TRUNC(H1115,8)*J1115,2)</f>
        <v>8.52</v>
      </c>
    </row>
    <row r="1116" spans="1:12" ht="15" customHeight="1" x14ac:dyDescent="0.25">
      <c r="A1116" s="170" t="s">
        <v>3612</v>
      </c>
      <c r="B1116" s="492" t="s">
        <v>3613</v>
      </c>
      <c r="C1116" s="492"/>
      <c r="D1116" s="492"/>
      <c r="E1116" s="492"/>
      <c r="F1116" s="492"/>
      <c r="G1116" s="127" t="s">
        <v>226</v>
      </c>
      <c r="H1116" s="524">
        <v>0.3</v>
      </c>
      <c r="I1116" s="524"/>
      <c r="J1116" s="525">
        <v>1.95</v>
      </c>
      <c r="K1116" s="525"/>
      <c r="L1116" s="171">
        <f>TRUNC(TRUNC(H1116,8)*J1116,2)</f>
        <v>0.57999999999999996</v>
      </c>
    </row>
    <row r="1117" spans="1:12" ht="15" customHeight="1" x14ac:dyDescent="0.25">
      <c r="A1117" s="184"/>
      <c r="B1117" s="141"/>
      <c r="C1117" s="141"/>
      <c r="D1117" s="141"/>
      <c r="E1117" s="141"/>
      <c r="F1117" s="141"/>
      <c r="G1117" s="141"/>
      <c r="H1117" s="491" t="s">
        <v>1889</v>
      </c>
      <c r="I1117" s="491"/>
      <c r="J1117" s="491"/>
      <c r="K1117" s="491"/>
      <c r="L1117" s="375">
        <f>SUM(L1114:L1116)</f>
        <v>9.57</v>
      </c>
    </row>
    <row r="1118" spans="1:12" ht="20.100000000000001" customHeight="1" x14ac:dyDescent="0.25">
      <c r="A1118" s="488" t="s">
        <v>2009</v>
      </c>
      <c r="B1118" s="489"/>
      <c r="C1118" s="489"/>
      <c r="D1118" s="489"/>
      <c r="E1118" s="489"/>
      <c r="F1118" s="489"/>
      <c r="G1118" s="233" t="s">
        <v>44</v>
      </c>
      <c r="H1118" s="515" t="s">
        <v>1837</v>
      </c>
      <c r="I1118" s="515"/>
      <c r="J1118" s="515" t="s">
        <v>1814</v>
      </c>
      <c r="K1118" s="515"/>
      <c r="L1118" s="169" t="s">
        <v>1882</v>
      </c>
    </row>
    <row r="1119" spans="1:12" ht="15" customHeight="1" x14ac:dyDescent="0.25">
      <c r="A1119" s="170" t="s">
        <v>3614</v>
      </c>
      <c r="B1119" s="492" t="s">
        <v>3615</v>
      </c>
      <c r="C1119" s="492"/>
      <c r="D1119" s="492"/>
      <c r="E1119" s="492"/>
      <c r="F1119" s="492"/>
      <c r="G1119" s="127"/>
      <c r="H1119" s="526">
        <v>1</v>
      </c>
      <c r="I1119" s="526"/>
      <c r="J1119" s="525">
        <v>17.32</v>
      </c>
      <c r="K1119" s="525"/>
      <c r="L1119" s="171">
        <f>TRUNC(TRUNC(H1119,8)*J1119,2)</f>
        <v>17.32</v>
      </c>
    </row>
    <row r="1120" spans="1:12" ht="15" customHeight="1" x14ac:dyDescent="0.25">
      <c r="A1120" s="184"/>
      <c r="B1120" s="141"/>
      <c r="C1120" s="141"/>
      <c r="D1120" s="141"/>
      <c r="E1120" s="141"/>
      <c r="F1120" s="141"/>
      <c r="G1120" s="141"/>
      <c r="H1120" s="491" t="s">
        <v>2014</v>
      </c>
      <c r="I1120" s="491"/>
      <c r="J1120" s="491"/>
      <c r="K1120" s="491"/>
      <c r="L1120" s="375">
        <f>SUM(L1119:L1119)</f>
        <v>17.32</v>
      </c>
    </row>
    <row r="1121" spans="1:12" ht="15" customHeight="1" x14ac:dyDescent="0.25">
      <c r="A1121" s="182"/>
      <c r="B1121" s="183"/>
      <c r="C1121" s="183"/>
      <c r="D1121" s="183"/>
      <c r="E1121" s="183"/>
      <c r="F1121" s="183"/>
      <c r="G1121" s="183"/>
      <c r="H1121" s="482" t="s">
        <v>1848</v>
      </c>
      <c r="I1121" s="482"/>
      <c r="J1121" s="482"/>
      <c r="K1121" s="482"/>
      <c r="L1121" s="371">
        <f>SUM(L1112,L1117,L1120)</f>
        <v>53.06</v>
      </c>
    </row>
    <row r="1122" spans="1:12" ht="15" customHeight="1" x14ac:dyDescent="0.25">
      <c r="A1122" s="182"/>
      <c r="B1122" s="183"/>
      <c r="C1122" s="183"/>
      <c r="D1122" s="183"/>
      <c r="E1122" s="183"/>
      <c r="F1122" s="183"/>
      <c r="G1122" s="183"/>
      <c r="H1122" s="482" t="s">
        <v>1834</v>
      </c>
      <c r="I1122" s="482"/>
      <c r="J1122" s="482"/>
      <c r="K1122" s="482"/>
      <c r="L1122" s="369">
        <f>ROUND(SUM(L1121),2)</f>
        <v>53.06</v>
      </c>
    </row>
    <row r="1123" spans="1:12" ht="9.9499999999999993" customHeight="1" x14ac:dyDescent="0.25">
      <c r="A1123" s="182"/>
      <c r="B1123" s="183"/>
      <c r="C1123" s="183"/>
      <c r="D1123" s="183"/>
      <c r="E1123" s="183"/>
      <c r="F1123" s="183"/>
      <c r="G1123" s="183"/>
      <c r="H1123" s="485"/>
      <c r="I1123" s="485"/>
      <c r="J1123" s="485"/>
      <c r="K1123" s="485"/>
      <c r="L1123" s="512"/>
    </row>
    <row r="1124" spans="1:12" ht="20.100000000000001" customHeight="1" x14ac:dyDescent="0.25">
      <c r="A1124" s="486" t="s">
        <v>3616</v>
      </c>
      <c r="B1124" s="487"/>
      <c r="C1124" s="487"/>
      <c r="D1124" s="487"/>
      <c r="E1124" s="487"/>
      <c r="F1124" s="487"/>
      <c r="G1124" s="487"/>
      <c r="H1124" s="487"/>
      <c r="I1124" s="487"/>
      <c r="J1124" s="487"/>
      <c r="K1124" s="487"/>
      <c r="L1124" s="513"/>
    </row>
    <row r="1125" spans="1:12" ht="20.100000000000001" customHeight="1" x14ac:dyDescent="0.25">
      <c r="A1125" s="488" t="s">
        <v>1836</v>
      </c>
      <c r="B1125" s="489"/>
      <c r="C1125" s="489"/>
      <c r="D1125" s="489"/>
      <c r="E1125" s="489"/>
      <c r="F1125" s="489"/>
      <c r="G1125" s="233" t="s">
        <v>44</v>
      </c>
      <c r="H1125" s="515" t="s">
        <v>1837</v>
      </c>
      <c r="I1125" s="515"/>
      <c r="J1125" s="515" t="s">
        <v>1838</v>
      </c>
      <c r="K1125" s="515"/>
      <c r="L1125" s="169" t="s">
        <v>1839</v>
      </c>
    </row>
    <row r="1126" spans="1:12" ht="15" customHeight="1" x14ac:dyDescent="0.25">
      <c r="A1126" s="170" t="s">
        <v>1840</v>
      </c>
      <c r="B1126" s="490" t="s">
        <v>1841</v>
      </c>
      <c r="C1126" s="490"/>
      <c r="D1126" s="490"/>
      <c r="E1126" s="490"/>
      <c r="F1126" s="490"/>
      <c r="G1126" s="127" t="s">
        <v>1024</v>
      </c>
      <c r="H1126" s="524">
        <v>0.3</v>
      </c>
      <c r="I1126" s="524"/>
      <c r="J1126" s="517">
        <v>21.94</v>
      </c>
      <c r="K1126" s="517"/>
      <c r="L1126" s="370">
        <f>TRUNC(TRUNC(H1126,8)*J1126,2)</f>
        <v>6.58</v>
      </c>
    </row>
    <row r="1127" spans="1:12" ht="15" customHeight="1" x14ac:dyDescent="0.25">
      <c r="A1127" s="170" t="s">
        <v>1983</v>
      </c>
      <c r="B1127" s="490" t="s">
        <v>1984</v>
      </c>
      <c r="C1127" s="490"/>
      <c r="D1127" s="490"/>
      <c r="E1127" s="490"/>
      <c r="F1127" s="490"/>
      <c r="G1127" s="127" t="s">
        <v>1024</v>
      </c>
      <c r="H1127" s="524">
        <v>0.1</v>
      </c>
      <c r="I1127" s="524"/>
      <c r="J1127" s="517">
        <v>26.03</v>
      </c>
      <c r="K1127" s="517"/>
      <c r="L1127" s="370">
        <f>TRUNC(TRUNC(H1127,8)*J1127,2)</f>
        <v>2.6</v>
      </c>
    </row>
    <row r="1128" spans="1:12" ht="15" customHeight="1" x14ac:dyDescent="0.25">
      <c r="A1128" s="184"/>
      <c r="B1128" s="141"/>
      <c r="C1128" s="141"/>
      <c r="D1128" s="141"/>
      <c r="E1128" s="141"/>
      <c r="F1128" s="141"/>
      <c r="G1128" s="141"/>
      <c r="H1128" s="491" t="s">
        <v>1844</v>
      </c>
      <c r="I1128" s="491"/>
      <c r="J1128" s="491"/>
      <c r="K1128" s="491"/>
      <c r="L1128" s="369">
        <f>SUM(L1126:L1127)</f>
        <v>9.18</v>
      </c>
    </row>
    <row r="1129" spans="1:12" ht="15" customHeight="1" x14ac:dyDescent="0.25">
      <c r="A1129" s="182"/>
      <c r="B1129" s="183"/>
      <c r="C1129" s="183"/>
      <c r="D1129" s="183"/>
      <c r="E1129" s="183"/>
      <c r="F1129" s="183"/>
      <c r="G1129" s="183"/>
      <c r="H1129" s="482" t="s">
        <v>1845</v>
      </c>
      <c r="I1129" s="482"/>
      <c r="J1129" s="482"/>
      <c r="K1129" s="482"/>
      <c r="L1129" s="371">
        <f>SUM(L1128)</f>
        <v>9.18</v>
      </c>
    </row>
    <row r="1130" spans="1:12" ht="15" customHeight="1" x14ac:dyDescent="0.25">
      <c r="A1130" s="182"/>
      <c r="B1130" s="183"/>
      <c r="C1130" s="183"/>
      <c r="D1130" s="183"/>
      <c r="E1130" s="183"/>
      <c r="F1130" s="183"/>
      <c r="G1130" s="183"/>
      <c r="H1130" s="482" t="s">
        <v>1846</v>
      </c>
      <c r="I1130" s="482"/>
      <c r="J1130" s="482"/>
      <c r="K1130" s="482"/>
      <c r="L1130" s="374">
        <v>1</v>
      </c>
    </row>
    <row r="1131" spans="1:12" ht="15" customHeight="1" x14ac:dyDescent="0.25">
      <c r="A1131" s="182"/>
      <c r="B1131" s="183"/>
      <c r="C1131" s="183"/>
      <c r="D1131" s="183"/>
      <c r="E1131" s="183"/>
      <c r="F1131" s="183"/>
      <c r="G1131" s="183"/>
      <c r="H1131" s="482" t="s">
        <v>1847</v>
      </c>
      <c r="I1131" s="482"/>
      <c r="J1131" s="482"/>
      <c r="K1131" s="482"/>
      <c r="L1131" s="371">
        <f>TRUNC(L1129/L1130,4)</f>
        <v>9.18</v>
      </c>
    </row>
    <row r="1132" spans="1:12" ht="20.100000000000001" customHeight="1" x14ac:dyDescent="0.25">
      <c r="A1132" s="488" t="s">
        <v>1880</v>
      </c>
      <c r="B1132" s="489"/>
      <c r="C1132" s="489"/>
      <c r="D1132" s="489"/>
      <c r="E1132" s="489"/>
      <c r="F1132" s="489"/>
      <c r="G1132" s="233" t="s">
        <v>44</v>
      </c>
      <c r="H1132" s="515" t="s">
        <v>1837</v>
      </c>
      <c r="I1132" s="515"/>
      <c r="J1132" s="515" t="s">
        <v>1881</v>
      </c>
      <c r="K1132" s="515"/>
      <c r="L1132" s="169" t="s">
        <v>1882</v>
      </c>
    </row>
    <row r="1133" spans="1:12" ht="15" customHeight="1" x14ac:dyDescent="0.25">
      <c r="A1133" s="170" t="s">
        <v>2120</v>
      </c>
      <c r="B1133" s="492" t="s">
        <v>2121</v>
      </c>
      <c r="C1133" s="492"/>
      <c r="D1133" s="492"/>
      <c r="E1133" s="492"/>
      <c r="F1133" s="492"/>
      <c r="G1133" s="127" t="s">
        <v>226</v>
      </c>
      <c r="H1133" s="524">
        <v>0.25</v>
      </c>
      <c r="I1133" s="524"/>
      <c r="J1133" s="525">
        <v>1.0900000000000001</v>
      </c>
      <c r="K1133" s="525"/>
      <c r="L1133" s="171">
        <f>TRUNC(TRUNC(H1133,8)*J1133,2)</f>
        <v>0.27</v>
      </c>
    </row>
    <row r="1134" spans="1:12" ht="15" customHeight="1" x14ac:dyDescent="0.25">
      <c r="A1134" s="184"/>
      <c r="B1134" s="141"/>
      <c r="C1134" s="141"/>
      <c r="D1134" s="141"/>
      <c r="E1134" s="141"/>
      <c r="F1134" s="141"/>
      <c r="G1134" s="141"/>
      <c r="H1134" s="491" t="s">
        <v>1889</v>
      </c>
      <c r="I1134" s="491"/>
      <c r="J1134" s="491"/>
      <c r="K1134" s="491"/>
      <c r="L1134" s="375">
        <f>SUM(L1133:L1133)</f>
        <v>0.27</v>
      </c>
    </row>
    <row r="1135" spans="1:12" ht="15" customHeight="1" x14ac:dyDescent="0.25">
      <c r="A1135" s="182"/>
      <c r="B1135" s="183"/>
      <c r="C1135" s="183"/>
      <c r="D1135" s="183"/>
      <c r="E1135" s="183"/>
      <c r="F1135" s="183"/>
      <c r="G1135" s="183"/>
      <c r="H1135" s="482" t="s">
        <v>1848</v>
      </c>
      <c r="I1135" s="482"/>
      <c r="J1135" s="482"/>
      <c r="K1135" s="482"/>
      <c r="L1135" s="371">
        <f>SUM(L1131,L1134)</f>
        <v>9.4499999999999993</v>
      </c>
    </row>
    <row r="1136" spans="1:12" ht="15" customHeight="1" x14ac:dyDescent="0.25">
      <c r="A1136" s="182"/>
      <c r="B1136" s="183"/>
      <c r="C1136" s="183"/>
      <c r="D1136" s="183"/>
      <c r="E1136" s="183"/>
      <c r="F1136" s="183"/>
      <c r="G1136" s="183"/>
      <c r="H1136" s="482" t="s">
        <v>1834</v>
      </c>
      <c r="I1136" s="482"/>
      <c r="J1136" s="482"/>
      <c r="K1136" s="482"/>
      <c r="L1136" s="369">
        <f>ROUND(SUM(L1135),2)</f>
        <v>9.4499999999999993</v>
      </c>
    </row>
    <row r="1137" spans="1:12" ht="9.9499999999999993" customHeight="1" x14ac:dyDescent="0.25">
      <c r="A1137" s="182"/>
      <c r="B1137" s="183"/>
      <c r="C1137" s="183"/>
      <c r="D1137" s="183"/>
      <c r="E1137" s="183"/>
      <c r="F1137" s="183"/>
      <c r="G1137" s="183"/>
      <c r="H1137" s="485"/>
      <c r="I1137" s="485"/>
      <c r="J1137" s="485"/>
      <c r="K1137" s="485"/>
      <c r="L1137" s="512"/>
    </row>
    <row r="1138" spans="1:12" ht="20.100000000000001" customHeight="1" x14ac:dyDescent="0.25">
      <c r="A1138" s="486" t="s">
        <v>3617</v>
      </c>
      <c r="B1138" s="487"/>
      <c r="C1138" s="487"/>
      <c r="D1138" s="487"/>
      <c r="E1138" s="487"/>
      <c r="F1138" s="487"/>
      <c r="G1138" s="487"/>
      <c r="H1138" s="487"/>
      <c r="I1138" s="487"/>
      <c r="J1138" s="487"/>
      <c r="K1138" s="487"/>
      <c r="L1138" s="513"/>
    </row>
    <row r="1139" spans="1:12" ht="20.100000000000001" customHeight="1" x14ac:dyDescent="0.25">
      <c r="A1139" s="488" t="s">
        <v>1836</v>
      </c>
      <c r="B1139" s="489"/>
      <c r="C1139" s="489"/>
      <c r="D1139" s="489"/>
      <c r="E1139" s="489"/>
      <c r="F1139" s="489"/>
      <c r="G1139" s="233" t="s">
        <v>44</v>
      </c>
      <c r="H1139" s="515" t="s">
        <v>1837</v>
      </c>
      <c r="I1139" s="515"/>
      <c r="J1139" s="515" t="s">
        <v>1838</v>
      </c>
      <c r="K1139" s="515"/>
      <c r="L1139" s="169" t="s">
        <v>1839</v>
      </c>
    </row>
    <row r="1140" spans="1:12" ht="15" customHeight="1" x14ac:dyDescent="0.25">
      <c r="A1140" s="170" t="s">
        <v>1851</v>
      </c>
      <c r="B1140" s="490" t="s">
        <v>1852</v>
      </c>
      <c r="C1140" s="490"/>
      <c r="D1140" s="490"/>
      <c r="E1140" s="490"/>
      <c r="F1140" s="490"/>
      <c r="G1140" s="127" t="s">
        <v>1024</v>
      </c>
      <c r="H1140" s="524">
        <v>0.11</v>
      </c>
      <c r="I1140" s="524"/>
      <c r="J1140" s="517">
        <v>26.03</v>
      </c>
      <c r="K1140" s="517"/>
      <c r="L1140" s="370">
        <f>TRUNC(TRUNC(H1140,8)*J1140,2)</f>
        <v>2.86</v>
      </c>
    </row>
    <row r="1141" spans="1:12" ht="15" customHeight="1" x14ac:dyDescent="0.25">
      <c r="A1141" s="170" t="s">
        <v>1830</v>
      </c>
      <c r="B1141" s="490" t="s">
        <v>1831</v>
      </c>
      <c r="C1141" s="490"/>
      <c r="D1141" s="490"/>
      <c r="E1141" s="490"/>
      <c r="F1141" s="490"/>
      <c r="G1141" s="127" t="s">
        <v>1024</v>
      </c>
      <c r="H1141" s="524">
        <v>0.4</v>
      </c>
      <c r="I1141" s="524"/>
      <c r="J1141" s="517">
        <v>19.68</v>
      </c>
      <c r="K1141" s="517"/>
      <c r="L1141" s="370">
        <f>TRUNC(TRUNC(H1141,8)*J1141,2)</f>
        <v>7.87</v>
      </c>
    </row>
    <row r="1142" spans="1:12" ht="15" customHeight="1" x14ac:dyDescent="0.25">
      <c r="A1142" s="184"/>
      <c r="B1142" s="141"/>
      <c r="C1142" s="141"/>
      <c r="D1142" s="141"/>
      <c r="E1142" s="141"/>
      <c r="F1142" s="141"/>
      <c r="G1142" s="141"/>
      <c r="H1142" s="491" t="s">
        <v>1844</v>
      </c>
      <c r="I1142" s="491"/>
      <c r="J1142" s="491"/>
      <c r="K1142" s="491"/>
      <c r="L1142" s="369">
        <f>SUM(L1140:L1141)</f>
        <v>10.73</v>
      </c>
    </row>
    <row r="1143" spans="1:12" ht="15" customHeight="1" x14ac:dyDescent="0.25">
      <c r="A1143" s="182"/>
      <c r="B1143" s="183"/>
      <c r="C1143" s="183"/>
      <c r="D1143" s="183"/>
      <c r="E1143" s="183"/>
      <c r="F1143" s="183"/>
      <c r="G1143" s="183"/>
      <c r="H1143" s="482" t="s">
        <v>1845</v>
      </c>
      <c r="I1143" s="482"/>
      <c r="J1143" s="482"/>
      <c r="K1143" s="482"/>
      <c r="L1143" s="371">
        <f>SUM(L1142)</f>
        <v>10.73</v>
      </c>
    </row>
    <row r="1144" spans="1:12" ht="15" customHeight="1" x14ac:dyDescent="0.25">
      <c r="A1144" s="182"/>
      <c r="B1144" s="183"/>
      <c r="C1144" s="183"/>
      <c r="D1144" s="183"/>
      <c r="E1144" s="183"/>
      <c r="F1144" s="183"/>
      <c r="G1144" s="183"/>
      <c r="H1144" s="482" t="s">
        <v>1846</v>
      </c>
      <c r="I1144" s="482"/>
      <c r="J1144" s="482"/>
      <c r="K1144" s="482"/>
      <c r="L1144" s="374">
        <v>1</v>
      </c>
    </row>
    <row r="1145" spans="1:12" ht="15" customHeight="1" x14ac:dyDescent="0.25">
      <c r="A1145" s="182"/>
      <c r="B1145" s="183"/>
      <c r="C1145" s="183"/>
      <c r="D1145" s="183"/>
      <c r="E1145" s="183"/>
      <c r="F1145" s="183"/>
      <c r="G1145" s="183"/>
      <c r="H1145" s="482" t="s">
        <v>1847</v>
      </c>
      <c r="I1145" s="482"/>
      <c r="J1145" s="482"/>
      <c r="K1145" s="482"/>
      <c r="L1145" s="371">
        <f>TRUNC(L1143/L1144,4)</f>
        <v>10.73</v>
      </c>
    </row>
    <row r="1146" spans="1:12" ht="15" customHeight="1" x14ac:dyDescent="0.25">
      <c r="A1146" s="182"/>
      <c r="B1146" s="183"/>
      <c r="C1146" s="183"/>
      <c r="D1146" s="183"/>
      <c r="E1146" s="183"/>
      <c r="F1146" s="183"/>
      <c r="G1146" s="183"/>
      <c r="H1146" s="482" t="s">
        <v>1848</v>
      </c>
      <c r="I1146" s="482"/>
      <c r="J1146" s="482"/>
      <c r="K1146" s="482"/>
      <c r="L1146" s="371">
        <f>SUM(L1145)</f>
        <v>10.73</v>
      </c>
    </row>
    <row r="1147" spans="1:12" ht="15" customHeight="1" x14ac:dyDescent="0.25">
      <c r="A1147" s="182"/>
      <c r="B1147" s="183"/>
      <c r="C1147" s="183"/>
      <c r="D1147" s="183"/>
      <c r="E1147" s="183"/>
      <c r="F1147" s="183"/>
      <c r="G1147" s="183"/>
      <c r="H1147" s="482" t="s">
        <v>1834</v>
      </c>
      <c r="I1147" s="482"/>
      <c r="J1147" s="482"/>
      <c r="K1147" s="482"/>
      <c r="L1147" s="369">
        <f>ROUND(SUM(L1146),2)</f>
        <v>10.73</v>
      </c>
    </row>
    <row r="1148" spans="1:12" ht="9.9499999999999993" customHeight="1" x14ac:dyDescent="0.25">
      <c r="A1148" s="182"/>
      <c r="B1148" s="183"/>
      <c r="C1148" s="183"/>
      <c r="D1148" s="183"/>
      <c r="E1148" s="183"/>
      <c r="F1148" s="183"/>
      <c r="G1148" s="183"/>
      <c r="H1148" s="485"/>
      <c r="I1148" s="485"/>
      <c r="J1148" s="485"/>
      <c r="K1148" s="485"/>
      <c r="L1148" s="512"/>
    </row>
    <row r="1149" spans="1:12" ht="20.100000000000001" customHeight="1" x14ac:dyDescent="0.25">
      <c r="A1149" s="486" t="s">
        <v>2038</v>
      </c>
      <c r="B1149" s="487"/>
      <c r="C1149" s="487"/>
      <c r="D1149" s="487"/>
      <c r="E1149" s="487"/>
      <c r="F1149" s="487"/>
      <c r="G1149" s="487"/>
      <c r="H1149" s="487"/>
      <c r="I1149" s="487"/>
      <c r="J1149" s="487"/>
      <c r="K1149" s="487"/>
      <c r="L1149" s="513"/>
    </row>
    <row r="1150" spans="1:12" ht="15" customHeight="1" x14ac:dyDescent="0.25">
      <c r="A1150" s="474" t="s">
        <v>1812</v>
      </c>
      <c r="B1150" s="475"/>
      <c r="C1150" s="475"/>
      <c r="D1150" s="476" t="s">
        <v>42</v>
      </c>
      <c r="E1150" s="476"/>
      <c r="F1150" s="476"/>
      <c r="G1150" s="230" t="s">
        <v>44</v>
      </c>
      <c r="H1150" s="476" t="s">
        <v>1813</v>
      </c>
      <c r="I1150" s="476"/>
      <c r="J1150" s="476" t="s">
        <v>1814</v>
      </c>
      <c r="K1150" s="476"/>
      <c r="L1150" s="366" t="s">
        <v>1802</v>
      </c>
    </row>
    <row r="1151" spans="1:12" ht="15" customHeight="1" x14ac:dyDescent="0.25">
      <c r="A1151" s="181" t="s">
        <v>2039</v>
      </c>
      <c r="B1151" s="509" t="s">
        <v>2040</v>
      </c>
      <c r="C1151" s="509"/>
      <c r="D1151" s="481" t="s">
        <v>341</v>
      </c>
      <c r="E1151" s="481"/>
      <c r="F1151" s="481"/>
      <c r="G1151" s="231" t="s">
        <v>54</v>
      </c>
      <c r="H1151" s="510">
        <v>1.05</v>
      </c>
      <c r="I1151" s="510"/>
      <c r="J1151" s="511">
        <v>522.28</v>
      </c>
      <c r="K1151" s="511"/>
      <c r="L1151" s="367">
        <f>ROUND(ROUND(H1151,8)*J1151,2)</f>
        <v>548.39</v>
      </c>
    </row>
    <row r="1152" spans="1:12" ht="15" customHeight="1" x14ac:dyDescent="0.25">
      <c r="A1152" s="182"/>
      <c r="B1152" s="183"/>
      <c r="C1152" s="183"/>
      <c r="D1152" s="183"/>
      <c r="E1152" s="183"/>
      <c r="F1152" s="183"/>
      <c r="G1152" s="183"/>
      <c r="H1152" s="477" t="s">
        <v>1826</v>
      </c>
      <c r="I1152" s="477"/>
      <c r="J1152" s="477"/>
      <c r="K1152" s="477"/>
      <c r="L1152" s="368">
        <f>SUM(L1151:L1151)</f>
        <v>548.39</v>
      </c>
    </row>
    <row r="1153" spans="1:12" ht="15" customHeight="1" x14ac:dyDescent="0.25">
      <c r="A1153" s="474" t="s">
        <v>1827</v>
      </c>
      <c r="B1153" s="475"/>
      <c r="C1153" s="475"/>
      <c r="D1153" s="476" t="s">
        <v>42</v>
      </c>
      <c r="E1153" s="476"/>
      <c r="F1153" s="476"/>
      <c r="G1153" s="230" t="s">
        <v>44</v>
      </c>
      <c r="H1153" s="476" t="s">
        <v>1813</v>
      </c>
      <c r="I1153" s="476"/>
      <c r="J1153" s="476" t="s">
        <v>1814</v>
      </c>
      <c r="K1153" s="476"/>
      <c r="L1153" s="366" t="s">
        <v>1802</v>
      </c>
    </row>
    <row r="1154" spans="1:12" ht="15" customHeight="1" x14ac:dyDescent="0.25">
      <c r="A1154" s="181" t="s">
        <v>1851</v>
      </c>
      <c r="B1154" s="509" t="s">
        <v>1852</v>
      </c>
      <c r="C1154" s="509"/>
      <c r="D1154" s="481" t="s">
        <v>51</v>
      </c>
      <c r="E1154" s="481"/>
      <c r="F1154" s="481"/>
      <c r="G1154" s="231" t="s">
        <v>1024</v>
      </c>
      <c r="H1154" s="510">
        <v>0.64</v>
      </c>
      <c r="I1154" s="510"/>
      <c r="J1154" s="511">
        <v>26.03</v>
      </c>
      <c r="K1154" s="511"/>
      <c r="L1154" s="367">
        <f>ROUND(ROUND(H1154,8)*J1154,2)</f>
        <v>16.66</v>
      </c>
    </row>
    <row r="1155" spans="1:12" ht="15" customHeight="1" x14ac:dyDescent="0.25">
      <c r="A1155" s="181" t="s">
        <v>1830</v>
      </c>
      <c r="B1155" s="509" t="s">
        <v>1831</v>
      </c>
      <c r="C1155" s="509"/>
      <c r="D1155" s="481" t="s">
        <v>51</v>
      </c>
      <c r="E1155" s="481"/>
      <c r="F1155" s="481"/>
      <c r="G1155" s="231" t="s">
        <v>1024</v>
      </c>
      <c r="H1155" s="510">
        <v>0.2</v>
      </c>
      <c r="I1155" s="510"/>
      <c r="J1155" s="511">
        <v>19.68</v>
      </c>
      <c r="K1155" s="511"/>
      <c r="L1155" s="367">
        <f>ROUND(ROUND(H1155,8)*J1155,2)</f>
        <v>3.94</v>
      </c>
    </row>
    <row r="1156" spans="1:12" ht="15" customHeight="1" x14ac:dyDescent="0.25">
      <c r="A1156" s="182"/>
      <c r="B1156" s="183"/>
      <c r="C1156" s="183"/>
      <c r="D1156" s="183"/>
      <c r="E1156" s="183"/>
      <c r="F1156" s="183"/>
      <c r="G1156" s="183"/>
      <c r="H1156" s="477" t="s">
        <v>1832</v>
      </c>
      <c r="I1156" s="477"/>
      <c r="J1156" s="477"/>
      <c r="K1156" s="477"/>
      <c r="L1156" s="368">
        <f>SUM(L1154:L1155)</f>
        <v>20.6</v>
      </c>
    </row>
    <row r="1157" spans="1:12" ht="15" customHeight="1" x14ac:dyDescent="0.25">
      <c r="A1157" s="474" t="s">
        <v>1912</v>
      </c>
      <c r="B1157" s="475"/>
      <c r="C1157" s="475"/>
      <c r="D1157" s="476" t="s">
        <v>42</v>
      </c>
      <c r="E1157" s="476"/>
      <c r="F1157" s="476"/>
      <c r="G1157" s="230" t="s">
        <v>44</v>
      </c>
      <c r="H1157" s="476" t="s">
        <v>1813</v>
      </c>
      <c r="I1157" s="476"/>
      <c r="J1157" s="476" t="s">
        <v>1814</v>
      </c>
      <c r="K1157" s="476"/>
      <c r="L1157" s="366" t="s">
        <v>1802</v>
      </c>
    </row>
    <row r="1158" spans="1:12" ht="15" customHeight="1" x14ac:dyDescent="0.25">
      <c r="A1158" s="181" t="s">
        <v>2041</v>
      </c>
      <c r="B1158" s="509" t="s">
        <v>2042</v>
      </c>
      <c r="C1158" s="509"/>
      <c r="D1158" s="481" t="s">
        <v>341</v>
      </c>
      <c r="E1158" s="481"/>
      <c r="F1158" s="481"/>
      <c r="G1158" s="231" t="s">
        <v>786</v>
      </c>
      <c r="H1158" s="510">
        <v>4.5</v>
      </c>
      <c r="I1158" s="510"/>
      <c r="J1158" s="511">
        <v>0.98</v>
      </c>
      <c r="K1158" s="511"/>
      <c r="L1158" s="367">
        <f>ROUND(ROUND(H1158,8)*J1158,2)</f>
        <v>4.41</v>
      </c>
    </row>
    <row r="1159" spans="1:12" ht="15" customHeight="1" x14ac:dyDescent="0.25">
      <c r="A1159" s="182"/>
      <c r="B1159" s="183"/>
      <c r="C1159" s="183"/>
      <c r="D1159" s="183"/>
      <c r="E1159" s="183"/>
      <c r="F1159" s="183"/>
      <c r="G1159" s="183"/>
      <c r="H1159" s="477" t="s">
        <v>1915</v>
      </c>
      <c r="I1159" s="477"/>
      <c r="J1159" s="477"/>
      <c r="K1159" s="477"/>
      <c r="L1159" s="368">
        <f>SUM(L1158:L1158)</f>
        <v>4.41</v>
      </c>
    </row>
    <row r="1160" spans="1:12" ht="15" customHeight="1" x14ac:dyDescent="0.25">
      <c r="A1160" s="483" t="s">
        <v>2043</v>
      </c>
      <c r="B1160" s="484"/>
      <c r="C1160" s="484"/>
      <c r="D1160" s="484"/>
      <c r="E1160" s="183"/>
      <c r="F1160" s="183"/>
      <c r="G1160" s="183"/>
      <c r="H1160" s="482" t="s">
        <v>1834</v>
      </c>
      <c r="I1160" s="482"/>
      <c r="J1160" s="482"/>
      <c r="K1160" s="482"/>
      <c r="L1160" s="369">
        <v>573.4</v>
      </c>
    </row>
    <row r="1161" spans="1:12" ht="9.9499999999999993" customHeight="1" x14ac:dyDescent="0.25">
      <c r="A1161" s="182"/>
      <c r="B1161" s="183"/>
      <c r="C1161" s="183"/>
      <c r="D1161" s="183"/>
      <c r="E1161" s="183"/>
      <c r="F1161" s="183"/>
      <c r="G1161" s="183"/>
      <c r="H1161" s="485"/>
      <c r="I1161" s="485"/>
      <c r="J1161" s="485"/>
      <c r="K1161" s="485"/>
      <c r="L1161" s="512"/>
    </row>
    <row r="1162" spans="1:12" ht="20.100000000000001" customHeight="1" x14ac:dyDescent="0.25">
      <c r="A1162" s="486" t="s">
        <v>2044</v>
      </c>
      <c r="B1162" s="487"/>
      <c r="C1162" s="487"/>
      <c r="D1162" s="487"/>
      <c r="E1162" s="487"/>
      <c r="F1162" s="487"/>
      <c r="G1162" s="487"/>
      <c r="H1162" s="487"/>
      <c r="I1162" s="487"/>
      <c r="J1162" s="487"/>
      <c r="K1162" s="487"/>
      <c r="L1162" s="513"/>
    </row>
    <row r="1163" spans="1:12" ht="15" customHeight="1" x14ac:dyDescent="0.25">
      <c r="A1163" s="474" t="s">
        <v>1812</v>
      </c>
      <c r="B1163" s="475"/>
      <c r="C1163" s="475"/>
      <c r="D1163" s="476" t="s">
        <v>42</v>
      </c>
      <c r="E1163" s="476"/>
      <c r="F1163" s="476"/>
      <c r="G1163" s="230" t="s">
        <v>44</v>
      </c>
      <c r="H1163" s="476" t="s">
        <v>1813</v>
      </c>
      <c r="I1163" s="476"/>
      <c r="J1163" s="476" t="s">
        <v>1814</v>
      </c>
      <c r="K1163" s="476"/>
      <c r="L1163" s="366" t="s">
        <v>1802</v>
      </c>
    </row>
    <row r="1164" spans="1:12" ht="21" customHeight="1" x14ac:dyDescent="0.25">
      <c r="A1164" s="181" t="s">
        <v>2045</v>
      </c>
      <c r="B1164" s="509" t="s">
        <v>2046</v>
      </c>
      <c r="C1164" s="509"/>
      <c r="D1164" s="481" t="s">
        <v>341</v>
      </c>
      <c r="E1164" s="481"/>
      <c r="F1164" s="481"/>
      <c r="G1164" s="231" t="s">
        <v>54</v>
      </c>
      <c r="H1164" s="510">
        <v>1.05</v>
      </c>
      <c r="I1164" s="510"/>
      <c r="J1164" s="511">
        <v>88.26</v>
      </c>
      <c r="K1164" s="511"/>
      <c r="L1164" s="367">
        <f>ROUND(ROUND(H1164,8)*J1164,2)</f>
        <v>92.67</v>
      </c>
    </row>
    <row r="1165" spans="1:12" ht="15" customHeight="1" x14ac:dyDescent="0.25">
      <c r="A1165" s="182"/>
      <c r="B1165" s="183"/>
      <c r="C1165" s="183"/>
      <c r="D1165" s="183"/>
      <c r="E1165" s="183"/>
      <c r="F1165" s="183"/>
      <c r="G1165" s="183"/>
      <c r="H1165" s="477" t="s">
        <v>1826</v>
      </c>
      <c r="I1165" s="477"/>
      <c r="J1165" s="477"/>
      <c r="K1165" s="477"/>
      <c r="L1165" s="368">
        <f>SUM(L1164:L1164)</f>
        <v>92.67</v>
      </c>
    </row>
    <row r="1166" spans="1:12" ht="15" customHeight="1" x14ac:dyDescent="0.25">
      <c r="A1166" s="474" t="s">
        <v>1827</v>
      </c>
      <c r="B1166" s="475"/>
      <c r="C1166" s="475"/>
      <c r="D1166" s="476" t="s">
        <v>42</v>
      </c>
      <c r="E1166" s="476"/>
      <c r="F1166" s="476"/>
      <c r="G1166" s="230" t="s">
        <v>44</v>
      </c>
      <c r="H1166" s="476" t="s">
        <v>1813</v>
      </c>
      <c r="I1166" s="476"/>
      <c r="J1166" s="476" t="s">
        <v>1814</v>
      </c>
      <c r="K1166" s="476"/>
      <c r="L1166" s="366" t="s">
        <v>1802</v>
      </c>
    </row>
    <row r="1167" spans="1:12" ht="15" customHeight="1" x14ac:dyDescent="0.25">
      <c r="A1167" s="181" t="s">
        <v>1851</v>
      </c>
      <c r="B1167" s="509" t="s">
        <v>1852</v>
      </c>
      <c r="C1167" s="509"/>
      <c r="D1167" s="481" t="s">
        <v>51</v>
      </c>
      <c r="E1167" s="481"/>
      <c r="F1167" s="481"/>
      <c r="G1167" s="231" t="s">
        <v>1024</v>
      </c>
      <c r="H1167" s="510">
        <v>0.64</v>
      </c>
      <c r="I1167" s="510"/>
      <c r="J1167" s="511">
        <v>26.03</v>
      </c>
      <c r="K1167" s="511"/>
      <c r="L1167" s="367">
        <f>ROUND(ROUND(H1167,8)*J1167,2)</f>
        <v>16.66</v>
      </c>
    </row>
    <row r="1168" spans="1:12" ht="15" customHeight="1" x14ac:dyDescent="0.25">
      <c r="A1168" s="181" t="s">
        <v>1830</v>
      </c>
      <c r="B1168" s="509" t="s">
        <v>1831</v>
      </c>
      <c r="C1168" s="509"/>
      <c r="D1168" s="481" t="s">
        <v>51</v>
      </c>
      <c r="E1168" s="481"/>
      <c r="F1168" s="481"/>
      <c r="G1168" s="231" t="s">
        <v>1024</v>
      </c>
      <c r="H1168" s="510">
        <v>0.2</v>
      </c>
      <c r="I1168" s="510"/>
      <c r="J1168" s="511">
        <v>19.68</v>
      </c>
      <c r="K1168" s="511"/>
      <c r="L1168" s="367">
        <f>ROUND(ROUND(H1168,8)*J1168,2)</f>
        <v>3.94</v>
      </c>
    </row>
    <row r="1169" spans="1:12" ht="15" customHeight="1" x14ac:dyDescent="0.25">
      <c r="A1169" s="182"/>
      <c r="B1169" s="183"/>
      <c r="C1169" s="183"/>
      <c r="D1169" s="183"/>
      <c r="E1169" s="183"/>
      <c r="F1169" s="183"/>
      <c r="G1169" s="183"/>
      <c r="H1169" s="477" t="s">
        <v>1832</v>
      </c>
      <c r="I1169" s="477"/>
      <c r="J1169" s="477"/>
      <c r="K1169" s="477"/>
      <c r="L1169" s="368">
        <f>SUM(L1167:L1168)</f>
        <v>20.6</v>
      </c>
    </row>
    <row r="1170" spans="1:12" ht="15" customHeight="1" x14ac:dyDescent="0.25">
      <c r="A1170" s="474" t="s">
        <v>1912</v>
      </c>
      <c r="B1170" s="475"/>
      <c r="C1170" s="475"/>
      <c r="D1170" s="476" t="s">
        <v>42</v>
      </c>
      <c r="E1170" s="476"/>
      <c r="F1170" s="476"/>
      <c r="G1170" s="230" t="s">
        <v>44</v>
      </c>
      <c r="H1170" s="476" t="s">
        <v>1813</v>
      </c>
      <c r="I1170" s="476"/>
      <c r="J1170" s="476" t="s">
        <v>1814</v>
      </c>
      <c r="K1170" s="476"/>
      <c r="L1170" s="366" t="s">
        <v>1802</v>
      </c>
    </row>
    <row r="1171" spans="1:12" ht="15" customHeight="1" x14ac:dyDescent="0.25">
      <c r="A1171" s="181" t="s">
        <v>2041</v>
      </c>
      <c r="B1171" s="509" t="s">
        <v>2042</v>
      </c>
      <c r="C1171" s="509"/>
      <c r="D1171" s="481" t="s">
        <v>341</v>
      </c>
      <c r="E1171" s="481"/>
      <c r="F1171" s="481"/>
      <c r="G1171" s="231" t="s">
        <v>786</v>
      </c>
      <c r="H1171" s="510">
        <v>4.5</v>
      </c>
      <c r="I1171" s="510"/>
      <c r="J1171" s="511">
        <v>0.98</v>
      </c>
      <c r="K1171" s="511"/>
      <c r="L1171" s="367">
        <f>ROUND(ROUND(H1171,8)*J1171,2)</f>
        <v>4.41</v>
      </c>
    </row>
    <row r="1172" spans="1:12" ht="15" customHeight="1" x14ac:dyDescent="0.25">
      <c r="A1172" s="182"/>
      <c r="B1172" s="183"/>
      <c r="C1172" s="183"/>
      <c r="D1172" s="183"/>
      <c r="E1172" s="183"/>
      <c r="F1172" s="183"/>
      <c r="G1172" s="183"/>
      <c r="H1172" s="477" t="s">
        <v>1915</v>
      </c>
      <c r="I1172" s="477"/>
      <c r="J1172" s="477"/>
      <c r="K1172" s="477"/>
      <c r="L1172" s="368">
        <f>SUM(L1171:L1171)</f>
        <v>4.41</v>
      </c>
    </row>
    <row r="1173" spans="1:12" ht="15" customHeight="1" x14ac:dyDescent="0.25">
      <c r="A1173" s="483" t="s">
        <v>2047</v>
      </c>
      <c r="B1173" s="484"/>
      <c r="C1173" s="484"/>
      <c r="D1173" s="484"/>
      <c r="E1173" s="183"/>
      <c r="F1173" s="183"/>
      <c r="G1173" s="183"/>
      <c r="H1173" s="482" t="s">
        <v>1834</v>
      </c>
      <c r="I1173" s="482"/>
      <c r="J1173" s="482"/>
      <c r="K1173" s="482"/>
      <c r="L1173" s="369">
        <v>117.68</v>
      </c>
    </row>
    <row r="1174" spans="1:12" ht="9.9499999999999993" customHeight="1" x14ac:dyDescent="0.25">
      <c r="A1174" s="182"/>
      <c r="B1174" s="183"/>
      <c r="C1174" s="183"/>
      <c r="D1174" s="183"/>
      <c r="E1174" s="183"/>
      <c r="F1174" s="183"/>
      <c r="G1174" s="183"/>
      <c r="H1174" s="485"/>
      <c r="I1174" s="485"/>
      <c r="J1174" s="485"/>
      <c r="K1174" s="485"/>
      <c r="L1174" s="512"/>
    </row>
    <row r="1175" spans="1:12" ht="20.100000000000001" customHeight="1" x14ac:dyDescent="0.25">
      <c r="A1175" s="486" t="s">
        <v>3618</v>
      </c>
      <c r="B1175" s="487"/>
      <c r="C1175" s="487"/>
      <c r="D1175" s="487"/>
      <c r="E1175" s="487"/>
      <c r="F1175" s="487"/>
      <c r="G1175" s="487"/>
      <c r="H1175" s="487"/>
      <c r="I1175" s="487"/>
      <c r="J1175" s="487"/>
      <c r="K1175" s="487"/>
      <c r="L1175" s="513"/>
    </row>
    <row r="1176" spans="1:12" ht="20.100000000000001" customHeight="1" x14ac:dyDescent="0.25">
      <c r="A1176" s="488" t="s">
        <v>1836</v>
      </c>
      <c r="B1176" s="489"/>
      <c r="C1176" s="489"/>
      <c r="D1176" s="489"/>
      <c r="E1176" s="489"/>
      <c r="F1176" s="489"/>
      <c r="G1176" s="233" t="s">
        <v>44</v>
      </c>
      <c r="H1176" s="515" t="s">
        <v>1837</v>
      </c>
      <c r="I1176" s="515"/>
      <c r="J1176" s="515" t="s">
        <v>1838</v>
      </c>
      <c r="K1176" s="515"/>
      <c r="L1176" s="169" t="s">
        <v>1839</v>
      </c>
    </row>
    <row r="1177" spans="1:12" ht="15" customHeight="1" x14ac:dyDescent="0.25">
      <c r="A1177" s="170" t="s">
        <v>1840</v>
      </c>
      <c r="B1177" s="490" t="s">
        <v>1841</v>
      </c>
      <c r="C1177" s="490"/>
      <c r="D1177" s="490"/>
      <c r="E1177" s="490"/>
      <c r="F1177" s="490"/>
      <c r="G1177" s="127" t="s">
        <v>1024</v>
      </c>
      <c r="H1177" s="524">
        <v>0.32350000000000001</v>
      </c>
      <c r="I1177" s="524"/>
      <c r="J1177" s="517">
        <v>21.94</v>
      </c>
      <c r="K1177" s="517"/>
      <c r="L1177" s="370">
        <f>TRUNC(TRUNC(H1177,8)*J1177,2)</f>
        <v>7.09</v>
      </c>
    </row>
    <row r="1178" spans="1:12" ht="15" customHeight="1" x14ac:dyDescent="0.25">
      <c r="A1178" s="170" t="s">
        <v>1983</v>
      </c>
      <c r="B1178" s="490" t="s">
        <v>1984</v>
      </c>
      <c r="C1178" s="490"/>
      <c r="D1178" s="490"/>
      <c r="E1178" s="490"/>
      <c r="F1178" s="490"/>
      <c r="G1178" s="127" t="s">
        <v>1024</v>
      </c>
      <c r="H1178" s="524">
        <v>0.34749999999999998</v>
      </c>
      <c r="I1178" s="524"/>
      <c r="J1178" s="517">
        <v>26.03</v>
      </c>
      <c r="K1178" s="517"/>
      <c r="L1178" s="370">
        <f>TRUNC(TRUNC(H1178,8)*J1178,2)</f>
        <v>9.0399999999999991</v>
      </c>
    </row>
    <row r="1179" spans="1:12" ht="15" customHeight="1" x14ac:dyDescent="0.25">
      <c r="A1179" s="184"/>
      <c r="B1179" s="141"/>
      <c r="C1179" s="141"/>
      <c r="D1179" s="141"/>
      <c r="E1179" s="141"/>
      <c r="F1179" s="141"/>
      <c r="G1179" s="141"/>
      <c r="H1179" s="491" t="s">
        <v>1844</v>
      </c>
      <c r="I1179" s="491"/>
      <c r="J1179" s="491"/>
      <c r="K1179" s="491"/>
      <c r="L1179" s="369">
        <f>SUM(L1177:L1178)</f>
        <v>16.13</v>
      </c>
    </row>
    <row r="1180" spans="1:12" ht="15" customHeight="1" x14ac:dyDescent="0.25">
      <c r="A1180" s="182"/>
      <c r="B1180" s="183"/>
      <c r="C1180" s="183"/>
      <c r="D1180" s="183"/>
      <c r="E1180" s="183"/>
      <c r="F1180" s="183"/>
      <c r="G1180" s="183"/>
      <c r="H1180" s="482" t="s">
        <v>1845</v>
      </c>
      <c r="I1180" s="482"/>
      <c r="J1180" s="482"/>
      <c r="K1180" s="482"/>
      <c r="L1180" s="371">
        <f>SUM(L1179)</f>
        <v>16.13</v>
      </c>
    </row>
    <row r="1181" spans="1:12" ht="15" customHeight="1" x14ac:dyDescent="0.25">
      <c r="A1181" s="182"/>
      <c r="B1181" s="183"/>
      <c r="C1181" s="183"/>
      <c r="D1181" s="183"/>
      <c r="E1181" s="183"/>
      <c r="F1181" s="183"/>
      <c r="G1181" s="183"/>
      <c r="H1181" s="482" t="s">
        <v>1846</v>
      </c>
      <c r="I1181" s="482"/>
      <c r="J1181" s="482"/>
      <c r="K1181" s="482"/>
      <c r="L1181" s="374">
        <v>1</v>
      </c>
    </row>
    <row r="1182" spans="1:12" ht="15" customHeight="1" x14ac:dyDescent="0.25">
      <c r="A1182" s="182"/>
      <c r="B1182" s="183"/>
      <c r="C1182" s="183"/>
      <c r="D1182" s="183"/>
      <c r="E1182" s="183"/>
      <c r="F1182" s="183"/>
      <c r="G1182" s="183"/>
      <c r="H1182" s="482" t="s">
        <v>1847</v>
      </c>
      <c r="I1182" s="482"/>
      <c r="J1182" s="482"/>
      <c r="K1182" s="482"/>
      <c r="L1182" s="371">
        <f>TRUNC(L1180/L1181,4)</f>
        <v>16.13</v>
      </c>
    </row>
    <row r="1183" spans="1:12" ht="20.100000000000001" customHeight="1" x14ac:dyDescent="0.25">
      <c r="A1183" s="488" t="s">
        <v>1880</v>
      </c>
      <c r="B1183" s="489"/>
      <c r="C1183" s="489"/>
      <c r="D1183" s="489"/>
      <c r="E1183" s="489"/>
      <c r="F1183" s="489"/>
      <c r="G1183" s="233" t="s">
        <v>44</v>
      </c>
      <c r="H1183" s="515" t="s">
        <v>1837</v>
      </c>
      <c r="I1183" s="515"/>
      <c r="J1183" s="515" t="s">
        <v>1881</v>
      </c>
      <c r="K1183" s="515"/>
      <c r="L1183" s="169" t="s">
        <v>1882</v>
      </c>
    </row>
    <row r="1184" spans="1:12" ht="15" customHeight="1" x14ac:dyDescent="0.25">
      <c r="A1184" s="170" t="s">
        <v>2997</v>
      </c>
      <c r="B1184" s="492" t="s">
        <v>2998</v>
      </c>
      <c r="C1184" s="492"/>
      <c r="D1184" s="492"/>
      <c r="E1184" s="492"/>
      <c r="F1184" s="492"/>
      <c r="G1184" s="127" t="s">
        <v>1006</v>
      </c>
      <c r="H1184" s="524">
        <v>0.05</v>
      </c>
      <c r="I1184" s="524"/>
      <c r="J1184" s="525">
        <v>15.92</v>
      </c>
      <c r="K1184" s="525"/>
      <c r="L1184" s="171">
        <f>TRUNC(TRUNC(H1184,8)*J1184,2)</f>
        <v>0.79</v>
      </c>
    </row>
    <row r="1185" spans="1:12" ht="15" customHeight="1" x14ac:dyDescent="0.25">
      <c r="A1185" s="170" t="s">
        <v>2999</v>
      </c>
      <c r="B1185" s="492" t="s">
        <v>3000</v>
      </c>
      <c r="C1185" s="492"/>
      <c r="D1185" s="492"/>
      <c r="E1185" s="492"/>
      <c r="F1185" s="492"/>
      <c r="G1185" s="127" t="s">
        <v>1006</v>
      </c>
      <c r="H1185" s="524">
        <v>0.17</v>
      </c>
      <c r="I1185" s="524"/>
      <c r="J1185" s="525">
        <v>47.36</v>
      </c>
      <c r="K1185" s="525"/>
      <c r="L1185" s="171">
        <f>TRUNC(TRUNC(H1185,8)*J1185,2)</f>
        <v>8.0500000000000007</v>
      </c>
    </row>
    <row r="1186" spans="1:12" ht="15" customHeight="1" x14ac:dyDescent="0.25">
      <c r="A1186" s="170" t="s">
        <v>2120</v>
      </c>
      <c r="B1186" s="492" t="s">
        <v>2121</v>
      </c>
      <c r="C1186" s="492"/>
      <c r="D1186" s="492"/>
      <c r="E1186" s="492"/>
      <c r="F1186" s="492"/>
      <c r="G1186" s="127" t="s">
        <v>226</v>
      </c>
      <c r="H1186" s="524">
        <v>0.25</v>
      </c>
      <c r="I1186" s="524"/>
      <c r="J1186" s="525">
        <v>1.0900000000000001</v>
      </c>
      <c r="K1186" s="525"/>
      <c r="L1186" s="171">
        <f>TRUNC(TRUNC(H1186,8)*J1186,2)</f>
        <v>0.27</v>
      </c>
    </row>
    <row r="1187" spans="1:12" ht="15" customHeight="1" x14ac:dyDescent="0.25">
      <c r="A1187" s="184"/>
      <c r="B1187" s="141"/>
      <c r="C1187" s="141"/>
      <c r="D1187" s="141"/>
      <c r="E1187" s="141"/>
      <c r="F1187" s="141"/>
      <c r="G1187" s="141"/>
      <c r="H1187" s="491" t="s">
        <v>1889</v>
      </c>
      <c r="I1187" s="491"/>
      <c r="J1187" s="491"/>
      <c r="K1187" s="491"/>
      <c r="L1187" s="375">
        <f>SUM(L1184:L1186)</f>
        <v>9.11</v>
      </c>
    </row>
    <row r="1188" spans="1:12" ht="20.100000000000001" customHeight="1" x14ac:dyDescent="0.25">
      <c r="A1188" s="488" t="s">
        <v>2009</v>
      </c>
      <c r="B1188" s="489"/>
      <c r="C1188" s="489"/>
      <c r="D1188" s="489"/>
      <c r="E1188" s="489"/>
      <c r="F1188" s="489"/>
      <c r="G1188" s="233" t="s">
        <v>44</v>
      </c>
      <c r="H1188" s="515" t="s">
        <v>1837</v>
      </c>
      <c r="I1188" s="515"/>
      <c r="J1188" s="515" t="s">
        <v>1814</v>
      </c>
      <c r="K1188" s="515"/>
      <c r="L1188" s="169" t="s">
        <v>1882</v>
      </c>
    </row>
    <row r="1189" spans="1:12" ht="15.95" customHeight="1" x14ac:dyDescent="0.25">
      <c r="A1189" s="170" t="s">
        <v>3619</v>
      </c>
      <c r="B1189" s="492" t="s">
        <v>3620</v>
      </c>
      <c r="C1189" s="492"/>
      <c r="D1189" s="492"/>
      <c r="E1189" s="492"/>
      <c r="F1189" s="492"/>
      <c r="G1189" s="127" t="s">
        <v>54</v>
      </c>
      <c r="H1189" s="526">
        <v>1</v>
      </c>
      <c r="I1189" s="526"/>
      <c r="J1189" s="525">
        <v>3.37</v>
      </c>
      <c r="K1189" s="525"/>
      <c r="L1189" s="171">
        <f>TRUNC(TRUNC(H1189,8)*J1189,2)</f>
        <v>3.37</v>
      </c>
    </row>
    <row r="1190" spans="1:12" ht="15" customHeight="1" x14ac:dyDescent="0.25">
      <c r="A1190" s="184"/>
      <c r="B1190" s="141"/>
      <c r="C1190" s="141"/>
      <c r="D1190" s="141"/>
      <c r="E1190" s="141"/>
      <c r="F1190" s="141"/>
      <c r="G1190" s="141"/>
      <c r="H1190" s="491" t="s">
        <v>2014</v>
      </c>
      <c r="I1190" s="491"/>
      <c r="J1190" s="491"/>
      <c r="K1190" s="491"/>
      <c r="L1190" s="375">
        <f>SUM(L1189:L1189)</f>
        <v>3.37</v>
      </c>
    </row>
    <row r="1191" spans="1:12" ht="15" customHeight="1" x14ac:dyDescent="0.25">
      <c r="A1191" s="182"/>
      <c r="B1191" s="183"/>
      <c r="C1191" s="183"/>
      <c r="D1191" s="183"/>
      <c r="E1191" s="183"/>
      <c r="F1191" s="183"/>
      <c r="G1191" s="183"/>
      <c r="H1191" s="482" t="s">
        <v>1848</v>
      </c>
      <c r="I1191" s="482"/>
      <c r="J1191" s="482"/>
      <c r="K1191" s="482"/>
      <c r="L1191" s="371">
        <f>SUM(L1182,L1187,L1190)</f>
        <v>28.61</v>
      </c>
    </row>
    <row r="1192" spans="1:12" ht="15" customHeight="1" x14ac:dyDescent="0.25">
      <c r="A1192" s="182"/>
      <c r="B1192" s="183"/>
      <c r="C1192" s="183"/>
      <c r="D1192" s="183"/>
      <c r="E1192" s="183"/>
      <c r="F1192" s="183"/>
      <c r="G1192" s="183"/>
      <c r="H1192" s="482" t="s">
        <v>1834</v>
      </c>
      <c r="I1192" s="482"/>
      <c r="J1192" s="482"/>
      <c r="K1192" s="482"/>
      <c r="L1192" s="369">
        <f>ROUND(SUM(L1191),2)</f>
        <v>28.61</v>
      </c>
    </row>
    <row r="1193" spans="1:12" ht="9.9499999999999993" customHeight="1" x14ac:dyDescent="0.25">
      <c r="A1193" s="182"/>
      <c r="B1193" s="183"/>
      <c r="C1193" s="183"/>
      <c r="D1193" s="183"/>
      <c r="E1193" s="183"/>
      <c r="F1193" s="183"/>
      <c r="G1193" s="183"/>
      <c r="H1193" s="485"/>
      <c r="I1193" s="485"/>
      <c r="J1193" s="485"/>
      <c r="K1193" s="485"/>
      <c r="L1193" s="512"/>
    </row>
    <row r="1194" spans="1:12" ht="20.100000000000001" customHeight="1" x14ac:dyDescent="0.25">
      <c r="A1194" s="486" t="s">
        <v>3621</v>
      </c>
      <c r="B1194" s="487"/>
      <c r="C1194" s="487"/>
      <c r="D1194" s="487"/>
      <c r="E1194" s="487"/>
      <c r="F1194" s="487"/>
      <c r="G1194" s="487"/>
      <c r="H1194" s="487"/>
      <c r="I1194" s="487"/>
      <c r="J1194" s="487"/>
      <c r="K1194" s="487"/>
      <c r="L1194" s="513"/>
    </row>
    <row r="1195" spans="1:12" ht="20.100000000000001" customHeight="1" x14ac:dyDescent="0.25">
      <c r="A1195" s="488" t="s">
        <v>1836</v>
      </c>
      <c r="B1195" s="489"/>
      <c r="C1195" s="489"/>
      <c r="D1195" s="489"/>
      <c r="E1195" s="489"/>
      <c r="F1195" s="489"/>
      <c r="G1195" s="233" t="s">
        <v>44</v>
      </c>
      <c r="H1195" s="515" t="s">
        <v>1837</v>
      </c>
      <c r="I1195" s="515"/>
      <c r="J1195" s="515" t="s">
        <v>1838</v>
      </c>
      <c r="K1195" s="515"/>
      <c r="L1195" s="169" t="s">
        <v>1839</v>
      </c>
    </row>
    <row r="1196" spans="1:12" ht="15" customHeight="1" x14ac:dyDescent="0.25">
      <c r="A1196" s="170" t="s">
        <v>1840</v>
      </c>
      <c r="B1196" s="490" t="s">
        <v>1841</v>
      </c>
      <c r="C1196" s="490"/>
      <c r="D1196" s="490"/>
      <c r="E1196" s="490"/>
      <c r="F1196" s="490"/>
      <c r="G1196" s="127" t="s">
        <v>1024</v>
      </c>
      <c r="H1196" s="524">
        <v>0.32350000000000001</v>
      </c>
      <c r="I1196" s="524"/>
      <c r="J1196" s="517">
        <v>21.94</v>
      </c>
      <c r="K1196" s="517"/>
      <c r="L1196" s="370">
        <f>TRUNC(TRUNC(H1196,8)*J1196,2)</f>
        <v>7.09</v>
      </c>
    </row>
    <row r="1197" spans="1:12" ht="15" customHeight="1" x14ac:dyDescent="0.25">
      <c r="A1197" s="170" t="s">
        <v>1983</v>
      </c>
      <c r="B1197" s="490" t="s">
        <v>1984</v>
      </c>
      <c r="C1197" s="490"/>
      <c r="D1197" s="490"/>
      <c r="E1197" s="490"/>
      <c r="F1197" s="490"/>
      <c r="G1197" s="127" t="s">
        <v>1024</v>
      </c>
      <c r="H1197" s="524">
        <v>0.34749999999999998</v>
      </c>
      <c r="I1197" s="524"/>
      <c r="J1197" s="517">
        <v>26.03</v>
      </c>
      <c r="K1197" s="517"/>
      <c r="L1197" s="370">
        <f>TRUNC(TRUNC(H1197,8)*J1197,2)</f>
        <v>9.0399999999999991</v>
      </c>
    </row>
    <row r="1198" spans="1:12" ht="15" customHeight="1" x14ac:dyDescent="0.25">
      <c r="A1198" s="184"/>
      <c r="B1198" s="141"/>
      <c r="C1198" s="141"/>
      <c r="D1198" s="141"/>
      <c r="E1198" s="141"/>
      <c r="F1198" s="141"/>
      <c r="G1198" s="141"/>
      <c r="H1198" s="491" t="s">
        <v>1844</v>
      </c>
      <c r="I1198" s="491"/>
      <c r="J1198" s="491"/>
      <c r="K1198" s="491"/>
      <c r="L1198" s="369">
        <f>SUM(L1196:L1197)</f>
        <v>16.13</v>
      </c>
    </row>
    <row r="1199" spans="1:12" ht="15" customHeight="1" x14ac:dyDescent="0.25">
      <c r="A1199" s="182"/>
      <c r="B1199" s="183"/>
      <c r="C1199" s="183"/>
      <c r="D1199" s="183"/>
      <c r="E1199" s="183"/>
      <c r="F1199" s="183"/>
      <c r="G1199" s="183"/>
      <c r="H1199" s="482" t="s">
        <v>1845</v>
      </c>
      <c r="I1199" s="482"/>
      <c r="J1199" s="482"/>
      <c r="K1199" s="482"/>
      <c r="L1199" s="371">
        <f>SUM(L1198)</f>
        <v>16.13</v>
      </c>
    </row>
    <row r="1200" spans="1:12" ht="15" customHeight="1" x14ac:dyDescent="0.25">
      <c r="A1200" s="182"/>
      <c r="B1200" s="183"/>
      <c r="C1200" s="183"/>
      <c r="D1200" s="183"/>
      <c r="E1200" s="183"/>
      <c r="F1200" s="183"/>
      <c r="G1200" s="183"/>
      <c r="H1200" s="482" t="s">
        <v>1846</v>
      </c>
      <c r="I1200" s="482"/>
      <c r="J1200" s="482"/>
      <c r="K1200" s="482"/>
      <c r="L1200" s="374">
        <v>1</v>
      </c>
    </row>
    <row r="1201" spans="1:12" ht="15" customHeight="1" x14ac:dyDescent="0.25">
      <c r="A1201" s="182"/>
      <c r="B1201" s="183"/>
      <c r="C1201" s="183"/>
      <c r="D1201" s="183"/>
      <c r="E1201" s="183"/>
      <c r="F1201" s="183"/>
      <c r="G1201" s="183"/>
      <c r="H1201" s="482" t="s">
        <v>1847</v>
      </c>
      <c r="I1201" s="482"/>
      <c r="J1201" s="482"/>
      <c r="K1201" s="482"/>
      <c r="L1201" s="371">
        <f>TRUNC(L1199/L1200,4)</f>
        <v>16.13</v>
      </c>
    </row>
    <row r="1202" spans="1:12" ht="20.100000000000001" customHeight="1" x14ac:dyDescent="0.25">
      <c r="A1202" s="488" t="s">
        <v>1880</v>
      </c>
      <c r="B1202" s="489"/>
      <c r="C1202" s="489"/>
      <c r="D1202" s="489"/>
      <c r="E1202" s="489"/>
      <c r="F1202" s="489"/>
      <c r="G1202" s="233" t="s">
        <v>44</v>
      </c>
      <c r="H1202" s="515" t="s">
        <v>1837</v>
      </c>
      <c r="I1202" s="515"/>
      <c r="J1202" s="515" t="s">
        <v>1881</v>
      </c>
      <c r="K1202" s="515"/>
      <c r="L1202" s="169" t="s">
        <v>1882</v>
      </c>
    </row>
    <row r="1203" spans="1:12" ht="15" customHeight="1" x14ac:dyDescent="0.25">
      <c r="A1203" s="170" t="s">
        <v>2120</v>
      </c>
      <c r="B1203" s="492" t="s">
        <v>2121</v>
      </c>
      <c r="C1203" s="492"/>
      <c r="D1203" s="492"/>
      <c r="E1203" s="492"/>
      <c r="F1203" s="492"/>
      <c r="G1203" s="127" t="s">
        <v>226</v>
      </c>
      <c r="H1203" s="524">
        <v>0.25</v>
      </c>
      <c r="I1203" s="524"/>
      <c r="J1203" s="525">
        <v>1.0900000000000001</v>
      </c>
      <c r="K1203" s="525"/>
      <c r="L1203" s="171">
        <f>TRUNC(TRUNC(H1203,8)*J1203,2)</f>
        <v>0.27</v>
      </c>
    </row>
    <row r="1204" spans="1:12" ht="15" customHeight="1" x14ac:dyDescent="0.25">
      <c r="A1204" s="170" t="s">
        <v>3494</v>
      </c>
      <c r="B1204" s="492" t="s">
        <v>3495</v>
      </c>
      <c r="C1204" s="492"/>
      <c r="D1204" s="492"/>
      <c r="E1204" s="492"/>
      <c r="F1204" s="492"/>
      <c r="G1204" s="127" t="s">
        <v>1006</v>
      </c>
      <c r="H1204" s="524">
        <v>0.17</v>
      </c>
      <c r="I1204" s="524"/>
      <c r="J1204" s="525">
        <v>31.69</v>
      </c>
      <c r="K1204" s="525"/>
      <c r="L1204" s="171">
        <f>TRUNC(TRUNC(H1204,8)*J1204,2)</f>
        <v>5.38</v>
      </c>
    </row>
    <row r="1205" spans="1:12" ht="15" customHeight="1" x14ac:dyDescent="0.25">
      <c r="A1205" s="184"/>
      <c r="B1205" s="141"/>
      <c r="C1205" s="141"/>
      <c r="D1205" s="141"/>
      <c r="E1205" s="141"/>
      <c r="F1205" s="141"/>
      <c r="G1205" s="141"/>
      <c r="H1205" s="491" t="s">
        <v>1889</v>
      </c>
      <c r="I1205" s="491"/>
      <c r="J1205" s="491"/>
      <c r="K1205" s="491"/>
      <c r="L1205" s="375">
        <f>SUM(L1203:L1204)</f>
        <v>5.65</v>
      </c>
    </row>
    <row r="1206" spans="1:12" ht="20.100000000000001" customHeight="1" x14ac:dyDescent="0.25">
      <c r="A1206" s="488" t="s">
        <v>2009</v>
      </c>
      <c r="B1206" s="489"/>
      <c r="C1206" s="489"/>
      <c r="D1206" s="489"/>
      <c r="E1206" s="489"/>
      <c r="F1206" s="489"/>
      <c r="G1206" s="233" t="s">
        <v>44</v>
      </c>
      <c r="H1206" s="515" t="s">
        <v>1837</v>
      </c>
      <c r="I1206" s="515"/>
      <c r="J1206" s="515" t="s">
        <v>1814</v>
      </c>
      <c r="K1206" s="515"/>
      <c r="L1206" s="169" t="s">
        <v>1882</v>
      </c>
    </row>
    <row r="1207" spans="1:12" ht="15.95" customHeight="1" x14ac:dyDescent="0.25">
      <c r="A1207" s="170" t="s">
        <v>3619</v>
      </c>
      <c r="B1207" s="492" t="s">
        <v>3620</v>
      </c>
      <c r="C1207" s="492"/>
      <c r="D1207" s="492"/>
      <c r="E1207" s="492"/>
      <c r="F1207" s="492"/>
      <c r="G1207" s="127" t="s">
        <v>54</v>
      </c>
      <c r="H1207" s="526">
        <v>1</v>
      </c>
      <c r="I1207" s="526"/>
      <c r="J1207" s="525">
        <v>3.37</v>
      </c>
      <c r="K1207" s="525"/>
      <c r="L1207" s="171">
        <f>TRUNC(TRUNC(H1207,8)*J1207,2)</f>
        <v>3.37</v>
      </c>
    </row>
    <row r="1208" spans="1:12" ht="15" customHeight="1" x14ac:dyDescent="0.25">
      <c r="A1208" s="184"/>
      <c r="B1208" s="141"/>
      <c r="C1208" s="141"/>
      <c r="D1208" s="141"/>
      <c r="E1208" s="141"/>
      <c r="F1208" s="141"/>
      <c r="G1208" s="141"/>
      <c r="H1208" s="491" t="s">
        <v>2014</v>
      </c>
      <c r="I1208" s="491"/>
      <c r="J1208" s="491"/>
      <c r="K1208" s="491"/>
      <c r="L1208" s="375">
        <f>SUM(L1207:L1207)</f>
        <v>3.37</v>
      </c>
    </row>
    <row r="1209" spans="1:12" ht="15" customHeight="1" x14ac:dyDescent="0.25">
      <c r="A1209" s="182"/>
      <c r="B1209" s="183"/>
      <c r="C1209" s="183"/>
      <c r="D1209" s="183"/>
      <c r="E1209" s="183"/>
      <c r="F1209" s="183"/>
      <c r="G1209" s="183"/>
      <c r="H1209" s="482" t="s">
        <v>1848</v>
      </c>
      <c r="I1209" s="482"/>
      <c r="J1209" s="482"/>
      <c r="K1209" s="482"/>
      <c r="L1209" s="371">
        <f>SUM(L1201,L1205,L1208)</f>
        <v>25.150000000000002</v>
      </c>
    </row>
    <row r="1210" spans="1:12" ht="15" customHeight="1" x14ac:dyDescent="0.25">
      <c r="A1210" s="182"/>
      <c r="B1210" s="183"/>
      <c r="C1210" s="183"/>
      <c r="D1210" s="183"/>
      <c r="E1210" s="183"/>
      <c r="F1210" s="183"/>
      <c r="G1210" s="183"/>
      <c r="H1210" s="482" t="s">
        <v>1834</v>
      </c>
      <c r="I1210" s="482"/>
      <c r="J1210" s="482"/>
      <c r="K1210" s="482"/>
      <c r="L1210" s="369">
        <f>ROUND(SUM(L1209),2)</f>
        <v>25.15</v>
      </c>
    </row>
    <row r="1211" spans="1:12" ht="9.9499999999999993" customHeight="1" x14ac:dyDescent="0.25">
      <c r="A1211" s="182"/>
      <c r="B1211" s="183"/>
      <c r="C1211" s="183"/>
      <c r="D1211" s="183"/>
      <c r="E1211" s="183"/>
      <c r="F1211" s="183"/>
      <c r="G1211" s="183"/>
      <c r="H1211" s="485"/>
      <c r="I1211" s="485"/>
      <c r="J1211" s="485"/>
      <c r="K1211" s="485"/>
      <c r="L1211" s="512"/>
    </row>
    <row r="1212" spans="1:12" ht="20.100000000000001" customHeight="1" x14ac:dyDescent="0.25">
      <c r="A1212" s="486" t="s">
        <v>3622</v>
      </c>
      <c r="B1212" s="487"/>
      <c r="C1212" s="487"/>
      <c r="D1212" s="487"/>
      <c r="E1212" s="487"/>
      <c r="F1212" s="487"/>
      <c r="G1212" s="487"/>
      <c r="H1212" s="487"/>
      <c r="I1212" s="487"/>
      <c r="J1212" s="487"/>
      <c r="K1212" s="487"/>
      <c r="L1212" s="513"/>
    </row>
    <row r="1213" spans="1:12" ht="15" customHeight="1" x14ac:dyDescent="0.25">
      <c r="A1213" s="474" t="s">
        <v>1932</v>
      </c>
      <c r="B1213" s="475"/>
      <c r="C1213" s="475"/>
      <c r="D1213" s="476" t="s">
        <v>42</v>
      </c>
      <c r="E1213" s="476"/>
      <c r="F1213" s="476"/>
      <c r="G1213" s="230" t="s">
        <v>44</v>
      </c>
      <c r="H1213" s="476" t="s">
        <v>1813</v>
      </c>
      <c r="I1213" s="476"/>
      <c r="J1213" s="476" t="s">
        <v>1814</v>
      </c>
      <c r="K1213" s="476"/>
      <c r="L1213" s="366" t="s">
        <v>1802</v>
      </c>
    </row>
    <row r="1214" spans="1:12" ht="15" customHeight="1" x14ac:dyDescent="0.25">
      <c r="A1214" s="181" t="s">
        <v>2085</v>
      </c>
      <c r="B1214" s="509" t="s">
        <v>2086</v>
      </c>
      <c r="C1214" s="509"/>
      <c r="D1214" s="481" t="s">
        <v>341</v>
      </c>
      <c r="E1214" s="481"/>
      <c r="F1214" s="481"/>
      <c r="G1214" s="231" t="s">
        <v>1935</v>
      </c>
      <c r="H1214" s="510">
        <v>1</v>
      </c>
      <c r="I1214" s="510"/>
      <c r="J1214" s="511">
        <v>3.86</v>
      </c>
      <c r="K1214" s="511"/>
      <c r="L1214" s="367">
        <f>TRUNC(TRUNC(H1214,8)*J1214,2)</f>
        <v>3.86</v>
      </c>
    </row>
    <row r="1215" spans="1:12" ht="15" customHeight="1" x14ac:dyDescent="0.25">
      <c r="A1215" s="182"/>
      <c r="B1215" s="183"/>
      <c r="C1215" s="183"/>
      <c r="D1215" s="183"/>
      <c r="E1215" s="183"/>
      <c r="F1215" s="183"/>
      <c r="G1215" s="183"/>
      <c r="H1215" s="477" t="s">
        <v>1938</v>
      </c>
      <c r="I1215" s="477"/>
      <c r="J1215" s="477"/>
      <c r="K1215" s="477"/>
      <c r="L1215" s="368">
        <f>SUM(L1214:L1214)</f>
        <v>3.86</v>
      </c>
    </row>
    <row r="1216" spans="1:12" ht="15" customHeight="1" x14ac:dyDescent="0.25">
      <c r="A1216" s="474" t="s">
        <v>1812</v>
      </c>
      <c r="B1216" s="475"/>
      <c r="C1216" s="475"/>
      <c r="D1216" s="476" t="s">
        <v>42</v>
      </c>
      <c r="E1216" s="476"/>
      <c r="F1216" s="476"/>
      <c r="G1216" s="230" t="s">
        <v>44</v>
      </c>
      <c r="H1216" s="476" t="s">
        <v>1813</v>
      </c>
      <c r="I1216" s="476"/>
      <c r="J1216" s="476" t="s">
        <v>1814</v>
      </c>
      <c r="K1216" s="476"/>
      <c r="L1216" s="366" t="s">
        <v>1802</v>
      </c>
    </row>
    <row r="1217" spans="1:12" ht="15" customHeight="1" x14ac:dyDescent="0.25">
      <c r="A1217" s="181" t="s">
        <v>3623</v>
      </c>
      <c r="B1217" s="509" t="s">
        <v>3624</v>
      </c>
      <c r="C1217" s="509"/>
      <c r="D1217" s="481" t="s">
        <v>341</v>
      </c>
      <c r="E1217" s="481"/>
      <c r="F1217" s="481"/>
      <c r="G1217" s="231" t="s">
        <v>786</v>
      </c>
      <c r="H1217" s="510">
        <v>1.2</v>
      </c>
      <c r="I1217" s="510"/>
      <c r="J1217" s="511">
        <v>189.97</v>
      </c>
      <c r="K1217" s="511"/>
      <c r="L1217" s="367">
        <f>TRUNC(TRUNC(H1217,8)*J1217,2)</f>
        <v>227.96</v>
      </c>
    </row>
    <row r="1218" spans="1:12" ht="15" customHeight="1" x14ac:dyDescent="0.25">
      <c r="A1218" s="181" t="s">
        <v>3625</v>
      </c>
      <c r="B1218" s="509" t="s">
        <v>3626</v>
      </c>
      <c r="C1218" s="509"/>
      <c r="D1218" s="481" t="s">
        <v>341</v>
      </c>
      <c r="E1218" s="481"/>
      <c r="F1218" s="481"/>
      <c r="G1218" s="231" t="s">
        <v>786</v>
      </c>
      <c r="H1218" s="510">
        <v>7.4999999999999997E-2</v>
      </c>
      <c r="I1218" s="510"/>
      <c r="J1218" s="511">
        <v>1058</v>
      </c>
      <c r="K1218" s="511"/>
      <c r="L1218" s="367">
        <f>TRUNC(TRUNC(H1218,8)*J1218,2)</f>
        <v>79.349999999999994</v>
      </c>
    </row>
    <row r="1219" spans="1:12" ht="21" customHeight="1" x14ac:dyDescent="0.25">
      <c r="A1219" s="181" t="s">
        <v>3627</v>
      </c>
      <c r="B1219" s="509" t="s">
        <v>3628</v>
      </c>
      <c r="C1219" s="509"/>
      <c r="D1219" s="481" t="s">
        <v>341</v>
      </c>
      <c r="E1219" s="481"/>
      <c r="F1219" s="481"/>
      <c r="G1219" s="231" t="s">
        <v>786</v>
      </c>
      <c r="H1219" s="510">
        <v>6</v>
      </c>
      <c r="I1219" s="510"/>
      <c r="J1219" s="511">
        <v>0.96</v>
      </c>
      <c r="K1219" s="511"/>
      <c r="L1219" s="367">
        <f>TRUNC(TRUNC(H1219,8)*J1219,2)</f>
        <v>5.76</v>
      </c>
    </row>
    <row r="1220" spans="1:12" ht="15" customHeight="1" x14ac:dyDescent="0.25">
      <c r="A1220" s="182"/>
      <c r="B1220" s="183"/>
      <c r="C1220" s="183"/>
      <c r="D1220" s="183"/>
      <c r="E1220" s="183"/>
      <c r="F1220" s="183"/>
      <c r="G1220" s="183"/>
      <c r="H1220" s="477" t="s">
        <v>1826</v>
      </c>
      <c r="I1220" s="477"/>
      <c r="J1220" s="477"/>
      <c r="K1220" s="477"/>
      <c r="L1220" s="368">
        <f>SUM(L1217:L1219)</f>
        <v>313.07</v>
      </c>
    </row>
    <row r="1221" spans="1:12" ht="15" customHeight="1" x14ac:dyDescent="0.25">
      <c r="A1221" s="474" t="s">
        <v>1827</v>
      </c>
      <c r="B1221" s="475"/>
      <c r="C1221" s="475"/>
      <c r="D1221" s="476" t="s">
        <v>42</v>
      </c>
      <c r="E1221" s="476"/>
      <c r="F1221" s="476"/>
      <c r="G1221" s="230" t="s">
        <v>44</v>
      </c>
      <c r="H1221" s="476" t="s">
        <v>1813</v>
      </c>
      <c r="I1221" s="476"/>
      <c r="J1221" s="476" t="s">
        <v>1814</v>
      </c>
      <c r="K1221" s="476"/>
      <c r="L1221" s="366" t="s">
        <v>1802</v>
      </c>
    </row>
    <row r="1222" spans="1:12" ht="15" customHeight="1" x14ac:dyDescent="0.25">
      <c r="A1222" s="181" t="s">
        <v>2091</v>
      </c>
      <c r="B1222" s="509" t="s">
        <v>2092</v>
      </c>
      <c r="C1222" s="509"/>
      <c r="D1222" s="481" t="s">
        <v>341</v>
      </c>
      <c r="E1222" s="481"/>
      <c r="F1222" s="481"/>
      <c r="G1222" s="231" t="s">
        <v>1935</v>
      </c>
      <c r="H1222" s="510">
        <v>1</v>
      </c>
      <c r="I1222" s="510"/>
      <c r="J1222" s="511">
        <v>37.31</v>
      </c>
      <c r="K1222" s="511"/>
      <c r="L1222" s="367">
        <f>TRUNC(TRUNC(H1222,8)*J1222,2)</f>
        <v>37.31</v>
      </c>
    </row>
    <row r="1223" spans="1:12" ht="15" customHeight="1" x14ac:dyDescent="0.25">
      <c r="A1223" s="182"/>
      <c r="B1223" s="183"/>
      <c r="C1223" s="183"/>
      <c r="D1223" s="183"/>
      <c r="E1223" s="183"/>
      <c r="F1223" s="183"/>
      <c r="G1223" s="183"/>
      <c r="H1223" s="477" t="s">
        <v>1832</v>
      </c>
      <c r="I1223" s="477"/>
      <c r="J1223" s="477"/>
      <c r="K1223" s="477"/>
      <c r="L1223" s="368">
        <f>SUM(L1222:L1222)</f>
        <v>37.31</v>
      </c>
    </row>
    <row r="1224" spans="1:12" ht="15" customHeight="1" x14ac:dyDescent="0.25">
      <c r="A1224" s="182"/>
      <c r="B1224" s="183"/>
      <c r="C1224" s="183"/>
      <c r="D1224" s="183"/>
      <c r="E1224" s="183"/>
      <c r="F1224" s="183"/>
      <c r="G1224" s="183"/>
      <c r="H1224" s="482" t="s">
        <v>1834</v>
      </c>
      <c r="I1224" s="482"/>
      <c r="J1224" s="482"/>
      <c r="K1224" s="482"/>
      <c r="L1224" s="369">
        <f>ROUND(SUM(L1215,L1220,L1223),2)</f>
        <v>354.24</v>
      </c>
    </row>
    <row r="1225" spans="1:12" ht="9.9499999999999993" customHeight="1" x14ac:dyDescent="0.25">
      <c r="A1225" s="182"/>
      <c r="B1225" s="183"/>
      <c r="C1225" s="183"/>
      <c r="D1225" s="183"/>
      <c r="E1225" s="183"/>
      <c r="F1225" s="183"/>
      <c r="G1225" s="183"/>
      <c r="H1225" s="485"/>
      <c r="I1225" s="485"/>
      <c r="J1225" s="485"/>
      <c r="K1225" s="485"/>
      <c r="L1225" s="512"/>
    </row>
    <row r="1226" spans="1:12" ht="20.100000000000001" customHeight="1" x14ac:dyDescent="0.25">
      <c r="A1226" s="486" t="s">
        <v>3629</v>
      </c>
      <c r="B1226" s="487"/>
      <c r="C1226" s="487"/>
      <c r="D1226" s="487"/>
      <c r="E1226" s="487"/>
      <c r="F1226" s="487"/>
      <c r="G1226" s="487"/>
      <c r="H1226" s="487"/>
      <c r="I1226" s="487"/>
      <c r="J1226" s="487"/>
      <c r="K1226" s="487"/>
      <c r="L1226" s="513"/>
    </row>
    <row r="1227" spans="1:12" ht="15" customHeight="1" x14ac:dyDescent="0.25">
      <c r="A1227" s="474" t="s">
        <v>1932</v>
      </c>
      <c r="B1227" s="475"/>
      <c r="C1227" s="475"/>
      <c r="D1227" s="476" t="s">
        <v>42</v>
      </c>
      <c r="E1227" s="476"/>
      <c r="F1227" s="476"/>
      <c r="G1227" s="230" t="s">
        <v>44</v>
      </c>
      <c r="H1227" s="476" t="s">
        <v>1813</v>
      </c>
      <c r="I1227" s="476"/>
      <c r="J1227" s="476" t="s">
        <v>1814</v>
      </c>
      <c r="K1227" s="476"/>
      <c r="L1227" s="366" t="s">
        <v>1802</v>
      </c>
    </row>
    <row r="1228" spans="1:12" ht="15" customHeight="1" x14ac:dyDescent="0.25">
      <c r="A1228" s="181" t="s">
        <v>1933</v>
      </c>
      <c r="B1228" s="509" t="s">
        <v>1934</v>
      </c>
      <c r="C1228" s="509"/>
      <c r="D1228" s="481" t="s">
        <v>341</v>
      </c>
      <c r="E1228" s="481"/>
      <c r="F1228" s="481"/>
      <c r="G1228" s="231" t="s">
        <v>1935</v>
      </c>
      <c r="H1228" s="510">
        <v>2.5</v>
      </c>
      <c r="I1228" s="510"/>
      <c r="J1228" s="511">
        <v>3.9</v>
      </c>
      <c r="K1228" s="511"/>
      <c r="L1228" s="367">
        <f>TRUNC(TRUNC(H1228,8)*J1228,2)</f>
        <v>9.75</v>
      </c>
    </row>
    <row r="1229" spans="1:12" ht="15" customHeight="1" x14ac:dyDescent="0.25">
      <c r="A1229" s="182"/>
      <c r="B1229" s="183"/>
      <c r="C1229" s="183"/>
      <c r="D1229" s="183"/>
      <c r="E1229" s="183"/>
      <c r="F1229" s="183"/>
      <c r="G1229" s="183"/>
      <c r="H1229" s="477" t="s">
        <v>1938</v>
      </c>
      <c r="I1229" s="477"/>
      <c r="J1229" s="477"/>
      <c r="K1229" s="477"/>
      <c r="L1229" s="368">
        <f>SUM(L1228:L1228)</f>
        <v>9.75</v>
      </c>
    </row>
    <row r="1230" spans="1:12" ht="15" customHeight="1" x14ac:dyDescent="0.25">
      <c r="A1230" s="474" t="s">
        <v>1812</v>
      </c>
      <c r="B1230" s="475"/>
      <c r="C1230" s="475"/>
      <c r="D1230" s="476" t="s">
        <v>42</v>
      </c>
      <c r="E1230" s="476"/>
      <c r="F1230" s="476"/>
      <c r="G1230" s="230" t="s">
        <v>44</v>
      </c>
      <c r="H1230" s="476" t="s">
        <v>1813</v>
      </c>
      <c r="I1230" s="476"/>
      <c r="J1230" s="476" t="s">
        <v>1814</v>
      </c>
      <c r="K1230" s="476"/>
      <c r="L1230" s="366" t="s">
        <v>1802</v>
      </c>
    </row>
    <row r="1231" spans="1:12" ht="15" customHeight="1" x14ac:dyDescent="0.25">
      <c r="A1231" s="181" t="s">
        <v>3630</v>
      </c>
      <c r="B1231" s="509" t="s">
        <v>3631</v>
      </c>
      <c r="C1231" s="509"/>
      <c r="D1231" s="481" t="s">
        <v>341</v>
      </c>
      <c r="E1231" s="481"/>
      <c r="F1231" s="481"/>
      <c r="G1231" s="231" t="s">
        <v>1951</v>
      </c>
      <c r="H1231" s="510">
        <v>0.5</v>
      </c>
      <c r="I1231" s="510"/>
      <c r="J1231" s="511">
        <v>4.84</v>
      </c>
      <c r="K1231" s="511"/>
      <c r="L1231" s="367">
        <f>TRUNC(TRUNC(H1231,8)*J1231,2)</f>
        <v>2.42</v>
      </c>
    </row>
    <row r="1232" spans="1:12" ht="15" customHeight="1" x14ac:dyDescent="0.25">
      <c r="A1232" s="181" t="s">
        <v>3625</v>
      </c>
      <c r="B1232" s="509" t="s">
        <v>3626</v>
      </c>
      <c r="C1232" s="509"/>
      <c r="D1232" s="481" t="s">
        <v>341</v>
      </c>
      <c r="E1232" s="481"/>
      <c r="F1232" s="481"/>
      <c r="G1232" s="231" t="s">
        <v>786</v>
      </c>
      <c r="H1232" s="510">
        <v>0.05</v>
      </c>
      <c r="I1232" s="510"/>
      <c r="J1232" s="511">
        <v>1058</v>
      </c>
      <c r="K1232" s="511"/>
      <c r="L1232" s="367">
        <f>TRUNC(TRUNC(H1232,8)*J1232,2)</f>
        <v>52.9</v>
      </c>
    </row>
    <row r="1233" spans="1:12" ht="15" customHeight="1" x14ac:dyDescent="0.25">
      <c r="A1233" s="182"/>
      <c r="B1233" s="183"/>
      <c r="C1233" s="183"/>
      <c r="D1233" s="183"/>
      <c r="E1233" s="183"/>
      <c r="F1233" s="183"/>
      <c r="G1233" s="183"/>
      <c r="H1233" s="477" t="s">
        <v>1826</v>
      </c>
      <c r="I1233" s="477"/>
      <c r="J1233" s="477"/>
      <c r="K1233" s="477"/>
      <c r="L1233" s="368">
        <f>SUM(L1231:L1232)</f>
        <v>55.32</v>
      </c>
    </row>
    <row r="1234" spans="1:12" ht="15" customHeight="1" x14ac:dyDescent="0.25">
      <c r="A1234" s="474" t="s">
        <v>1827</v>
      </c>
      <c r="B1234" s="475"/>
      <c r="C1234" s="475"/>
      <c r="D1234" s="476" t="s">
        <v>42</v>
      </c>
      <c r="E1234" s="476"/>
      <c r="F1234" s="476"/>
      <c r="G1234" s="230" t="s">
        <v>44</v>
      </c>
      <c r="H1234" s="476" t="s">
        <v>1813</v>
      </c>
      <c r="I1234" s="476"/>
      <c r="J1234" s="476" t="s">
        <v>1814</v>
      </c>
      <c r="K1234" s="476"/>
      <c r="L1234" s="366" t="s">
        <v>1802</v>
      </c>
    </row>
    <row r="1235" spans="1:12" ht="15" customHeight="1" x14ac:dyDescent="0.25">
      <c r="A1235" s="181" t="s">
        <v>2091</v>
      </c>
      <c r="B1235" s="509" t="s">
        <v>2092</v>
      </c>
      <c r="C1235" s="509"/>
      <c r="D1235" s="481" t="s">
        <v>341</v>
      </c>
      <c r="E1235" s="481"/>
      <c r="F1235" s="481"/>
      <c r="G1235" s="231" t="s">
        <v>1935</v>
      </c>
      <c r="H1235" s="510">
        <v>2.5</v>
      </c>
      <c r="I1235" s="510"/>
      <c r="J1235" s="511">
        <v>37.31</v>
      </c>
      <c r="K1235" s="511"/>
      <c r="L1235" s="367">
        <f>TRUNC(TRUNC(H1235,8)*J1235,2)</f>
        <v>93.27</v>
      </c>
    </row>
    <row r="1236" spans="1:12" ht="15" customHeight="1" x14ac:dyDescent="0.25">
      <c r="A1236" s="182"/>
      <c r="B1236" s="183"/>
      <c r="C1236" s="183"/>
      <c r="D1236" s="183"/>
      <c r="E1236" s="183"/>
      <c r="F1236" s="183"/>
      <c r="G1236" s="183"/>
      <c r="H1236" s="477" t="s">
        <v>1832</v>
      </c>
      <c r="I1236" s="477"/>
      <c r="J1236" s="477"/>
      <c r="K1236" s="477"/>
      <c r="L1236" s="368">
        <f>SUM(L1235:L1235)</f>
        <v>93.27</v>
      </c>
    </row>
    <row r="1237" spans="1:12" ht="15" customHeight="1" x14ac:dyDescent="0.25">
      <c r="A1237" s="182"/>
      <c r="B1237" s="183"/>
      <c r="C1237" s="183"/>
      <c r="D1237" s="183"/>
      <c r="E1237" s="183"/>
      <c r="F1237" s="183"/>
      <c r="G1237" s="183"/>
      <c r="H1237" s="482" t="s">
        <v>1834</v>
      </c>
      <c r="I1237" s="482"/>
      <c r="J1237" s="482"/>
      <c r="K1237" s="482"/>
      <c r="L1237" s="369">
        <f>ROUND(SUM(L1229,L1233,L1236),2)</f>
        <v>158.34</v>
      </c>
    </row>
    <row r="1238" spans="1:12" ht="9.9499999999999993" customHeight="1" x14ac:dyDescent="0.25">
      <c r="A1238" s="182"/>
      <c r="B1238" s="183"/>
      <c r="C1238" s="183"/>
      <c r="D1238" s="183"/>
      <c r="E1238" s="183"/>
      <c r="F1238" s="183"/>
      <c r="G1238" s="183"/>
      <c r="H1238" s="485"/>
      <c r="I1238" s="485"/>
      <c r="J1238" s="485"/>
      <c r="K1238" s="485"/>
      <c r="L1238" s="512"/>
    </row>
    <row r="1239" spans="1:12" ht="20.100000000000001" customHeight="1" x14ac:dyDescent="0.25">
      <c r="A1239" s="486" t="s">
        <v>3632</v>
      </c>
      <c r="B1239" s="487"/>
      <c r="C1239" s="487"/>
      <c r="D1239" s="487"/>
      <c r="E1239" s="487"/>
      <c r="F1239" s="487"/>
      <c r="G1239" s="487"/>
      <c r="H1239" s="487"/>
      <c r="I1239" s="487"/>
      <c r="J1239" s="487"/>
      <c r="K1239" s="487"/>
      <c r="L1239" s="513"/>
    </row>
    <row r="1240" spans="1:12" ht="20.100000000000001" customHeight="1" x14ac:dyDescent="0.25">
      <c r="A1240" s="488" t="s">
        <v>1836</v>
      </c>
      <c r="B1240" s="489"/>
      <c r="C1240" s="489"/>
      <c r="D1240" s="489"/>
      <c r="E1240" s="489"/>
      <c r="F1240" s="489"/>
      <c r="G1240" s="233" t="s">
        <v>44</v>
      </c>
      <c r="H1240" s="515" t="s">
        <v>1837</v>
      </c>
      <c r="I1240" s="515"/>
      <c r="J1240" s="515" t="s">
        <v>1838</v>
      </c>
      <c r="K1240" s="515"/>
      <c r="L1240" s="169" t="s">
        <v>1839</v>
      </c>
    </row>
    <row r="1241" spans="1:12" ht="15" customHeight="1" x14ac:dyDescent="0.25">
      <c r="A1241" s="170" t="s">
        <v>1851</v>
      </c>
      <c r="B1241" s="490" t="s">
        <v>1852</v>
      </c>
      <c r="C1241" s="490"/>
      <c r="D1241" s="490"/>
      <c r="E1241" s="490"/>
      <c r="F1241" s="490"/>
      <c r="G1241" s="127" t="s">
        <v>1024</v>
      </c>
      <c r="H1241" s="524">
        <v>0.08</v>
      </c>
      <c r="I1241" s="524"/>
      <c r="J1241" s="517">
        <v>26.03</v>
      </c>
      <c r="K1241" s="517"/>
      <c r="L1241" s="370">
        <f>TRUNC(TRUNC(H1241,8)*J1241,2)</f>
        <v>2.08</v>
      </c>
    </row>
    <row r="1242" spans="1:12" ht="15" customHeight="1" x14ac:dyDescent="0.25">
      <c r="A1242" s="170" t="s">
        <v>1830</v>
      </c>
      <c r="B1242" s="490" t="s">
        <v>1831</v>
      </c>
      <c r="C1242" s="490"/>
      <c r="D1242" s="490"/>
      <c r="E1242" s="490"/>
      <c r="F1242" s="490"/>
      <c r="G1242" s="127" t="s">
        <v>1024</v>
      </c>
      <c r="H1242" s="524">
        <v>0.5</v>
      </c>
      <c r="I1242" s="524"/>
      <c r="J1242" s="517">
        <v>19.68</v>
      </c>
      <c r="K1242" s="517"/>
      <c r="L1242" s="370">
        <f>TRUNC(TRUNC(H1242,8)*J1242,2)</f>
        <v>9.84</v>
      </c>
    </row>
    <row r="1243" spans="1:12" ht="15" customHeight="1" x14ac:dyDescent="0.25">
      <c r="A1243" s="184"/>
      <c r="B1243" s="141"/>
      <c r="C1243" s="141"/>
      <c r="D1243" s="141"/>
      <c r="E1243" s="141"/>
      <c r="F1243" s="141"/>
      <c r="G1243" s="141"/>
      <c r="H1243" s="491" t="s">
        <v>1844</v>
      </c>
      <c r="I1243" s="491"/>
      <c r="J1243" s="491"/>
      <c r="K1243" s="491"/>
      <c r="L1243" s="369">
        <f>SUM(L1241:L1242)</f>
        <v>11.92</v>
      </c>
    </row>
    <row r="1244" spans="1:12" ht="15" customHeight="1" x14ac:dyDescent="0.25">
      <c r="A1244" s="182"/>
      <c r="B1244" s="183"/>
      <c r="C1244" s="183"/>
      <c r="D1244" s="183"/>
      <c r="E1244" s="183"/>
      <c r="F1244" s="183"/>
      <c r="G1244" s="183"/>
      <c r="H1244" s="482" t="s">
        <v>1845</v>
      </c>
      <c r="I1244" s="482"/>
      <c r="J1244" s="482"/>
      <c r="K1244" s="482"/>
      <c r="L1244" s="371">
        <f>SUM(L1243)</f>
        <v>11.92</v>
      </c>
    </row>
    <row r="1245" spans="1:12" ht="15" customHeight="1" x14ac:dyDescent="0.25">
      <c r="A1245" s="182"/>
      <c r="B1245" s="183"/>
      <c r="C1245" s="183"/>
      <c r="D1245" s="183"/>
      <c r="E1245" s="183"/>
      <c r="F1245" s="183"/>
      <c r="G1245" s="183"/>
      <c r="H1245" s="482" t="s">
        <v>1846</v>
      </c>
      <c r="I1245" s="482"/>
      <c r="J1245" s="482"/>
      <c r="K1245" s="482"/>
      <c r="L1245" s="374">
        <v>1</v>
      </c>
    </row>
    <row r="1246" spans="1:12" ht="15" customHeight="1" x14ac:dyDescent="0.25">
      <c r="A1246" s="182"/>
      <c r="B1246" s="183"/>
      <c r="C1246" s="183"/>
      <c r="D1246" s="183"/>
      <c r="E1246" s="183"/>
      <c r="F1246" s="183"/>
      <c r="G1246" s="183"/>
      <c r="H1246" s="482" t="s">
        <v>1847</v>
      </c>
      <c r="I1246" s="482"/>
      <c r="J1246" s="482"/>
      <c r="K1246" s="482"/>
      <c r="L1246" s="371">
        <f>TRUNC(L1244/L1245,4)</f>
        <v>11.92</v>
      </c>
    </row>
    <row r="1247" spans="1:12" ht="15" customHeight="1" x14ac:dyDescent="0.25">
      <c r="A1247" s="182"/>
      <c r="B1247" s="183"/>
      <c r="C1247" s="183"/>
      <c r="D1247" s="183"/>
      <c r="E1247" s="183"/>
      <c r="F1247" s="183"/>
      <c r="G1247" s="183"/>
      <c r="H1247" s="482" t="s">
        <v>1848</v>
      </c>
      <c r="I1247" s="482"/>
      <c r="J1247" s="482"/>
      <c r="K1247" s="482"/>
      <c r="L1247" s="371">
        <f>SUM(L1246)</f>
        <v>11.92</v>
      </c>
    </row>
    <row r="1248" spans="1:12" ht="15" customHeight="1" x14ac:dyDescent="0.25">
      <c r="A1248" s="182"/>
      <c r="B1248" s="183"/>
      <c r="C1248" s="183"/>
      <c r="D1248" s="183"/>
      <c r="E1248" s="183"/>
      <c r="F1248" s="183"/>
      <c r="G1248" s="183"/>
      <c r="H1248" s="482" t="s">
        <v>1834</v>
      </c>
      <c r="I1248" s="482"/>
      <c r="J1248" s="482"/>
      <c r="K1248" s="482"/>
      <c r="L1248" s="369">
        <f>ROUND(SUM(L1247),2)</f>
        <v>11.92</v>
      </c>
    </row>
    <row r="1249" spans="1:12" ht="9.9499999999999993" customHeight="1" x14ac:dyDescent="0.25">
      <c r="A1249" s="182"/>
      <c r="B1249" s="183"/>
      <c r="C1249" s="183"/>
      <c r="D1249" s="183"/>
      <c r="E1249" s="183"/>
      <c r="F1249" s="183"/>
      <c r="G1249" s="183"/>
      <c r="H1249" s="485"/>
      <c r="I1249" s="485"/>
      <c r="J1249" s="485"/>
      <c r="K1249" s="485"/>
      <c r="L1249" s="512"/>
    </row>
    <row r="1250" spans="1:12" ht="20.100000000000001" customHeight="1" x14ac:dyDescent="0.25">
      <c r="A1250" s="486" t="s">
        <v>2048</v>
      </c>
      <c r="B1250" s="487"/>
      <c r="C1250" s="487"/>
      <c r="D1250" s="487"/>
      <c r="E1250" s="487"/>
      <c r="F1250" s="487"/>
      <c r="G1250" s="487"/>
      <c r="H1250" s="487"/>
      <c r="I1250" s="487"/>
      <c r="J1250" s="487"/>
      <c r="K1250" s="487"/>
      <c r="L1250" s="513"/>
    </row>
    <row r="1251" spans="1:12" ht="15" customHeight="1" x14ac:dyDescent="0.25">
      <c r="A1251" s="474" t="s">
        <v>1812</v>
      </c>
      <c r="B1251" s="475"/>
      <c r="C1251" s="475"/>
      <c r="D1251" s="476" t="s">
        <v>42</v>
      </c>
      <c r="E1251" s="476"/>
      <c r="F1251" s="476"/>
      <c r="G1251" s="230" t="s">
        <v>44</v>
      </c>
      <c r="H1251" s="476" t="s">
        <v>1813</v>
      </c>
      <c r="I1251" s="476"/>
      <c r="J1251" s="476" t="s">
        <v>1814</v>
      </c>
      <c r="K1251" s="476"/>
      <c r="L1251" s="366" t="s">
        <v>1802</v>
      </c>
    </row>
    <row r="1252" spans="1:12" ht="21" customHeight="1" x14ac:dyDescent="0.25">
      <c r="A1252" s="181" t="s">
        <v>2049</v>
      </c>
      <c r="B1252" s="509" t="s">
        <v>2050</v>
      </c>
      <c r="C1252" s="509"/>
      <c r="D1252" s="481" t="s">
        <v>341</v>
      </c>
      <c r="E1252" s="481"/>
      <c r="F1252" s="481"/>
      <c r="G1252" s="231" t="s">
        <v>786</v>
      </c>
      <c r="H1252" s="510">
        <v>0.25</v>
      </c>
      <c r="I1252" s="510"/>
      <c r="J1252" s="511">
        <v>53.56</v>
      </c>
      <c r="K1252" s="511"/>
      <c r="L1252" s="367">
        <f>ROUND(ROUND(H1252,8)*J1252,2)</f>
        <v>13.39</v>
      </c>
    </row>
    <row r="1253" spans="1:12" ht="15" customHeight="1" x14ac:dyDescent="0.25">
      <c r="A1253" s="181" t="s">
        <v>2051</v>
      </c>
      <c r="B1253" s="509" t="s">
        <v>2052</v>
      </c>
      <c r="C1253" s="509"/>
      <c r="D1253" s="481" t="s">
        <v>341</v>
      </c>
      <c r="E1253" s="481"/>
      <c r="F1253" s="481"/>
      <c r="G1253" s="231" t="s">
        <v>786</v>
      </c>
      <c r="H1253" s="510">
        <v>0.01</v>
      </c>
      <c r="I1253" s="510"/>
      <c r="J1253" s="511">
        <v>419.55</v>
      </c>
      <c r="K1253" s="511"/>
      <c r="L1253" s="367">
        <f>ROUND(ROUND(H1253,8)*J1253,2)</f>
        <v>4.2</v>
      </c>
    </row>
    <row r="1254" spans="1:12" ht="15" customHeight="1" x14ac:dyDescent="0.25">
      <c r="A1254" s="181" t="s">
        <v>2053</v>
      </c>
      <c r="B1254" s="509" t="s">
        <v>2054</v>
      </c>
      <c r="C1254" s="509"/>
      <c r="D1254" s="481" t="s">
        <v>341</v>
      </c>
      <c r="E1254" s="481"/>
      <c r="F1254" s="481"/>
      <c r="G1254" s="231" t="s">
        <v>89</v>
      </c>
      <c r="H1254" s="510">
        <v>3.5999999999999999E-3</v>
      </c>
      <c r="I1254" s="510"/>
      <c r="J1254" s="511">
        <v>7199</v>
      </c>
      <c r="K1254" s="511"/>
      <c r="L1254" s="367">
        <f>ROUND(ROUND(H1254,8)*J1254,2)</f>
        <v>25.92</v>
      </c>
    </row>
    <row r="1255" spans="1:12" ht="15" customHeight="1" x14ac:dyDescent="0.25">
      <c r="A1255" s="181" t="s">
        <v>2055</v>
      </c>
      <c r="B1255" s="509" t="s">
        <v>2056</v>
      </c>
      <c r="C1255" s="509"/>
      <c r="D1255" s="481" t="s">
        <v>341</v>
      </c>
      <c r="E1255" s="481"/>
      <c r="F1255" s="481"/>
      <c r="G1255" s="231" t="s">
        <v>1951</v>
      </c>
      <c r="H1255" s="510">
        <v>0.3</v>
      </c>
      <c r="I1255" s="510"/>
      <c r="J1255" s="511">
        <v>1.36</v>
      </c>
      <c r="K1255" s="511"/>
      <c r="L1255" s="367">
        <f>ROUND(ROUND(H1255,8)*J1255,2)</f>
        <v>0.41</v>
      </c>
    </row>
    <row r="1256" spans="1:12" ht="15" customHeight="1" x14ac:dyDescent="0.25">
      <c r="A1256" s="182"/>
      <c r="B1256" s="183"/>
      <c r="C1256" s="183"/>
      <c r="D1256" s="183"/>
      <c r="E1256" s="183"/>
      <c r="F1256" s="183"/>
      <c r="G1256" s="183"/>
      <c r="H1256" s="477" t="s">
        <v>1826</v>
      </c>
      <c r="I1256" s="477"/>
      <c r="J1256" s="477"/>
      <c r="K1256" s="477"/>
      <c r="L1256" s="368">
        <f>SUM(L1252:L1255)</f>
        <v>43.92</v>
      </c>
    </row>
    <row r="1257" spans="1:12" ht="15" customHeight="1" x14ac:dyDescent="0.25">
      <c r="A1257" s="474" t="s">
        <v>1827</v>
      </c>
      <c r="B1257" s="475"/>
      <c r="C1257" s="475"/>
      <c r="D1257" s="476" t="s">
        <v>42</v>
      </c>
      <c r="E1257" s="476"/>
      <c r="F1257" s="476"/>
      <c r="G1257" s="230" t="s">
        <v>44</v>
      </c>
      <c r="H1257" s="476" t="s">
        <v>1813</v>
      </c>
      <c r="I1257" s="476"/>
      <c r="J1257" s="476" t="s">
        <v>1814</v>
      </c>
      <c r="K1257" s="476"/>
      <c r="L1257" s="366" t="s">
        <v>1802</v>
      </c>
    </row>
    <row r="1258" spans="1:12" ht="15" customHeight="1" x14ac:dyDescent="0.25">
      <c r="A1258" s="181" t="s">
        <v>1828</v>
      </c>
      <c r="B1258" s="509" t="s">
        <v>1829</v>
      </c>
      <c r="C1258" s="509"/>
      <c r="D1258" s="481" t="s">
        <v>51</v>
      </c>
      <c r="E1258" s="481"/>
      <c r="F1258" s="481"/>
      <c r="G1258" s="231" t="s">
        <v>1024</v>
      </c>
      <c r="H1258" s="510">
        <v>1.3</v>
      </c>
      <c r="I1258" s="510"/>
      <c r="J1258" s="511">
        <v>26.03</v>
      </c>
      <c r="K1258" s="511"/>
      <c r="L1258" s="367">
        <f>ROUND(ROUND(H1258,8)*J1258,2)</f>
        <v>33.840000000000003</v>
      </c>
    </row>
    <row r="1259" spans="1:12" ht="15" customHeight="1" x14ac:dyDescent="0.25">
      <c r="A1259" s="181" t="s">
        <v>1830</v>
      </c>
      <c r="B1259" s="509" t="s">
        <v>1831</v>
      </c>
      <c r="C1259" s="509"/>
      <c r="D1259" s="481" t="s">
        <v>51</v>
      </c>
      <c r="E1259" s="481"/>
      <c r="F1259" s="481"/>
      <c r="G1259" s="231" t="s">
        <v>1024</v>
      </c>
      <c r="H1259" s="510">
        <v>1.3</v>
      </c>
      <c r="I1259" s="510"/>
      <c r="J1259" s="511">
        <v>19.68</v>
      </c>
      <c r="K1259" s="511"/>
      <c r="L1259" s="367">
        <f>ROUND(ROUND(H1259,8)*J1259,2)</f>
        <v>25.58</v>
      </c>
    </row>
    <row r="1260" spans="1:12" ht="15" customHeight="1" x14ac:dyDescent="0.25">
      <c r="A1260" s="182"/>
      <c r="B1260" s="183"/>
      <c r="C1260" s="183"/>
      <c r="D1260" s="183"/>
      <c r="E1260" s="183"/>
      <c r="F1260" s="183"/>
      <c r="G1260" s="183"/>
      <c r="H1260" s="477" t="s">
        <v>1832</v>
      </c>
      <c r="I1260" s="477"/>
      <c r="J1260" s="477"/>
      <c r="K1260" s="477"/>
      <c r="L1260" s="368">
        <f>SUM(L1258:L1259)</f>
        <v>59.42</v>
      </c>
    </row>
    <row r="1261" spans="1:12" ht="15" customHeight="1" x14ac:dyDescent="0.25">
      <c r="A1261" s="483" t="s">
        <v>2057</v>
      </c>
      <c r="B1261" s="484"/>
      <c r="C1261" s="484"/>
      <c r="D1261" s="484"/>
      <c r="E1261" s="183"/>
      <c r="F1261" s="183"/>
      <c r="G1261" s="183"/>
      <c r="H1261" s="482" t="s">
        <v>1834</v>
      </c>
      <c r="I1261" s="482"/>
      <c r="J1261" s="482"/>
      <c r="K1261" s="482"/>
      <c r="L1261" s="369">
        <v>103.34</v>
      </c>
    </row>
    <row r="1262" spans="1:12" ht="9.9499999999999993" customHeight="1" x14ac:dyDescent="0.25">
      <c r="A1262" s="182"/>
      <c r="B1262" s="183"/>
      <c r="C1262" s="183"/>
      <c r="D1262" s="183"/>
      <c r="E1262" s="183"/>
      <c r="F1262" s="183"/>
      <c r="G1262" s="183"/>
      <c r="H1262" s="485"/>
      <c r="I1262" s="485"/>
      <c r="J1262" s="485"/>
      <c r="K1262" s="485"/>
      <c r="L1262" s="512"/>
    </row>
    <row r="1263" spans="1:12" ht="20.100000000000001" customHeight="1" x14ac:dyDescent="0.25">
      <c r="A1263" s="486" t="s">
        <v>3633</v>
      </c>
      <c r="B1263" s="487"/>
      <c r="C1263" s="487"/>
      <c r="D1263" s="487"/>
      <c r="E1263" s="487"/>
      <c r="F1263" s="487"/>
      <c r="G1263" s="487"/>
      <c r="H1263" s="487"/>
      <c r="I1263" s="487"/>
      <c r="J1263" s="487"/>
      <c r="K1263" s="487"/>
      <c r="L1263" s="513"/>
    </row>
    <row r="1264" spans="1:12" ht="15" customHeight="1" x14ac:dyDescent="0.25">
      <c r="A1264" s="474" t="s">
        <v>1932</v>
      </c>
      <c r="B1264" s="475"/>
      <c r="C1264" s="475"/>
      <c r="D1264" s="476" t="s">
        <v>42</v>
      </c>
      <c r="E1264" s="476"/>
      <c r="F1264" s="476"/>
      <c r="G1264" s="230" t="s">
        <v>44</v>
      </c>
      <c r="H1264" s="476" t="s">
        <v>1813</v>
      </c>
      <c r="I1264" s="476"/>
      <c r="J1264" s="476" t="s">
        <v>1814</v>
      </c>
      <c r="K1264" s="476"/>
      <c r="L1264" s="366" t="s">
        <v>1802</v>
      </c>
    </row>
    <row r="1265" spans="1:12" ht="15" customHeight="1" x14ac:dyDescent="0.25">
      <c r="A1265" s="181" t="s">
        <v>2083</v>
      </c>
      <c r="B1265" s="509" t="s">
        <v>2084</v>
      </c>
      <c r="C1265" s="509"/>
      <c r="D1265" s="481" t="s">
        <v>341</v>
      </c>
      <c r="E1265" s="481"/>
      <c r="F1265" s="481"/>
      <c r="G1265" s="231" t="s">
        <v>1935</v>
      </c>
      <c r="H1265" s="510">
        <v>2.4</v>
      </c>
      <c r="I1265" s="510"/>
      <c r="J1265" s="511">
        <v>3.9</v>
      </c>
      <c r="K1265" s="511"/>
      <c r="L1265" s="367">
        <f>TRUNC(TRUNC(H1265,8)*J1265,2)</f>
        <v>9.36</v>
      </c>
    </row>
    <row r="1266" spans="1:12" ht="15" customHeight="1" x14ac:dyDescent="0.25">
      <c r="A1266" s="182"/>
      <c r="B1266" s="183"/>
      <c r="C1266" s="183"/>
      <c r="D1266" s="183"/>
      <c r="E1266" s="183"/>
      <c r="F1266" s="183"/>
      <c r="G1266" s="183"/>
      <c r="H1266" s="477" t="s">
        <v>1938</v>
      </c>
      <c r="I1266" s="477"/>
      <c r="J1266" s="477"/>
      <c r="K1266" s="477"/>
      <c r="L1266" s="368">
        <f>SUM(L1265:L1265)</f>
        <v>9.36</v>
      </c>
    </row>
    <row r="1267" spans="1:12" ht="15" customHeight="1" x14ac:dyDescent="0.25">
      <c r="A1267" s="474" t="s">
        <v>1812</v>
      </c>
      <c r="B1267" s="475"/>
      <c r="C1267" s="475"/>
      <c r="D1267" s="476" t="s">
        <v>42</v>
      </c>
      <c r="E1267" s="476"/>
      <c r="F1267" s="476"/>
      <c r="G1267" s="230" t="s">
        <v>44</v>
      </c>
      <c r="H1267" s="476" t="s">
        <v>1813</v>
      </c>
      <c r="I1267" s="476"/>
      <c r="J1267" s="476" t="s">
        <v>1814</v>
      </c>
      <c r="K1267" s="476"/>
      <c r="L1267" s="366" t="s">
        <v>1802</v>
      </c>
    </row>
    <row r="1268" spans="1:12" ht="15" customHeight="1" x14ac:dyDescent="0.25">
      <c r="A1268" s="181" t="s">
        <v>2087</v>
      </c>
      <c r="B1268" s="509" t="s">
        <v>2088</v>
      </c>
      <c r="C1268" s="509"/>
      <c r="D1268" s="481" t="s">
        <v>341</v>
      </c>
      <c r="E1268" s="481"/>
      <c r="F1268" s="481"/>
      <c r="G1268" s="231" t="s">
        <v>89</v>
      </c>
      <c r="H1268" s="510">
        <v>3.0000000000000001E-3</v>
      </c>
      <c r="I1268" s="510"/>
      <c r="J1268" s="511">
        <v>3103.48</v>
      </c>
      <c r="K1268" s="511"/>
      <c r="L1268" s="367">
        <f>TRUNC(TRUNC(H1268,8)*J1268,2)</f>
        <v>9.31</v>
      </c>
    </row>
    <row r="1269" spans="1:12" ht="15" customHeight="1" x14ac:dyDescent="0.25">
      <c r="A1269" s="182"/>
      <c r="B1269" s="183"/>
      <c r="C1269" s="183"/>
      <c r="D1269" s="183"/>
      <c r="E1269" s="183"/>
      <c r="F1269" s="183"/>
      <c r="G1269" s="183"/>
      <c r="H1269" s="477" t="s">
        <v>1826</v>
      </c>
      <c r="I1269" s="477"/>
      <c r="J1269" s="477"/>
      <c r="K1269" s="477"/>
      <c r="L1269" s="368">
        <f>SUM(L1268:L1268)</f>
        <v>9.31</v>
      </c>
    </row>
    <row r="1270" spans="1:12" ht="15" customHeight="1" x14ac:dyDescent="0.25">
      <c r="A1270" s="474" t="s">
        <v>1827</v>
      </c>
      <c r="B1270" s="475"/>
      <c r="C1270" s="475"/>
      <c r="D1270" s="476" t="s">
        <v>42</v>
      </c>
      <c r="E1270" s="476"/>
      <c r="F1270" s="476"/>
      <c r="G1270" s="230" t="s">
        <v>44</v>
      </c>
      <c r="H1270" s="476" t="s">
        <v>1813</v>
      </c>
      <c r="I1270" s="476"/>
      <c r="J1270" s="476" t="s">
        <v>1814</v>
      </c>
      <c r="K1270" s="476"/>
      <c r="L1270" s="366" t="s">
        <v>1802</v>
      </c>
    </row>
    <row r="1271" spans="1:12" ht="15" customHeight="1" x14ac:dyDescent="0.25">
      <c r="A1271" s="181" t="s">
        <v>2089</v>
      </c>
      <c r="B1271" s="509" t="s">
        <v>2090</v>
      </c>
      <c r="C1271" s="509"/>
      <c r="D1271" s="481" t="s">
        <v>341</v>
      </c>
      <c r="E1271" s="481"/>
      <c r="F1271" s="481"/>
      <c r="G1271" s="231" t="s">
        <v>1935</v>
      </c>
      <c r="H1271" s="510">
        <v>2.4</v>
      </c>
      <c r="I1271" s="510"/>
      <c r="J1271" s="511">
        <v>43.53</v>
      </c>
      <c r="K1271" s="511"/>
      <c r="L1271" s="367">
        <f>TRUNC(TRUNC(H1271,8)*J1271,2)</f>
        <v>104.47</v>
      </c>
    </row>
    <row r="1272" spans="1:12" ht="15" customHeight="1" x14ac:dyDescent="0.25">
      <c r="A1272" s="182"/>
      <c r="B1272" s="183"/>
      <c r="C1272" s="183"/>
      <c r="D1272" s="183"/>
      <c r="E1272" s="183"/>
      <c r="F1272" s="183"/>
      <c r="G1272" s="183"/>
      <c r="H1272" s="477" t="s">
        <v>1832</v>
      </c>
      <c r="I1272" s="477"/>
      <c r="J1272" s="477"/>
      <c r="K1272" s="477"/>
      <c r="L1272" s="368">
        <f>SUM(L1271:L1271)</f>
        <v>104.47</v>
      </c>
    </row>
    <row r="1273" spans="1:12" ht="15" customHeight="1" x14ac:dyDescent="0.25">
      <c r="A1273" s="182"/>
      <c r="B1273" s="183"/>
      <c r="C1273" s="183"/>
      <c r="D1273" s="183"/>
      <c r="E1273" s="183"/>
      <c r="F1273" s="183"/>
      <c r="G1273" s="183"/>
      <c r="H1273" s="482" t="s">
        <v>1834</v>
      </c>
      <c r="I1273" s="482"/>
      <c r="J1273" s="482"/>
      <c r="K1273" s="482"/>
      <c r="L1273" s="369">
        <f>ROUND(SUM(L1266,L1269,L1272),2)</f>
        <v>123.14</v>
      </c>
    </row>
    <row r="1274" spans="1:12" ht="9.9499999999999993" customHeight="1" x14ac:dyDescent="0.25">
      <c r="A1274" s="182"/>
      <c r="B1274" s="183"/>
      <c r="C1274" s="183"/>
      <c r="D1274" s="183"/>
      <c r="E1274" s="183"/>
      <c r="F1274" s="183"/>
      <c r="G1274" s="183"/>
      <c r="H1274" s="485"/>
      <c r="I1274" s="485"/>
      <c r="J1274" s="485"/>
      <c r="K1274" s="485"/>
      <c r="L1274" s="512"/>
    </row>
    <row r="1275" spans="1:12" ht="20.100000000000001" customHeight="1" x14ac:dyDescent="0.25">
      <c r="A1275" s="486" t="s">
        <v>2058</v>
      </c>
      <c r="B1275" s="487"/>
      <c r="C1275" s="487"/>
      <c r="D1275" s="487"/>
      <c r="E1275" s="487"/>
      <c r="F1275" s="487"/>
      <c r="G1275" s="487"/>
      <c r="H1275" s="487"/>
      <c r="I1275" s="487"/>
      <c r="J1275" s="487"/>
      <c r="K1275" s="487"/>
      <c r="L1275" s="513"/>
    </row>
    <row r="1276" spans="1:12" ht="20.100000000000001" customHeight="1" x14ac:dyDescent="0.25">
      <c r="A1276" s="488" t="s">
        <v>1836</v>
      </c>
      <c r="B1276" s="489"/>
      <c r="C1276" s="489"/>
      <c r="D1276" s="489"/>
      <c r="E1276" s="489"/>
      <c r="F1276" s="489"/>
      <c r="G1276" s="233" t="s">
        <v>44</v>
      </c>
      <c r="H1276" s="515" t="s">
        <v>1837</v>
      </c>
      <c r="I1276" s="515"/>
      <c r="J1276" s="515" t="s">
        <v>1838</v>
      </c>
      <c r="K1276" s="515"/>
      <c r="L1276" s="169" t="s">
        <v>1839</v>
      </c>
    </row>
    <row r="1277" spans="1:12" ht="15" customHeight="1" x14ac:dyDescent="0.25">
      <c r="A1277" s="170" t="s">
        <v>1830</v>
      </c>
      <c r="B1277" s="490" t="s">
        <v>1831</v>
      </c>
      <c r="C1277" s="490"/>
      <c r="D1277" s="490"/>
      <c r="E1277" s="490"/>
      <c r="F1277" s="490"/>
      <c r="G1277" s="127" t="s">
        <v>1024</v>
      </c>
      <c r="H1277" s="524">
        <v>0.4583333</v>
      </c>
      <c r="I1277" s="524"/>
      <c r="J1277" s="517">
        <v>19.68</v>
      </c>
      <c r="K1277" s="517"/>
      <c r="L1277" s="370">
        <f>ROUND(ROUND(H1277,8)*J1277,2)</f>
        <v>9.02</v>
      </c>
    </row>
    <row r="1278" spans="1:12" ht="15" customHeight="1" x14ac:dyDescent="0.25">
      <c r="A1278" s="184"/>
      <c r="B1278" s="141"/>
      <c r="C1278" s="141"/>
      <c r="D1278" s="141"/>
      <c r="E1278" s="141"/>
      <c r="F1278" s="141"/>
      <c r="G1278" s="141"/>
      <c r="H1278" s="491" t="s">
        <v>1844</v>
      </c>
      <c r="I1278" s="491"/>
      <c r="J1278" s="491"/>
      <c r="K1278" s="491"/>
      <c r="L1278" s="369">
        <f>SUM(L1277:L1277)</f>
        <v>9.02</v>
      </c>
    </row>
    <row r="1279" spans="1:12" ht="15" customHeight="1" x14ac:dyDescent="0.25">
      <c r="A1279" s="182"/>
      <c r="B1279" s="183"/>
      <c r="C1279" s="183"/>
      <c r="D1279" s="183"/>
      <c r="E1279" s="183"/>
      <c r="F1279" s="183"/>
      <c r="G1279" s="183"/>
      <c r="H1279" s="482" t="s">
        <v>1845</v>
      </c>
      <c r="I1279" s="482"/>
      <c r="J1279" s="482"/>
      <c r="K1279" s="482"/>
      <c r="L1279" s="371">
        <f>SUM(L1278)</f>
        <v>9.02</v>
      </c>
    </row>
    <row r="1280" spans="1:12" ht="15" customHeight="1" x14ac:dyDescent="0.25">
      <c r="A1280" s="182"/>
      <c r="B1280" s="183"/>
      <c r="C1280" s="183"/>
      <c r="D1280" s="183"/>
      <c r="E1280" s="183"/>
      <c r="F1280" s="183"/>
      <c r="G1280" s="183"/>
      <c r="H1280" s="482" t="s">
        <v>1846</v>
      </c>
      <c r="I1280" s="482"/>
      <c r="J1280" s="482"/>
      <c r="K1280" s="482"/>
      <c r="L1280" s="384"/>
    </row>
    <row r="1281" spans="1:12" ht="15" customHeight="1" x14ac:dyDescent="0.25">
      <c r="A1281" s="182"/>
      <c r="B1281" s="183"/>
      <c r="C1281" s="183"/>
      <c r="D1281" s="183"/>
      <c r="E1281" s="183"/>
      <c r="F1281" s="183"/>
      <c r="G1281" s="183"/>
      <c r="H1281" s="482" t="s">
        <v>1847</v>
      </c>
      <c r="I1281" s="482"/>
      <c r="J1281" s="482"/>
      <c r="K1281" s="482"/>
      <c r="L1281" s="371" t="e">
        <f>ROUND(L1279/L1280,4)</f>
        <v>#DIV/0!</v>
      </c>
    </row>
    <row r="1282" spans="1:12" ht="20.100000000000001" customHeight="1" x14ac:dyDescent="0.25">
      <c r="A1282" s="488" t="s">
        <v>1880</v>
      </c>
      <c r="B1282" s="489"/>
      <c r="C1282" s="489"/>
      <c r="D1282" s="489"/>
      <c r="E1282" s="489"/>
      <c r="F1282" s="489"/>
      <c r="G1282" s="233" t="s">
        <v>44</v>
      </c>
      <c r="H1282" s="515" t="s">
        <v>1837</v>
      </c>
      <c r="I1282" s="515"/>
      <c r="J1282" s="515" t="s">
        <v>1881</v>
      </c>
      <c r="K1282" s="515"/>
      <c r="L1282" s="169" t="s">
        <v>1882</v>
      </c>
    </row>
    <row r="1283" spans="1:12" ht="15" customHeight="1" x14ac:dyDescent="0.25">
      <c r="A1283" s="170" t="s">
        <v>2059</v>
      </c>
      <c r="B1283" s="492" t="s">
        <v>2060</v>
      </c>
      <c r="C1283" s="492"/>
      <c r="D1283" s="492"/>
      <c r="E1283" s="492"/>
      <c r="F1283" s="492"/>
      <c r="G1283" s="127" t="s">
        <v>2061</v>
      </c>
      <c r="H1283" s="524">
        <v>1.3</v>
      </c>
      <c r="I1283" s="524"/>
      <c r="J1283" s="525">
        <v>43.75</v>
      </c>
      <c r="K1283" s="525"/>
      <c r="L1283" s="171">
        <f>ROUND(ROUND(H1283,8)*J1283,2)</f>
        <v>56.88</v>
      </c>
    </row>
    <row r="1284" spans="1:12" ht="15.95" customHeight="1" x14ac:dyDescent="0.25">
      <c r="A1284" s="170" t="s">
        <v>2062</v>
      </c>
      <c r="B1284" s="492" t="s">
        <v>2063</v>
      </c>
      <c r="C1284" s="492"/>
      <c r="D1284" s="492"/>
      <c r="E1284" s="492"/>
      <c r="F1284" s="492"/>
      <c r="G1284" s="127" t="s">
        <v>54</v>
      </c>
      <c r="H1284" s="524">
        <v>1</v>
      </c>
      <c r="I1284" s="524"/>
      <c r="J1284" s="525">
        <v>359.88</v>
      </c>
      <c r="K1284" s="525"/>
      <c r="L1284" s="171">
        <f>ROUND(ROUND(H1284,8)*J1284,2)</f>
        <v>359.88</v>
      </c>
    </row>
    <row r="1285" spans="1:12" ht="15" customHeight="1" x14ac:dyDescent="0.25">
      <c r="A1285" s="184"/>
      <c r="B1285" s="141"/>
      <c r="C1285" s="141"/>
      <c r="D1285" s="141"/>
      <c r="E1285" s="141"/>
      <c r="F1285" s="141"/>
      <c r="G1285" s="141"/>
      <c r="H1285" s="491" t="s">
        <v>1889</v>
      </c>
      <c r="I1285" s="491"/>
      <c r="J1285" s="491"/>
      <c r="K1285" s="491"/>
      <c r="L1285" s="375">
        <f>SUM(L1283:L1284)</f>
        <v>416.76</v>
      </c>
    </row>
    <row r="1286" spans="1:12" ht="20.100000000000001" customHeight="1" x14ac:dyDescent="0.25">
      <c r="A1286" s="488" t="s">
        <v>2009</v>
      </c>
      <c r="B1286" s="489"/>
      <c r="C1286" s="489"/>
      <c r="D1286" s="489"/>
      <c r="E1286" s="489"/>
      <c r="F1286" s="489"/>
      <c r="G1286" s="233" t="s">
        <v>44</v>
      </c>
      <c r="H1286" s="515" t="s">
        <v>1837</v>
      </c>
      <c r="I1286" s="515"/>
      <c r="J1286" s="515" t="s">
        <v>1814</v>
      </c>
      <c r="K1286" s="515"/>
      <c r="L1286" s="169" t="s">
        <v>1882</v>
      </c>
    </row>
    <row r="1287" spans="1:12" ht="15" customHeight="1" x14ac:dyDescent="0.25">
      <c r="A1287" s="170" t="s">
        <v>2064</v>
      </c>
      <c r="B1287" s="492" t="s">
        <v>2065</v>
      </c>
      <c r="C1287" s="492"/>
      <c r="D1287" s="492"/>
      <c r="E1287" s="492"/>
      <c r="F1287" s="492"/>
      <c r="G1287" s="127" t="s">
        <v>2066</v>
      </c>
      <c r="H1287" s="526">
        <v>0.4583333</v>
      </c>
      <c r="I1287" s="526"/>
      <c r="J1287" s="525">
        <v>32.9</v>
      </c>
      <c r="K1287" s="525"/>
      <c r="L1287" s="171">
        <f>ROUND(ROUND(H1287,8)*J1287,2)</f>
        <v>15.08</v>
      </c>
    </row>
    <row r="1288" spans="1:12" ht="15.95" customHeight="1" x14ac:dyDescent="0.25">
      <c r="A1288" s="170" t="s">
        <v>2067</v>
      </c>
      <c r="B1288" s="492" t="s">
        <v>2068</v>
      </c>
      <c r="C1288" s="492"/>
      <c r="D1288" s="492"/>
      <c r="E1288" s="492"/>
      <c r="F1288" s="492"/>
      <c r="G1288" s="127" t="s">
        <v>122</v>
      </c>
      <c r="H1288" s="526">
        <v>1</v>
      </c>
      <c r="I1288" s="526"/>
      <c r="J1288" s="525">
        <v>21.51</v>
      </c>
      <c r="K1288" s="525"/>
      <c r="L1288" s="171">
        <f>ROUND(ROUND(H1288,8)*J1288,2)</f>
        <v>21.51</v>
      </c>
    </row>
    <row r="1289" spans="1:12" ht="15" customHeight="1" x14ac:dyDescent="0.25">
      <c r="A1289" s="184"/>
      <c r="B1289" s="141"/>
      <c r="C1289" s="141"/>
      <c r="D1289" s="141"/>
      <c r="E1289" s="141"/>
      <c r="F1289" s="141"/>
      <c r="G1289" s="141"/>
      <c r="H1289" s="491" t="s">
        <v>2014</v>
      </c>
      <c r="I1289" s="491"/>
      <c r="J1289" s="491"/>
      <c r="K1289" s="491"/>
      <c r="L1289" s="375">
        <f>SUM(L1287:L1288)</f>
        <v>36.590000000000003</v>
      </c>
    </row>
    <row r="1290" spans="1:12" ht="15" customHeight="1" x14ac:dyDescent="0.25">
      <c r="A1290" s="182"/>
      <c r="B1290" s="183"/>
      <c r="C1290" s="183"/>
      <c r="D1290" s="183"/>
      <c r="E1290" s="183"/>
      <c r="F1290" s="183"/>
      <c r="G1290" s="183"/>
      <c r="H1290" s="482" t="s">
        <v>1848</v>
      </c>
      <c r="I1290" s="482"/>
      <c r="J1290" s="482"/>
      <c r="K1290" s="482"/>
      <c r="L1290" s="371" t="e">
        <f>SUM(L1281,L1285,L1289)</f>
        <v>#DIV/0!</v>
      </c>
    </row>
    <row r="1291" spans="1:12" ht="15" customHeight="1" x14ac:dyDescent="0.25">
      <c r="A1291" s="483" t="s">
        <v>2069</v>
      </c>
      <c r="B1291" s="484"/>
      <c r="C1291" s="484"/>
      <c r="D1291" s="484"/>
      <c r="E1291" s="183"/>
      <c r="F1291" s="183"/>
      <c r="G1291" s="183"/>
      <c r="H1291" s="482" t="s">
        <v>1834</v>
      </c>
      <c r="I1291" s="482"/>
      <c r="J1291" s="482"/>
      <c r="K1291" s="482"/>
      <c r="L1291" s="369">
        <v>462.37</v>
      </c>
    </row>
    <row r="1292" spans="1:12" ht="2.1" customHeight="1" x14ac:dyDescent="0.25">
      <c r="A1292" s="483"/>
      <c r="B1292" s="484"/>
      <c r="C1292" s="484"/>
      <c r="D1292" s="484"/>
      <c r="E1292" s="183"/>
      <c r="F1292" s="183"/>
      <c r="G1292" s="183"/>
      <c r="H1292" s="183"/>
      <c r="I1292" s="183"/>
      <c r="J1292" s="183"/>
      <c r="K1292" s="183"/>
      <c r="L1292" s="383"/>
    </row>
    <row r="1293" spans="1:12" ht="9.9499999999999993" customHeight="1" x14ac:dyDescent="0.25">
      <c r="A1293" s="182"/>
      <c r="B1293" s="183"/>
      <c r="C1293" s="183"/>
      <c r="D1293" s="183"/>
      <c r="E1293" s="183"/>
      <c r="F1293" s="183"/>
      <c r="G1293" s="183"/>
      <c r="H1293" s="485"/>
      <c r="I1293" s="485"/>
      <c r="J1293" s="485"/>
      <c r="K1293" s="485"/>
      <c r="L1293" s="512"/>
    </row>
    <row r="1294" spans="1:12" ht="20.100000000000001" customHeight="1" x14ac:dyDescent="0.25">
      <c r="A1294" s="486" t="s">
        <v>3634</v>
      </c>
      <c r="B1294" s="487"/>
      <c r="C1294" s="487"/>
      <c r="D1294" s="487"/>
      <c r="E1294" s="487"/>
      <c r="F1294" s="487"/>
      <c r="G1294" s="487"/>
      <c r="H1294" s="487"/>
      <c r="I1294" s="487"/>
      <c r="J1294" s="487"/>
      <c r="K1294" s="487"/>
      <c r="L1294" s="513"/>
    </row>
    <row r="1295" spans="1:12" ht="20.100000000000001" customHeight="1" x14ac:dyDescent="0.25">
      <c r="A1295" s="488" t="s">
        <v>2009</v>
      </c>
      <c r="B1295" s="489"/>
      <c r="C1295" s="489"/>
      <c r="D1295" s="489"/>
      <c r="E1295" s="489"/>
      <c r="F1295" s="489"/>
      <c r="G1295" s="233" t="s">
        <v>44</v>
      </c>
      <c r="H1295" s="515" t="s">
        <v>1837</v>
      </c>
      <c r="I1295" s="515"/>
      <c r="J1295" s="515" t="s">
        <v>1814</v>
      </c>
      <c r="K1295" s="515"/>
      <c r="L1295" s="169" t="s">
        <v>1882</v>
      </c>
    </row>
    <row r="1296" spans="1:12" ht="15" customHeight="1" x14ac:dyDescent="0.25">
      <c r="A1296" s="170" t="s">
        <v>135</v>
      </c>
      <c r="B1296" s="492" t="s">
        <v>136</v>
      </c>
      <c r="C1296" s="492"/>
      <c r="D1296" s="492"/>
      <c r="E1296" s="492"/>
      <c r="F1296" s="492"/>
      <c r="G1296" s="127" t="s">
        <v>89</v>
      </c>
      <c r="H1296" s="526">
        <v>1.4999999999999999E-2</v>
      </c>
      <c r="I1296" s="526"/>
      <c r="J1296" s="525">
        <v>225.81</v>
      </c>
      <c r="K1296" s="525"/>
      <c r="L1296" s="171">
        <f>TRUNC(TRUNC(H1296,8)*J1296,2)</f>
        <v>3.38</v>
      </c>
    </row>
    <row r="1297" spans="1:12" ht="15" customHeight="1" x14ac:dyDescent="0.25">
      <c r="A1297" s="184"/>
      <c r="B1297" s="141"/>
      <c r="C1297" s="141"/>
      <c r="D1297" s="141"/>
      <c r="E1297" s="141"/>
      <c r="F1297" s="141"/>
      <c r="G1297" s="141"/>
      <c r="H1297" s="491" t="s">
        <v>2014</v>
      </c>
      <c r="I1297" s="491"/>
      <c r="J1297" s="491"/>
      <c r="K1297" s="491"/>
      <c r="L1297" s="375">
        <f>SUM(L1296:L1296)</f>
        <v>3.38</v>
      </c>
    </row>
    <row r="1298" spans="1:12" ht="15" customHeight="1" x14ac:dyDescent="0.25">
      <c r="A1298" s="182"/>
      <c r="B1298" s="183"/>
      <c r="C1298" s="183"/>
      <c r="D1298" s="183"/>
      <c r="E1298" s="183"/>
      <c r="F1298" s="183"/>
      <c r="G1298" s="183"/>
      <c r="H1298" s="482" t="s">
        <v>1848</v>
      </c>
      <c r="I1298" s="482"/>
      <c r="J1298" s="482"/>
      <c r="K1298" s="482"/>
      <c r="L1298" s="371">
        <f>SUM(L1297)</f>
        <v>3.38</v>
      </c>
    </row>
    <row r="1299" spans="1:12" ht="15" customHeight="1" x14ac:dyDescent="0.25">
      <c r="A1299" s="182"/>
      <c r="B1299" s="183"/>
      <c r="C1299" s="183"/>
      <c r="D1299" s="183"/>
      <c r="E1299" s="183"/>
      <c r="F1299" s="183"/>
      <c r="G1299" s="183"/>
      <c r="H1299" s="482" t="s">
        <v>1834</v>
      </c>
      <c r="I1299" s="482"/>
      <c r="J1299" s="482"/>
      <c r="K1299" s="482"/>
      <c r="L1299" s="369">
        <f>ROUND(SUM(L1298),2)</f>
        <v>3.38</v>
      </c>
    </row>
    <row r="1300" spans="1:12" ht="9.9499999999999993" customHeight="1" x14ac:dyDescent="0.25">
      <c r="A1300" s="182"/>
      <c r="B1300" s="183"/>
      <c r="C1300" s="183"/>
      <c r="D1300" s="183"/>
      <c r="E1300" s="183"/>
      <c r="F1300" s="183"/>
      <c r="G1300" s="183"/>
      <c r="H1300" s="485"/>
      <c r="I1300" s="485"/>
      <c r="J1300" s="485"/>
      <c r="K1300" s="485"/>
      <c r="L1300" s="512"/>
    </row>
    <row r="1301" spans="1:12" ht="20.100000000000001" customHeight="1" x14ac:dyDescent="0.25">
      <c r="A1301" s="486" t="s">
        <v>3635</v>
      </c>
      <c r="B1301" s="487"/>
      <c r="C1301" s="487"/>
      <c r="D1301" s="487"/>
      <c r="E1301" s="487"/>
      <c r="F1301" s="487"/>
      <c r="G1301" s="487"/>
      <c r="H1301" s="487"/>
      <c r="I1301" s="487"/>
      <c r="J1301" s="487"/>
      <c r="K1301" s="487"/>
      <c r="L1301" s="513"/>
    </row>
    <row r="1302" spans="1:12" ht="15" customHeight="1" x14ac:dyDescent="0.25">
      <c r="A1302" s="474" t="s">
        <v>1912</v>
      </c>
      <c r="B1302" s="475"/>
      <c r="C1302" s="475"/>
      <c r="D1302" s="476" t="s">
        <v>42</v>
      </c>
      <c r="E1302" s="476"/>
      <c r="F1302" s="476"/>
      <c r="G1302" s="230" t="s">
        <v>44</v>
      </c>
      <c r="H1302" s="476" t="s">
        <v>1813</v>
      </c>
      <c r="I1302" s="476"/>
      <c r="J1302" s="476" t="s">
        <v>1814</v>
      </c>
      <c r="K1302" s="476"/>
      <c r="L1302" s="366" t="s">
        <v>1802</v>
      </c>
    </row>
    <row r="1303" spans="1:12" ht="29.1" customHeight="1" x14ac:dyDescent="0.25">
      <c r="A1303" s="181" t="s">
        <v>3636</v>
      </c>
      <c r="B1303" s="509" t="s">
        <v>3637</v>
      </c>
      <c r="C1303" s="509"/>
      <c r="D1303" s="481" t="s">
        <v>82</v>
      </c>
      <c r="E1303" s="481"/>
      <c r="F1303" s="481"/>
      <c r="G1303" s="231" t="s">
        <v>1817</v>
      </c>
      <c r="H1303" s="510">
        <v>16.5</v>
      </c>
      <c r="I1303" s="510"/>
      <c r="J1303" s="511">
        <v>14.72</v>
      </c>
      <c r="K1303" s="511"/>
      <c r="L1303" s="367">
        <f>TRUNC(TRUNC(H1303,8)*J1303,2)</f>
        <v>242.88</v>
      </c>
    </row>
    <row r="1304" spans="1:12" ht="29.1" customHeight="1" x14ac:dyDescent="0.25">
      <c r="A1304" s="181" t="s">
        <v>3638</v>
      </c>
      <c r="B1304" s="509" t="s">
        <v>3639</v>
      </c>
      <c r="C1304" s="509"/>
      <c r="D1304" s="481" t="s">
        <v>82</v>
      </c>
      <c r="E1304" s="481"/>
      <c r="F1304" s="481"/>
      <c r="G1304" s="231" t="s">
        <v>1817</v>
      </c>
      <c r="H1304" s="510">
        <v>36.299999999999997</v>
      </c>
      <c r="I1304" s="510"/>
      <c r="J1304" s="511">
        <v>11.09</v>
      </c>
      <c r="K1304" s="511"/>
      <c r="L1304" s="367">
        <f>TRUNC(TRUNC(H1304,8)*J1304,2)</f>
        <v>402.56</v>
      </c>
    </row>
    <row r="1305" spans="1:12" ht="29.1" customHeight="1" x14ac:dyDescent="0.25">
      <c r="A1305" s="181" t="s">
        <v>3640</v>
      </c>
      <c r="B1305" s="509" t="s">
        <v>3641</v>
      </c>
      <c r="C1305" s="509"/>
      <c r="D1305" s="481" t="s">
        <v>82</v>
      </c>
      <c r="E1305" s="481"/>
      <c r="F1305" s="481"/>
      <c r="G1305" s="231" t="s">
        <v>1817</v>
      </c>
      <c r="H1305" s="510">
        <v>13.2</v>
      </c>
      <c r="I1305" s="510"/>
      <c r="J1305" s="511">
        <v>27.14</v>
      </c>
      <c r="K1305" s="511"/>
      <c r="L1305" s="367">
        <f>TRUNC(TRUNC(H1305,8)*J1305,2)</f>
        <v>358.24</v>
      </c>
    </row>
    <row r="1306" spans="1:12" ht="38.1" customHeight="1" x14ac:dyDescent="0.25">
      <c r="A1306" s="181" t="s">
        <v>3642</v>
      </c>
      <c r="B1306" s="509" t="s">
        <v>3643</v>
      </c>
      <c r="C1306" s="509"/>
      <c r="D1306" s="481" t="s">
        <v>82</v>
      </c>
      <c r="E1306" s="481"/>
      <c r="F1306" s="481"/>
      <c r="G1306" s="231" t="s">
        <v>85</v>
      </c>
      <c r="H1306" s="510">
        <v>1</v>
      </c>
      <c r="I1306" s="510"/>
      <c r="J1306" s="511">
        <v>778.01</v>
      </c>
      <c r="K1306" s="511"/>
      <c r="L1306" s="367">
        <f>TRUNC(TRUNC(H1306,8)*J1306,2)</f>
        <v>778.01</v>
      </c>
    </row>
    <row r="1307" spans="1:12" ht="29.1" customHeight="1" x14ac:dyDescent="0.25">
      <c r="A1307" s="181" t="s">
        <v>3644</v>
      </c>
      <c r="B1307" s="509" t="s">
        <v>3645</v>
      </c>
      <c r="C1307" s="509"/>
      <c r="D1307" s="481" t="s">
        <v>82</v>
      </c>
      <c r="E1307" s="481"/>
      <c r="F1307" s="481"/>
      <c r="G1307" s="231" t="s">
        <v>122</v>
      </c>
      <c r="H1307" s="510">
        <v>7.72</v>
      </c>
      <c r="I1307" s="510"/>
      <c r="J1307" s="511">
        <v>344.14</v>
      </c>
      <c r="K1307" s="511"/>
      <c r="L1307" s="367">
        <f>TRUNC(TRUNC(H1307,8)*J1307,2)</f>
        <v>2656.76</v>
      </c>
    </row>
    <row r="1308" spans="1:12" ht="15" customHeight="1" x14ac:dyDescent="0.25">
      <c r="A1308" s="182"/>
      <c r="B1308" s="183"/>
      <c r="C1308" s="183"/>
      <c r="D1308" s="183"/>
      <c r="E1308" s="183"/>
      <c r="F1308" s="183"/>
      <c r="G1308" s="183"/>
      <c r="H1308" s="477" t="s">
        <v>1915</v>
      </c>
      <c r="I1308" s="477"/>
      <c r="J1308" s="477"/>
      <c r="K1308" s="477"/>
      <c r="L1308" s="368">
        <f>SUM(L1303:L1307)</f>
        <v>4438.4500000000007</v>
      </c>
    </row>
    <row r="1309" spans="1:12" ht="15" customHeight="1" x14ac:dyDescent="0.25">
      <c r="A1309" s="182"/>
      <c r="B1309" s="183"/>
      <c r="C1309" s="183"/>
      <c r="D1309" s="183"/>
      <c r="E1309" s="183"/>
      <c r="F1309" s="183"/>
      <c r="G1309" s="183"/>
      <c r="H1309" s="482" t="s">
        <v>1834</v>
      </c>
      <c r="I1309" s="482"/>
      <c r="J1309" s="482"/>
      <c r="K1309" s="482"/>
      <c r="L1309" s="369">
        <f>ROUND(SUM(L1308),2)</f>
        <v>4438.45</v>
      </c>
    </row>
    <row r="1310" spans="1:12" ht="9.9499999999999993" customHeight="1" x14ac:dyDescent="0.25">
      <c r="A1310" s="182"/>
      <c r="B1310" s="183"/>
      <c r="C1310" s="183"/>
      <c r="D1310" s="183"/>
      <c r="E1310" s="183"/>
      <c r="F1310" s="183"/>
      <c r="G1310" s="183"/>
      <c r="H1310" s="485"/>
      <c r="I1310" s="485"/>
      <c r="J1310" s="485"/>
      <c r="K1310" s="485"/>
      <c r="L1310" s="512"/>
    </row>
    <row r="1311" spans="1:12" ht="20.100000000000001" customHeight="1" x14ac:dyDescent="0.25">
      <c r="A1311" s="486" t="s">
        <v>3646</v>
      </c>
      <c r="B1311" s="487"/>
      <c r="C1311" s="487"/>
      <c r="D1311" s="487"/>
      <c r="E1311" s="487"/>
      <c r="F1311" s="487"/>
      <c r="G1311" s="487"/>
      <c r="H1311" s="487"/>
      <c r="I1311" s="487"/>
      <c r="J1311" s="487"/>
      <c r="K1311" s="487"/>
      <c r="L1311" s="513"/>
    </row>
    <row r="1312" spans="1:12" ht="20.100000000000001" customHeight="1" x14ac:dyDescent="0.25">
      <c r="A1312" s="488" t="s">
        <v>1836</v>
      </c>
      <c r="B1312" s="489"/>
      <c r="C1312" s="489"/>
      <c r="D1312" s="489"/>
      <c r="E1312" s="489"/>
      <c r="F1312" s="489"/>
      <c r="G1312" s="233" t="s">
        <v>44</v>
      </c>
      <c r="H1312" s="515" t="s">
        <v>1837</v>
      </c>
      <c r="I1312" s="515"/>
      <c r="J1312" s="515" t="s">
        <v>1838</v>
      </c>
      <c r="K1312" s="515"/>
      <c r="L1312" s="169" t="s">
        <v>1839</v>
      </c>
    </row>
    <row r="1313" spans="1:12" ht="15" customHeight="1" x14ac:dyDescent="0.25">
      <c r="A1313" s="170" t="s">
        <v>1840</v>
      </c>
      <c r="B1313" s="490" t="s">
        <v>1841</v>
      </c>
      <c r="C1313" s="490"/>
      <c r="D1313" s="490"/>
      <c r="E1313" s="490"/>
      <c r="F1313" s="490"/>
      <c r="G1313" s="127" t="s">
        <v>1024</v>
      </c>
      <c r="H1313" s="524">
        <v>0.3</v>
      </c>
      <c r="I1313" s="524"/>
      <c r="J1313" s="517">
        <v>21.94</v>
      </c>
      <c r="K1313" s="517"/>
      <c r="L1313" s="370">
        <f>TRUNC(TRUNC(H1313,8)*J1313,2)</f>
        <v>6.58</v>
      </c>
    </row>
    <row r="1314" spans="1:12" ht="15" customHeight="1" x14ac:dyDescent="0.25">
      <c r="A1314" s="170" t="s">
        <v>1983</v>
      </c>
      <c r="B1314" s="490" t="s">
        <v>1984</v>
      </c>
      <c r="C1314" s="490"/>
      <c r="D1314" s="490"/>
      <c r="E1314" s="490"/>
      <c r="F1314" s="490"/>
      <c r="G1314" s="127" t="s">
        <v>1024</v>
      </c>
      <c r="H1314" s="524">
        <v>1.2</v>
      </c>
      <c r="I1314" s="524"/>
      <c r="J1314" s="517">
        <v>26.03</v>
      </c>
      <c r="K1314" s="517"/>
      <c r="L1314" s="370">
        <f>TRUNC(TRUNC(H1314,8)*J1314,2)</f>
        <v>31.23</v>
      </c>
    </row>
    <row r="1315" spans="1:12" ht="15" customHeight="1" x14ac:dyDescent="0.25">
      <c r="A1315" s="184"/>
      <c r="B1315" s="141"/>
      <c r="C1315" s="141"/>
      <c r="D1315" s="141"/>
      <c r="E1315" s="141"/>
      <c r="F1315" s="141"/>
      <c r="G1315" s="141"/>
      <c r="H1315" s="491" t="s">
        <v>1844</v>
      </c>
      <c r="I1315" s="491"/>
      <c r="J1315" s="491"/>
      <c r="K1315" s="491"/>
      <c r="L1315" s="369">
        <f>SUM(L1313:L1314)</f>
        <v>37.81</v>
      </c>
    </row>
    <row r="1316" spans="1:12" ht="15" customHeight="1" x14ac:dyDescent="0.25">
      <c r="A1316" s="182"/>
      <c r="B1316" s="183"/>
      <c r="C1316" s="183"/>
      <c r="D1316" s="183"/>
      <c r="E1316" s="183"/>
      <c r="F1316" s="183"/>
      <c r="G1316" s="183"/>
      <c r="H1316" s="482" t="s">
        <v>1845</v>
      </c>
      <c r="I1316" s="482"/>
      <c r="J1316" s="482"/>
      <c r="K1316" s="482"/>
      <c r="L1316" s="371">
        <f>SUM(L1315)</f>
        <v>37.81</v>
      </c>
    </row>
    <row r="1317" spans="1:12" ht="15" customHeight="1" x14ac:dyDescent="0.25">
      <c r="A1317" s="182"/>
      <c r="B1317" s="183"/>
      <c r="C1317" s="183"/>
      <c r="D1317" s="183"/>
      <c r="E1317" s="183"/>
      <c r="F1317" s="183"/>
      <c r="G1317" s="183"/>
      <c r="H1317" s="482" t="s">
        <v>1846</v>
      </c>
      <c r="I1317" s="482"/>
      <c r="J1317" s="482"/>
      <c r="K1317" s="482"/>
      <c r="L1317" s="374">
        <v>1</v>
      </c>
    </row>
    <row r="1318" spans="1:12" ht="15" customHeight="1" x14ac:dyDescent="0.25">
      <c r="A1318" s="182"/>
      <c r="B1318" s="183"/>
      <c r="C1318" s="183"/>
      <c r="D1318" s="183"/>
      <c r="E1318" s="183"/>
      <c r="F1318" s="183"/>
      <c r="G1318" s="183"/>
      <c r="H1318" s="482" t="s">
        <v>1847</v>
      </c>
      <c r="I1318" s="482"/>
      <c r="J1318" s="482"/>
      <c r="K1318" s="482"/>
      <c r="L1318" s="371">
        <f>TRUNC(L1316/L1317,4)</f>
        <v>37.81</v>
      </c>
    </row>
    <row r="1319" spans="1:12" ht="20.100000000000001" customHeight="1" x14ac:dyDescent="0.25">
      <c r="A1319" s="488" t="s">
        <v>1880</v>
      </c>
      <c r="B1319" s="489"/>
      <c r="C1319" s="489"/>
      <c r="D1319" s="489"/>
      <c r="E1319" s="489"/>
      <c r="F1319" s="489"/>
      <c r="G1319" s="233" t="s">
        <v>44</v>
      </c>
      <c r="H1319" s="515" t="s">
        <v>1837</v>
      </c>
      <c r="I1319" s="515"/>
      <c r="J1319" s="515" t="s">
        <v>1881</v>
      </c>
      <c r="K1319" s="515"/>
      <c r="L1319" s="169" t="s">
        <v>1882</v>
      </c>
    </row>
    <row r="1320" spans="1:12" ht="15.95" customHeight="1" x14ac:dyDescent="0.25">
      <c r="A1320" s="170" t="s">
        <v>3647</v>
      </c>
      <c r="B1320" s="492" t="s">
        <v>3648</v>
      </c>
      <c r="C1320" s="492"/>
      <c r="D1320" s="492"/>
      <c r="E1320" s="492"/>
      <c r="F1320" s="492"/>
      <c r="G1320" s="127" t="s">
        <v>1006</v>
      </c>
      <c r="H1320" s="524">
        <v>0.3</v>
      </c>
      <c r="I1320" s="524"/>
      <c r="J1320" s="525">
        <v>17.260000000000002</v>
      </c>
      <c r="K1320" s="525"/>
      <c r="L1320" s="171">
        <f>TRUNC(TRUNC(H1320,8)*J1320,2)</f>
        <v>5.17</v>
      </c>
    </row>
    <row r="1321" spans="1:12" ht="15" customHeight="1" x14ac:dyDescent="0.25">
      <c r="A1321" s="184"/>
      <c r="B1321" s="141"/>
      <c r="C1321" s="141"/>
      <c r="D1321" s="141"/>
      <c r="E1321" s="141"/>
      <c r="F1321" s="141"/>
      <c r="G1321" s="141"/>
      <c r="H1321" s="491" t="s">
        <v>1889</v>
      </c>
      <c r="I1321" s="491"/>
      <c r="J1321" s="491"/>
      <c r="K1321" s="491"/>
      <c r="L1321" s="375">
        <f>SUM(L1320:L1320)</f>
        <v>5.17</v>
      </c>
    </row>
    <row r="1322" spans="1:12" ht="15" customHeight="1" x14ac:dyDescent="0.25">
      <c r="A1322" s="182"/>
      <c r="B1322" s="183"/>
      <c r="C1322" s="183"/>
      <c r="D1322" s="183"/>
      <c r="E1322" s="183"/>
      <c r="F1322" s="183"/>
      <c r="G1322" s="183"/>
      <c r="H1322" s="482" t="s">
        <v>1848</v>
      </c>
      <c r="I1322" s="482"/>
      <c r="J1322" s="482"/>
      <c r="K1322" s="482"/>
      <c r="L1322" s="371">
        <f>SUM(L1318,L1321)</f>
        <v>42.980000000000004</v>
      </c>
    </row>
    <row r="1323" spans="1:12" ht="15" customHeight="1" x14ac:dyDescent="0.25">
      <c r="A1323" s="182"/>
      <c r="B1323" s="183"/>
      <c r="C1323" s="183"/>
      <c r="D1323" s="183"/>
      <c r="E1323" s="183"/>
      <c r="F1323" s="183"/>
      <c r="G1323" s="183"/>
      <c r="H1323" s="482" t="s">
        <v>1834</v>
      </c>
      <c r="I1323" s="482"/>
      <c r="J1323" s="482"/>
      <c r="K1323" s="482"/>
      <c r="L1323" s="369">
        <f>ROUND(SUM(L1322),2)</f>
        <v>42.98</v>
      </c>
    </row>
    <row r="1324" spans="1:12" ht="9.9499999999999993" customHeight="1" x14ac:dyDescent="0.25">
      <c r="A1324" s="182"/>
      <c r="B1324" s="183"/>
      <c r="C1324" s="183"/>
      <c r="D1324" s="183"/>
      <c r="E1324" s="183"/>
      <c r="F1324" s="183"/>
      <c r="G1324" s="183"/>
      <c r="H1324" s="485"/>
      <c r="I1324" s="485"/>
      <c r="J1324" s="485"/>
      <c r="K1324" s="485"/>
      <c r="L1324" s="512"/>
    </row>
    <row r="1325" spans="1:12" ht="20.100000000000001" customHeight="1" x14ac:dyDescent="0.25">
      <c r="A1325" s="486" t="s">
        <v>3649</v>
      </c>
      <c r="B1325" s="487"/>
      <c r="C1325" s="487"/>
      <c r="D1325" s="487"/>
      <c r="E1325" s="487"/>
      <c r="F1325" s="487"/>
      <c r="G1325" s="487"/>
      <c r="H1325" s="487"/>
      <c r="I1325" s="487"/>
      <c r="J1325" s="487"/>
      <c r="K1325" s="487"/>
      <c r="L1325" s="513"/>
    </row>
    <row r="1326" spans="1:12" ht="15" customHeight="1" x14ac:dyDescent="0.25">
      <c r="A1326" s="474" t="s">
        <v>2190</v>
      </c>
      <c r="B1326" s="475"/>
      <c r="C1326" s="475"/>
      <c r="D1326" s="476" t="s">
        <v>42</v>
      </c>
      <c r="E1326" s="476"/>
      <c r="F1326" s="476"/>
      <c r="G1326" s="230" t="s">
        <v>44</v>
      </c>
      <c r="H1326" s="476" t="s">
        <v>1813</v>
      </c>
      <c r="I1326" s="476"/>
      <c r="J1326" s="476" t="s">
        <v>1814</v>
      </c>
      <c r="K1326" s="476"/>
      <c r="L1326" s="366" t="s">
        <v>1802</v>
      </c>
    </row>
    <row r="1327" spans="1:12" ht="21" customHeight="1" x14ac:dyDescent="0.25">
      <c r="A1327" s="181" t="s">
        <v>3650</v>
      </c>
      <c r="B1327" s="509" t="s">
        <v>3651</v>
      </c>
      <c r="C1327" s="509"/>
      <c r="D1327" s="481" t="s">
        <v>82</v>
      </c>
      <c r="E1327" s="481"/>
      <c r="F1327" s="481"/>
      <c r="G1327" s="231" t="s">
        <v>1024</v>
      </c>
      <c r="H1327" s="510">
        <v>0.2301</v>
      </c>
      <c r="I1327" s="510"/>
      <c r="J1327" s="511">
        <v>36.14</v>
      </c>
      <c r="K1327" s="511"/>
      <c r="L1327" s="367">
        <f>TRUNC(TRUNC(H1327,8)*J1327,2)</f>
        <v>8.31</v>
      </c>
    </row>
    <row r="1328" spans="1:12" ht="15" customHeight="1" x14ac:dyDescent="0.25">
      <c r="A1328" s="181" t="s">
        <v>2375</v>
      </c>
      <c r="B1328" s="509" t="s">
        <v>2376</v>
      </c>
      <c r="C1328" s="509"/>
      <c r="D1328" s="481" t="s">
        <v>82</v>
      </c>
      <c r="E1328" s="481"/>
      <c r="F1328" s="481"/>
      <c r="G1328" s="231" t="s">
        <v>1024</v>
      </c>
      <c r="H1328" s="510">
        <v>0.77400000000000002</v>
      </c>
      <c r="I1328" s="510"/>
      <c r="J1328" s="511">
        <v>28.97</v>
      </c>
      <c r="K1328" s="511"/>
      <c r="L1328" s="367">
        <f>TRUNC(TRUNC(H1328,8)*J1328,2)</f>
        <v>22.42</v>
      </c>
    </row>
    <row r="1329" spans="1:12" ht="18" customHeight="1" x14ac:dyDescent="0.25">
      <c r="A1329" s="182"/>
      <c r="B1329" s="183"/>
      <c r="C1329" s="183"/>
      <c r="D1329" s="183"/>
      <c r="E1329" s="183"/>
      <c r="F1329" s="183"/>
      <c r="G1329" s="183"/>
      <c r="H1329" s="477" t="s">
        <v>2195</v>
      </c>
      <c r="I1329" s="477"/>
      <c r="J1329" s="477"/>
      <c r="K1329" s="477"/>
      <c r="L1329" s="368">
        <f>SUM(L1327:L1328)</f>
        <v>30.730000000000004</v>
      </c>
    </row>
    <row r="1330" spans="1:12" ht="15" customHeight="1" x14ac:dyDescent="0.25">
      <c r="A1330" s="182"/>
      <c r="B1330" s="183"/>
      <c r="C1330" s="183"/>
      <c r="D1330" s="183"/>
      <c r="E1330" s="183"/>
      <c r="F1330" s="183"/>
      <c r="G1330" s="183"/>
      <c r="H1330" s="482" t="s">
        <v>1834</v>
      </c>
      <c r="I1330" s="482"/>
      <c r="J1330" s="482"/>
      <c r="K1330" s="482"/>
      <c r="L1330" s="369">
        <f>ROUND(SUM(L1329),2)</f>
        <v>30.73</v>
      </c>
    </row>
    <row r="1331" spans="1:12" ht="9.9499999999999993" customHeight="1" x14ac:dyDescent="0.25">
      <c r="A1331" s="182"/>
      <c r="B1331" s="183"/>
      <c r="C1331" s="183"/>
      <c r="D1331" s="183"/>
      <c r="E1331" s="183"/>
      <c r="F1331" s="183"/>
      <c r="G1331" s="183"/>
      <c r="H1331" s="485"/>
      <c r="I1331" s="485"/>
      <c r="J1331" s="485"/>
      <c r="K1331" s="485"/>
      <c r="L1331" s="512"/>
    </row>
    <row r="1332" spans="1:12" ht="20.100000000000001" customHeight="1" x14ac:dyDescent="0.25">
      <c r="A1332" s="486" t="s">
        <v>3652</v>
      </c>
      <c r="B1332" s="487"/>
      <c r="C1332" s="487"/>
      <c r="D1332" s="487"/>
      <c r="E1332" s="487"/>
      <c r="F1332" s="487"/>
      <c r="G1332" s="487"/>
      <c r="H1332" s="487"/>
      <c r="I1332" s="487"/>
      <c r="J1332" s="487"/>
      <c r="K1332" s="487"/>
      <c r="L1332" s="513"/>
    </row>
    <row r="1333" spans="1:12" ht="20.100000000000001" customHeight="1" x14ac:dyDescent="0.25">
      <c r="A1333" s="488" t="s">
        <v>1836</v>
      </c>
      <c r="B1333" s="489"/>
      <c r="C1333" s="489"/>
      <c r="D1333" s="489"/>
      <c r="E1333" s="489"/>
      <c r="F1333" s="489"/>
      <c r="G1333" s="233" t="s">
        <v>44</v>
      </c>
      <c r="H1333" s="515" t="s">
        <v>1837</v>
      </c>
      <c r="I1333" s="515"/>
      <c r="J1333" s="515" t="s">
        <v>1838</v>
      </c>
      <c r="K1333" s="515"/>
      <c r="L1333" s="169" t="s">
        <v>1839</v>
      </c>
    </row>
    <row r="1334" spans="1:12" ht="15" customHeight="1" x14ac:dyDescent="0.25">
      <c r="A1334" s="170" t="s">
        <v>3482</v>
      </c>
      <c r="B1334" s="490" t="s">
        <v>3483</v>
      </c>
      <c r="C1334" s="490"/>
      <c r="D1334" s="490"/>
      <c r="E1334" s="490"/>
      <c r="F1334" s="490"/>
      <c r="G1334" s="127" t="s">
        <v>1024</v>
      </c>
      <c r="H1334" s="524">
        <v>0.23</v>
      </c>
      <c r="I1334" s="524"/>
      <c r="J1334" s="517">
        <v>26.03</v>
      </c>
      <c r="K1334" s="517"/>
      <c r="L1334" s="370">
        <f>TRUNC(TRUNC(H1334,8)*J1334,2)</f>
        <v>5.98</v>
      </c>
    </row>
    <row r="1335" spans="1:12" ht="15" customHeight="1" x14ac:dyDescent="0.25">
      <c r="A1335" s="170" t="s">
        <v>1830</v>
      </c>
      <c r="B1335" s="490" t="s">
        <v>1831</v>
      </c>
      <c r="C1335" s="490"/>
      <c r="D1335" s="490"/>
      <c r="E1335" s="490"/>
      <c r="F1335" s="490"/>
      <c r="G1335" s="127" t="s">
        <v>1024</v>
      </c>
      <c r="H1335" s="524">
        <v>0.77</v>
      </c>
      <c r="I1335" s="524"/>
      <c r="J1335" s="517">
        <v>19.68</v>
      </c>
      <c r="K1335" s="517"/>
      <c r="L1335" s="370">
        <f>TRUNC(TRUNC(H1335,8)*J1335,2)</f>
        <v>15.15</v>
      </c>
    </row>
    <row r="1336" spans="1:12" ht="15" customHeight="1" x14ac:dyDescent="0.25">
      <c r="A1336" s="184"/>
      <c r="B1336" s="141"/>
      <c r="C1336" s="141"/>
      <c r="D1336" s="141"/>
      <c r="E1336" s="141"/>
      <c r="F1336" s="141"/>
      <c r="G1336" s="141"/>
      <c r="H1336" s="491" t="s">
        <v>1844</v>
      </c>
      <c r="I1336" s="491"/>
      <c r="J1336" s="491"/>
      <c r="K1336" s="491"/>
      <c r="L1336" s="369">
        <f>SUM(L1334:L1335)</f>
        <v>21.130000000000003</v>
      </c>
    </row>
    <row r="1337" spans="1:12" ht="15" customHeight="1" x14ac:dyDescent="0.25">
      <c r="A1337" s="182"/>
      <c r="B1337" s="183"/>
      <c r="C1337" s="183"/>
      <c r="D1337" s="183"/>
      <c r="E1337" s="183"/>
      <c r="F1337" s="183"/>
      <c r="G1337" s="183"/>
      <c r="H1337" s="482" t="s">
        <v>1845</v>
      </c>
      <c r="I1337" s="482"/>
      <c r="J1337" s="482"/>
      <c r="K1337" s="482"/>
      <c r="L1337" s="371">
        <f>SUM(L1336)</f>
        <v>21.130000000000003</v>
      </c>
    </row>
    <row r="1338" spans="1:12" ht="15" customHeight="1" x14ac:dyDescent="0.25">
      <c r="A1338" s="182"/>
      <c r="B1338" s="183"/>
      <c r="C1338" s="183"/>
      <c r="D1338" s="183"/>
      <c r="E1338" s="183"/>
      <c r="F1338" s="183"/>
      <c r="G1338" s="183"/>
      <c r="H1338" s="482" t="s">
        <v>1846</v>
      </c>
      <c r="I1338" s="482"/>
      <c r="J1338" s="482"/>
      <c r="K1338" s="482"/>
      <c r="L1338" s="374">
        <v>1</v>
      </c>
    </row>
    <row r="1339" spans="1:12" ht="15" customHeight="1" x14ac:dyDescent="0.25">
      <c r="A1339" s="182"/>
      <c r="B1339" s="183"/>
      <c r="C1339" s="183"/>
      <c r="D1339" s="183"/>
      <c r="E1339" s="183"/>
      <c r="F1339" s="183"/>
      <c r="G1339" s="183"/>
      <c r="H1339" s="482" t="s">
        <v>1847</v>
      </c>
      <c r="I1339" s="482"/>
      <c r="J1339" s="482"/>
      <c r="K1339" s="482"/>
      <c r="L1339" s="371">
        <f>TRUNC(L1337/L1338,4)</f>
        <v>21.13</v>
      </c>
    </row>
    <row r="1340" spans="1:12" ht="15" customHeight="1" x14ac:dyDescent="0.25">
      <c r="A1340" s="182"/>
      <c r="B1340" s="183"/>
      <c r="C1340" s="183"/>
      <c r="D1340" s="183"/>
      <c r="E1340" s="183"/>
      <c r="F1340" s="183"/>
      <c r="G1340" s="183"/>
      <c r="H1340" s="482" t="s">
        <v>1848</v>
      </c>
      <c r="I1340" s="482"/>
      <c r="J1340" s="482"/>
      <c r="K1340" s="482"/>
      <c r="L1340" s="371">
        <f>SUM(L1339)</f>
        <v>21.13</v>
      </c>
    </row>
    <row r="1341" spans="1:12" ht="15" customHeight="1" x14ac:dyDescent="0.25">
      <c r="A1341" s="182"/>
      <c r="B1341" s="183"/>
      <c r="C1341" s="183"/>
      <c r="D1341" s="183"/>
      <c r="E1341" s="183"/>
      <c r="F1341" s="183"/>
      <c r="G1341" s="183"/>
      <c r="H1341" s="482" t="s">
        <v>1834</v>
      </c>
      <c r="I1341" s="482"/>
      <c r="J1341" s="482"/>
      <c r="K1341" s="482"/>
      <c r="L1341" s="369">
        <f>ROUND(SUM(L1340),2)</f>
        <v>21.13</v>
      </c>
    </row>
    <row r="1342" spans="1:12" ht="9.9499999999999993" customHeight="1" x14ac:dyDescent="0.25">
      <c r="A1342" s="182"/>
      <c r="B1342" s="183"/>
      <c r="C1342" s="183"/>
      <c r="D1342" s="183"/>
      <c r="E1342" s="183"/>
      <c r="F1342" s="183"/>
      <c r="G1342" s="183"/>
      <c r="H1342" s="485"/>
      <c r="I1342" s="485"/>
      <c r="J1342" s="485"/>
      <c r="K1342" s="485"/>
      <c r="L1342" s="512"/>
    </row>
    <row r="1343" spans="1:12" ht="20.100000000000001" customHeight="1" x14ac:dyDescent="0.25">
      <c r="A1343" s="486" t="s">
        <v>3653</v>
      </c>
      <c r="B1343" s="487"/>
      <c r="C1343" s="487"/>
      <c r="D1343" s="487"/>
      <c r="E1343" s="487"/>
      <c r="F1343" s="487"/>
      <c r="G1343" s="487"/>
      <c r="H1343" s="487"/>
      <c r="I1343" s="487"/>
      <c r="J1343" s="487"/>
      <c r="K1343" s="487"/>
      <c r="L1343" s="513"/>
    </row>
    <row r="1344" spans="1:12" ht="15" customHeight="1" x14ac:dyDescent="0.25">
      <c r="A1344" s="474" t="s">
        <v>2190</v>
      </c>
      <c r="B1344" s="475"/>
      <c r="C1344" s="475"/>
      <c r="D1344" s="476" t="s">
        <v>42</v>
      </c>
      <c r="E1344" s="476"/>
      <c r="F1344" s="476"/>
      <c r="G1344" s="230" t="s">
        <v>44</v>
      </c>
      <c r="H1344" s="476" t="s">
        <v>1813</v>
      </c>
      <c r="I1344" s="476"/>
      <c r="J1344" s="476" t="s">
        <v>1814</v>
      </c>
      <c r="K1344" s="476"/>
      <c r="L1344" s="366" t="s">
        <v>1802</v>
      </c>
    </row>
    <row r="1345" spans="1:12" ht="21" customHeight="1" x14ac:dyDescent="0.25">
      <c r="A1345" s="181" t="s">
        <v>3654</v>
      </c>
      <c r="B1345" s="509" t="s">
        <v>3655</v>
      </c>
      <c r="C1345" s="509"/>
      <c r="D1345" s="481" t="s">
        <v>82</v>
      </c>
      <c r="E1345" s="481"/>
      <c r="F1345" s="481"/>
      <c r="G1345" s="231" t="s">
        <v>1024</v>
      </c>
      <c r="H1345" s="510">
        <v>2.29E-2</v>
      </c>
      <c r="I1345" s="510"/>
      <c r="J1345" s="511">
        <v>38.06</v>
      </c>
      <c r="K1345" s="511"/>
      <c r="L1345" s="367">
        <f>TRUNC(TRUNC(H1345,8)*J1345,2)</f>
        <v>0.87</v>
      </c>
    </row>
    <row r="1346" spans="1:12" ht="15" customHeight="1" x14ac:dyDescent="0.25">
      <c r="A1346" s="181" t="s">
        <v>2375</v>
      </c>
      <c r="B1346" s="509" t="s">
        <v>2376</v>
      </c>
      <c r="C1346" s="509"/>
      <c r="D1346" s="481" t="s">
        <v>82</v>
      </c>
      <c r="E1346" s="481"/>
      <c r="F1346" s="481"/>
      <c r="G1346" s="231" t="s">
        <v>1024</v>
      </c>
      <c r="H1346" s="510">
        <v>6.4699999999999994E-2</v>
      </c>
      <c r="I1346" s="510"/>
      <c r="J1346" s="511">
        <v>28.97</v>
      </c>
      <c r="K1346" s="511"/>
      <c r="L1346" s="367">
        <f>TRUNC(TRUNC(H1346,8)*J1346,2)</f>
        <v>1.87</v>
      </c>
    </row>
    <row r="1347" spans="1:12" ht="18" customHeight="1" x14ac:dyDescent="0.25">
      <c r="A1347" s="182"/>
      <c r="B1347" s="183"/>
      <c r="C1347" s="183"/>
      <c r="D1347" s="183"/>
      <c r="E1347" s="183"/>
      <c r="F1347" s="183"/>
      <c r="G1347" s="183"/>
      <c r="H1347" s="477" t="s">
        <v>2195</v>
      </c>
      <c r="I1347" s="477"/>
      <c r="J1347" s="477"/>
      <c r="K1347" s="477"/>
      <c r="L1347" s="368">
        <f>SUM(L1345:L1346)</f>
        <v>2.74</v>
      </c>
    </row>
    <row r="1348" spans="1:12" ht="15" customHeight="1" x14ac:dyDescent="0.25">
      <c r="A1348" s="182"/>
      <c r="B1348" s="183"/>
      <c r="C1348" s="183"/>
      <c r="D1348" s="183"/>
      <c r="E1348" s="183"/>
      <c r="F1348" s="183"/>
      <c r="G1348" s="183"/>
      <c r="H1348" s="482" t="s">
        <v>1834</v>
      </c>
      <c r="I1348" s="482"/>
      <c r="J1348" s="482"/>
      <c r="K1348" s="482"/>
      <c r="L1348" s="369">
        <f>ROUND(SUM(L1347),2)</f>
        <v>2.74</v>
      </c>
    </row>
    <row r="1349" spans="1:12" ht="9.9499999999999993" customHeight="1" x14ac:dyDescent="0.25">
      <c r="A1349" s="182"/>
      <c r="B1349" s="183"/>
      <c r="C1349" s="183"/>
      <c r="D1349" s="183"/>
      <c r="E1349" s="183"/>
      <c r="F1349" s="183"/>
      <c r="G1349" s="183"/>
      <c r="H1349" s="485"/>
      <c r="I1349" s="485"/>
      <c r="J1349" s="485"/>
      <c r="K1349" s="485"/>
      <c r="L1349" s="512"/>
    </row>
    <row r="1350" spans="1:12" ht="20.100000000000001" customHeight="1" x14ac:dyDescent="0.25">
      <c r="A1350" s="486" t="s">
        <v>2070</v>
      </c>
      <c r="B1350" s="487"/>
      <c r="C1350" s="487"/>
      <c r="D1350" s="487"/>
      <c r="E1350" s="487"/>
      <c r="F1350" s="487"/>
      <c r="G1350" s="487"/>
      <c r="H1350" s="487"/>
      <c r="I1350" s="487"/>
      <c r="J1350" s="487"/>
      <c r="K1350" s="487"/>
      <c r="L1350" s="513"/>
    </row>
    <row r="1351" spans="1:12" ht="20.100000000000001" customHeight="1" x14ac:dyDescent="0.25">
      <c r="A1351" s="488" t="s">
        <v>1836</v>
      </c>
      <c r="B1351" s="489"/>
      <c r="C1351" s="489"/>
      <c r="D1351" s="489"/>
      <c r="E1351" s="489"/>
      <c r="F1351" s="489"/>
      <c r="G1351" s="233" t="s">
        <v>44</v>
      </c>
      <c r="H1351" s="515" t="s">
        <v>1837</v>
      </c>
      <c r="I1351" s="515"/>
      <c r="J1351" s="515" t="s">
        <v>1838</v>
      </c>
      <c r="K1351" s="515"/>
      <c r="L1351" s="169" t="s">
        <v>1839</v>
      </c>
    </row>
    <row r="1352" spans="1:12" ht="15" customHeight="1" x14ac:dyDescent="0.25">
      <c r="A1352" s="170" t="s">
        <v>1840</v>
      </c>
      <c r="B1352" s="490" t="s">
        <v>1841</v>
      </c>
      <c r="C1352" s="490"/>
      <c r="D1352" s="490"/>
      <c r="E1352" s="490"/>
      <c r="F1352" s="490"/>
      <c r="G1352" s="127" t="s">
        <v>1024</v>
      </c>
      <c r="H1352" s="524">
        <v>1.2222217</v>
      </c>
      <c r="I1352" s="524"/>
      <c r="J1352" s="517">
        <v>21.94</v>
      </c>
      <c r="K1352" s="517"/>
      <c r="L1352" s="370">
        <f>ROUND(ROUND(H1352,8)*J1352,2)</f>
        <v>26.82</v>
      </c>
    </row>
    <row r="1353" spans="1:12" ht="15" customHeight="1" x14ac:dyDescent="0.25">
      <c r="A1353" s="170" t="s">
        <v>1828</v>
      </c>
      <c r="B1353" s="490" t="s">
        <v>1829</v>
      </c>
      <c r="C1353" s="490"/>
      <c r="D1353" s="490"/>
      <c r="E1353" s="490"/>
      <c r="F1353" s="490"/>
      <c r="G1353" s="127" t="s">
        <v>1024</v>
      </c>
      <c r="H1353" s="524">
        <v>1.2222217</v>
      </c>
      <c r="I1353" s="524"/>
      <c r="J1353" s="517">
        <v>26.03</v>
      </c>
      <c r="K1353" s="517"/>
      <c r="L1353" s="370">
        <f>ROUND(ROUND(H1353,8)*J1353,2)</f>
        <v>31.81</v>
      </c>
    </row>
    <row r="1354" spans="1:12" ht="15" customHeight="1" x14ac:dyDescent="0.25">
      <c r="A1354" s="184"/>
      <c r="B1354" s="141"/>
      <c r="C1354" s="141"/>
      <c r="D1354" s="141"/>
      <c r="E1354" s="141"/>
      <c r="F1354" s="141"/>
      <c r="G1354" s="141"/>
      <c r="H1354" s="491" t="s">
        <v>1844</v>
      </c>
      <c r="I1354" s="491"/>
      <c r="J1354" s="491"/>
      <c r="K1354" s="491"/>
      <c r="L1354" s="369">
        <f>SUM(L1352:L1353)</f>
        <v>58.629999999999995</v>
      </c>
    </row>
    <row r="1355" spans="1:12" ht="15" customHeight="1" x14ac:dyDescent="0.25">
      <c r="A1355" s="182"/>
      <c r="B1355" s="183"/>
      <c r="C1355" s="183"/>
      <c r="D1355" s="183"/>
      <c r="E1355" s="183"/>
      <c r="F1355" s="183"/>
      <c r="G1355" s="183"/>
      <c r="H1355" s="482" t="s">
        <v>1845</v>
      </c>
      <c r="I1355" s="482"/>
      <c r="J1355" s="482"/>
      <c r="K1355" s="482"/>
      <c r="L1355" s="371">
        <f>SUM(L1354)</f>
        <v>58.629999999999995</v>
      </c>
    </row>
    <row r="1356" spans="1:12" ht="15" customHeight="1" x14ac:dyDescent="0.25">
      <c r="A1356" s="182"/>
      <c r="B1356" s="183"/>
      <c r="C1356" s="183"/>
      <c r="D1356" s="183"/>
      <c r="E1356" s="183"/>
      <c r="F1356" s="183"/>
      <c r="G1356" s="183"/>
      <c r="H1356" s="482" t="s">
        <v>1846</v>
      </c>
      <c r="I1356" s="482"/>
      <c r="J1356" s="482"/>
      <c r="K1356" s="482"/>
      <c r="L1356" s="384"/>
    </row>
    <row r="1357" spans="1:12" ht="15" customHeight="1" x14ac:dyDescent="0.25">
      <c r="A1357" s="182"/>
      <c r="B1357" s="183"/>
      <c r="C1357" s="183"/>
      <c r="D1357" s="183"/>
      <c r="E1357" s="183"/>
      <c r="F1357" s="183"/>
      <c r="G1357" s="183"/>
      <c r="H1357" s="482" t="s">
        <v>1847</v>
      </c>
      <c r="I1357" s="482"/>
      <c r="J1357" s="482"/>
      <c r="K1357" s="482"/>
      <c r="L1357" s="371" t="e">
        <f>ROUND(L1355/L1356,4)</f>
        <v>#DIV/0!</v>
      </c>
    </row>
    <row r="1358" spans="1:12" ht="20.100000000000001" customHeight="1" x14ac:dyDescent="0.25">
      <c r="A1358" s="488" t="s">
        <v>1880</v>
      </c>
      <c r="B1358" s="489"/>
      <c r="C1358" s="489"/>
      <c r="D1358" s="489"/>
      <c r="E1358" s="489"/>
      <c r="F1358" s="489"/>
      <c r="G1358" s="233" t="s">
        <v>44</v>
      </c>
      <c r="H1358" s="515" t="s">
        <v>1837</v>
      </c>
      <c r="I1358" s="515"/>
      <c r="J1358" s="515" t="s">
        <v>1881</v>
      </c>
      <c r="K1358" s="515"/>
      <c r="L1358" s="169" t="s">
        <v>1882</v>
      </c>
    </row>
    <row r="1359" spans="1:12" ht="15.95" customHeight="1" x14ac:dyDescent="0.25">
      <c r="A1359" s="170" t="s">
        <v>2071</v>
      </c>
      <c r="B1359" s="492" t="s">
        <v>2072</v>
      </c>
      <c r="C1359" s="492"/>
      <c r="D1359" s="492"/>
      <c r="E1359" s="492"/>
      <c r="F1359" s="492"/>
      <c r="G1359" s="127" t="s">
        <v>579</v>
      </c>
      <c r="H1359" s="524">
        <v>4</v>
      </c>
      <c r="I1359" s="524"/>
      <c r="J1359" s="525">
        <v>0.25</v>
      </c>
      <c r="K1359" s="525"/>
      <c r="L1359" s="171">
        <f>ROUND(ROUND(H1359,8)*J1359,2)</f>
        <v>1</v>
      </c>
    </row>
    <row r="1360" spans="1:12" ht="24" customHeight="1" x14ac:dyDescent="0.25">
      <c r="A1360" s="170" t="s">
        <v>2073</v>
      </c>
      <c r="B1360" s="492" t="s">
        <v>2074</v>
      </c>
      <c r="C1360" s="492"/>
      <c r="D1360" s="492"/>
      <c r="E1360" s="492"/>
      <c r="F1360" s="492"/>
      <c r="G1360" s="127" t="s">
        <v>54</v>
      </c>
      <c r="H1360" s="524">
        <v>1.1000000000000001</v>
      </c>
      <c r="I1360" s="524"/>
      <c r="J1360" s="525">
        <v>115</v>
      </c>
      <c r="K1360" s="525"/>
      <c r="L1360" s="171">
        <f>ROUND(ROUND(H1360,8)*J1360,2)</f>
        <v>126.5</v>
      </c>
    </row>
    <row r="1361" spans="1:12" ht="24" customHeight="1" x14ac:dyDescent="0.25">
      <c r="A1361" s="170" t="s">
        <v>2075</v>
      </c>
      <c r="B1361" s="492" t="s">
        <v>2076</v>
      </c>
      <c r="C1361" s="492"/>
      <c r="D1361" s="492"/>
      <c r="E1361" s="492"/>
      <c r="F1361" s="492"/>
      <c r="G1361" s="127" t="s">
        <v>579</v>
      </c>
      <c r="H1361" s="524">
        <v>4</v>
      </c>
      <c r="I1361" s="524"/>
      <c r="J1361" s="525">
        <v>0.73</v>
      </c>
      <c r="K1361" s="525"/>
      <c r="L1361" s="171">
        <f>ROUND(ROUND(H1361,8)*J1361,2)</f>
        <v>2.92</v>
      </c>
    </row>
    <row r="1362" spans="1:12" ht="15" customHeight="1" x14ac:dyDescent="0.25">
      <c r="A1362" s="170" t="s">
        <v>2077</v>
      </c>
      <c r="B1362" s="492" t="s">
        <v>2078</v>
      </c>
      <c r="C1362" s="492"/>
      <c r="D1362" s="492"/>
      <c r="E1362" s="492"/>
      <c r="F1362" s="492"/>
      <c r="G1362" s="127" t="s">
        <v>1817</v>
      </c>
      <c r="H1362" s="524">
        <v>2.3795400000000001E-2</v>
      </c>
      <c r="I1362" s="524"/>
      <c r="J1362" s="525">
        <v>18.87</v>
      </c>
      <c r="K1362" s="525"/>
      <c r="L1362" s="171">
        <f>ROUND(ROUND(H1362,8)*J1362,2)</f>
        <v>0.45</v>
      </c>
    </row>
    <row r="1363" spans="1:12" ht="24" customHeight="1" x14ac:dyDescent="0.25">
      <c r="A1363" s="170" t="s">
        <v>2079</v>
      </c>
      <c r="B1363" s="492" t="s">
        <v>2080</v>
      </c>
      <c r="C1363" s="492"/>
      <c r="D1363" s="492"/>
      <c r="E1363" s="492"/>
      <c r="F1363" s="492"/>
      <c r="G1363" s="127" t="s">
        <v>72</v>
      </c>
      <c r="H1363" s="524">
        <v>3</v>
      </c>
      <c r="I1363" s="524"/>
      <c r="J1363" s="525">
        <v>2.59</v>
      </c>
      <c r="K1363" s="525"/>
      <c r="L1363" s="171">
        <f>ROUND(ROUND(H1363,8)*J1363,2)</f>
        <v>7.77</v>
      </c>
    </row>
    <row r="1364" spans="1:12" ht="15" customHeight="1" x14ac:dyDescent="0.25">
      <c r="A1364" s="184"/>
      <c r="B1364" s="141"/>
      <c r="C1364" s="141"/>
      <c r="D1364" s="141"/>
      <c r="E1364" s="141"/>
      <c r="F1364" s="141"/>
      <c r="G1364" s="141"/>
      <c r="H1364" s="491" t="s">
        <v>1889</v>
      </c>
      <c r="I1364" s="491"/>
      <c r="J1364" s="491"/>
      <c r="K1364" s="491"/>
      <c r="L1364" s="375">
        <f>SUM(L1359:L1363)</f>
        <v>138.63999999999999</v>
      </c>
    </row>
    <row r="1365" spans="1:12" ht="15" customHeight="1" x14ac:dyDescent="0.25">
      <c r="A1365" s="182"/>
      <c r="B1365" s="183"/>
      <c r="C1365" s="183"/>
      <c r="D1365" s="183"/>
      <c r="E1365" s="183"/>
      <c r="F1365" s="183"/>
      <c r="G1365" s="183"/>
      <c r="H1365" s="482" t="s">
        <v>1848</v>
      </c>
      <c r="I1365" s="482"/>
      <c r="J1365" s="482"/>
      <c r="K1365" s="482"/>
      <c r="L1365" s="371" t="e">
        <f>SUM(L1357,L1364)</f>
        <v>#DIV/0!</v>
      </c>
    </row>
    <row r="1366" spans="1:12" ht="15" customHeight="1" x14ac:dyDescent="0.25">
      <c r="A1366" s="483" t="s">
        <v>2081</v>
      </c>
      <c r="B1366" s="484"/>
      <c r="C1366" s="484"/>
      <c r="D1366" s="484"/>
      <c r="E1366" s="183"/>
      <c r="F1366" s="183"/>
      <c r="G1366" s="183"/>
      <c r="H1366" s="482" t="s">
        <v>1834</v>
      </c>
      <c r="I1366" s="482"/>
      <c r="J1366" s="482"/>
      <c r="K1366" s="482"/>
      <c r="L1366" s="369">
        <v>197.27</v>
      </c>
    </row>
    <row r="1367" spans="1:12" ht="2.1" customHeight="1" x14ac:dyDescent="0.25">
      <c r="A1367" s="483"/>
      <c r="B1367" s="484"/>
      <c r="C1367" s="484"/>
      <c r="D1367" s="484"/>
      <c r="E1367" s="183"/>
      <c r="F1367" s="183"/>
      <c r="G1367" s="183"/>
      <c r="H1367" s="183"/>
      <c r="I1367" s="183"/>
      <c r="J1367" s="183"/>
      <c r="K1367" s="183"/>
      <c r="L1367" s="383"/>
    </row>
    <row r="1368" spans="1:12" ht="9.9499999999999993" customHeight="1" x14ac:dyDescent="0.25">
      <c r="A1368" s="182"/>
      <c r="B1368" s="183"/>
      <c r="C1368" s="183"/>
      <c r="D1368" s="183"/>
      <c r="E1368" s="183"/>
      <c r="F1368" s="183"/>
      <c r="G1368" s="183"/>
      <c r="H1368" s="485"/>
      <c r="I1368" s="485"/>
      <c r="J1368" s="485"/>
      <c r="K1368" s="485"/>
      <c r="L1368" s="512"/>
    </row>
    <row r="1369" spans="1:12" ht="20.100000000000001" customHeight="1" x14ac:dyDescent="0.25">
      <c r="A1369" s="486" t="s">
        <v>2082</v>
      </c>
      <c r="B1369" s="487"/>
      <c r="C1369" s="487"/>
      <c r="D1369" s="487"/>
      <c r="E1369" s="487"/>
      <c r="F1369" s="487"/>
      <c r="G1369" s="487"/>
      <c r="H1369" s="487"/>
      <c r="I1369" s="487"/>
      <c r="J1369" s="487"/>
      <c r="K1369" s="487"/>
      <c r="L1369" s="513"/>
    </row>
    <row r="1370" spans="1:12" ht="15" customHeight="1" x14ac:dyDescent="0.25">
      <c r="A1370" s="474" t="s">
        <v>1932</v>
      </c>
      <c r="B1370" s="475"/>
      <c r="C1370" s="475"/>
      <c r="D1370" s="476" t="s">
        <v>42</v>
      </c>
      <c r="E1370" s="476"/>
      <c r="F1370" s="476"/>
      <c r="G1370" s="230" t="s">
        <v>44</v>
      </c>
      <c r="H1370" s="476" t="s">
        <v>1813</v>
      </c>
      <c r="I1370" s="476"/>
      <c r="J1370" s="476" t="s">
        <v>1814</v>
      </c>
      <c r="K1370" s="476"/>
      <c r="L1370" s="366" t="s">
        <v>1802</v>
      </c>
    </row>
    <row r="1371" spans="1:12" ht="15" customHeight="1" x14ac:dyDescent="0.25">
      <c r="A1371" s="181" t="s">
        <v>2083</v>
      </c>
      <c r="B1371" s="509" t="s">
        <v>2084</v>
      </c>
      <c r="C1371" s="509"/>
      <c r="D1371" s="481" t="s">
        <v>341</v>
      </c>
      <c r="E1371" s="481"/>
      <c r="F1371" s="481"/>
      <c r="G1371" s="231" t="s">
        <v>1935</v>
      </c>
      <c r="H1371" s="510">
        <v>2.6</v>
      </c>
      <c r="I1371" s="510"/>
      <c r="J1371" s="511">
        <v>3.9</v>
      </c>
      <c r="K1371" s="511"/>
      <c r="L1371" s="367">
        <f>ROUND(ROUND(H1371,8)*J1371,2)</f>
        <v>10.14</v>
      </c>
    </row>
    <row r="1372" spans="1:12" ht="15" customHeight="1" x14ac:dyDescent="0.25">
      <c r="A1372" s="181" t="s">
        <v>2085</v>
      </c>
      <c r="B1372" s="509" t="s">
        <v>2086</v>
      </c>
      <c r="C1372" s="509"/>
      <c r="D1372" s="481" t="s">
        <v>341</v>
      </c>
      <c r="E1372" s="481"/>
      <c r="F1372" s="481"/>
      <c r="G1372" s="231" t="s">
        <v>1935</v>
      </c>
      <c r="H1372" s="510">
        <v>0.25</v>
      </c>
      <c r="I1372" s="510"/>
      <c r="J1372" s="511">
        <v>3.86</v>
      </c>
      <c r="K1372" s="511"/>
      <c r="L1372" s="367">
        <f>ROUND(ROUND(H1372,8)*J1372,2)</f>
        <v>0.97</v>
      </c>
    </row>
    <row r="1373" spans="1:12" ht="15" customHeight="1" x14ac:dyDescent="0.25">
      <c r="A1373" s="182"/>
      <c r="B1373" s="183"/>
      <c r="C1373" s="183"/>
      <c r="D1373" s="183"/>
      <c r="E1373" s="183"/>
      <c r="F1373" s="183"/>
      <c r="G1373" s="183"/>
      <c r="H1373" s="477" t="s">
        <v>1938</v>
      </c>
      <c r="I1373" s="477"/>
      <c r="J1373" s="477"/>
      <c r="K1373" s="477"/>
      <c r="L1373" s="368">
        <f>SUM(L1371:L1372)</f>
        <v>11.110000000000001</v>
      </c>
    </row>
    <row r="1374" spans="1:12" ht="15" customHeight="1" x14ac:dyDescent="0.25">
      <c r="A1374" s="474" t="s">
        <v>1812</v>
      </c>
      <c r="B1374" s="475"/>
      <c r="C1374" s="475"/>
      <c r="D1374" s="476" t="s">
        <v>42</v>
      </c>
      <c r="E1374" s="476"/>
      <c r="F1374" s="476"/>
      <c r="G1374" s="230" t="s">
        <v>44</v>
      </c>
      <c r="H1374" s="476" t="s">
        <v>1813</v>
      </c>
      <c r="I1374" s="476"/>
      <c r="J1374" s="476" t="s">
        <v>1814</v>
      </c>
      <c r="K1374" s="476"/>
      <c r="L1374" s="366" t="s">
        <v>1802</v>
      </c>
    </row>
    <row r="1375" spans="1:12" ht="15" customHeight="1" x14ac:dyDescent="0.25">
      <c r="A1375" s="181" t="s">
        <v>2087</v>
      </c>
      <c r="B1375" s="509" t="s">
        <v>2088</v>
      </c>
      <c r="C1375" s="509"/>
      <c r="D1375" s="481" t="s">
        <v>341</v>
      </c>
      <c r="E1375" s="481"/>
      <c r="F1375" s="481"/>
      <c r="G1375" s="231" t="s">
        <v>89</v>
      </c>
      <c r="H1375" s="510">
        <v>5.8999999999999999E-3</v>
      </c>
      <c r="I1375" s="510"/>
      <c r="J1375" s="511">
        <v>3103.48</v>
      </c>
      <c r="K1375" s="511"/>
      <c r="L1375" s="367">
        <f>ROUND(ROUND(H1375,8)*J1375,2)</f>
        <v>18.309999999999999</v>
      </c>
    </row>
    <row r="1376" spans="1:12" ht="15" customHeight="1" x14ac:dyDescent="0.25">
      <c r="A1376" s="182"/>
      <c r="B1376" s="183"/>
      <c r="C1376" s="183"/>
      <c r="D1376" s="183"/>
      <c r="E1376" s="183"/>
      <c r="F1376" s="183"/>
      <c r="G1376" s="183"/>
      <c r="H1376" s="477" t="s">
        <v>1826</v>
      </c>
      <c r="I1376" s="477"/>
      <c r="J1376" s="477"/>
      <c r="K1376" s="477"/>
      <c r="L1376" s="368">
        <f>SUM(L1375:L1375)</f>
        <v>18.309999999999999</v>
      </c>
    </row>
    <row r="1377" spans="1:12" ht="15" customHeight="1" x14ac:dyDescent="0.25">
      <c r="A1377" s="474" t="s">
        <v>1827</v>
      </c>
      <c r="B1377" s="475"/>
      <c r="C1377" s="475"/>
      <c r="D1377" s="476" t="s">
        <v>42</v>
      </c>
      <c r="E1377" s="476"/>
      <c r="F1377" s="476"/>
      <c r="G1377" s="230" t="s">
        <v>44</v>
      </c>
      <c r="H1377" s="476" t="s">
        <v>1813</v>
      </c>
      <c r="I1377" s="476"/>
      <c r="J1377" s="476" t="s">
        <v>1814</v>
      </c>
      <c r="K1377" s="476"/>
      <c r="L1377" s="366" t="s">
        <v>1802</v>
      </c>
    </row>
    <row r="1378" spans="1:12" ht="15" customHeight="1" x14ac:dyDescent="0.25">
      <c r="A1378" s="181" t="s">
        <v>2089</v>
      </c>
      <c r="B1378" s="509" t="s">
        <v>2090</v>
      </c>
      <c r="C1378" s="509"/>
      <c r="D1378" s="481" t="s">
        <v>341</v>
      </c>
      <c r="E1378" s="481"/>
      <c r="F1378" s="481"/>
      <c r="G1378" s="231" t="s">
        <v>1935</v>
      </c>
      <c r="H1378" s="510">
        <v>2.6</v>
      </c>
      <c r="I1378" s="510"/>
      <c r="J1378" s="511">
        <v>43.53</v>
      </c>
      <c r="K1378" s="511"/>
      <c r="L1378" s="367">
        <f>ROUND(ROUND(H1378,8)*J1378,2)</f>
        <v>113.18</v>
      </c>
    </row>
    <row r="1379" spans="1:12" ht="15" customHeight="1" x14ac:dyDescent="0.25">
      <c r="A1379" s="181" t="s">
        <v>2091</v>
      </c>
      <c r="B1379" s="509" t="s">
        <v>2092</v>
      </c>
      <c r="C1379" s="509"/>
      <c r="D1379" s="481" t="s">
        <v>341</v>
      </c>
      <c r="E1379" s="481"/>
      <c r="F1379" s="481"/>
      <c r="G1379" s="231" t="s">
        <v>1935</v>
      </c>
      <c r="H1379" s="510">
        <v>0.25</v>
      </c>
      <c r="I1379" s="510"/>
      <c r="J1379" s="511">
        <v>37.31</v>
      </c>
      <c r="K1379" s="511"/>
      <c r="L1379" s="367">
        <f>ROUND(ROUND(H1379,8)*J1379,2)</f>
        <v>9.33</v>
      </c>
    </row>
    <row r="1380" spans="1:12" ht="15" customHeight="1" x14ac:dyDescent="0.25">
      <c r="A1380" s="182"/>
      <c r="B1380" s="183"/>
      <c r="C1380" s="183"/>
      <c r="D1380" s="183"/>
      <c r="E1380" s="183"/>
      <c r="F1380" s="183"/>
      <c r="G1380" s="183"/>
      <c r="H1380" s="477" t="s">
        <v>1832</v>
      </c>
      <c r="I1380" s="477"/>
      <c r="J1380" s="477"/>
      <c r="K1380" s="477"/>
      <c r="L1380" s="368">
        <f>SUM(L1378:L1379)</f>
        <v>122.51</v>
      </c>
    </row>
    <row r="1381" spans="1:12" ht="15" customHeight="1" x14ac:dyDescent="0.25">
      <c r="A1381" s="483" t="s">
        <v>2093</v>
      </c>
      <c r="B1381" s="484"/>
      <c r="C1381" s="484"/>
      <c r="D1381" s="484"/>
      <c r="E1381" s="183"/>
      <c r="F1381" s="183"/>
      <c r="G1381" s="183"/>
      <c r="H1381" s="482" t="s">
        <v>1834</v>
      </c>
      <c r="I1381" s="482"/>
      <c r="J1381" s="482"/>
      <c r="K1381" s="482"/>
      <c r="L1381" s="369">
        <v>151.93</v>
      </c>
    </row>
    <row r="1382" spans="1:12" ht="9.9499999999999993" customHeight="1" x14ac:dyDescent="0.25">
      <c r="A1382" s="182"/>
      <c r="B1382" s="183"/>
      <c r="C1382" s="183"/>
      <c r="D1382" s="183"/>
      <c r="E1382" s="183"/>
      <c r="F1382" s="183"/>
      <c r="G1382" s="183"/>
      <c r="H1382" s="485"/>
      <c r="I1382" s="485"/>
      <c r="J1382" s="485"/>
      <c r="K1382" s="485"/>
      <c r="L1382" s="512"/>
    </row>
    <row r="1383" spans="1:12" ht="20.100000000000001" customHeight="1" x14ac:dyDescent="0.25">
      <c r="A1383" s="486" t="s">
        <v>3656</v>
      </c>
      <c r="B1383" s="487"/>
      <c r="C1383" s="487"/>
      <c r="D1383" s="487"/>
      <c r="E1383" s="487"/>
      <c r="F1383" s="487"/>
      <c r="G1383" s="487"/>
      <c r="H1383" s="487"/>
      <c r="I1383" s="487"/>
      <c r="J1383" s="487"/>
      <c r="K1383" s="487"/>
      <c r="L1383" s="513"/>
    </row>
    <row r="1384" spans="1:12" ht="15" customHeight="1" x14ac:dyDescent="0.25">
      <c r="A1384" s="474" t="s">
        <v>1812</v>
      </c>
      <c r="B1384" s="475"/>
      <c r="C1384" s="475"/>
      <c r="D1384" s="476" t="s">
        <v>42</v>
      </c>
      <c r="E1384" s="476"/>
      <c r="F1384" s="476"/>
      <c r="G1384" s="230" t="s">
        <v>44</v>
      </c>
      <c r="H1384" s="476" t="s">
        <v>1813</v>
      </c>
      <c r="I1384" s="476"/>
      <c r="J1384" s="476" t="s">
        <v>1814</v>
      </c>
      <c r="K1384" s="476"/>
      <c r="L1384" s="366" t="s">
        <v>1802</v>
      </c>
    </row>
    <row r="1385" spans="1:12" ht="15" customHeight="1" x14ac:dyDescent="0.25">
      <c r="A1385" s="181" t="s">
        <v>3657</v>
      </c>
      <c r="B1385" s="509" t="s">
        <v>3658</v>
      </c>
      <c r="C1385" s="509"/>
      <c r="D1385" s="481" t="s">
        <v>82</v>
      </c>
      <c r="E1385" s="481"/>
      <c r="F1385" s="481"/>
      <c r="G1385" s="231" t="s">
        <v>1817</v>
      </c>
      <c r="H1385" s="510">
        <v>4.91</v>
      </c>
      <c r="I1385" s="510"/>
      <c r="J1385" s="511">
        <v>0.72</v>
      </c>
      <c r="K1385" s="511"/>
      <c r="L1385" s="367">
        <f>TRUNC(TRUNC(H1385,8)*J1385,2)</f>
        <v>3.53</v>
      </c>
    </row>
    <row r="1386" spans="1:12" ht="15" customHeight="1" x14ac:dyDescent="0.25">
      <c r="A1386" s="181" t="s">
        <v>2994</v>
      </c>
      <c r="B1386" s="509" t="s">
        <v>2995</v>
      </c>
      <c r="C1386" s="509"/>
      <c r="D1386" s="481" t="s">
        <v>82</v>
      </c>
      <c r="E1386" s="481"/>
      <c r="F1386" s="481"/>
      <c r="G1386" s="231" t="s">
        <v>1817</v>
      </c>
      <c r="H1386" s="510">
        <v>0.42199999999999999</v>
      </c>
      <c r="I1386" s="510"/>
      <c r="J1386" s="511">
        <v>4.22</v>
      </c>
      <c r="K1386" s="511"/>
      <c r="L1386" s="367">
        <f>TRUNC(TRUNC(H1386,8)*J1386,2)</f>
        <v>1.78</v>
      </c>
    </row>
    <row r="1387" spans="1:12" ht="21" customHeight="1" x14ac:dyDescent="0.25">
      <c r="A1387" s="181" t="s">
        <v>3659</v>
      </c>
      <c r="B1387" s="509" t="s">
        <v>3660</v>
      </c>
      <c r="C1387" s="509"/>
      <c r="D1387" s="481" t="s">
        <v>82</v>
      </c>
      <c r="E1387" s="481"/>
      <c r="F1387" s="481"/>
      <c r="G1387" s="231" t="s">
        <v>122</v>
      </c>
      <c r="H1387" s="510">
        <v>1.0618000000000001</v>
      </c>
      <c r="I1387" s="510"/>
      <c r="J1387" s="511">
        <v>25.66</v>
      </c>
      <c r="K1387" s="511"/>
      <c r="L1387" s="367">
        <f>TRUNC(TRUNC(H1387,8)*J1387,2)</f>
        <v>27.24</v>
      </c>
    </row>
    <row r="1388" spans="1:12" ht="15" customHeight="1" x14ac:dyDescent="0.25">
      <c r="A1388" s="182"/>
      <c r="B1388" s="183"/>
      <c r="C1388" s="183"/>
      <c r="D1388" s="183"/>
      <c r="E1388" s="183"/>
      <c r="F1388" s="183"/>
      <c r="G1388" s="183"/>
      <c r="H1388" s="477" t="s">
        <v>1826</v>
      </c>
      <c r="I1388" s="477"/>
      <c r="J1388" s="477"/>
      <c r="K1388" s="477"/>
      <c r="L1388" s="368">
        <f>SUM(L1385:L1387)</f>
        <v>32.549999999999997</v>
      </c>
    </row>
    <row r="1389" spans="1:12" ht="15" customHeight="1" x14ac:dyDescent="0.25">
      <c r="A1389" s="474" t="s">
        <v>2190</v>
      </c>
      <c r="B1389" s="475"/>
      <c r="C1389" s="475"/>
      <c r="D1389" s="476" t="s">
        <v>42</v>
      </c>
      <c r="E1389" s="476"/>
      <c r="F1389" s="476"/>
      <c r="G1389" s="230" t="s">
        <v>44</v>
      </c>
      <c r="H1389" s="476" t="s">
        <v>1813</v>
      </c>
      <c r="I1389" s="476"/>
      <c r="J1389" s="476" t="s">
        <v>1814</v>
      </c>
      <c r="K1389" s="476"/>
      <c r="L1389" s="366" t="s">
        <v>1802</v>
      </c>
    </row>
    <row r="1390" spans="1:12" ht="21" customHeight="1" x14ac:dyDescent="0.25">
      <c r="A1390" s="181" t="s">
        <v>3650</v>
      </c>
      <c r="B1390" s="509" t="s">
        <v>3651</v>
      </c>
      <c r="C1390" s="509"/>
      <c r="D1390" s="481" t="s">
        <v>82</v>
      </c>
      <c r="E1390" s="481"/>
      <c r="F1390" s="481"/>
      <c r="G1390" s="231" t="s">
        <v>1024</v>
      </c>
      <c r="H1390" s="510">
        <v>0.6794</v>
      </c>
      <c r="I1390" s="510"/>
      <c r="J1390" s="511">
        <v>36.14</v>
      </c>
      <c r="K1390" s="511"/>
      <c r="L1390" s="367">
        <f>TRUNC(TRUNC(H1390,8)*J1390,2)</f>
        <v>24.55</v>
      </c>
    </row>
    <row r="1391" spans="1:12" ht="15" customHeight="1" x14ac:dyDescent="0.25">
      <c r="A1391" s="181" t="s">
        <v>2375</v>
      </c>
      <c r="B1391" s="509" t="s">
        <v>2376</v>
      </c>
      <c r="C1391" s="509"/>
      <c r="D1391" s="481" t="s">
        <v>82</v>
      </c>
      <c r="E1391" s="481"/>
      <c r="F1391" s="481"/>
      <c r="G1391" s="231" t="s">
        <v>1024</v>
      </c>
      <c r="H1391" s="510">
        <v>0.30890000000000001</v>
      </c>
      <c r="I1391" s="510"/>
      <c r="J1391" s="511">
        <v>28.97</v>
      </c>
      <c r="K1391" s="511"/>
      <c r="L1391" s="367">
        <f>TRUNC(TRUNC(H1391,8)*J1391,2)</f>
        <v>8.94</v>
      </c>
    </row>
    <row r="1392" spans="1:12" ht="18" customHeight="1" x14ac:dyDescent="0.25">
      <c r="A1392" s="182"/>
      <c r="B1392" s="183"/>
      <c r="C1392" s="183"/>
      <c r="D1392" s="183"/>
      <c r="E1392" s="183"/>
      <c r="F1392" s="183"/>
      <c r="G1392" s="183"/>
      <c r="H1392" s="477" t="s">
        <v>2195</v>
      </c>
      <c r="I1392" s="477"/>
      <c r="J1392" s="477"/>
      <c r="K1392" s="477"/>
      <c r="L1392" s="368">
        <f>SUM(L1390:L1391)</f>
        <v>33.49</v>
      </c>
    </row>
    <row r="1393" spans="1:12" ht="15" customHeight="1" x14ac:dyDescent="0.25">
      <c r="A1393" s="182"/>
      <c r="B1393" s="183"/>
      <c r="C1393" s="183"/>
      <c r="D1393" s="183"/>
      <c r="E1393" s="183"/>
      <c r="F1393" s="183"/>
      <c r="G1393" s="183"/>
      <c r="H1393" s="482" t="s">
        <v>1834</v>
      </c>
      <c r="I1393" s="482"/>
      <c r="J1393" s="482"/>
      <c r="K1393" s="482"/>
      <c r="L1393" s="369">
        <f>ROUND(SUM(L1388,L1392),2)</f>
        <v>66.040000000000006</v>
      </c>
    </row>
    <row r="1394" spans="1:12" ht="9.9499999999999993" customHeight="1" x14ac:dyDescent="0.25">
      <c r="A1394" s="182"/>
      <c r="B1394" s="183"/>
      <c r="C1394" s="183"/>
      <c r="D1394" s="183"/>
      <c r="E1394" s="183"/>
      <c r="F1394" s="183"/>
      <c r="G1394" s="183"/>
      <c r="H1394" s="485"/>
      <c r="I1394" s="485"/>
      <c r="J1394" s="485"/>
      <c r="K1394" s="485"/>
      <c r="L1394" s="512"/>
    </row>
    <row r="1395" spans="1:12" ht="20.100000000000001" customHeight="1" x14ac:dyDescent="0.25">
      <c r="A1395" s="486" t="s">
        <v>3661</v>
      </c>
      <c r="B1395" s="487"/>
      <c r="C1395" s="487"/>
      <c r="D1395" s="487"/>
      <c r="E1395" s="487"/>
      <c r="F1395" s="487"/>
      <c r="G1395" s="487"/>
      <c r="H1395" s="487"/>
      <c r="I1395" s="487"/>
      <c r="J1395" s="487"/>
      <c r="K1395" s="487"/>
      <c r="L1395" s="513"/>
    </row>
    <row r="1396" spans="1:12" ht="20.100000000000001" customHeight="1" x14ac:dyDescent="0.25">
      <c r="A1396" s="488" t="s">
        <v>1836</v>
      </c>
      <c r="B1396" s="489"/>
      <c r="C1396" s="489"/>
      <c r="D1396" s="489"/>
      <c r="E1396" s="489"/>
      <c r="F1396" s="489"/>
      <c r="G1396" s="233" t="s">
        <v>44</v>
      </c>
      <c r="H1396" s="515" t="s">
        <v>1837</v>
      </c>
      <c r="I1396" s="515"/>
      <c r="J1396" s="515" t="s">
        <v>1838</v>
      </c>
      <c r="K1396" s="515"/>
      <c r="L1396" s="169" t="s">
        <v>1839</v>
      </c>
    </row>
    <row r="1397" spans="1:12" ht="15" customHeight="1" x14ac:dyDescent="0.25">
      <c r="A1397" s="170" t="s">
        <v>1851</v>
      </c>
      <c r="B1397" s="490" t="s">
        <v>1852</v>
      </c>
      <c r="C1397" s="490"/>
      <c r="D1397" s="490"/>
      <c r="E1397" s="490"/>
      <c r="F1397" s="490"/>
      <c r="G1397" s="127" t="s">
        <v>1024</v>
      </c>
      <c r="H1397" s="524">
        <v>0.5</v>
      </c>
      <c r="I1397" s="524"/>
      <c r="J1397" s="517">
        <v>26.03</v>
      </c>
      <c r="K1397" s="517"/>
      <c r="L1397" s="370">
        <f>TRUNC(TRUNC(H1397,8)*J1397,2)</f>
        <v>13.01</v>
      </c>
    </row>
    <row r="1398" spans="1:12" ht="15" customHeight="1" x14ac:dyDescent="0.25">
      <c r="A1398" s="170" t="s">
        <v>1830</v>
      </c>
      <c r="B1398" s="490" t="s">
        <v>1831</v>
      </c>
      <c r="C1398" s="490"/>
      <c r="D1398" s="490"/>
      <c r="E1398" s="490"/>
      <c r="F1398" s="490"/>
      <c r="G1398" s="127" t="s">
        <v>1024</v>
      </c>
      <c r="H1398" s="524">
        <v>0.63</v>
      </c>
      <c r="I1398" s="524"/>
      <c r="J1398" s="517">
        <v>19.68</v>
      </c>
      <c r="K1398" s="517"/>
      <c r="L1398" s="370">
        <f>TRUNC(TRUNC(H1398,8)*J1398,2)</f>
        <v>12.39</v>
      </c>
    </row>
    <row r="1399" spans="1:12" ht="15" customHeight="1" x14ac:dyDescent="0.25">
      <c r="A1399" s="184"/>
      <c r="B1399" s="141"/>
      <c r="C1399" s="141"/>
      <c r="D1399" s="141"/>
      <c r="E1399" s="141"/>
      <c r="F1399" s="141"/>
      <c r="G1399" s="141"/>
      <c r="H1399" s="491" t="s">
        <v>1844</v>
      </c>
      <c r="I1399" s="491"/>
      <c r="J1399" s="491"/>
      <c r="K1399" s="491"/>
      <c r="L1399" s="369">
        <f>SUM(L1397:L1398)</f>
        <v>25.4</v>
      </c>
    </row>
    <row r="1400" spans="1:12" ht="15" customHeight="1" x14ac:dyDescent="0.25">
      <c r="A1400" s="182"/>
      <c r="B1400" s="183"/>
      <c r="C1400" s="183"/>
      <c r="D1400" s="183"/>
      <c r="E1400" s="183"/>
      <c r="F1400" s="183"/>
      <c r="G1400" s="183"/>
      <c r="H1400" s="482" t="s">
        <v>1845</v>
      </c>
      <c r="I1400" s="482"/>
      <c r="J1400" s="482"/>
      <c r="K1400" s="482"/>
      <c r="L1400" s="371">
        <f>SUM(L1399)</f>
        <v>25.4</v>
      </c>
    </row>
    <row r="1401" spans="1:12" ht="15" customHeight="1" x14ac:dyDescent="0.25">
      <c r="A1401" s="182"/>
      <c r="B1401" s="183"/>
      <c r="C1401" s="183"/>
      <c r="D1401" s="183"/>
      <c r="E1401" s="183"/>
      <c r="F1401" s="183"/>
      <c r="G1401" s="183"/>
      <c r="H1401" s="482" t="s">
        <v>1846</v>
      </c>
      <c r="I1401" s="482"/>
      <c r="J1401" s="482"/>
      <c r="K1401" s="482"/>
      <c r="L1401" s="374">
        <v>1</v>
      </c>
    </row>
    <row r="1402" spans="1:12" ht="15" customHeight="1" x14ac:dyDescent="0.25">
      <c r="A1402" s="182"/>
      <c r="B1402" s="183"/>
      <c r="C1402" s="183"/>
      <c r="D1402" s="183"/>
      <c r="E1402" s="183"/>
      <c r="F1402" s="183"/>
      <c r="G1402" s="183"/>
      <c r="H1402" s="482" t="s">
        <v>1847</v>
      </c>
      <c r="I1402" s="482"/>
      <c r="J1402" s="482"/>
      <c r="K1402" s="482"/>
      <c r="L1402" s="371">
        <f>TRUNC(L1400/L1401,4)</f>
        <v>25.4</v>
      </c>
    </row>
    <row r="1403" spans="1:12" ht="20.100000000000001" customHeight="1" x14ac:dyDescent="0.25">
      <c r="A1403" s="488" t="s">
        <v>1880</v>
      </c>
      <c r="B1403" s="489"/>
      <c r="C1403" s="489"/>
      <c r="D1403" s="489"/>
      <c r="E1403" s="489"/>
      <c r="F1403" s="489"/>
      <c r="G1403" s="233" t="s">
        <v>44</v>
      </c>
      <c r="H1403" s="515" t="s">
        <v>1837</v>
      </c>
      <c r="I1403" s="515"/>
      <c r="J1403" s="515" t="s">
        <v>1881</v>
      </c>
      <c r="K1403" s="515"/>
      <c r="L1403" s="169" t="s">
        <v>1882</v>
      </c>
    </row>
    <row r="1404" spans="1:12" ht="15" customHeight="1" x14ac:dyDescent="0.25">
      <c r="A1404" s="170" t="s">
        <v>2170</v>
      </c>
      <c r="B1404" s="492" t="s">
        <v>2171</v>
      </c>
      <c r="C1404" s="492"/>
      <c r="D1404" s="492"/>
      <c r="E1404" s="492"/>
      <c r="F1404" s="492"/>
      <c r="G1404" s="127" t="s">
        <v>85</v>
      </c>
      <c r="H1404" s="524">
        <v>5.7999999999999996E-3</v>
      </c>
      <c r="I1404" s="524"/>
      <c r="J1404" s="525">
        <v>152</v>
      </c>
      <c r="K1404" s="525"/>
      <c r="L1404" s="171">
        <f>TRUNC(TRUNC(H1404,8)*J1404,2)</f>
        <v>0.88</v>
      </c>
    </row>
    <row r="1405" spans="1:12" ht="15" customHeight="1" x14ac:dyDescent="0.25">
      <c r="A1405" s="170" t="s">
        <v>3131</v>
      </c>
      <c r="B1405" s="492" t="s">
        <v>3132</v>
      </c>
      <c r="C1405" s="492"/>
      <c r="D1405" s="492"/>
      <c r="E1405" s="492"/>
      <c r="F1405" s="492"/>
      <c r="G1405" s="127" t="s">
        <v>1817</v>
      </c>
      <c r="H1405" s="524">
        <v>0.28999999999999998</v>
      </c>
      <c r="I1405" s="524"/>
      <c r="J1405" s="525">
        <v>1.08</v>
      </c>
      <c r="K1405" s="525"/>
      <c r="L1405" s="171">
        <f>TRUNC(TRUNC(H1405,8)*J1405,2)</f>
        <v>0.31</v>
      </c>
    </row>
    <row r="1406" spans="1:12" ht="15" customHeight="1" x14ac:dyDescent="0.25">
      <c r="A1406" s="170" t="s">
        <v>2263</v>
      </c>
      <c r="B1406" s="492" t="s">
        <v>2264</v>
      </c>
      <c r="C1406" s="492"/>
      <c r="D1406" s="492"/>
      <c r="E1406" s="492"/>
      <c r="F1406" s="492"/>
      <c r="G1406" s="127" t="s">
        <v>1817</v>
      </c>
      <c r="H1406" s="524">
        <v>1.1200000000000001</v>
      </c>
      <c r="I1406" s="524"/>
      <c r="J1406" s="525">
        <v>0.56999999999999995</v>
      </c>
      <c r="K1406" s="525"/>
      <c r="L1406" s="171">
        <f>TRUNC(TRUNC(H1406,8)*J1406,2)</f>
        <v>0.63</v>
      </c>
    </row>
    <row r="1407" spans="1:12" ht="15" customHeight="1" x14ac:dyDescent="0.25">
      <c r="A1407" s="184"/>
      <c r="B1407" s="141"/>
      <c r="C1407" s="141"/>
      <c r="D1407" s="141"/>
      <c r="E1407" s="141"/>
      <c r="F1407" s="141"/>
      <c r="G1407" s="141"/>
      <c r="H1407" s="491" t="s">
        <v>1889</v>
      </c>
      <c r="I1407" s="491"/>
      <c r="J1407" s="491"/>
      <c r="K1407" s="491"/>
      <c r="L1407" s="375">
        <f>SUM(L1404:L1406)</f>
        <v>1.8199999999999998</v>
      </c>
    </row>
    <row r="1408" spans="1:12" ht="15" customHeight="1" x14ac:dyDescent="0.25">
      <c r="A1408" s="182"/>
      <c r="B1408" s="183"/>
      <c r="C1408" s="183"/>
      <c r="D1408" s="183"/>
      <c r="E1408" s="183"/>
      <c r="F1408" s="183"/>
      <c r="G1408" s="183"/>
      <c r="H1408" s="482" t="s">
        <v>1848</v>
      </c>
      <c r="I1408" s="482"/>
      <c r="J1408" s="482"/>
      <c r="K1408" s="482"/>
      <c r="L1408" s="371">
        <f>SUM(L1402,L1407)</f>
        <v>27.22</v>
      </c>
    </row>
    <row r="1409" spans="1:12" ht="15" customHeight="1" x14ac:dyDescent="0.25">
      <c r="A1409" s="182"/>
      <c r="B1409" s="183"/>
      <c r="C1409" s="183"/>
      <c r="D1409" s="183"/>
      <c r="E1409" s="183"/>
      <c r="F1409" s="183"/>
      <c r="G1409" s="183"/>
      <c r="H1409" s="482" t="s">
        <v>1834</v>
      </c>
      <c r="I1409" s="482"/>
      <c r="J1409" s="482"/>
      <c r="K1409" s="482"/>
      <c r="L1409" s="369">
        <f>ROUND(SUM(L1408),2)</f>
        <v>27.22</v>
      </c>
    </row>
    <row r="1410" spans="1:12" ht="9.9499999999999993" customHeight="1" x14ac:dyDescent="0.25">
      <c r="A1410" s="182"/>
      <c r="B1410" s="183"/>
      <c r="C1410" s="183"/>
      <c r="D1410" s="183"/>
      <c r="E1410" s="183"/>
      <c r="F1410" s="183"/>
      <c r="G1410" s="183"/>
      <c r="H1410" s="485"/>
      <c r="I1410" s="485"/>
      <c r="J1410" s="485"/>
      <c r="K1410" s="485"/>
      <c r="L1410" s="512"/>
    </row>
    <row r="1411" spans="1:12" ht="20.100000000000001" customHeight="1" x14ac:dyDescent="0.25">
      <c r="A1411" s="486" t="s">
        <v>2094</v>
      </c>
      <c r="B1411" s="487"/>
      <c r="C1411" s="487"/>
      <c r="D1411" s="487"/>
      <c r="E1411" s="487"/>
      <c r="F1411" s="487"/>
      <c r="G1411" s="487"/>
      <c r="H1411" s="487"/>
      <c r="I1411" s="487"/>
      <c r="J1411" s="487"/>
      <c r="K1411" s="487"/>
      <c r="L1411" s="513"/>
    </row>
    <row r="1412" spans="1:12" ht="15" customHeight="1" x14ac:dyDescent="0.25">
      <c r="A1412" s="474" t="s">
        <v>1812</v>
      </c>
      <c r="B1412" s="475"/>
      <c r="C1412" s="475"/>
      <c r="D1412" s="476" t="s">
        <v>42</v>
      </c>
      <c r="E1412" s="476"/>
      <c r="F1412" s="476"/>
      <c r="G1412" s="230" t="s">
        <v>44</v>
      </c>
      <c r="H1412" s="476" t="s">
        <v>1813</v>
      </c>
      <c r="I1412" s="476"/>
      <c r="J1412" s="476" t="s">
        <v>1814</v>
      </c>
      <c r="K1412" s="476"/>
      <c r="L1412" s="366" t="s">
        <v>1802</v>
      </c>
    </row>
    <row r="1413" spans="1:12" ht="15" customHeight="1" x14ac:dyDescent="0.25">
      <c r="A1413" s="181" t="s">
        <v>2095</v>
      </c>
      <c r="B1413" s="509" t="s">
        <v>2096</v>
      </c>
      <c r="C1413" s="509"/>
      <c r="D1413" s="481" t="s">
        <v>51</v>
      </c>
      <c r="E1413" s="481"/>
      <c r="F1413" s="481"/>
      <c r="G1413" s="231" t="s">
        <v>226</v>
      </c>
      <c r="H1413" s="510">
        <v>4</v>
      </c>
      <c r="I1413" s="510"/>
      <c r="J1413" s="511">
        <v>0.26</v>
      </c>
      <c r="K1413" s="511"/>
      <c r="L1413" s="367">
        <f>ROUND(ROUND(H1413,8)*J1413,2)</f>
        <v>1.04</v>
      </c>
    </row>
    <row r="1414" spans="1:12" ht="21" customHeight="1" x14ac:dyDescent="0.25">
      <c r="A1414" s="181" t="s">
        <v>2097</v>
      </c>
      <c r="B1414" s="509" t="s">
        <v>2098</v>
      </c>
      <c r="C1414" s="509"/>
      <c r="D1414" s="481" t="s">
        <v>1859</v>
      </c>
      <c r="E1414" s="481"/>
      <c r="F1414" s="481"/>
      <c r="G1414" s="231" t="s">
        <v>226</v>
      </c>
      <c r="H1414" s="510">
        <v>4</v>
      </c>
      <c r="I1414" s="510"/>
      <c r="J1414" s="511">
        <v>0.3</v>
      </c>
      <c r="K1414" s="511"/>
      <c r="L1414" s="367">
        <f>ROUND(ROUND(H1414,8)*J1414,2)</f>
        <v>1.2</v>
      </c>
    </row>
    <row r="1415" spans="1:12" ht="21" customHeight="1" x14ac:dyDescent="0.25">
      <c r="A1415" s="181" t="s">
        <v>2099</v>
      </c>
      <c r="B1415" s="509" t="s">
        <v>2100</v>
      </c>
      <c r="C1415" s="509"/>
      <c r="D1415" s="481" t="s">
        <v>1859</v>
      </c>
      <c r="E1415" s="481"/>
      <c r="F1415" s="481"/>
      <c r="G1415" s="231" t="s">
        <v>1817</v>
      </c>
      <c r="H1415" s="510">
        <v>1.9421999999999999</v>
      </c>
      <c r="I1415" s="510"/>
      <c r="J1415" s="511">
        <v>35.29</v>
      </c>
      <c r="K1415" s="511"/>
      <c r="L1415" s="367">
        <f>ROUND(ROUND(H1415,8)*J1415*(1+(9/100)),2)</f>
        <v>74.709999999999994</v>
      </c>
    </row>
    <row r="1416" spans="1:12" ht="21" customHeight="1" x14ac:dyDescent="0.25">
      <c r="A1416" s="181" t="s">
        <v>2101</v>
      </c>
      <c r="B1416" s="509" t="s">
        <v>2102</v>
      </c>
      <c r="C1416" s="509"/>
      <c r="D1416" s="481" t="s">
        <v>51</v>
      </c>
      <c r="E1416" s="481"/>
      <c r="F1416" s="481"/>
      <c r="G1416" s="231" t="s">
        <v>122</v>
      </c>
      <c r="H1416" s="510">
        <v>1.1000000000000001</v>
      </c>
      <c r="I1416" s="510"/>
      <c r="J1416" s="511">
        <v>42.79</v>
      </c>
      <c r="K1416" s="511"/>
      <c r="L1416" s="367">
        <f>ROUND(ROUND(H1416,8)*J1416,2)</f>
        <v>47.07</v>
      </c>
    </row>
    <row r="1417" spans="1:12" ht="15" customHeight="1" x14ac:dyDescent="0.25">
      <c r="A1417" s="182"/>
      <c r="B1417" s="183"/>
      <c r="C1417" s="183"/>
      <c r="D1417" s="183"/>
      <c r="E1417" s="183"/>
      <c r="F1417" s="183"/>
      <c r="G1417" s="183"/>
      <c r="H1417" s="477" t="s">
        <v>1826</v>
      </c>
      <c r="I1417" s="477"/>
      <c r="J1417" s="477"/>
      <c r="K1417" s="477"/>
      <c r="L1417" s="368">
        <f>SUM(L1413:L1416)</f>
        <v>124.01999999999998</v>
      </c>
    </row>
    <row r="1418" spans="1:12" ht="15" customHeight="1" x14ac:dyDescent="0.25">
      <c r="A1418" s="474" t="s">
        <v>1827</v>
      </c>
      <c r="B1418" s="475"/>
      <c r="C1418" s="475"/>
      <c r="D1418" s="476" t="s">
        <v>42</v>
      </c>
      <c r="E1418" s="476"/>
      <c r="F1418" s="476"/>
      <c r="G1418" s="230" t="s">
        <v>44</v>
      </c>
      <c r="H1418" s="476" t="s">
        <v>1813</v>
      </c>
      <c r="I1418" s="476"/>
      <c r="J1418" s="476" t="s">
        <v>1814</v>
      </c>
      <c r="K1418" s="476"/>
      <c r="L1418" s="366" t="s">
        <v>1802</v>
      </c>
    </row>
    <row r="1419" spans="1:12" ht="15" customHeight="1" x14ac:dyDescent="0.25">
      <c r="A1419" s="181" t="s">
        <v>2103</v>
      </c>
      <c r="B1419" s="509" t="s">
        <v>2104</v>
      </c>
      <c r="C1419" s="509"/>
      <c r="D1419" s="481" t="s">
        <v>51</v>
      </c>
      <c r="E1419" s="481"/>
      <c r="F1419" s="481"/>
      <c r="G1419" s="231" t="s">
        <v>1024</v>
      </c>
      <c r="H1419" s="510">
        <v>0.8</v>
      </c>
      <c r="I1419" s="510"/>
      <c r="J1419" s="511">
        <v>26.03</v>
      </c>
      <c r="K1419" s="511"/>
      <c r="L1419" s="367">
        <f>ROUND(ROUND(H1419,8)*J1419,2)</f>
        <v>20.82</v>
      </c>
    </row>
    <row r="1420" spans="1:12" ht="15" customHeight="1" x14ac:dyDescent="0.25">
      <c r="A1420" s="181" t="s">
        <v>1830</v>
      </c>
      <c r="B1420" s="509" t="s">
        <v>1831</v>
      </c>
      <c r="C1420" s="509"/>
      <c r="D1420" s="481" t="s">
        <v>51</v>
      </c>
      <c r="E1420" s="481"/>
      <c r="F1420" s="481"/>
      <c r="G1420" s="231" t="s">
        <v>1024</v>
      </c>
      <c r="H1420" s="510">
        <v>0.8</v>
      </c>
      <c r="I1420" s="510"/>
      <c r="J1420" s="511">
        <v>19.68</v>
      </c>
      <c r="K1420" s="511"/>
      <c r="L1420" s="367">
        <f>ROUND(ROUND(H1420,8)*J1420,2)</f>
        <v>15.74</v>
      </c>
    </row>
    <row r="1421" spans="1:12" ht="15" customHeight="1" x14ac:dyDescent="0.25">
      <c r="A1421" s="182"/>
      <c r="B1421" s="183"/>
      <c r="C1421" s="183"/>
      <c r="D1421" s="183"/>
      <c r="E1421" s="183"/>
      <c r="F1421" s="183"/>
      <c r="G1421" s="183"/>
      <c r="H1421" s="477" t="s">
        <v>1832</v>
      </c>
      <c r="I1421" s="477"/>
      <c r="J1421" s="477"/>
      <c r="K1421" s="477"/>
      <c r="L1421" s="368">
        <f>SUM(L1419:L1420)</f>
        <v>36.56</v>
      </c>
    </row>
    <row r="1422" spans="1:12" ht="15" customHeight="1" x14ac:dyDescent="0.25">
      <c r="A1422" s="474" t="s">
        <v>1912</v>
      </c>
      <c r="B1422" s="475"/>
      <c r="C1422" s="475"/>
      <c r="D1422" s="476" t="s">
        <v>42</v>
      </c>
      <c r="E1422" s="476"/>
      <c r="F1422" s="476"/>
      <c r="G1422" s="230" t="s">
        <v>44</v>
      </c>
      <c r="H1422" s="476" t="s">
        <v>1813</v>
      </c>
      <c r="I1422" s="476"/>
      <c r="J1422" s="476" t="s">
        <v>1814</v>
      </c>
      <c r="K1422" s="476"/>
      <c r="L1422" s="366" t="s">
        <v>1802</v>
      </c>
    </row>
    <row r="1423" spans="1:12" ht="21" customHeight="1" x14ac:dyDescent="0.25">
      <c r="A1423" s="181" t="s">
        <v>2105</v>
      </c>
      <c r="B1423" s="509" t="s">
        <v>2106</v>
      </c>
      <c r="C1423" s="509"/>
      <c r="D1423" s="481" t="s">
        <v>1859</v>
      </c>
      <c r="E1423" s="481"/>
      <c r="F1423" s="481"/>
      <c r="G1423" s="231" t="s">
        <v>1817</v>
      </c>
      <c r="H1423" s="510">
        <v>0.15</v>
      </c>
      <c r="I1423" s="510"/>
      <c r="J1423" s="511">
        <v>15</v>
      </c>
      <c r="K1423" s="511"/>
      <c r="L1423" s="367">
        <f>ROUND(ROUND(H1423,8)*J1423,2)</f>
        <v>2.25</v>
      </c>
    </row>
    <row r="1424" spans="1:12" ht="15" customHeight="1" x14ac:dyDescent="0.25">
      <c r="A1424" s="182"/>
      <c r="B1424" s="183"/>
      <c r="C1424" s="183"/>
      <c r="D1424" s="183"/>
      <c r="E1424" s="183"/>
      <c r="F1424" s="183"/>
      <c r="G1424" s="183"/>
      <c r="H1424" s="477" t="s">
        <v>1915</v>
      </c>
      <c r="I1424" s="477"/>
      <c r="J1424" s="477"/>
      <c r="K1424" s="477"/>
      <c r="L1424" s="368">
        <f>SUM(L1423:L1423)</f>
        <v>2.25</v>
      </c>
    </row>
    <row r="1425" spans="1:12" ht="15" customHeight="1" x14ac:dyDescent="0.25">
      <c r="A1425" s="483" t="s">
        <v>2107</v>
      </c>
      <c r="B1425" s="484"/>
      <c r="C1425" s="484"/>
      <c r="D1425" s="484"/>
      <c r="E1425" s="183"/>
      <c r="F1425" s="183"/>
      <c r="G1425" s="183"/>
      <c r="H1425" s="482" t="s">
        <v>1834</v>
      </c>
      <c r="I1425" s="482"/>
      <c r="J1425" s="482"/>
      <c r="K1425" s="482"/>
      <c r="L1425" s="369">
        <v>162.83000000000001</v>
      </c>
    </row>
    <row r="1426" spans="1:12" ht="2.1" customHeight="1" x14ac:dyDescent="0.25">
      <c r="A1426" s="483"/>
      <c r="B1426" s="484"/>
      <c r="C1426" s="484"/>
      <c r="D1426" s="484"/>
      <c r="E1426" s="183"/>
      <c r="F1426" s="183"/>
      <c r="G1426" s="183"/>
      <c r="H1426" s="183"/>
      <c r="I1426" s="183"/>
      <c r="J1426" s="183"/>
      <c r="K1426" s="183"/>
      <c r="L1426" s="383"/>
    </row>
    <row r="1427" spans="1:12" ht="9.9499999999999993" customHeight="1" x14ac:dyDescent="0.25">
      <c r="A1427" s="182"/>
      <c r="B1427" s="183"/>
      <c r="C1427" s="183"/>
      <c r="D1427" s="183"/>
      <c r="E1427" s="183"/>
      <c r="F1427" s="183"/>
      <c r="G1427" s="183"/>
      <c r="H1427" s="485"/>
      <c r="I1427" s="485"/>
      <c r="J1427" s="485"/>
      <c r="K1427" s="485"/>
      <c r="L1427" s="512"/>
    </row>
    <row r="1428" spans="1:12" ht="20.100000000000001" customHeight="1" x14ac:dyDescent="0.25">
      <c r="A1428" s="486" t="s">
        <v>2108</v>
      </c>
      <c r="B1428" s="487"/>
      <c r="C1428" s="487"/>
      <c r="D1428" s="487"/>
      <c r="E1428" s="487"/>
      <c r="F1428" s="487"/>
      <c r="G1428" s="487"/>
      <c r="H1428" s="487"/>
      <c r="I1428" s="487"/>
      <c r="J1428" s="487"/>
      <c r="K1428" s="487"/>
      <c r="L1428" s="513"/>
    </row>
    <row r="1429" spans="1:12" ht="15" customHeight="1" x14ac:dyDescent="0.25">
      <c r="A1429" s="474" t="s">
        <v>1812</v>
      </c>
      <c r="B1429" s="475"/>
      <c r="C1429" s="475"/>
      <c r="D1429" s="476" t="s">
        <v>42</v>
      </c>
      <c r="E1429" s="476"/>
      <c r="F1429" s="476"/>
      <c r="G1429" s="230" t="s">
        <v>44</v>
      </c>
      <c r="H1429" s="476" t="s">
        <v>1813</v>
      </c>
      <c r="I1429" s="476"/>
      <c r="J1429" s="476" t="s">
        <v>1814</v>
      </c>
      <c r="K1429" s="476"/>
      <c r="L1429" s="366" t="s">
        <v>1802</v>
      </c>
    </row>
    <row r="1430" spans="1:12" ht="21" customHeight="1" x14ac:dyDescent="0.25">
      <c r="A1430" s="181" t="s">
        <v>2109</v>
      </c>
      <c r="B1430" s="509" t="s">
        <v>2110</v>
      </c>
      <c r="C1430" s="509"/>
      <c r="D1430" s="481" t="s">
        <v>341</v>
      </c>
      <c r="E1430" s="481"/>
      <c r="F1430" s="481"/>
      <c r="G1430" s="231" t="s">
        <v>786</v>
      </c>
      <c r="H1430" s="510">
        <v>0.15</v>
      </c>
      <c r="I1430" s="510"/>
      <c r="J1430" s="511">
        <v>110</v>
      </c>
      <c r="K1430" s="511"/>
      <c r="L1430" s="367">
        <f>ROUND(ROUND(H1430,8)*J1430,2)</f>
        <v>16.5</v>
      </c>
    </row>
    <row r="1431" spans="1:12" ht="15" customHeight="1" x14ac:dyDescent="0.25">
      <c r="A1431" s="181" t="s">
        <v>2111</v>
      </c>
      <c r="B1431" s="509" t="s">
        <v>2112</v>
      </c>
      <c r="C1431" s="509"/>
      <c r="D1431" s="481" t="s">
        <v>341</v>
      </c>
      <c r="E1431" s="481"/>
      <c r="F1431" s="481"/>
      <c r="G1431" s="231" t="s">
        <v>1951</v>
      </c>
      <c r="H1431" s="510">
        <v>0.3</v>
      </c>
      <c r="I1431" s="510"/>
      <c r="J1431" s="511">
        <v>1.59</v>
      </c>
      <c r="K1431" s="511"/>
      <c r="L1431" s="367">
        <f>ROUND(ROUND(H1431,8)*J1431,2)</f>
        <v>0.48</v>
      </c>
    </row>
    <row r="1432" spans="1:12" ht="15" customHeight="1" x14ac:dyDescent="0.25">
      <c r="A1432" s="181" t="s">
        <v>2113</v>
      </c>
      <c r="B1432" s="509" t="s">
        <v>2114</v>
      </c>
      <c r="C1432" s="509"/>
      <c r="D1432" s="481" t="s">
        <v>341</v>
      </c>
      <c r="E1432" s="481"/>
      <c r="F1432" s="481"/>
      <c r="G1432" s="231" t="s">
        <v>2115</v>
      </c>
      <c r="H1432" s="510">
        <v>0.25</v>
      </c>
      <c r="I1432" s="510"/>
      <c r="J1432" s="511">
        <v>5.1100000000000003</v>
      </c>
      <c r="K1432" s="511"/>
      <c r="L1432" s="367">
        <f>ROUND(ROUND(H1432,8)*J1432,2)</f>
        <v>1.28</v>
      </c>
    </row>
    <row r="1433" spans="1:12" ht="21" customHeight="1" x14ac:dyDescent="0.25">
      <c r="A1433" s="181" t="s">
        <v>2116</v>
      </c>
      <c r="B1433" s="509" t="s">
        <v>2117</v>
      </c>
      <c r="C1433" s="509"/>
      <c r="D1433" s="481" t="s">
        <v>341</v>
      </c>
      <c r="E1433" s="481"/>
      <c r="F1433" s="481"/>
      <c r="G1433" s="231" t="s">
        <v>89</v>
      </c>
      <c r="H1433" s="510">
        <v>0.15</v>
      </c>
      <c r="I1433" s="510"/>
      <c r="J1433" s="511">
        <v>24.1</v>
      </c>
      <c r="K1433" s="511"/>
      <c r="L1433" s="367">
        <f>ROUND(ROUND(H1433,8)*J1433,2)</f>
        <v>3.62</v>
      </c>
    </row>
    <row r="1434" spans="1:12" ht="15" customHeight="1" x14ac:dyDescent="0.25">
      <c r="A1434" s="182"/>
      <c r="B1434" s="183"/>
      <c r="C1434" s="183"/>
      <c r="D1434" s="183"/>
      <c r="E1434" s="183"/>
      <c r="F1434" s="183"/>
      <c r="G1434" s="183"/>
      <c r="H1434" s="477" t="s">
        <v>1826</v>
      </c>
      <c r="I1434" s="477"/>
      <c r="J1434" s="477"/>
      <c r="K1434" s="477"/>
      <c r="L1434" s="368">
        <f>SUM(L1430:L1433)</f>
        <v>21.880000000000003</v>
      </c>
    </row>
    <row r="1435" spans="1:12" ht="15" customHeight="1" x14ac:dyDescent="0.25">
      <c r="A1435" s="474" t="s">
        <v>1827</v>
      </c>
      <c r="B1435" s="475"/>
      <c r="C1435" s="475"/>
      <c r="D1435" s="476" t="s">
        <v>42</v>
      </c>
      <c r="E1435" s="476"/>
      <c r="F1435" s="476"/>
      <c r="G1435" s="230" t="s">
        <v>44</v>
      </c>
      <c r="H1435" s="476" t="s">
        <v>1813</v>
      </c>
      <c r="I1435" s="476"/>
      <c r="J1435" s="476" t="s">
        <v>1814</v>
      </c>
      <c r="K1435" s="476"/>
      <c r="L1435" s="366" t="s">
        <v>1802</v>
      </c>
    </row>
    <row r="1436" spans="1:12" ht="15" customHeight="1" x14ac:dyDescent="0.25">
      <c r="A1436" s="181" t="s">
        <v>1830</v>
      </c>
      <c r="B1436" s="509" t="s">
        <v>1831</v>
      </c>
      <c r="C1436" s="509"/>
      <c r="D1436" s="481" t="s">
        <v>51</v>
      </c>
      <c r="E1436" s="481"/>
      <c r="F1436" s="481"/>
      <c r="G1436" s="231" t="s">
        <v>1024</v>
      </c>
      <c r="H1436" s="510">
        <v>1</v>
      </c>
      <c r="I1436" s="510"/>
      <c r="J1436" s="511">
        <v>19.68</v>
      </c>
      <c r="K1436" s="511"/>
      <c r="L1436" s="367">
        <f>ROUND(ROUND(H1436,8)*J1436,2)</f>
        <v>19.68</v>
      </c>
    </row>
    <row r="1437" spans="1:12" ht="15" customHeight="1" x14ac:dyDescent="0.25">
      <c r="A1437" s="182"/>
      <c r="B1437" s="183"/>
      <c r="C1437" s="183"/>
      <c r="D1437" s="183"/>
      <c r="E1437" s="183"/>
      <c r="F1437" s="183"/>
      <c r="G1437" s="183"/>
      <c r="H1437" s="477" t="s">
        <v>1832</v>
      </c>
      <c r="I1437" s="477"/>
      <c r="J1437" s="477"/>
      <c r="K1437" s="477"/>
      <c r="L1437" s="368">
        <f>SUM(L1436:L1436)</f>
        <v>19.68</v>
      </c>
    </row>
    <row r="1438" spans="1:12" ht="15" customHeight="1" x14ac:dyDescent="0.25">
      <c r="A1438" s="483" t="s">
        <v>2118</v>
      </c>
      <c r="B1438" s="484"/>
      <c r="C1438" s="484"/>
      <c r="D1438" s="484"/>
      <c r="E1438" s="183"/>
      <c r="F1438" s="183"/>
      <c r="G1438" s="183"/>
      <c r="H1438" s="482" t="s">
        <v>1834</v>
      </c>
      <c r="I1438" s="482"/>
      <c r="J1438" s="482"/>
      <c r="K1438" s="482"/>
      <c r="L1438" s="369">
        <v>41.56</v>
      </c>
    </row>
    <row r="1439" spans="1:12" ht="9.9499999999999993" customHeight="1" x14ac:dyDescent="0.25">
      <c r="A1439" s="182"/>
      <c r="B1439" s="183"/>
      <c r="C1439" s="183"/>
      <c r="D1439" s="183"/>
      <c r="E1439" s="183"/>
      <c r="F1439" s="183"/>
      <c r="G1439" s="183"/>
      <c r="H1439" s="485"/>
      <c r="I1439" s="485"/>
      <c r="J1439" s="485"/>
      <c r="K1439" s="485"/>
      <c r="L1439" s="512"/>
    </row>
    <row r="1440" spans="1:12" ht="20.100000000000001" customHeight="1" x14ac:dyDescent="0.25">
      <c r="A1440" s="486" t="s">
        <v>2119</v>
      </c>
      <c r="B1440" s="487"/>
      <c r="C1440" s="487"/>
      <c r="D1440" s="487"/>
      <c r="E1440" s="487"/>
      <c r="F1440" s="487"/>
      <c r="G1440" s="487"/>
      <c r="H1440" s="487"/>
      <c r="I1440" s="487"/>
      <c r="J1440" s="487"/>
      <c r="K1440" s="487"/>
      <c r="L1440" s="513"/>
    </row>
    <row r="1441" spans="1:12" ht="20.100000000000001" customHeight="1" x14ac:dyDescent="0.25">
      <c r="A1441" s="488" t="s">
        <v>1836</v>
      </c>
      <c r="B1441" s="489"/>
      <c r="C1441" s="489"/>
      <c r="D1441" s="489"/>
      <c r="E1441" s="489"/>
      <c r="F1441" s="489"/>
      <c r="G1441" s="233" t="s">
        <v>44</v>
      </c>
      <c r="H1441" s="515" t="s">
        <v>1837</v>
      </c>
      <c r="I1441" s="515"/>
      <c r="J1441" s="515" t="s">
        <v>1838</v>
      </c>
      <c r="K1441" s="515"/>
      <c r="L1441" s="169" t="s">
        <v>1839</v>
      </c>
    </row>
    <row r="1442" spans="1:12" ht="15" customHeight="1" x14ac:dyDescent="0.25">
      <c r="A1442" s="170" t="s">
        <v>1840</v>
      </c>
      <c r="B1442" s="490" t="s">
        <v>1841</v>
      </c>
      <c r="C1442" s="490"/>
      <c r="D1442" s="490"/>
      <c r="E1442" s="490"/>
      <c r="F1442" s="490"/>
      <c r="G1442" s="127" t="s">
        <v>1024</v>
      </c>
      <c r="H1442" s="524">
        <v>0.27</v>
      </c>
      <c r="I1442" s="524"/>
      <c r="J1442" s="517">
        <v>21.94</v>
      </c>
      <c r="K1442" s="517"/>
      <c r="L1442" s="370">
        <f>ROUND(ROUND(H1442,8)*J1442,2)</f>
        <v>5.92</v>
      </c>
    </row>
    <row r="1443" spans="1:12" ht="15" customHeight="1" x14ac:dyDescent="0.25">
      <c r="A1443" s="170" t="s">
        <v>1983</v>
      </c>
      <c r="B1443" s="490" t="s">
        <v>1984</v>
      </c>
      <c r="C1443" s="490"/>
      <c r="D1443" s="490"/>
      <c r="E1443" s="490"/>
      <c r="F1443" s="490"/>
      <c r="G1443" s="127" t="s">
        <v>1024</v>
      </c>
      <c r="H1443" s="524">
        <v>0.33</v>
      </c>
      <c r="I1443" s="524"/>
      <c r="J1443" s="517">
        <v>26.03</v>
      </c>
      <c r="K1443" s="517"/>
      <c r="L1443" s="370">
        <f>ROUND(ROUND(H1443,8)*J1443,2)</f>
        <v>8.59</v>
      </c>
    </row>
    <row r="1444" spans="1:12" ht="15" customHeight="1" x14ac:dyDescent="0.25">
      <c r="A1444" s="184"/>
      <c r="B1444" s="141"/>
      <c r="C1444" s="141"/>
      <c r="D1444" s="141"/>
      <c r="E1444" s="141"/>
      <c r="F1444" s="141"/>
      <c r="G1444" s="141"/>
      <c r="H1444" s="491" t="s">
        <v>1844</v>
      </c>
      <c r="I1444" s="491"/>
      <c r="J1444" s="491"/>
      <c r="K1444" s="491"/>
      <c r="L1444" s="369">
        <f>SUM(L1442:L1443)</f>
        <v>14.51</v>
      </c>
    </row>
    <row r="1445" spans="1:12" ht="15" customHeight="1" x14ac:dyDescent="0.25">
      <c r="A1445" s="182"/>
      <c r="B1445" s="183"/>
      <c r="C1445" s="183"/>
      <c r="D1445" s="183"/>
      <c r="E1445" s="183"/>
      <c r="F1445" s="183"/>
      <c r="G1445" s="183"/>
      <c r="H1445" s="482" t="s">
        <v>1845</v>
      </c>
      <c r="I1445" s="482"/>
      <c r="J1445" s="482"/>
      <c r="K1445" s="482"/>
      <c r="L1445" s="371">
        <f>SUM(L1444)</f>
        <v>14.51</v>
      </c>
    </row>
    <row r="1446" spans="1:12" ht="15" customHeight="1" x14ac:dyDescent="0.25">
      <c r="A1446" s="182"/>
      <c r="B1446" s="183"/>
      <c r="C1446" s="183"/>
      <c r="D1446" s="183"/>
      <c r="E1446" s="183"/>
      <c r="F1446" s="183"/>
      <c r="G1446" s="183"/>
      <c r="H1446" s="482" t="s">
        <v>1846</v>
      </c>
      <c r="I1446" s="482"/>
      <c r="J1446" s="482"/>
      <c r="K1446" s="482"/>
      <c r="L1446" s="382">
        <v>1</v>
      </c>
    </row>
    <row r="1447" spans="1:12" ht="15" customHeight="1" x14ac:dyDescent="0.25">
      <c r="A1447" s="182"/>
      <c r="B1447" s="183"/>
      <c r="C1447" s="183"/>
      <c r="D1447" s="183"/>
      <c r="E1447" s="183"/>
      <c r="F1447" s="183"/>
      <c r="G1447" s="183"/>
      <c r="H1447" s="482" t="s">
        <v>1847</v>
      </c>
      <c r="I1447" s="482"/>
      <c r="J1447" s="482"/>
      <c r="K1447" s="482"/>
      <c r="L1447" s="371">
        <f>ROUND(L1445/L1446,4)</f>
        <v>14.51</v>
      </c>
    </row>
    <row r="1448" spans="1:12" ht="20.100000000000001" customHeight="1" x14ac:dyDescent="0.25">
      <c r="A1448" s="488" t="s">
        <v>1880</v>
      </c>
      <c r="B1448" s="489"/>
      <c r="C1448" s="489"/>
      <c r="D1448" s="489"/>
      <c r="E1448" s="489"/>
      <c r="F1448" s="489"/>
      <c r="G1448" s="233" t="s">
        <v>44</v>
      </c>
      <c r="H1448" s="515" t="s">
        <v>1837</v>
      </c>
      <c r="I1448" s="515"/>
      <c r="J1448" s="515" t="s">
        <v>1881</v>
      </c>
      <c r="K1448" s="515"/>
      <c r="L1448" s="169" t="s">
        <v>1882</v>
      </c>
    </row>
    <row r="1449" spans="1:12" ht="15" customHeight="1" x14ac:dyDescent="0.25">
      <c r="A1449" s="170" t="s">
        <v>2120</v>
      </c>
      <c r="B1449" s="492" t="s">
        <v>2121</v>
      </c>
      <c r="C1449" s="492"/>
      <c r="D1449" s="492"/>
      <c r="E1449" s="492"/>
      <c r="F1449" s="492"/>
      <c r="G1449" s="127" t="s">
        <v>226</v>
      </c>
      <c r="H1449" s="524">
        <v>0.25</v>
      </c>
      <c r="I1449" s="524"/>
      <c r="J1449" s="525">
        <v>1.0900000000000001</v>
      </c>
      <c r="K1449" s="525"/>
      <c r="L1449" s="171">
        <f>ROUND(ROUND(H1449,8)*J1449,2)</f>
        <v>0.27</v>
      </c>
    </row>
    <row r="1450" spans="1:12" ht="15" customHeight="1" x14ac:dyDescent="0.25">
      <c r="A1450" s="170" t="s">
        <v>2122</v>
      </c>
      <c r="B1450" s="492" t="s">
        <v>2123</v>
      </c>
      <c r="C1450" s="492"/>
      <c r="D1450" s="492"/>
      <c r="E1450" s="492"/>
      <c r="F1450" s="492"/>
      <c r="G1450" s="127" t="s">
        <v>1006</v>
      </c>
      <c r="H1450" s="524">
        <v>0.26</v>
      </c>
      <c r="I1450" s="524"/>
      <c r="J1450" s="525">
        <v>37.75</v>
      </c>
      <c r="K1450" s="525"/>
      <c r="L1450" s="171">
        <f>ROUND(ROUND(H1450,8)*J1450,2)</f>
        <v>9.82</v>
      </c>
    </row>
    <row r="1451" spans="1:12" ht="15" customHeight="1" x14ac:dyDescent="0.25">
      <c r="A1451" s="184"/>
      <c r="B1451" s="141"/>
      <c r="C1451" s="141"/>
      <c r="D1451" s="141"/>
      <c r="E1451" s="141"/>
      <c r="F1451" s="141"/>
      <c r="G1451" s="141"/>
      <c r="H1451" s="491" t="s">
        <v>1889</v>
      </c>
      <c r="I1451" s="491"/>
      <c r="J1451" s="491"/>
      <c r="K1451" s="491"/>
      <c r="L1451" s="375">
        <f>SUM(L1449:L1450)</f>
        <v>10.09</v>
      </c>
    </row>
    <row r="1452" spans="1:12" ht="15" customHeight="1" x14ac:dyDescent="0.25">
      <c r="A1452" s="182"/>
      <c r="B1452" s="183"/>
      <c r="C1452" s="183"/>
      <c r="D1452" s="183"/>
      <c r="E1452" s="183"/>
      <c r="F1452" s="183"/>
      <c r="G1452" s="183"/>
      <c r="H1452" s="482" t="s">
        <v>1848</v>
      </c>
      <c r="I1452" s="482"/>
      <c r="J1452" s="482"/>
      <c r="K1452" s="482"/>
      <c r="L1452" s="371">
        <f>SUM(L1447,L1451)</f>
        <v>24.6</v>
      </c>
    </row>
    <row r="1453" spans="1:12" ht="15" customHeight="1" x14ac:dyDescent="0.25">
      <c r="A1453" s="483" t="s">
        <v>2124</v>
      </c>
      <c r="B1453" s="484"/>
      <c r="C1453" s="484"/>
      <c r="D1453" s="484"/>
      <c r="E1453" s="183"/>
      <c r="F1453" s="183"/>
      <c r="G1453" s="183"/>
      <c r="H1453" s="482" t="s">
        <v>1834</v>
      </c>
      <c r="I1453" s="482"/>
      <c r="J1453" s="482"/>
      <c r="K1453" s="482"/>
      <c r="L1453" s="369">
        <v>24.6</v>
      </c>
    </row>
    <row r="1454" spans="1:12" ht="9.9499999999999993" customHeight="1" x14ac:dyDescent="0.25">
      <c r="A1454" s="182"/>
      <c r="B1454" s="183"/>
      <c r="C1454" s="183"/>
      <c r="D1454" s="183"/>
      <c r="E1454" s="183"/>
      <c r="F1454" s="183"/>
      <c r="G1454" s="183"/>
      <c r="H1454" s="485"/>
      <c r="I1454" s="485"/>
      <c r="J1454" s="485"/>
      <c r="K1454" s="485"/>
      <c r="L1454" s="512"/>
    </row>
    <row r="1455" spans="1:12" ht="20.100000000000001" customHeight="1" x14ac:dyDescent="0.25">
      <c r="A1455" s="486" t="s">
        <v>2125</v>
      </c>
      <c r="B1455" s="487"/>
      <c r="C1455" s="487"/>
      <c r="D1455" s="487"/>
      <c r="E1455" s="487"/>
      <c r="F1455" s="487"/>
      <c r="G1455" s="487"/>
      <c r="H1455" s="487"/>
      <c r="I1455" s="487"/>
      <c r="J1455" s="487"/>
      <c r="K1455" s="487"/>
      <c r="L1455" s="513"/>
    </row>
    <row r="1456" spans="1:12" ht="15" customHeight="1" x14ac:dyDescent="0.25">
      <c r="A1456" s="474" t="s">
        <v>1932</v>
      </c>
      <c r="B1456" s="475"/>
      <c r="C1456" s="475"/>
      <c r="D1456" s="476" t="s">
        <v>42</v>
      </c>
      <c r="E1456" s="476"/>
      <c r="F1456" s="476"/>
      <c r="G1456" s="230" t="s">
        <v>44</v>
      </c>
      <c r="H1456" s="476" t="s">
        <v>1813</v>
      </c>
      <c r="I1456" s="476"/>
      <c r="J1456" s="476" t="s">
        <v>1814</v>
      </c>
      <c r="K1456" s="476"/>
      <c r="L1456" s="366" t="s">
        <v>1802</v>
      </c>
    </row>
    <row r="1457" spans="1:12" ht="15" customHeight="1" x14ac:dyDescent="0.25">
      <c r="A1457" s="181" t="s">
        <v>1933</v>
      </c>
      <c r="B1457" s="509" t="s">
        <v>1934</v>
      </c>
      <c r="C1457" s="509"/>
      <c r="D1457" s="481" t="s">
        <v>341</v>
      </c>
      <c r="E1457" s="481"/>
      <c r="F1457" s="481"/>
      <c r="G1457" s="231" t="s">
        <v>1935</v>
      </c>
      <c r="H1457" s="510">
        <v>3</v>
      </c>
      <c r="I1457" s="510"/>
      <c r="J1457" s="511">
        <v>3.9</v>
      </c>
      <c r="K1457" s="511"/>
      <c r="L1457" s="367">
        <f>ROUND(ROUND(H1457,8)*J1457,2)</f>
        <v>11.7</v>
      </c>
    </row>
    <row r="1458" spans="1:12" ht="15" customHeight="1" x14ac:dyDescent="0.25">
      <c r="A1458" s="182"/>
      <c r="B1458" s="183"/>
      <c r="C1458" s="183"/>
      <c r="D1458" s="183"/>
      <c r="E1458" s="183"/>
      <c r="F1458" s="183"/>
      <c r="G1458" s="183"/>
      <c r="H1458" s="477" t="s">
        <v>1938</v>
      </c>
      <c r="I1458" s="477"/>
      <c r="J1458" s="477"/>
      <c r="K1458" s="477"/>
      <c r="L1458" s="368">
        <f>SUM(L1457:L1457)</f>
        <v>11.7</v>
      </c>
    </row>
    <row r="1459" spans="1:12" ht="15" customHeight="1" x14ac:dyDescent="0.25">
      <c r="A1459" s="474" t="s">
        <v>1812</v>
      </c>
      <c r="B1459" s="475"/>
      <c r="C1459" s="475"/>
      <c r="D1459" s="476" t="s">
        <v>42</v>
      </c>
      <c r="E1459" s="476"/>
      <c r="F1459" s="476"/>
      <c r="G1459" s="230" t="s">
        <v>44</v>
      </c>
      <c r="H1459" s="476" t="s">
        <v>1813</v>
      </c>
      <c r="I1459" s="476"/>
      <c r="J1459" s="476" t="s">
        <v>1814</v>
      </c>
      <c r="K1459" s="476"/>
      <c r="L1459" s="366" t="s">
        <v>1802</v>
      </c>
    </row>
    <row r="1460" spans="1:12" ht="21" customHeight="1" x14ac:dyDescent="0.25">
      <c r="A1460" s="181" t="s">
        <v>2126</v>
      </c>
      <c r="B1460" s="509" t="s">
        <v>2127</v>
      </c>
      <c r="C1460" s="509"/>
      <c r="D1460" s="481" t="s">
        <v>82</v>
      </c>
      <c r="E1460" s="481"/>
      <c r="F1460" s="481"/>
      <c r="G1460" s="231" t="s">
        <v>85</v>
      </c>
      <c r="H1460" s="510">
        <v>0.05</v>
      </c>
      <c r="I1460" s="510"/>
      <c r="J1460" s="511">
        <v>91.17</v>
      </c>
      <c r="K1460" s="511"/>
      <c r="L1460" s="367">
        <f t="shared" ref="L1460:L1466" si="12">ROUND(ROUND(H1460,8)*J1460,2)</f>
        <v>4.5599999999999996</v>
      </c>
    </row>
    <row r="1461" spans="1:12" ht="15" customHeight="1" x14ac:dyDescent="0.25">
      <c r="A1461" s="181" t="s">
        <v>2128</v>
      </c>
      <c r="B1461" s="509" t="s">
        <v>2129</v>
      </c>
      <c r="C1461" s="509"/>
      <c r="D1461" s="481" t="s">
        <v>341</v>
      </c>
      <c r="E1461" s="481"/>
      <c r="F1461" s="481"/>
      <c r="G1461" s="231" t="s">
        <v>2061</v>
      </c>
      <c r="H1461" s="510">
        <v>0.1</v>
      </c>
      <c r="I1461" s="510"/>
      <c r="J1461" s="511">
        <v>148.35</v>
      </c>
      <c r="K1461" s="511"/>
      <c r="L1461" s="367">
        <f t="shared" si="12"/>
        <v>14.84</v>
      </c>
    </row>
    <row r="1462" spans="1:12" ht="29.1" customHeight="1" x14ac:dyDescent="0.25">
      <c r="A1462" s="181" t="s">
        <v>2130</v>
      </c>
      <c r="B1462" s="509" t="s">
        <v>2131</v>
      </c>
      <c r="C1462" s="509"/>
      <c r="D1462" s="481" t="s">
        <v>82</v>
      </c>
      <c r="E1462" s="481"/>
      <c r="F1462" s="481"/>
      <c r="G1462" s="231" t="s">
        <v>122</v>
      </c>
      <c r="H1462" s="510">
        <v>0.5</v>
      </c>
      <c r="I1462" s="510"/>
      <c r="J1462" s="511">
        <v>46.75</v>
      </c>
      <c r="K1462" s="511"/>
      <c r="L1462" s="367">
        <f t="shared" si="12"/>
        <v>23.38</v>
      </c>
    </row>
    <row r="1463" spans="1:12" ht="21" customHeight="1" x14ac:dyDescent="0.25">
      <c r="A1463" s="181" t="s">
        <v>2132</v>
      </c>
      <c r="B1463" s="509" t="s">
        <v>2133</v>
      </c>
      <c r="C1463" s="509"/>
      <c r="D1463" s="481" t="s">
        <v>82</v>
      </c>
      <c r="E1463" s="481"/>
      <c r="F1463" s="481"/>
      <c r="G1463" s="231" t="s">
        <v>1817</v>
      </c>
      <c r="H1463" s="510">
        <v>10</v>
      </c>
      <c r="I1463" s="510"/>
      <c r="J1463" s="511">
        <v>0.78</v>
      </c>
      <c r="K1463" s="511"/>
      <c r="L1463" s="367">
        <f t="shared" si="12"/>
        <v>7.8</v>
      </c>
    </row>
    <row r="1464" spans="1:12" ht="15" customHeight="1" x14ac:dyDescent="0.25">
      <c r="A1464" s="181" t="s">
        <v>2134</v>
      </c>
      <c r="B1464" s="509" t="s">
        <v>2135</v>
      </c>
      <c r="C1464" s="509"/>
      <c r="D1464" s="481" t="s">
        <v>82</v>
      </c>
      <c r="E1464" s="481"/>
      <c r="F1464" s="481"/>
      <c r="G1464" s="231" t="s">
        <v>1817</v>
      </c>
      <c r="H1464" s="510">
        <v>75</v>
      </c>
      <c r="I1464" s="510"/>
      <c r="J1464" s="511">
        <v>1.46</v>
      </c>
      <c r="K1464" s="511"/>
      <c r="L1464" s="367">
        <f t="shared" si="12"/>
        <v>109.5</v>
      </c>
    </row>
    <row r="1465" spans="1:12" ht="21" customHeight="1" x14ac:dyDescent="0.25">
      <c r="A1465" s="181" t="s">
        <v>2136</v>
      </c>
      <c r="B1465" s="509" t="s">
        <v>2137</v>
      </c>
      <c r="C1465" s="509"/>
      <c r="D1465" s="481" t="s">
        <v>82</v>
      </c>
      <c r="E1465" s="481"/>
      <c r="F1465" s="481"/>
      <c r="G1465" s="231" t="s">
        <v>85</v>
      </c>
      <c r="H1465" s="510">
        <v>0.05</v>
      </c>
      <c r="I1465" s="510"/>
      <c r="J1465" s="511">
        <v>174.57</v>
      </c>
      <c r="K1465" s="511"/>
      <c r="L1465" s="367">
        <f t="shared" si="12"/>
        <v>8.73</v>
      </c>
    </row>
    <row r="1466" spans="1:12" ht="21" customHeight="1" x14ac:dyDescent="0.25">
      <c r="A1466" s="181" t="s">
        <v>2138</v>
      </c>
      <c r="B1466" s="509" t="s">
        <v>2139</v>
      </c>
      <c r="C1466" s="509"/>
      <c r="D1466" s="481" t="s">
        <v>341</v>
      </c>
      <c r="E1466" s="481"/>
      <c r="F1466" s="481"/>
      <c r="G1466" s="231" t="s">
        <v>664</v>
      </c>
      <c r="H1466" s="510">
        <v>1.5</v>
      </c>
      <c r="I1466" s="510"/>
      <c r="J1466" s="511">
        <v>62.61</v>
      </c>
      <c r="K1466" s="511"/>
      <c r="L1466" s="367">
        <f t="shared" si="12"/>
        <v>93.92</v>
      </c>
    </row>
    <row r="1467" spans="1:12" ht="15" customHeight="1" x14ac:dyDescent="0.25">
      <c r="A1467" s="182"/>
      <c r="B1467" s="183"/>
      <c r="C1467" s="183"/>
      <c r="D1467" s="183"/>
      <c r="E1467" s="183"/>
      <c r="F1467" s="183"/>
      <c r="G1467" s="183"/>
      <c r="H1467" s="477" t="s">
        <v>1826</v>
      </c>
      <c r="I1467" s="477"/>
      <c r="J1467" s="477"/>
      <c r="K1467" s="477"/>
      <c r="L1467" s="368">
        <f>SUM(L1460:L1466)</f>
        <v>262.72999999999996</v>
      </c>
    </row>
    <row r="1468" spans="1:12" ht="15" customHeight="1" x14ac:dyDescent="0.25">
      <c r="A1468" s="474" t="s">
        <v>1827</v>
      </c>
      <c r="B1468" s="475"/>
      <c r="C1468" s="475"/>
      <c r="D1468" s="476" t="s">
        <v>42</v>
      </c>
      <c r="E1468" s="476"/>
      <c r="F1468" s="476"/>
      <c r="G1468" s="230" t="s">
        <v>44</v>
      </c>
      <c r="H1468" s="476" t="s">
        <v>1813</v>
      </c>
      <c r="I1468" s="476"/>
      <c r="J1468" s="476" t="s">
        <v>1814</v>
      </c>
      <c r="K1468" s="476"/>
      <c r="L1468" s="366" t="s">
        <v>1802</v>
      </c>
    </row>
    <row r="1469" spans="1:12" ht="15" customHeight="1" x14ac:dyDescent="0.25">
      <c r="A1469" s="181" t="s">
        <v>1952</v>
      </c>
      <c r="B1469" s="509" t="s">
        <v>1953</v>
      </c>
      <c r="C1469" s="509"/>
      <c r="D1469" s="481" t="s">
        <v>341</v>
      </c>
      <c r="E1469" s="481"/>
      <c r="F1469" s="481"/>
      <c r="G1469" s="231" t="s">
        <v>1935</v>
      </c>
      <c r="H1469" s="510">
        <v>3</v>
      </c>
      <c r="I1469" s="510"/>
      <c r="J1469" s="511">
        <v>15.88</v>
      </c>
      <c r="K1469" s="511"/>
      <c r="L1469" s="367">
        <f>ROUND(ROUND(H1469,8)*J1469,2)</f>
        <v>47.64</v>
      </c>
    </row>
    <row r="1470" spans="1:12" ht="15" customHeight="1" x14ac:dyDescent="0.25">
      <c r="A1470" s="181" t="s">
        <v>1830</v>
      </c>
      <c r="B1470" s="509" t="s">
        <v>1831</v>
      </c>
      <c r="C1470" s="509"/>
      <c r="D1470" s="481" t="s">
        <v>51</v>
      </c>
      <c r="E1470" s="481"/>
      <c r="F1470" s="481"/>
      <c r="G1470" s="231" t="s">
        <v>1024</v>
      </c>
      <c r="H1470" s="510">
        <v>3</v>
      </c>
      <c r="I1470" s="510"/>
      <c r="J1470" s="511">
        <v>19.68</v>
      </c>
      <c r="K1470" s="511"/>
      <c r="L1470" s="367">
        <f>ROUND(ROUND(H1470,8)*J1470,2)</f>
        <v>59.04</v>
      </c>
    </row>
    <row r="1471" spans="1:12" ht="15" customHeight="1" x14ac:dyDescent="0.25">
      <c r="A1471" s="182"/>
      <c r="B1471" s="183"/>
      <c r="C1471" s="183"/>
      <c r="D1471" s="183"/>
      <c r="E1471" s="183"/>
      <c r="F1471" s="183"/>
      <c r="G1471" s="183"/>
      <c r="H1471" s="477" t="s">
        <v>1832</v>
      </c>
      <c r="I1471" s="477"/>
      <c r="J1471" s="477"/>
      <c r="K1471" s="477"/>
      <c r="L1471" s="368">
        <f>SUM(L1469:L1470)</f>
        <v>106.68</v>
      </c>
    </row>
    <row r="1472" spans="1:12" ht="15" customHeight="1" x14ac:dyDescent="0.25">
      <c r="A1472" s="483" t="s">
        <v>2140</v>
      </c>
      <c r="B1472" s="484"/>
      <c r="C1472" s="484"/>
      <c r="D1472" s="484"/>
      <c r="E1472" s="183"/>
      <c r="F1472" s="183"/>
      <c r="G1472" s="183"/>
      <c r="H1472" s="482" t="s">
        <v>1834</v>
      </c>
      <c r="I1472" s="482"/>
      <c r="J1472" s="482"/>
      <c r="K1472" s="482"/>
      <c r="L1472" s="369">
        <v>381.11</v>
      </c>
    </row>
    <row r="1473" spans="1:12" ht="9.9499999999999993" customHeight="1" x14ac:dyDescent="0.25">
      <c r="A1473" s="182"/>
      <c r="B1473" s="183"/>
      <c r="C1473" s="183"/>
      <c r="D1473" s="183"/>
      <c r="E1473" s="183"/>
      <c r="F1473" s="183"/>
      <c r="G1473" s="183"/>
      <c r="H1473" s="485"/>
      <c r="I1473" s="485"/>
      <c r="J1473" s="485"/>
      <c r="K1473" s="485"/>
      <c r="L1473" s="512"/>
    </row>
    <row r="1474" spans="1:12" ht="20.100000000000001" customHeight="1" x14ac:dyDescent="0.25">
      <c r="A1474" s="486" t="s">
        <v>3662</v>
      </c>
      <c r="B1474" s="487"/>
      <c r="C1474" s="487"/>
      <c r="D1474" s="487"/>
      <c r="E1474" s="487"/>
      <c r="F1474" s="487"/>
      <c r="G1474" s="487"/>
      <c r="H1474" s="487"/>
      <c r="I1474" s="487"/>
      <c r="J1474" s="487"/>
      <c r="K1474" s="487"/>
      <c r="L1474" s="513"/>
    </row>
    <row r="1475" spans="1:12" ht="15" customHeight="1" x14ac:dyDescent="0.25">
      <c r="A1475" s="474" t="s">
        <v>1932</v>
      </c>
      <c r="B1475" s="475"/>
      <c r="C1475" s="475"/>
      <c r="D1475" s="476" t="s">
        <v>42</v>
      </c>
      <c r="E1475" s="476"/>
      <c r="F1475" s="476"/>
      <c r="G1475" s="230" t="s">
        <v>44</v>
      </c>
      <c r="H1475" s="476" t="s">
        <v>1813</v>
      </c>
      <c r="I1475" s="476"/>
      <c r="J1475" s="476" t="s">
        <v>1814</v>
      </c>
      <c r="K1475" s="476"/>
      <c r="L1475" s="366" t="s">
        <v>1802</v>
      </c>
    </row>
    <row r="1476" spans="1:12" ht="15" customHeight="1" x14ac:dyDescent="0.25">
      <c r="A1476" s="181" t="s">
        <v>1933</v>
      </c>
      <c r="B1476" s="509" t="s">
        <v>1934</v>
      </c>
      <c r="C1476" s="509"/>
      <c r="D1476" s="481" t="s">
        <v>341</v>
      </c>
      <c r="E1476" s="481"/>
      <c r="F1476" s="481"/>
      <c r="G1476" s="231" t="s">
        <v>1935</v>
      </c>
      <c r="H1476" s="510">
        <v>1</v>
      </c>
      <c r="I1476" s="510"/>
      <c r="J1476" s="511">
        <v>3.9</v>
      </c>
      <c r="K1476" s="511"/>
      <c r="L1476" s="367">
        <f>TRUNC(TRUNC(H1476,8)*J1476,2)</f>
        <v>3.9</v>
      </c>
    </row>
    <row r="1477" spans="1:12" ht="15" customHeight="1" x14ac:dyDescent="0.25">
      <c r="A1477" s="181" t="s">
        <v>1936</v>
      </c>
      <c r="B1477" s="509" t="s">
        <v>1937</v>
      </c>
      <c r="C1477" s="509"/>
      <c r="D1477" s="481" t="s">
        <v>341</v>
      </c>
      <c r="E1477" s="481"/>
      <c r="F1477" s="481"/>
      <c r="G1477" s="231" t="s">
        <v>1935</v>
      </c>
      <c r="H1477" s="510">
        <v>1</v>
      </c>
      <c r="I1477" s="510"/>
      <c r="J1477" s="511">
        <v>3.9</v>
      </c>
      <c r="K1477" s="511"/>
      <c r="L1477" s="367">
        <f>TRUNC(TRUNC(H1477,8)*J1477,2)</f>
        <v>3.9</v>
      </c>
    </row>
    <row r="1478" spans="1:12" ht="15" customHeight="1" x14ac:dyDescent="0.25">
      <c r="A1478" s="182"/>
      <c r="B1478" s="183"/>
      <c r="C1478" s="183"/>
      <c r="D1478" s="183"/>
      <c r="E1478" s="183"/>
      <c r="F1478" s="183"/>
      <c r="G1478" s="183"/>
      <c r="H1478" s="477" t="s">
        <v>1938</v>
      </c>
      <c r="I1478" s="477"/>
      <c r="J1478" s="477"/>
      <c r="K1478" s="477"/>
      <c r="L1478" s="368">
        <f>SUM(L1476:L1477)</f>
        <v>7.8</v>
      </c>
    </row>
    <row r="1479" spans="1:12" ht="15" customHeight="1" x14ac:dyDescent="0.25">
      <c r="A1479" s="474" t="s">
        <v>1812</v>
      </c>
      <c r="B1479" s="475"/>
      <c r="C1479" s="475"/>
      <c r="D1479" s="476" t="s">
        <v>42</v>
      </c>
      <c r="E1479" s="476"/>
      <c r="F1479" s="476"/>
      <c r="G1479" s="230" t="s">
        <v>44</v>
      </c>
      <c r="H1479" s="476" t="s">
        <v>1813</v>
      </c>
      <c r="I1479" s="476"/>
      <c r="J1479" s="476" t="s">
        <v>1814</v>
      </c>
      <c r="K1479" s="476"/>
      <c r="L1479" s="366" t="s">
        <v>1802</v>
      </c>
    </row>
    <row r="1480" spans="1:12" ht="21" customHeight="1" x14ac:dyDescent="0.25">
      <c r="A1480" s="181" t="s">
        <v>2049</v>
      </c>
      <c r="B1480" s="509" t="s">
        <v>2050</v>
      </c>
      <c r="C1480" s="509"/>
      <c r="D1480" s="481" t="s">
        <v>341</v>
      </c>
      <c r="E1480" s="481"/>
      <c r="F1480" s="481"/>
      <c r="G1480" s="231" t="s">
        <v>786</v>
      </c>
      <c r="H1480" s="510">
        <v>0.36</v>
      </c>
      <c r="I1480" s="510"/>
      <c r="J1480" s="511">
        <v>53.56</v>
      </c>
      <c r="K1480" s="511"/>
      <c r="L1480" s="367">
        <f>TRUNC(TRUNC(H1480,8)*J1480,2)</f>
        <v>19.28</v>
      </c>
    </row>
    <row r="1481" spans="1:12" ht="15" customHeight="1" x14ac:dyDescent="0.25">
      <c r="A1481" s="182"/>
      <c r="B1481" s="183"/>
      <c r="C1481" s="183"/>
      <c r="D1481" s="183"/>
      <c r="E1481" s="183"/>
      <c r="F1481" s="183"/>
      <c r="G1481" s="183"/>
      <c r="H1481" s="477" t="s">
        <v>1826</v>
      </c>
      <c r="I1481" s="477"/>
      <c r="J1481" s="477"/>
      <c r="K1481" s="477"/>
      <c r="L1481" s="368">
        <f>SUM(L1480:L1480)</f>
        <v>19.28</v>
      </c>
    </row>
    <row r="1482" spans="1:12" ht="15" customHeight="1" x14ac:dyDescent="0.25">
      <c r="A1482" s="474" t="s">
        <v>1827</v>
      </c>
      <c r="B1482" s="475"/>
      <c r="C1482" s="475"/>
      <c r="D1482" s="476" t="s">
        <v>42</v>
      </c>
      <c r="E1482" s="476"/>
      <c r="F1482" s="476"/>
      <c r="G1482" s="230" t="s">
        <v>44</v>
      </c>
      <c r="H1482" s="476" t="s">
        <v>1813</v>
      </c>
      <c r="I1482" s="476"/>
      <c r="J1482" s="476" t="s">
        <v>1814</v>
      </c>
      <c r="K1482" s="476"/>
      <c r="L1482" s="366" t="s">
        <v>1802</v>
      </c>
    </row>
    <row r="1483" spans="1:12" ht="15" customHeight="1" x14ac:dyDescent="0.25">
      <c r="A1483" s="181" t="s">
        <v>1952</v>
      </c>
      <c r="B1483" s="509" t="s">
        <v>1953</v>
      </c>
      <c r="C1483" s="509"/>
      <c r="D1483" s="481" t="s">
        <v>341</v>
      </c>
      <c r="E1483" s="481"/>
      <c r="F1483" s="481"/>
      <c r="G1483" s="231" t="s">
        <v>1935</v>
      </c>
      <c r="H1483" s="510">
        <v>1</v>
      </c>
      <c r="I1483" s="510"/>
      <c r="J1483" s="511">
        <v>15.88</v>
      </c>
      <c r="K1483" s="511"/>
      <c r="L1483" s="367">
        <f>TRUNC(TRUNC(H1483,8)*J1483,2)</f>
        <v>15.88</v>
      </c>
    </row>
    <row r="1484" spans="1:12" ht="15" customHeight="1" x14ac:dyDescent="0.25">
      <c r="A1484" s="181" t="s">
        <v>1954</v>
      </c>
      <c r="B1484" s="509" t="s">
        <v>1955</v>
      </c>
      <c r="C1484" s="509"/>
      <c r="D1484" s="481" t="s">
        <v>341</v>
      </c>
      <c r="E1484" s="481"/>
      <c r="F1484" s="481"/>
      <c r="G1484" s="231" t="s">
        <v>1935</v>
      </c>
      <c r="H1484" s="510">
        <v>1</v>
      </c>
      <c r="I1484" s="510"/>
      <c r="J1484" s="511">
        <v>74.599999999999994</v>
      </c>
      <c r="K1484" s="511"/>
      <c r="L1484" s="367">
        <f>TRUNC(TRUNC(H1484,8)*J1484,2)</f>
        <v>74.599999999999994</v>
      </c>
    </row>
    <row r="1485" spans="1:12" ht="15" customHeight="1" x14ac:dyDescent="0.25">
      <c r="A1485" s="182"/>
      <c r="B1485" s="183"/>
      <c r="C1485" s="183"/>
      <c r="D1485" s="183"/>
      <c r="E1485" s="183"/>
      <c r="F1485" s="183"/>
      <c r="G1485" s="183"/>
      <c r="H1485" s="477" t="s">
        <v>1832</v>
      </c>
      <c r="I1485" s="477"/>
      <c r="J1485" s="477"/>
      <c r="K1485" s="477"/>
      <c r="L1485" s="368">
        <f>SUM(L1483:L1484)</f>
        <v>90.47999999999999</v>
      </c>
    </row>
    <row r="1486" spans="1:12" ht="15" customHeight="1" x14ac:dyDescent="0.25">
      <c r="A1486" s="474" t="s">
        <v>1912</v>
      </c>
      <c r="B1486" s="475"/>
      <c r="C1486" s="475"/>
      <c r="D1486" s="476" t="s">
        <v>42</v>
      </c>
      <c r="E1486" s="476"/>
      <c r="F1486" s="476"/>
      <c r="G1486" s="230" t="s">
        <v>44</v>
      </c>
      <c r="H1486" s="476" t="s">
        <v>1813</v>
      </c>
      <c r="I1486" s="476"/>
      <c r="J1486" s="476" t="s">
        <v>1814</v>
      </c>
      <c r="K1486" s="476"/>
      <c r="L1486" s="366" t="s">
        <v>1802</v>
      </c>
    </row>
    <row r="1487" spans="1:12" ht="21" customHeight="1" x14ac:dyDescent="0.25">
      <c r="A1487" s="181" t="s">
        <v>3663</v>
      </c>
      <c r="B1487" s="509" t="s">
        <v>3664</v>
      </c>
      <c r="C1487" s="509"/>
      <c r="D1487" s="481" t="s">
        <v>341</v>
      </c>
      <c r="E1487" s="481"/>
      <c r="F1487" s="481"/>
      <c r="G1487" s="231" t="s">
        <v>54</v>
      </c>
      <c r="H1487" s="510">
        <v>1</v>
      </c>
      <c r="I1487" s="510"/>
      <c r="J1487" s="511">
        <v>37.65</v>
      </c>
      <c r="K1487" s="511"/>
      <c r="L1487" s="367">
        <f>TRUNC(TRUNC(H1487,8)*J1487,2)</f>
        <v>37.65</v>
      </c>
    </row>
    <row r="1488" spans="1:12" ht="15" customHeight="1" x14ac:dyDescent="0.25">
      <c r="A1488" s="182"/>
      <c r="B1488" s="183"/>
      <c r="C1488" s="183"/>
      <c r="D1488" s="183"/>
      <c r="E1488" s="183"/>
      <c r="F1488" s="183"/>
      <c r="G1488" s="183"/>
      <c r="H1488" s="477" t="s">
        <v>1915</v>
      </c>
      <c r="I1488" s="477"/>
      <c r="J1488" s="477"/>
      <c r="K1488" s="477"/>
      <c r="L1488" s="368">
        <f>SUM(L1487:L1487)</f>
        <v>37.65</v>
      </c>
    </row>
    <row r="1489" spans="1:12" ht="15" customHeight="1" x14ac:dyDescent="0.25">
      <c r="A1489" s="182"/>
      <c r="B1489" s="183"/>
      <c r="C1489" s="183"/>
      <c r="D1489" s="183"/>
      <c r="E1489" s="183"/>
      <c r="F1489" s="183"/>
      <c r="G1489" s="183"/>
      <c r="H1489" s="482" t="s">
        <v>1834</v>
      </c>
      <c r="I1489" s="482"/>
      <c r="J1489" s="482"/>
      <c r="K1489" s="482"/>
      <c r="L1489" s="369">
        <f>ROUND(SUM(L1478,L1481,L1485,L1488),2)</f>
        <v>155.21</v>
      </c>
    </row>
    <row r="1490" spans="1:12" ht="9.9499999999999993" customHeight="1" x14ac:dyDescent="0.25">
      <c r="A1490" s="182"/>
      <c r="B1490" s="183"/>
      <c r="C1490" s="183"/>
      <c r="D1490" s="183"/>
      <c r="E1490" s="183"/>
      <c r="F1490" s="183"/>
      <c r="G1490" s="183"/>
      <c r="H1490" s="485"/>
      <c r="I1490" s="485"/>
      <c r="J1490" s="485"/>
      <c r="K1490" s="485"/>
      <c r="L1490" s="512"/>
    </row>
    <row r="1491" spans="1:12" ht="20.100000000000001" customHeight="1" x14ac:dyDescent="0.25">
      <c r="A1491" s="486" t="s">
        <v>2141</v>
      </c>
      <c r="B1491" s="487"/>
      <c r="C1491" s="487"/>
      <c r="D1491" s="487"/>
      <c r="E1491" s="487"/>
      <c r="F1491" s="487"/>
      <c r="G1491" s="487"/>
      <c r="H1491" s="487"/>
      <c r="I1491" s="487"/>
      <c r="J1491" s="487"/>
      <c r="K1491" s="487"/>
      <c r="L1491" s="513"/>
    </row>
    <row r="1492" spans="1:12" ht="15" customHeight="1" x14ac:dyDescent="0.25">
      <c r="A1492" s="474" t="s">
        <v>1932</v>
      </c>
      <c r="B1492" s="475"/>
      <c r="C1492" s="475"/>
      <c r="D1492" s="476" t="s">
        <v>42</v>
      </c>
      <c r="E1492" s="476"/>
      <c r="F1492" s="476"/>
      <c r="G1492" s="230" t="s">
        <v>44</v>
      </c>
      <c r="H1492" s="476" t="s">
        <v>1813</v>
      </c>
      <c r="I1492" s="476"/>
      <c r="J1492" s="476" t="s">
        <v>1814</v>
      </c>
      <c r="K1492" s="476"/>
      <c r="L1492" s="366" t="s">
        <v>1802</v>
      </c>
    </row>
    <row r="1493" spans="1:12" ht="15" customHeight="1" x14ac:dyDescent="0.25">
      <c r="A1493" s="181" t="s">
        <v>1933</v>
      </c>
      <c r="B1493" s="509" t="s">
        <v>1934</v>
      </c>
      <c r="C1493" s="509"/>
      <c r="D1493" s="481" t="s">
        <v>341</v>
      </c>
      <c r="E1493" s="481"/>
      <c r="F1493" s="481"/>
      <c r="G1493" s="231" t="s">
        <v>1935</v>
      </c>
      <c r="H1493" s="510">
        <v>3</v>
      </c>
      <c r="I1493" s="510"/>
      <c r="J1493" s="511">
        <v>3.9</v>
      </c>
      <c r="K1493" s="511"/>
      <c r="L1493" s="367">
        <f>ROUND(ROUND(H1493,8)*J1493,2)</f>
        <v>11.7</v>
      </c>
    </row>
    <row r="1494" spans="1:12" ht="15" customHeight="1" x14ac:dyDescent="0.25">
      <c r="A1494" s="182"/>
      <c r="B1494" s="183"/>
      <c r="C1494" s="183"/>
      <c r="D1494" s="183"/>
      <c r="E1494" s="183"/>
      <c r="F1494" s="183"/>
      <c r="G1494" s="183"/>
      <c r="H1494" s="477" t="s">
        <v>1938</v>
      </c>
      <c r="I1494" s="477"/>
      <c r="J1494" s="477"/>
      <c r="K1494" s="477"/>
      <c r="L1494" s="368">
        <f>SUM(L1493:L1493)</f>
        <v>11.7</v>
      </c>
    </row>
    <row r="1495" spans="1:12" ht="15" customHeight="1" x14ac:dyDescent="0.25">
      <c r="A1495" s="474" t="s">
        <v>1812</v>
      </c>
      <c r="B1495" s="475"/>
      <c r="C1495" s="475"/>
      <c r="D1495" s="476" t="s">
        <v>42</v>
      </c>
      <c r="E1495" s="476"/>
      <c r="F1495" s="476"/>
      <c r="G1495" s="230" t="s">
        <v>44</v>
      </c>
      <c r="H1495" s="476" t="s">
        <v>1813</v>
      </c>
      <c r="I1495" s="476"/>
      <c r="J1495" s="476" t="s">
        <v>1814</v>
      </c>
      <c r="K1495" s="476"/>
      <c r="L1495" s="366" t="s">
        <v>1802</v>
      </c>
    </row>
    <row r="1496" spans="1:12" ht="15" customHeight="1" x14ac:dyDescent="0.25">
      <c r="A1496" s="181" t="s">
        <v>2142</v>
      </c>
      <c r="B1496" s="509" t="s">
        <v>2143</v>
      </c>
      <c r="C1496" s="509"/>
      <c r="D1496" s="481" t="s">
        <v>341</v>
      </c>
      <c r="E1496" s="481"/>
      <c r="F1496" s="481"/>
      <c r="G1496" s="231" t="s">
        <v>786</v>
      </c>
      <c r="H1496" s="510">
        <v>2.5</v>
      </c>
      <c r="I1496" s="510"/>
      <c r="J1496" s="511">
        <v>20.59</v>
      </c>
      <c r="K1496" s="511"/>
      <c r="L1496" s="367">
        <f>ROUND(ROUND(H1496,8)*J1496,2)</f>
        <v>51.48</v>
      </c>
    </row>
    <row r="1497" spans="1:12" ht="15" customHeight="1" x14ac:dyDescent="0.25">
      <c r="A1497" s="181" t="s">
        <v>2144</v>
      </c>
      <c r="B1497" s="509" t="s">
        <v>2145</v>
      </c>
      <c r="C1497" s="509"/>
      <c r="D1497" s="481" t="s">
        <v>341</v>
      </c>
      <c r="E1497" s="481"/>
      <c r="F1497" s="481"/>
      <c r="G1497" s="231" t="s">
        <v>579</v>
      </c>
      <c r="H1497" s="510">
        <v>4</v>
      </c>
      <c r="I1497" s="510"/>
      <c r="J1497" s="511">
        <v>11.04</v>
      </c>
      <c r="K1497" s="511"/>
      <c r="L1497" s="367">
        <f>ROUND(ROUND(H1497,8)*J1497,2)</f>
        <v>44.16</v>
      </c>
    </row>
    <row r="1498" spans="1:12" ht="15" customHeight="1" x14ac:dyDescent="0.25">
      <c r="A1498" s="182"/>
      <c r="B1498" s="183"/>
      <c r="C1498" s="183"/>
      <c r="D1498" s="183"/>
      <c r="E1498" s="183"/>
      <c r="F1498" s="183"/>
      <c r="G1498" s="183"/>
      <c r="H1498" s="477" t="s">
        <v>1826</v>
      </c>
      <c r="I1498" s="477"/>
      <c r="J1498" s="477"/>
      <c r="K1498" s="477"/>
      <c r="L1498" s="368">
        <f>SUM(L1496:L1497)</f>
        <v>95.639999999999986</v>
      </c>
    </row>
    <row r="1499" spans="1:12" ht="15" customHeight="1" x14ac:dyDescent="0.25">
      <c r="A1499" s="474" t="s">
        <v>1827</v>
      </c>
      <c r="B1499" s="475"/>
      <c r="C1499" s="475"/>
      <c r="D1499" s="476" t="s">
        <v>42</v>
      </c>
      <c r="E1499" s="476"/>
      <c r="F1499" s="476"/>
      <c r="G1499" s="230" t="s">
        <v>44</v>
      </c>
      <c r="H1499" s="476" t="s">
        <v>1813</v>
      </c>
      <c r="I1499" s="476"/>
      <c r="J1499" s="476" t="s">
        <v>1814</v>
      </c>
      <c r="K1499" s="476"/>
      <c r="L1499" s="366" t="s">
        <v>1802</v>
      </c>
    </row>
    <row r="1500" spans="1:12" ht="15" customHeight="1" x14ac:dyDescent="0.25">
      <c r="A1500" s="181" t="s">
        <v>1952</v>
      </c>
      <c r="B1500" s="509" t="s">
        <v>1953</v>
      </c>
      <c r="C1500" s="509"/>
      <c r="D1500" s="481" t="s">
        <v>341</v>
      </c>
      <c r="E1500" s="481"/>
      <c r="F1500" s="481"/>
      <c r="G1500" s="231" t="s">
        <v>1935</v>
      </c>
      <c r="H1500" s="510">
        <v>3</v>
      </c>
      <c r="I1500" s="510"/>
      <c r="J1500" s="511">
        <v>15.88</v>
      </c>
      <c r="K1500" s="511"/>
      <c r="L1500" s="367">
        <f>ROUND(ROUND(H1500,8)*J1500,2)</f>
        <v>47.64</v>
      </c>
    </row>
    <row r="1501" spans="1:12" ht="15" customHeight="1" x14ac:dyDescent="0.25">
      <c r="A1501" s="181" t="s">
        <v>1851</v>
      </c>
      <c r="B1501" s="509" t="s">
        <v>1852</v>
      </c>
      <c r="C1501" s="509"/>
      <c r="D1501" s="481" t="s">
        <v>51</v>
      </c>
      <c r="E1501" s="481"/>
      <c r="F1501" s="481"/>
      <c r="G1501" s="231" t="s">
        <v>1024</v>
      </c>
      <c r="H1501" s="510">
        <v>0.6</v>
      </c>
      <c r="I1501" s="510"/>
      <c r="J1501" s="511">
        <v>26.03</v>
      </c>
      <c r="K1501" s="511"/>
      <c r="L1501" s="367">
        <f>ROUND(ROUND(H1501,8)*J1501,2)</f>
        <v>15.62</v>
      </c>
    </row>
    <row r="1502" spans="1:12" ht="15" customHeight="1" x14ac:dyDescent="0.25">
      <c r="A1502" s="181" t="s">
        <v>1830</v>
      </c>
      <c r="B1502" s="509" t="s">
        <v>1831</v>
      </c>
      <c r="C1502" s="509"/>
      <c r="D1502" s="481" t="s">
        <v>51</v>
      </c>
      <c r="E1502" s="481"/>
      <c r="F1502" s="481"/>
      <c r="G1502" s="231" t="s">
        <v>1024</v>
      </c>
      <c r="H1502" s="510">
        <v>0.6</v>
      </c>
      <c r="I1502" s="510"/>
      <c r="J1502" s="511">
        <v>19.68</v>
      </c>
      <c r="K1502" s="511"/>
      <c r="L1502" s="367">
        <f>ROUND(ROUND(H1502,8)*J1502,2)</f>
        <v>11.81</v>
      </c>
    </row>
    <row r="1503" spans="1:12" ht="15" customHeight="1" x14ac:dyDescent="0.25">
      <c r="A1503" s="182"/>
      <c r="B1503" s="183"/>
      <c r="C1503" s="183"/>
      <c r="D1503" s="183"/>
      <c r="E1503" s="183"/>
      <c r="F1503" s="183"/>
      <c r="G1503" s="183"/>
      <c r="H1503" s="477" t="s">
        <v>1832</v>
      </c>
      <c r="I1503" s="477"/>
      <c r="J1503" s="477"/>
      <c r="K1503" s="477"/>
      <c r="L1503" s="368">
        <f>SUM(L1500:L1502)</f>
        <v>75.069999999999993</v>
      </c>
    </row>
    <row r="1504" spans="1:12" ht="15" customHeight="1" x14ac:dyDescent="0.25">
      <c r="A1504" s="474" t="s">
        <v>1912</v>
      </c>
      <c r="B1504" s="475"/>
      <c r="C1504" s="475"/>
      <c r="D1504" s="476" t="s">
        <v>42</v>
      </c>
      <c r="E1504" s="476"/>
      <c r="F1504" s="476"/>
      <c r="G1504" s="230" t="s">
        <v>44</v>
      </c>
      <c r="H1504" s="476" t="s">
        <v>1813</v>
      </c>
      <c r="I1504" s="476"/>
      <c r="J1504" s="476" t="s">
        <v>1814</v>
      </c>
      <c r="K1504" s="476"/>
      <c r="L1504" s="366" t="s">
        <v>1802</v>
      </c>
    </row>
    <row r="1505" spans="1:12" ht="21" customHeight="1" x14ac:dyDescent="0.25">
      <c r="A1505" s="181" t="s">
        <v>2146</v>
      </c>
      <c r="B1505" s="509" t="s">
        <v>2147</v>
      </c>
      <c r="C1505" s="509"/>
      <c r="D1505" s="481" t="s">
        <v>341</v>
      </c>
      <c r="E1505" s="481"/>
      <c r="F1505" s="481"/>
      <c r="G1505" s="231" t="s">
        <v>89</v>
      </c>
      <c r="H1505" s="510">
        <v>1.1999999999999999E-3</v>
      </c>
      <c r="I1505" s="510"/>
      <c r="J1505" s="511">
        <v>454.58</v>
      </c>
      <c r="K1505" s="511"/>
      <c r="L1505" s="367">
        <f>ROUND(ROUND(H1505,8)*J1505,2)</f>
        <v>0.55000000000000004</v>
      </c>
    </row>
    <row r="1506" spans="1:12" ht="15" customHeight="1" x14ac:dyDescent="0.25">
      <c r="A1506" s="182"/>
      <c r="B1506" s="183"/>
      <c r="C1506" s="183"/>
      <c r="D1506" s="183"/>
      <c r="E1506" s="183"/>
      <c r="F1506" s="183"/>
      <c r="G1506" s="183"/>
      <c r="H1506" s="477" t="s">
        <v>1915</v>
      </c>
      <c r="I1506" s="477"/>
      <c r="J1506" s="477"/>
      <c r="K1506" s="477"/>
      <c r="L1506" s="368">
        <f>SUM(L1505:L1505)</f>
        <v>0.55000000000000004</v>
      </c>
    </row>
    <row r="1507" spans="1:12" ht="15" customHeight="1" x14ac:dyDescent="0.25">
      <c r="A1507" s="483" t="s">
        <v>2148</v>
      </c>
      <c r="B1507" s="484"/>
      <c r="C1507" s="484"/>
      <c r="D1507" s="484"/>
      <c r="E1507" s="183"/>
      <c r="F1507" s="183"/>
      <c r="G1507" s="183"/>
      <c r="H1507" s="482" t="s">
        <v>1834</v>
      </c>
      <c r="I1507" s="482"/>
      <c r="J1507" s="482"/>
      <c r="K1507" s="482"/>
      <c r="L1507" s="369">
        <v>182.96</v>
      </c>
    </row>
    <row r="1508" spans="1:12" ht="9.9499999999999993" customHeight="1" x14ac:dyDescent="0.25">
      <c r="A1508" s="182"/>
      <c r="B1508" s="183"/>
      <c r="C1508" s="183"/>
      <c r="D1508" s="183"/>
      <c r="E1508" s="183"/>
      <c r="F1508" s="183"/>
      <c r="G1508" s="183"/>
      <c r="H1508" s="485"/>
      <c r="I1508" s="485"/>
      <c r="J1508" s="485"/>
      <c r="K1508" s="485"/>
      <c r="L1508" s="512"/>
    </row>
    <row r="1509" spans="1:12" ht="20.100000000000001" customHeight="1" x14ac:dyDescent="0.25">
      <c r="A1509" s="486" t="s">
        <v>2149</v>
      </c>
      <c r="B1509" s="487"/>
      <c r="C1509" s="487"/>
      <c r="D1509" s="487"/>
      <c r="E1509" s="487"/>
      <c r="F1509" s="487"/>
      <c r="G1509" s="487"/>
      <c r="H1509" s="487"/>
      <c r="I1509" s="487"/>
      <c r="J1509" s="487"/>
      <c r="K1509" s="487"/>
      <c r="L1509" s="513"/>
    </row>
    <row r="1510" spans="1:12" ht="15" customHeight="1" x14ac:dyDescent="0.25">
      <c r="A1510" s="474" t="s">
        <v>1932</v>
      </c>
      <c r="B1510" s="475"/>
      <c r="C1510" s="475"/>
      <c r="D1510" s="476" t="s">
        <v>42</v>
      </c>
      <c r="E1510" s="476"/>
      <c r="F1510" s="476"/>
      <c r="G1510" s="230" t="s">
        <v>44</v>
      </c>
      <c r="H1510" s="476" t="s">
        <v>1813</v>
      </c>
      <c r="I1510" s="476"/>
      <c r="J1510" s="476" t="s">
        <v>1814</v>
      </c>
      <c r="K1510" s="476"/>
      <c r="L1510" s="366" t="s">
        <v>1802</v>
      </c>
    </row>
    <row r="1511" spans="1:12" ht="15" customHeight="1" x14ac:dyDescent="0.25">
      <c r="A1511" s="181" t="s">
        <v>1933</v>
      </c>
      <c r="B1511" s="509" t="s">
        <v>1934</v>
      </c>
      <c r="C1511" s="509"/>
      <c r="D1511" s="481" t="s">
        <v>341</v>
      </c>
      <c r="E1511" s="481"/>
      <c r="F1511" s="481"/>
      <c r="G1511" s="231" t="s">
        <v>1935</v>
      </c>
      <c r="H1511" s="510">
        <v>1.5</v>
      </c>
      <c r="I1511" s="510"/>
      <c r="J1511" s="511">
        <v>3.9</v>
      </c>
      <c r="K1511" s="511"/>
      <c r="L1511" s="367">
        <f>ROUND(ROUND(H1511,8)*J1511,2)</f>
        <v>5.85</v>
      </c>
    </row>
    <row r="1512" spans="1:12" ht="15" customHeight="1" x14ac:dyDescent="0.25">
      <c r="A1512" s="181" t="s">
        <v>2150</v>
      </c>
      <c r="B1512" s="509" t="s">
        <v>2151</v>
      </c>
      <c r="C1512" s="509"/>
      <c r="D1512" s="481" t="s">
        <v>341</v>
      </c>
      <c r="E1512" s="481"/>
      <c r="F1512" s="481"/>
      <c r="G1512" s="231" t="s">
        <v>1935</v>
      </c>
      <c r="H1512" s="510">
        <v>1.5</v>
      </c>
      <c r="I1512" s="510"/>
      <c r="J1512" s="511">
        <v>3.9</v>
      </c>
      <c r="K1512" s="511"/>
      <c r="L1512" s="367">
        <f>ROUND(ROUND(H1512,8)*J1512,2)</f>
        <v>5.85</v>
      </c>
    </row>
    <row r="1513" spans="1:12" ht="15" customHeight="1" x14ac:dyDescent="0.25">
      <c r="A1513" s="182"/>
      <c r="B1513" s="183"/>
      <c r="C1513" s="183"/>
      <c r="D1513" s="183"/>
      <c r="E1513" s="183"/>
      <c r="F1513" s="183"/>
      <c r="G1513" s="183"/>
      <c r="H1513" s="477" t="s">
        <v>1938</v>
      </c>
      <c r="I1513" s="477"/>
      <c r="J1513" s="477"/>
      <c r="K1513" s="477"/>
      <c r="L1513" s="368">
        <f>SUM(L1511:L1512)</f>
        <v>11.7</v>
      </c>
    </row>
    <row r="1514" spans="1:12" ht="15" customHeight="1" x14ac:dyDescent="0.25">
      <c r="A1514" s="474" t="s">
        <v>1812</v>
      </c>
      <c r="B1514" s="475"/>
      <c r="C1514" s="475"/>
      <c r="D1514" s="476" t="s">
        <v>42</v>
      </c>
      <c r="E1514" s="476"/>
      <c r="F1514" s="476"/>
      <c r="G1514" s="230" t="s">
        <v>44</v>
      </c>
      <c r="H1514" s="476" t="s">
        <v>1813</v>
      </c>
      <c r="I1514" s="476"/>
      <c r="J1514" s="476" t="s">
        <v>1814</v>
      </c>
      <c r="K1514" s="476"/>
      <c r="L1514" s="366" t="s">
        <v>1802</v>
      </c>
    </row>
    <row r="1515" spans="1:12" ht="15" customHeight="1" x14ac:dyDescent="0.25">
      <c r="A1515" s="181" t="s">
        <v>2152</v>
      </c>
      <c r="B1515" s="509" t="s">
        <v>2153</v>
      </c>
      <c r="C1515" s="509"/>
      <c r="D1515" s="481" t="s">
        <v>341</v>
      </c>
      <c r="E1515" s="481"/>
      <c r="F1515" s="481"/>
      <c r="G1515" s="231" t="s">
        <v>786</v>
      </c>
      <c r="H1515" s="510">
        <v>0.02</v>
      </c>
      <c r="I1515" s="510"/>
      <c r="J1515" s="511">
        <v>49.5</v>
      </c>
      <c r="K1515" s="511"/>
      <c r="L1515" s="367">
        <f>ROUND(ROUND(H1515,8)*J1515,2)</f>
        <v>0.99</v>
      </c>
    </row>
    <row r="1516" spans="1:12" ht="15" customHeight="1" x14ac:dyDescent="0.25">
      <c r="A1516" s="181" t="s">
        <v>2154</v>
      </c>
      <c r="B1516" s="509" t="s">
        <v>2155</v>
      </c>
      <c r="C1516" s="509"/>
      <c r="D1516" s="481" t="s">
        <v>341</v>
      </c>
      <c r="E1516" s="481"/>
      <c r="F1516" s="481"/>
      <c r="G1516" s="231" t="s">
        <v>694</v>
      </c>
      <c r="H1516" s="510">
        <v>0.01</v>
      </c>
      <c r="I1516" s="510"/>
      <c r="J1516" s="511">
        <v>3103.48</v>
      </c>
      <c r="K1516" s="511"/>
      <c r="L1516" s="367">
        <f>ROUND(ROUND(H1516,8)*J1516,2)</f>
        <v>31.03</v>
      </c>
    </row>
    <row r="1517" spans="1:12" ht="15" customHeight="1" x14ac:dyDescent="0.25">
      <c r="A1517" s="182"/>
      <c r="B1517" s="183"/>
      <c r="C1517" s="183"/>
      <c r="D1517" s="183"/>
      <c r="E1517" s="183"/>
      <c r="F1517" s="183"/>
      <c r="G1517" s="183"/>
      <c r="H1517" s="477" t="s">
        <v>1826</v>
      </c>
      <c r="I1517" s="477"/>
      <c r="J1517" s="477"/>
      <c r="K1517" s="477"/>
      <c r="L1517" s="368">
        <f>SUM(L1515:L1516)</f>
        <v>32.020000000000003</v>
      </c>
    </row>
    <row r="1518" spans="1:12" ht="15" customHeight="1" x14ac:dyDescent="0.25">
      <c r="A1518" s="474" t="s">
        <v>1827</v>
      </c>
      <c r="B1518" s="475"/>
      <c r="C1518" s="475"/>
      <c r="D1518" s="476" t="s">
        <v>42</v>
      </c>
      <c r="E1518" s="476"/>
      <c r="F1518" s="476"/>
      <c r="G1518" s="230" t="s">
        <v>44</v>
      </c>
      <c r="H1518" s="476" t="s">
        <v>1813</v>
      </c>
      <c r="I1518" s="476"/>
      <c r="J1518" s="476" t="s">
        <v>1814</v>
      </c>
      <c r="K1518" s="476"/>
      <c r="L1518" s="366" t="s">
        <v>1802</v>
      </c>
    </row>
    <row r="1519" spans="1:12" ht="15" customHeight="1" x14ac:dyDescent="0.25">
      <c r="A1519" s="181" t="s">
        <v>1952</v>
      </c>
      <c r="B1519" s="509" t="s">
        <v>1953</v>
      </c>
      <c r="C1519" s="509"/>
      <c r="D1519" s="481" t="s">
        <v>341</v>
      </c>
      <c r="E1519" s="481"/>
      <c r="F1519" s="481"/>
      <c r="G1519" s="231" t="s">
        <v>1935</v>
      </c>
      <c r="H1519" s="510">
        <v>1.5</v>
      </c>
      <c r="I1519" s="510"/>
      <c r="J1519" s="511">
        <v>15.88</v>
      </c>
      <c r="K1519" s="511"/>
      <c r="L1519" s="367">
        <f>ROUND(ROUND(H1519,8)*J1519,2)</f>
        <v>23.82</v>
      </c>
    </row>
    <row r="1520" spans="1:12" ht="15" customHeight="1" x14ac:dyDescent="0.25">
      <c r="A1520" s="181" t="s">
        <v>2156</v>
      </c>
      <c r="B1520" s="509" t="s">
        <v>2157</v>
      </c>
      <c r="C1520" s="509"/>
      <c r="D1520" s="481" t="s">
        <v>341</v>
      </c>
      <c r="E1520" s="481"/>
      <c r="F1520" s="481"/>
      <c r="G1520" s="231" t="s">
        <v>1935</v>
      </c>
      <c r="H1520" s="510">
        <v>1.5</v>
      </c>
      <c r="I1520" s="510"/>
      <c r="J1520" s="511">
        <v>31.09</v>
      </c>
      <c r="K1520" s="511"/>
      <c r="L1520" s="367">
        <f>ROUND(ROUND(H1520,8)*J1520,2)</f>
        <v>46.64</v>
      </c>
    </row>
    <row r="1521" spans="1:12" ht="15" customHeight="1" x14ac:dyDescent="0.25">
      <c r="A1521" s="182"/>
      <c r="B1521" s="183"/>
      <c r="C1521" s="183"/>
      <c r="D1521" s="183"/>
      <c r="E1521" s="183"/>
      <c r="F1521" s="183"/>
      <c r="G1521" s="183"/>
      <c r="H1521" s="477" t="s">
        <v>1832</v>
      </c>
      <c r="I1521" s="477"/>
      <c r="J1521" s="477"/>
      <c r="K1521" s="477"/>
      <c r="L1521" s="368">
        <f>SUM(L1519:L1520)</f>
        <v>70.460000000000008</v>
      </c>
    </row>
    <row r="1522" spans="1:12" ht="15" customHeight="1" x14ac:dyDescent="0.25">
      <c r="A1522" s="474" t="s">
        <v>1912</v>
      </c>
      <c r="B1522" s="475"/>
      <c r="C1522" s="475"/>
      <c r="D1522" s="476" t="s">
        <v>42</v>
      </c>
      <c r="E1522" s="476"/>
      <c r="F1522" s="476"/>
      <c r="G1522" s="230" t="s">
        <v>44</v>
      </c>
      <c r="H1522" s="476" t="s">
        <v>1813</v>
      </c>
      <c r="I1522" s="476"/>
      <c r="J1522" s="476" t="s">
        <v>1814</v>
      </c>
      <c r="K1522" s="476"/>
      <c r="L1522" s="366" t="s">
        <v>1802</v>
      </c>
    </row>
    <row r="1523" spans="1:12" ht="45.95" customHeight="1" x14ac:dyDescent="0.25">
      <c r="A1523" s="181" t="s">
        <v>1987</v>
      </c>
      <c r="B1523" s="509" t="s">
        <v>1988</v>
      </c>
      <c r="C1523" s="509"/>
      <c r="D1523" s="481" t="s">
        <v>51</v>
      </c>
      <c r="E1523" s="481"/>
      <c r="F1523" s="481"/>
      <c r="G1523" s="231" t="s">
        <v>54</v>
      </c>
      <c r="H1523" s="510">
        <v>1</v>
      </c>
      <c r="I1523" s="510"/>
      <c r="J1523" s="511">
        <v>43.8</v>
      </c>
      <c r="K1523" s="511"/>
      <c r="L1523" s="367">
        <f>ROUND(ROUND(H1523,8)*J1523,2)</f>
        <v>43.8</v>
      </c>
    </row>
    <row r="1524" spans="1:12" ht="15" customHeight="1" x14ac:dyDescent="0.25">
      <c r="A1524" s="182"/>
      <c r="B1524" s="183"/>
      <c r="C1524" s="183"/>
      <c r="D1524" s="183"/>
      <c r="E1524" s="183"/>
      <c r="F1524" s="183"/>
      <c r="G1524" s="183"/>
      <c r="H1524" s="477" t="s">
        <v>1915</v>
      </c>
      <c r="I1524" s="477"/>
      <c r="J1524" s="477"/>
      <c r="K1524" s="477"/>
      <c r="L1524" s="368">
        <f>SUM(L1523:L1523)</f>
        <v>43.8</v>
      </c>
    </row>
    <row r="1525" spans="1:12" ht="15" customHeight="1" x14ac:dyDescent="0.25">
      <c r="A1525" s="483" t="s">
        <v>2158</v>
      </c>
      <c r="B1525" s="484"/>
      <c r="C1525" s="484"/>
      <c r="D1525" s="484"/>
      <c r="E1525" s="183"/>
      <c r="F1525" s="183"/>
      <c r="G1525" s="183"/>
      <c r="H1525" s="482" t="s">
        <v>1834</v>
      </c>
      <c r="I1525" s="482"/>
      <c r="J1525" s="482"/>
      <c r="K1525" s="482"/>
      <c r="L1525" s="369">
        <v>157.97999999999999</v>
      </c>
    </row>
    <row r="1526" spans="1:12" ht="2.1" customHeight="1" x14ac:dyDescent="0.25">
      <c r="A1526" s="483"/>
      <c r="B1526" s="484"/>
      <c r="C1526" s="484"/>
      <c r="D1526" s="484"/>
      <c r="E1526" s="183"/>
      <c r="F1526" s="183"/>
      <c r="G1526" s="183"/>
      <c r="H1526" s="183"/>
      <c r="I1526" s="183"/>
      <c r="J1526" s="183"/>
      <c r="K1526" s="183"/>
      <c r="L1526" s="383"/>
    </row>
    <row r="1527" spans="1:12" ht="9.9499999999999993" customHeight="1" x14ac:dyDescent="0.25">
      <c r="A1527" s="182"/>
      <c r="B1527" s="183"/>
      <c r="C1527" s="183"/>
      <c r="D1527" s="183"/>
      <c r="E1527" s="183"/>
      <c r="F1527" s="183"/>
      <c r="G1527" s="183"/>
      <c r="H1527" s="485"/>
      <c r="I1527" s="485"/>
      <c r="J1527" s="485"/>
      <c r="K1527" s="485"/>
      <c r="L1527" s="512"/>
    </row>
    <row r="1528" spans="1:12" ht="20.100000000000001" customHeight="1" x14ac:dyDescent="0.25">
      <c r="A1528" s="486" t="s">
        <v>2159</v>
      </c>
      <c r="B1528" s="487"/>
      <c r="C1528" s="487"/>
      <c r="D1528" s="487"/>
      <c r="E1528" s="487"/>
      <c r="F1528" s="487"/>
      <c r="G1528" s="487"/>
      <c r="H1528" s="487"/>
      <c r="I1528" s="487"/>
      <c r="J1528" s="487"/>
      <c r="K1528" s="487"/>
      <c r="L1528" s="513"/>
    </row>
    <row r="1529" spans="1:12" ht="15" customHeight="1" x14ac:dyDescent="0.25">
      <c r="A1529" s="474" t="s">
        <v>1932</v>
      </c>
      <c r="B1529" s="475"/>
      <c r="C1529" s="475"/>
      <c r="D1529" s="476" t="s">
        <v>42</v>
      </c>
      <c r="E1529" s="476"/>
      <c r="F1529" s="476"/>
      <c r="G1529" s="230" t="s">
        <v>44</v>
      </c>
      <c r="H1529" s="476" t="s">
        <v>1813</v>
      </c>
      <c r="I1529" s="476"/>
      <c r="J1529" s="476" t="s">
        <v>1814</v>
      </c>
      <c r="K1529" s="476"/>
      <c r="L1529" s="366" t="s">
        <v>1802</v>
      </c>
    </row>
    <row r="1530" spans="1:12" ht="15" customHeight="1" x14ac:dyDescent="0.25">
      <c r="A1530" s="181" t="s">
        <v>1933</v>
      </c>
      <c r="B1530" s="509" t="s">
        <v>1934</v>
      </c>
      <c r="C1530" s="509"/>
      <c r="D1530" s="481" t="s">
        <v>341</v>
      </c>
      <c r="E1530" s="481"/>
      <c r="F1530" s="481"/>
      <c r="G1530" s="231" t="s">
        <v>1935</v>
      </c>
      <c r="H1530" s="510">
        <v>1</v>
      </c>
      <c r="I1530" s="510"/>
      <c r="J1530" s="511">
        <v>3.9</v>
      </c>
      <c r="K1530" s="511"/>
      <c r="L1530" s="367">
        <f>ROUND(ROUND(H1530,8)*J1530,2)</f>
        <v>3.9</v>
      </c>
    </row>
    <row r="1531" spans="1:12" ht="15" customHeight="1" x14ac:dyDescent="0.25">
      <c r="A1531" s="182"/>
      <c r="B1531" s="183"/>
      <c r="C1531" s="183"/>
      <c r="D1531" s="183"/>
      <c r="E1531" s="183"/>
      <c r="F1531" s="183"/>
      <c r="G1531" s="183"/>
      <c r="H1531" s="477" t="s">
        <v>1938</v>
      </c>
      <c r="I1531" s="477"/>
      <c r="J1531" s="477"/>
      <c r="K1531" s="477"/>
      <c r="L1531" s="368">
        <f>SUM(L1530:L1530)</f>
        <v>3.9</v>
      </c>
    </row>
    <row r="1532" spans="1:12" ht="15" customHeight="1" x14ac:dyDescent="0.25">
      <c r="A1532" s="474" t="s">
        <v>1812</v>
      </c>
      <c r="B1532" s="475"/>
      <c r="C1532" s="475"/>
      <c r="D1532" s="476" t="s">
        <v>42</v>
      </c>
      <c r="E1532" s="476"/>
      <c r="F1532" s="476"/>
      <c r="G1532" s="230" t="s">
        <v>44</v>
      </c>
      <c r="H1532" s="476" t="s">
        <v>1813</v>
      </c>
      <c r="I1532" s="476"/>
      <c r="J1532" s="476" t="s">
        <v>1814</v>
      </c>
      <c r="K1532" s="476"/>
      <c r="L1532" s="366" t="s">
        <v>1802</v>
      </c>
    </row>
    <row r="1533" spans="1:12" ht="21" customHeight="1" x14ac:dyDescent="0.25">
      <c r="A1533" s="181" t="s">
        <v>2160</v>
      </c>
      <c r="B1533" s="509" t="s">
        <v>2161</v>
      </c>
      <c r="C1533" s="509"/>
      <c r="D1533" s="481" t="s">
        <v>51</v>
      </c>
      <c r="E1533" s="481"/>
      <c r="F1533" s="481"/>
      <c r="G1533" s="231" t="s">
        <v>1817</v>
      </c>
      <c r="H1533" s="510">
        <v>0.25</v>
      </c>
      <c r="I1533" s="510"/>
      <c r="J1533" s="511">
        <v>39.47</v>
      </c>
      <c r="K1533" s="511"/>
      <c r="L1533" s="367">
        <f>ROUND(ROUND(H1533,8)*J1533,2)</f>
        <v>9.8699999999999992</v>
      </c>
    </row>
    <row r="1534" spans="1:12" ht="15" customHeight="1" x14ac:dyDescent="0.25">
      <c r="A1534" s="181" t="s">
        <v>2162</v>
      </c>
      <c r="B1534" s="509" t="s">
        <v>2163</v>
      </c>
      <c r="C1534" s="509"/>
      <c r="D1534" s="481" t="s">
        <v>341</v>
      </c>
      <c r="E1534" s="481"/>
      <c r="F1534" s="481"/>
      <c r="G1534" s="231" t="s">
        <v>579</v>
      </c>
      <c r="H1534" s="510">
        <v>1</v>
      </c>
      <c r="I1534" s="510"/>
      <c r="J1534" s="511">
        <v>2.25</v>
      </c>
      <c r="K1534" s="511"/>
      <c r="L1534" s="367">
        <f>ROUND(ROUND(H1534,8)*J1534,2)</f>
        <v>2.25</v>
      </c>
    </row>
    <row r="1535" spans="1:12" ht="15" customHeight="1" x14ac:dyDescent="0.25">
      <c r="A1535" s="182"/>
      <c r="B1535" s="183"/>
      <c r="C1535" s="183"/>
      <c r="D1535" s="183"/>
      <c r="E1535" s="183"/>
      <c r="F1535" s="183"/>
      <c r="G1535" s="183"/>
      <c r="H1535" s="477" t="s">
        <v>1826</v>
      </c>
      <c r="I1535" s="477"/>
      <c r="J1535" s="477"/>
      <c r="K1535" s="477"/>
      <c r="L1535" s="368">
        <f>SUM(L1533:L1534)</f>
        <v>12.12</v>
      </c>
    </row>
    <row r="1536" spans="1:12" ht="15" customHeight="1" x14ac:dyDescent="0.25">
      <c r="A1536" s="474" t="s">
        <v>1827</v>
      </c>
      <c r="B1536" s="475"/>
      <c r="C1536" s="475"/>
      <c r="D1536" s="476" t="s">
        <v>42</v>
      </c>
      <c r="E1536" s="476"/>
      <c r="F1536" s="476"/>
      <c r="G1536" s="230" t="s">
        <v>44</v>
      </c>
      <c r="H1536" s="476" t="s">
        <v>1813</v>
      </c>
      <c r="I1536" s="476"/>
      <c r="J1536" s="476" t="s">
        <v>1814</v>
      </c>
      <c r="K1536" s="476"/>
      <c r="L1536" s="366" t="s">
        <v>1802</v>
      </c>
    </row>
    <row r="1537" spans="1:12" ht="15" customHeight="1" x14ac:dyDescent="0.25">
      <c r="A1537" s="181" t="s">
        <v>1952</v>
      </c>
      <c r="B1537" s="509" t="s">
        <v>1953</v>
      </c>
      <c r="C1537" s="509"/>
      <c r="D1537" s="481" t="s">
        <v>341</v>
      </c>
      <c r="E1537" s="481"/>
      <c r="F1537" s="481"/>
      <c r="G1537" s="231" t="s">
        <v>1935</v>
      </c>
      <c r="H1537" s="510">
        <v>1</v>
      </c>
      <c r="I1537" s="510"/>
      <c r="J1537" s="511">
        <v>15.88</v>
      </c>
      <c r="K1537" s="511"/>
      <c r="L1537" s="367">
        <f>ROUND(ROUND(H1537,8)*J1537,2)</f>
        <v>15.88</v>
      </c>
    </row>
    <row r="1538" spans="1:12" ht="15" customHeight="1" x14ac:dyDescent="0.25">
      <c r="A1538" s="182"/>
      <c r="B1538" s="183"/>
      <c r="C1538" s="183"/>
      <c r="D1538" s="183"/>
      <c r="E1538" s="183"/>
      <c r="F1538" s="183"/>
      <c r="G1538" s="183"/>
      <c r="H1538" s="477" t="s">
        <v>1832</v>
      </c>
      <c r="I1538" s="477"/>
      <c r="J1538" s="477"/>
      <c r="K1538" s="477"/>
      <c r="L1538" s="368">
        <f>SUM(L1537:L1537)</f>
        <v>15.88</v>
      </c>
    </row>
    <row r="1539" spans="1:12" ht="15" customHeight="1" x14ac:dyDescent="0.25">
      <c r="A1539" s="474" t="s">
        <v>1912</v>
      </c>
      <c r="B1539" s="475"/>
      <c r="C1539" s="475"/>
      <c r="D1539" s="476" t="s">
        <v>42</v>
      </c>
      <c r="E1539" s="476"/>
      <c r="F1539" s="476"/>
      <c r="G1539" s="230" t="s">
        <v>44</v>
      </c>
      <c r="H1539" s="476" t="s">
        <v>1813</v>
      </c>
      <c r="I1539" s="476"/>
      <c r="J1539" s="476" t="s">
        <v>1814</v>
      </c>
      <c r="K1539" s="476"/>
      <c r="L1539" s="366" t="s">
        <v>1802</v>
      </c>
    </row>
    <row r="1540" spans="1:12" ht="15" customHeight="1" x14ac:dyDescent="0.25">
      <c r="A1540" s="181" t="s">
        <v>2164</v>
      </c>
      <c r="B1540" s="509" t="s">
        <v>2165</v>
      </c>
      <c r="C1540" s="509"/>
      <c r="D1540" s="481" t="s">
        <v>341</v>
      </c>
      <c r="E1540" s="481"/>
      <c r="F1540" s="481"/>
      <c r="G1540" s="231" t="s">
        <v>579</v>
      </c>
      <c r="H1540" s="510">
        <v>0.1</v>
      </c>
      <c r="I1540" s="510"/>
      <c r="J1540" s="511">
        <v>5.08</v>
      </c>
      <c r="K1540" s="511"/>
      <c r="L1540" s="367">
        <f>ROUND(ROUND(H1540,8)*J1540,2)</f>
        <v>0.51</v>
      </c>
    </row>
    <row r="1541" spans="1:12" ht="15" customHeight="1" x14ac:dyDescent="0.25">
      <c r="A1541" s="182"/>
      <c r="B1541" s="183"/>
      <c r="C1541" s="183"/>
      <c r="D1541" s="183"/>
      <c r="E1541" s="183"/>
      <c r="F1541" s="183"/>
      <c r="G1541" s="183"/>
      <c r="H1541" s="477" t="s">
        <v>1915</v>
      </c>
      <c r="I1541" s="477"/>
      <c r="J1541" s="477"/>
      <c r="K1541" s="477"/>
      <c r="L1541" s="368">
        <f>SUM(L1540:L1540)</f>
        <v>0.51</v>
      </c>
    </row>
    <row r="1542" spans="1:12" ht="15" customHeight="1" x14ac:dyDescent="0.25">
      <c r="A1542" s="483" t="s">
        <v>2166</v>
      </c>
      <c r="B1542" s="484"/>
      <c r="C1542" s="484"/>
      <c r="D1542" s="484"/>
      <c r="E1542" s="183"/>
      <c r="F1542" s="183"/>
      <c r="G1542" s="183"/>
      <c r="H1542" s="482" t="s">
        <v>1834</v>
      </c>
      <c r="I1542" s="482"/>
      <c r="J1542" s="482"/>
      <c r="K1542" s="482"/>
      <c r="L1542" s="369">
        <v>32.409999999999997</v>
      </c>
    </row>
    <row r="1543" spans="1:12" ht="2.1" customHeight="1" x14ac:dyDescent="0.25">
      <c r="A1543" s="483"/>
      <c r="B1543" s="484"/>
      <c r="C1543" s="484"/>
      <c r="D1543" s="484"/>
      <c r="E1543" s="183"/>
      <c r="F1543" s="183"/>
      <c r="G1543" s="183"/>
      <c r="H1543" s="183"/>
      <c r="I1543" s="183"/>
      <c r="J1543" s="183"/>
      <c r="K1543" s="183"/>
      <c r="L1543" s="383"/>
    </row>
    <row r="1544" spans="1:12" ht="9.9499999999999993" customHeight="1" x14ac:dyDescent="0.25">
      <c r="A1544" s="182"/>
      <c r="B1544" s="183"/>
      <c r="C1544" s="183"/>
      <c r="D1544" s="183"/>
      <c r="E1544" s="183"/>
      <c r="F1544" s="183"/>
      <c r="G1544" s="183"/>
      <c r="H1544" s="485"/>
      <c r="I1544" s="485"/>
      <c r="J1544" s="485"/>
      <c r="K1544" s="485"/>
      <c r="L1544" s="512"/>
    </row>
    <row r="1545" spans="1:12" ht="20.100000000000001" customHeight="1" x14ac:dyDescent="0.25">
      <c r="A1545" s="486" t="s">
        <v>2167</v>
      </c>
      <c r="B1545" s="487"/>
      <c r="C1545" s="487"/>
      <c r="D1545" s="487"/>
      <c r="E1545" s="487"/>
      <c r="F1545" s="487"/>
      <c r="G1545" s="487"/>
      <c r="H1545" s="487"/>
      <c r="I1545" s="487"/>
      <c r="J1545" s="487"/>
      <c r="K1545" s="487"/>
      <c r="L1545" s="513"/>
    </row>
    <row r="1546" spans="1:12" ht="15" customHeight="1" x14ac:dyDescent="0.25">
      <c r="A1546" s="474" t="s">
        <v>1932</v>
      </c>
      <c r="B1546" s="475"/>
      <c r="C1546" s="475"/>
      <c r="D1546" s="476" t="s">
        <v>42</v>
      </c>
      <c r="E1546" s="476"/>
      <c r="F1546" s="476"/>
      <c r="G1546" s="230" t="s">
        <v>44</v>
      </c>
      <c r="H1546" s="476" t="s">
        <v>1813</v>
      </c>
      <c r="I1546" s="476"/>
      <c r="J1546" s="476" t="s">
        <v>1814</v>
      </c>
      <c r="K1546" s="476"/>
      <c r="L1546" s="366" t="s">
        <v>1802</v>
      </c>
    </row>
    <row r="1547" spans="1:12" ht="15" customHeight="1" x14ac:dyDescent="0.25">
      <c r="A1547" s="181" t="s">
        <v>1933</v>
      </c>
      <c r="B1547" s="509" t="s">
        <v>1934</v>
      </c>
      <c r="C1547" s="509"/>
      <c r="D1547" s="481" t="s">
        <v>341</v>
      </c>
      <c r="E1547" s="481"/>
      <c r="F1547" s="481"/>
      <c r="G1547" s="231" t="s">
        <v>1935</v>
      </c>
      <c r="H1547" s="510">
        <v>0.3</v>
      </c>
      <c r="I1547" s="510"/>
      <c r="J1547" s="511">
        <v>3.9</v>
      </c>
      <c r="K1547" s="511"/>
      <c r="L1547" s="367">
        <f>ROUND(ROUND(H1547,8)*J1547,2)</f>
        <v>1.17</v>
      </c>
    </row>
    <row r="1548" spans="1:12" ht="15" customHeight="1" x14ac:dyDescent="0.25">
      <c r="A1548" s="182"/>
      <c r="B1548" s="183"/>
      <c r="C1548" s="183"/>
      <c r="D1548" s="183"/>
      <c r="E1548" s="183"/>
      <c r="F1548" s="183"/>
      <c r="G1548" s="183"/>
      <c r="H1548" s="477" t="s">
        <v>1938</v>
      </c>
      <c r="I1548" s="477"/>
      <c r="J1548" s="477"/>
      <c r="K1548" s="477"/>
      <c r="L1548" s="368">
        <f>SUM(L1547:L1547)</f>
        <v>1.17</v>
      </c>
    </row>
    <row r="1549" spans="1:12" ht="15" customHeight="1" x14ac:dyDescent="0.25">
      <c r="A1549" s="474" t="s">
        <v>1812</v>
      </c>
      <c r="B1549" s="475"/>
      <c r="C1549" s="475"/>
      <c r="D1549" s="476" t="s">
        <v>42</v>
      </c>
      <c r="E1549" s="476"/>
      <c r="F1549" s="476"/>
      <c r="G1549" s="230" t="s">
        <v>44</v>
      </c>
      <c r="H1549" s="476" t="s">
        <v>1813</v>
      </c>
      <c r="I1549" s="476"/>
      <c r="J1549" s="476" t="s">
        <v>1814</v>
      </c>
      <c r="K1549" s="476"/>
      <c r="L1549" s="366" t="s">
        <v>1802</v>
      </c>
    </row>
    <row r="1550" spans="1:12" ht="21" customHeight="1" x14ac:dyDescent="0.25">
      <c r="A1550" s="181" t="s">
        <v>2168</v>
      </c>
      <c r="B1550" s="509" t="s">
        <v>2169</v>
      </c>
      <c r="C1550" s="509"/>
      <c r="D1550" s="481" t="s">
        <v>341</v>
      </c>
      <c r="E1550" s="481"/>
      <c r="F1550" s="481"/>
      <c r="G1550" s="231" t="s">
        <v>1951</v>
      </c>
      <c r="H1550" s="510">
        <v>0.25</v>
      </c>
      <c r="I1550" s="510"/>
      <c r="J1550" s="511">
        <v>21.33</v>
      </c>
      <c r="K1550" s="511"/>
      <c r="L1550" s="367">
        <f>ROUND(ROUND(H1550,8)*J1550,2)</f>
        <v>5.33</v>
      </c>
    </row>
    <row r="1551" spans="1:12" ht="15" customHeight="1" x14ac:dyDescent="0.25">
      <c r="A1551" s="181" t="s">
        <v>2170</v>
      </c>
      <c r="B1551" s="509" t="s">
        <v>2171</v>
      </c>
      <c r="C1551" s="509"/>
      <c r="D1551" s="481" t="s">
        <v>51</v>
      </c>
      <c r="E1551" s="481"/>
      <c r="F1551" s="481"/>
      <c r="G1551" s="231" t="s">
        <v>85</v>
      </c>
      <c r="H1551" s="510">
        <v>6.4000000000000001E-2</v>
      </c>
      <c r="I1551" s="510"/>
      <c r="J1551" s="511">
        <v>152</v>
      </c>
      <c r="K1551" s="511"/>
      <c r="L1551" s="367">
        <f>ROUND(ROUND(H1551,8)*J1551,2)</f>
        <v>9.73</v>
      </c>
    </row>
    <row r="1552" spans="1:12" ht="21" customHeight="1" x14ac:dyDescent="0.25">
      <c r="A1552" s="181" t="s">
        <v>2172</v>
      </c>
      <c r="B1552" s="509" t="s">
        <v>2173</v>
      </c>
      <c r="C1552" s="509"/>
      <c r="D1552" s="481" t="s">
        <v>341</v>
      </c>
      <c r="E1552" s="481"/>
      <c r="F1552" s="481"/>
      <c r="G1552" s="231" t="s">
        <v>89</v>
      </c>
      <c r="H1552" s="510">
        <v>6.4000000000000001E-2</v>
      </c>
      <c r="I1552" s="510"/>
      <c r="J1552" s="511">
        <v>147</v>
      </c>
      <c r="K1552" s="511"/>
      <c r="L1552" s="367">
        <f>ROUND(ROUND(H1552,8)*J1552,2)</f>
        <v>9.41</v>
      </c>
    </row>
    <row r="1553" spans="1:12" ht="15" customHeight="1" x14ac:dyDescent="0.25">
      <c r="A1553" s="181" t="s">
        <v>2174</v>
      </c>
      <c r="B1553" s="509" t="s">
        <v>2175</v>
      </c>
      <c r="C1553" s="509"/>
      <c r="D1553" s="481" t="s">
        <v>341</v>
      </c>
      <c r="E1553" s="481"/>
      <c r="F1553" s="481"/>
      <c r="G1553" s="231" t="s">
        <v>786</v>
      </c>
      <c r="H1553" s="510">
        <v>18</v>
      </c>
      <c r="I1553" s="510"/>
      <c r="J1553" s="511">
        <v>0.9</v>
      </c>
      <c r="K1553" s="511"/>
      <c r="L1553" s="367">
        <f>ROUND(ROUND(H1553,8)*J1553,2)</f>
        <v>16.2</v>
      </c>
    </row>
    <row r="1554" spans="1:12" ht="15" customHeight="1" x14ac:dyDescent="0.25">
      <c r="A1554" s="182"/>
      <c r="B1554" s="183"/>
      <c r="C1554" s="183"/>
      <c r="D1554" s="183"/>
      <c r="E1554" s="183"/>
      <c r="F1554" s="183"/>
      <c r="G1554" s="183"/>
      <c r="H1554" s="477" t="s">
        <v>1826</v>
      </c>
      <c r="I1554" s="477"/>
      <c r="J1554" s="477"/>
      <c r="K1554" s="477"/>
      <c r="L1554" s="368">
        <f>SUM(L1550:L1553)</f>
        <v>40.67</v>
      </c>
    </row>
    <row r="1555" spans="1:12" ht="15" customHeight="1" x14ac:dyDescent="0.25">
      <c r="A1555" s="474" t="s">
        <v>1827</v>
      </c>
      <c r="B1555" s="475"/>
      <c r="C1555" s="475"/>
      <c r="D1555" s="476" t="s">
        <v>42</v>
      </c>
      <c r="E1555" s="476"/>
      <c r="F1555" s="476"/>
      <c r="G1555" s="230" t="s">
        <v>44</v>
      </c>
      <c r="H1555" s="476" t="s">
        <v>1813</v>
      </c>
      <c r="I1555" s="476"/>
      <c r="J1555" s="476" t="s">
        <v>1814</v>
      </c>
      <c r="K1555" s="476"/>
      <c r="L1555" s="366" t="s">
        <v>1802</v>
      </c>
    </row>
    <row r="1556" spans="1:12" ht="15" customHeight="1" x14ac:dyDescent="0.25">
      <c r="A1556" s="181" t="s">
        <v>1952</v>
      </c>
      <c r="B1556" s="509" t="s">
        <v>1953</v>
      </c>
      <c r="C1556" s="509"/>
      <c r="D1556" s="481" t="s">
        <v>341</v>
      </c>
      <c r="E1556" s="481"/>
      <c r="F1556" s="481"/>
      <c r="G1556" s="231" t="s">
        <v>1935</v>
      </c>
      <c r="H1556" s="510">
        <v>0.3</v>
      </c>
      <c r="I1556" s="510"/>
      <c r="J1556" s="511">
        <v>15.88</v>
      </c>
      <c r="K1556" s="511"/>
      <c r="L1556" s="367">
        <f>ROUND(ROUND(H1556,8)*J1556,2)</f>
        <v>4.76</v>
      </c>
    </row>
    <row r="1557" spans="1:12" ht="15" customHeight="1" x14ac:dyDescent="0.25">
      <c r="A1557" s="181" t="s">
        <v>1851</v>
      </c>
      <c r="B1557" s="509" t="s">
        <v>1852</v>
      </c>
      <c r="C1557" s="509"/>
      <c r="D1557" s="481" t="s">
        <v>51</v>
      </c>
      <c r="E1557" s="481"/>
      <c r="F1557" s="481"/>
      <c r="G1557" s="231" t="s">
        <v>1024</v>
      </c>
      <c r="H1557" s="510">
        <v>3</v>
      </c>
      <c r="I1557" s="510"/>
      <c r="J1557" s="511">
        <v>26.03</v>
      </c>
      <c r="K1557" s="511"/>
      <c r="L1557" s="367">
        <f>ROUND(ROUND(H1557,8)*J1557,2)</f>
        <v>78.09</v>
      </c>
    </row>
    <row r="1558" spans="1:12" ht="15" customHeight="1" x14ac:dyDescent="0.25">
      <c r="A1558" s="181" t="s">
        <v>1830</v>
      </c>
      <c r="B1558" s="509" t="s">
        <v>1831</v>
      </c>
      <c r="C1558" s="509"/>
      <c r="D1558" s="481" t="s">
        <v>51</v>
      </c>
      <c r="E1558" s="481"/>
      <c r="F1558" s="481"/>
      <c r="G1558" s="231" t="s">
        <v>1024</v>
      </c>
      <c r="H1558" s="510">
        <v>3</v>
      </c>
      <c r="I1558" s="510"/>
      <c r="J1558" s="511">
        <v>19.68</v>
      </c>
      <c r="K1558" s="511"/>
      <c r="L1558" s="367">
        <f>ROUND(ROUND(H1558,8)*J1558,2)</f>
        <v>59.04</v>
      </c>
    </row>
    <row r="1559" spans="1:12" ht="15" customHeight="1" x14ac:dyDescent="0.25">
      <c r="A1559" s="182"/>
      <c r="B1559" s="183"/>
      <c r="C1559" s="183"/>
      <c r="D1559" s="183"/>
      <c r="E1559" s="183"/>
      <c r="F1559" s="183"/>
      <c r="G1559" s="183"/>
      <c r="H1559" s="477" t="s">
        <v>1832</v>
      </c>
      <c r="I1559" s="477"/>
      <c r="J1559" s="477"/>
      <c r="K1559" s="477"/>
      <c r="L1559" s="368">
        <f>SUM(L1556:L1558)</f>
        <v>141.89000000000001</v>
      </c>
    </row>
    <row r="1560" spans="1:12" ht="15" customHeight="1" x14ac:dyDescent="0.25">
      <c r="A1560" s="483" t="s">
        <v>2176</v>
      </c>
      <c r="B1560" s="484"/>
      <c r="C1560" s="484"/>
      <c r="D1560" s="484"/>
      <c r="E1560" s="183"/>
      <c r="F1560" s="183"/>
      <c r="G1560" s="183"/>
      <c r="H1560" s="482" t="s">
        <v>1834</v>
      </c>
      <c r="I1560" s="482"/>
      <c r="J1560" s="482"/>
      <c r="K1560" s="482"/>
      <c r="L1560" s="369">
        <v>183.73</v>
      </c>
    </row>
    <row r="1561" spans="1:12" ht="9.9499999999999993" customHeight="1" x14ac:dyDescent="0.25">
      <c r="A1561" s="182"/>
      <c r="B1561" s="183"/>
      <c r="C1561" s="183"/>
      <c r="D1561" s="183"/>
      <c r="E1561" s="183"/>
      <c r="F1561" s="183"/>
      <c r="G1561" s="183"/>
      <c r="H1561" s="485"/>
      <c r="I1561" s="485"/>
      <c r="J1561" s="485"/>
      <c r="K1561" s="485"/>
      <c r="L1561" s="512"/>
    </row>
    <row r="1562" spans="1:12" ht="20.100000000000001" customHeight="1" x14ac:dyDescent="0.25">
      <c r="A1562" s="486" t="s">
        <v>3665</v>
      </c>
      <c r="B1562" s="487"/>
      <c r="C1562" s="487"/>
      <c r="D1562" s="487"/>
      <c r="E1562" s="487"/>
      <c r="F1562" s="487"/>
      <c r="G1562" s="487"/>
      <c r="H1562" s="487"/>
      <c r="I1562" s="487"/>
      <c r="J1562" s="487"/>
      <c r="K1562" s="487"/>
      <c r="L1562" s="513"/>
    </row>
    <row r="1563" spans="1:12" ht="15" customHeight="1" x14ac:dyDescent="0.25">
      <c r="A1563" s="474" t="s">
        <v>1932</v>
      </c>
      <c r="B1563" s="475"/>
      <c r="C1563" s="475"/>
      <c r="D1563" s="476" t="s">
        <v>42</v>
      </c>
      <c r="E1563" s="476"/>
      <c r="F1563" s="476"/>
      <c r="G1563" s="230" t="s">
        <v>44</v>
      </c>
      <c r="H1563" s="476" t="s">
        <v>1813</v>
      </c>
      <c r="I1563" s="476"/>
      <c r="J1563" s="476" t="s">
        <v>1814</v>
      </c>
      <c r="K1563" s="476"/>
      <c r="L1563" s="366" t="s">
        <v>1802</v>
      </c>
    </row>
    <row r="1564" spans="1:12" ht="15" customHeight="1" x14ac:dyDescent="0.25">
      <c r="A1564" s="181" t="s">
        <v>1933</v>
      </c>
      <c r="B1564" s="509" t="s">
        <v>1934</v>
      </c>
      <c r="C1564" s="509"/>
      <c r="D1564" s="481" t="s">
        <v>341</v>
      </c>
      <c r="E1564" s="481"/>
      <c r="F1564" s="481"/>
      <c r="G1564" s="231" t="s">
        <v>1935</v>
      </c>
      <c r="H1564" s="510">
        <v>1</v>
      </c>
      <c r="I1564" s="510"/>
      <c r="J1564" s="511">
        <v>3.9</v>
      </c>
      <c r="K1564" s="511"/>
      <c r="L1564" s="367">
        <f>TRUNC(TRUNC(H1564,8)*J1564,2)</f>
        <v>3.9</v>
      </c>
    </row>
    <row r="1565" spans="1:12" ht="15" customHeight="1" x14ac:dyDescent="0.25">
      <c r="A1565" s="181" t="s">
        <v>3030</v>
      </c>
      <c r="B1565" s="509" t="s">
        <v>3031</v>
      </c>
      <c r="C1565" s="509"/>
      <c r="D1565" s="481" t="s">
        <v>341</v>
      </c>
      <c r="E1565" s="481"/>
      <c r="F1565" s="481"/>
      <c r="G1565" s="231" t="s">
        <v>1935</v>
      </c>
      <c r="H1565" s="510">
        <v>8</v>
      </c>
      <c r="I1565" s="510"/>
      <c r="J1565" s="511">
        <v>3.86</v>
      </c>
      <c r="K1565" s="511"/>
      <c r="L1565" s="367">
        <f>TRUNC(TRUNC(H1565,8)*J1565,2)</f>
        <v>30.88</v>
      </c>
    </row>
    <row r="1566" spans="1:12" ht="15" customHeight="1" x14ac:dyDescent="0.25">
      <c r="A1566" s="181" t="s">
        <v>2421</v>
      </c>
      <c r="B1566" s="509" t="s">
        <v>2422</v>
      </c>
      <c r="C1566" s="509"/>
      <c r="D1566" s="481" t="s">
        <v>341</v>
      </c>
      <c r="E1566" s="481"/>
      <c r="F1566" s="481"/>
      <c r="G1566" s="231" t="s">
        <v>1935</v>
      </c>
      <c r="H1566" s="510">
        <v>8</v>
      </c>
      <c r="I1566" s="510"/>
      <c r="J1566" s="511">
        <v>3.96</v>
      </c>
      <c r="K1566" s="511"/>
      <c r="L1566" s="367">
        <f>TRUNC(TRUNC(H1566,8)*J1566,2)</f>
        <v>31.68</v>
      </c>
    </row>
    <row r="1567" spans="1:12" ht="15" customHeight="1" x14ac:dyDescent="0.25">
      <c r="A1567" s="182"/>
      <c r="B1567" s="183"/>
      <c r="C1567" s="183"/>
      <c r="D1567" s="183"/>
      <c r="E1567" s="183"/>
      <c r="F1567" s="183"/>
      <c r="G1567" s="183"/>
      <c r="H1567" s="477" t="s">
        <v>1938</v>
      </c>
      <c r="I1567" s="477"/>
      <c r="J1567" s="477"/>
      <c r="K1567" s="477"/>
      <c r="L1567" s="368">
        <f>SUM(L1564:L1566)</f>
        <v>66.460000000000008</v>
      </c>
    </row>
    <row r="1568" spans="1:12" ht="15" customHeight="1" x14ac:dyDescent="0.25">
      <c r="A1568" s="474" t="s">
        <v>1812</v>
      </c>
      <c r="B1568" s="475"/>
      <c r="C1568" s="475"/>
      <c r="D1568" s="476" t="s">
        <v>42</v>
      </c>
      <c r="E1568" s="476"/>
      <c r="F1568" s="476"/>
      <c r="G1568" s="230" t="s">
        <v>44</v>
      </c>
      <c r="H1568" s="476" t="s">
        <v>1813</v>
      </c>
      <c r="I1568" s="476"/>
      <c r="J1568" s="476" t="s">
        <v>1814</v>
      </c>
      <c r="K1568" s="476"/>
      <c r="L1568" s="366" t="s">
        <v>1802</v>
      </c>
    </row>
    <row r="1569" spans="1:12" ht="21" customHeight="1" x14ac:dyDescent="0.25">
      <c r="A1569" s="181" t="s">
        <v>3666</v>
      </c>
      <c r="B1569" s="509" t="s">
        <v>3667</v>
      </c>
      <c r="C1569" s="509"/>
      <c r="D1569" s="481" t="s">
        <v>341</v>
      </c>
      <c r="E1569" s="481"/>
      <c r="F1569" s="481"/>
      <c r="G1569" s="231" t="s">
        <v>89</v>
      </c>
      <c r="H1569" s="510">
        <v>0.05</v>
      </c>
      <c r="I1569" s="510"/>
      <c r="J1569" s="511">
        <v>100</v>
      </c>
      <c r="K1569" s="511"/>
      <c r="L1569" s="367">
        <f>TRUNC(TRUNC(H1569,8)*J1569,2)</f>
        <v>5</v>
      </c>
    </row>
    <row r="1570" spans="1:12" ht="21" customHeight="1" x14ac:dyDescent="0.25">
      <c r="A1570" s="181" t="s">
        <v>2172</v>
      </c>
      <c r="B1570" s="509" t="s">
        <v>2173</v>
      </c>
      <c r="C1570" s="509"/>
      <c r="D1570" s="481" t="s">
        <v>341</v>
      </c>
      <c r="E1570" s="481"/>
      <c r="F1570" s="481"/>
      <c r="G1570" s="231" t="s">
        <v>89</v>
      </c>
      <c r="H1570" s="510">
        <v>0.05</v>
      </c>
      <c r="I1570" s="510"/>
      <c r="J1570" s="511">
        <v>147</v>
      </c>
      <c r="K1570" s="511"/>
      <c r="L1570" s="367">
        <f>TRUNC(TRUNC(H1570,8)*J1570,2)</f>
        <v>7.35</v>
      </c>
    </row>
    <row r="1571" spans="1:12" ht="15" customHeight="1" x14ac:dyDescent="0.25">
      <c r="A1571" s="181" t="s">
        <v>2174</v>
      </c>
      <c r="B1571" s="509" t="s">
        <v>2175</v>
      </c>
      <c r="C1571" s="509"/>
      <c r="D1571" s="481" t="s">
        <v>341</v>
      </c>
      <c r="E1571" s="481"/>
      <c r="F1571" s="481"/>
      <c r="G1571" s="231" t="s">
        <v>786</v>
      </c>
      <c r="H1571" s="510">
        <v>15</v>
      </c>
      <c r="I1571" s="510"/>
      <c r="J1571" s="511">
        <v>0.9</v>
      </c>
      <c r="K1571" s="511"/>
      <c r="L1571" s="367">
        <f>TRUNC(TRUNC(H1571,8)*J1571,2)</f>
        <v>13.5</v>
      </c>
    </row>
    <row r="1572" spans="1:12" ht="15" customHeight="1" x14ac:dyDescent="0.25">
      <c r="A1572" s="182"/>
      <c r="B1572" s="183"/>
      <c r="C1572" s="183"/>
      <c r="D1572" s="183"/>
      <c r="E1572" s="183"/>
      <c r="F1572" s="183"/>
      <c r="G1572" s="183"/>
      <c r="H1572" s="477" t="s">
        <v>1826</v>
      </c>
      <c r="I1572" s="477"/>
      <c r="J1572" s="477"/>
      <c r="K1572" s="477"/>
      <c r="L1572" s="368">
        <f>SUM(L1569:L1571)</f>
        <v>25.85</v>
      </c>
    </row>
    <row r="1573" spans="1:12" ht="15" customHeight="1" x14ac:dyDescent="0.25">
      <c r="A1573" s="474" t="s">
        <v>1827</v>
      </c>
      <c r="B1573" s="475"/>
      <c r="C1573" s="475"/>
      <c r="D1573" s="476" t="s">
        <v>42</v>
      </c>
      <c r="E1573" s="476"/>
      <c r="F1573" s="476"/>
      <c r="G1573" s="230" t="s">
        <v>44</v>
      </c>
      <c r="H1573" s="476" t="s">
        <v>1813</v>
      </c>
      <c r="I1573" s="476"/>
      <c r="J1573" s="476" t="s">
        <v>1814</v>
      </c>
      <c r="K1573" s="476"/>
      <c r="L1573" s="366" t="s">
        <v>1802</v>
      </c>
    </row>
    <row r="1574" spans="1:12" ht="15" customHeight="1" x14ac:dyDescent="0.25">
      <c r="A1574" s="181" t="s">
        <v>1952</v>
      </c>
      <c r="B1574" s="509" t="s">
        <v>1953</v>
      </c>
      <c r="C1574" s="509"/>
      <c r="D1574" s="481" t="s">
        <v>341</v>
      </c>
      <c r="E1574" s="481"/>
      <c r="F1574" s="481"/>
      <c r="G1574" s="231" t="s">
        <v>1935</v>
      </c>
      <c r="H1574" s="510">
        <v>1</v>
      </c>
      <c r="I1574" s="510"/>
      <c r="J1574" s="511">
        <v>15.88</v>
      </c>
      <c r="K1574" s="511"/>
      <c r="L1574" s="367">
        <f>TRUNC(TRUNC(H1574,8)*J1574,2)</f>
        <v>15.88</v>
      </c>
    </row>
    <row r="1575" spans="1:12" ht="15" customHeight="1" x14ac:dyDescent="0.25">
      <c r="A1575" s="181" t="s">
        <v>3032</v>
      </c>
      <c r="B1575" s="509" t="s">
        <v>3033</v>
      </c>
      <c r="C1575" s="509"/>
      <c r="D1575" s="481" t="s">
        <v>341</v>
      </c>
      <c r="E1575" s="481"/>
      <c r="F1575" s="481"/>
      <c r="G1575" s="231" t="s">
        <v>1935</v>
      </c>
      <c r="H1575" s="510">
        <v>8</v>
      </c>
      <c r="I1575" s="510"/>
      <c r="J1575" s="511">
        <v>20.45</v>
      </c>
      <c r="K1575" s="511"/>
      <c r="L1575" s="367">
        <f>TRUNC(TRUNC(H1575,8)*J1575,2)</f>
        <v>163.6</v>
      </c>
    </row>
    <row r="1576" spans="1:12" ht="15" customHeight="1" x14ac:dyDescent="0.25">
      <c r="A1576" s="181" t="s">
        <v>2427</v>
      </c>
      <c r="B1576" s="509" t="s">
        <v>2428</v>
      </c>
      <c r="C1576" s="509"/>
      <c r="D1576" s="481" t="s">
        <v>341</v>
      </c>
      <c r="E1576" s="481"/>
      <c r="F1576" s="481"/>
      <c r="G1576" s="231" t="s">
        <v>1935</v>
      </c>
      <c r="H1576" s="510">
        <v>8</v>
      </c>
      <c r="I1576" s="510"/>
      <c r="J1576" s="511">
        <v>15.59</v>
      </c>
      <c r="K1576" s="511"/>
      <c r="L1576" s="367">
        <f>TRUNC(TRUNC(H1576,8)*J1576,2)</f>
        <v>124.72</v>
      </c>
    </row>
    <row r="1577" spans="1:12" ht="15" customHeight="1" x14ac:dyDescent="0.25">
      <c r="A1577" s="182"/>
      <c r="B1577" s="183"/>
      <c r="C1577" s="183"/>
      <c r="D1577" s="183"/>
      <c r="E1577" s="183"/>
      <c r="F1577" s="183"/>
      <c r="G1577" s="183"/>
      <c r="H1577" s="477" t="s">
        <v>1832</v>
      </c>
      <c r="I1577" s="477"/>
      <c r="J1577" s="477"/>
      <c r="K1577" s="477"/>
      <c r="L1577" s="368">
        <f>SUM(L1574:L1576)</f>
        <v>304.2</v>
      </c>
    </row>
    <row r="1578" spans="1:12" ht="15" customHeight="1" x14ac:dyDescent="0.25">
      <c r="A1578" s="182"/>
      <c r="B1578" s="183"/>
      <c r="C1578" s="183"/>
      <c r="D1578" s="183"/>
      <c r="E1578" s="183"/>
      <c r="F1578" s="183"/>
      <c r="G1578" s="183"/>
      <c r="H1578" s="482" t="s">
        <v>1834</v>
      </c>
      <c r="I1578" s="482"/>
      <c r="J1578" s="482"/>
      <c r="K1578" s="482"/>
      <c r="L1578" s="369">
        <f>ROUND(SUM(L1567,L1572,L1577),2)</f>
        <v>396.51</v>
      </c>
    </row>
    <row r="1579" spans="1:12" ht="9.9499999999999993" customHeight="1" x14ac:dyDescent="0.25">
      <c r="A1579" s="182"/>
      <c r="B1579" s="183"/>
      <c r="C1579" s="183"/>
      <c r="D1579" s="183"/>
      <c r="E1579" s="183"/>
      <c r="F1579" s="183"/>
      <c r="G1579" s="183"/>
      <c r="H1579" s="485"/>
      <c r="I1579" s="485"/>
      <c r="J1579" s="485"/>
      <c r="K1579" s="485"/>
      <c r="L1579" s="512"/>
    </row>
    <row r="1580" spans="1:12" ht="20.100000000000001" customHeight="1" x14ac:dyDescent="0.25">
      <c r="A1580" s="486" t="s">
        <v>3668</v>
      </c>
      <c r="B1580" s="487"/>
      <c r="C1580" s="487"/>
      <c r="D1580" s="487"/>
      <c r="E1580" s="487"/>
      <c r="F1580" s="487"/>
      <c r="G1580" s="487"/>
      <c r="H1580" s="487"/>
      <c r="I1580" s="487"/>
      <c r="J1580" s="487"/>
      <c r="K1580" s="487"/>
      <c r="L1580" s="513"/>
    </row>
    <row r="1581" spans="1:12" ht="20.100000000000001" customHeight="1" x14ac:dyDescent="0.25">
      <c r="A1581" s="488" t="s">
        <v>1836</v>
      </c>
      <c r="B1581" s="489"/>
      <c r="C1581" s="489"/>
      <c r="D1581" s="489"/>
      <c r="E1581" s="489"/>
      <c r="F1581" s="489"/>
      <c r="G1581" s="233" t="s">
        <v>44</v>
      </c>
      <c r="H1581" s="515" t="s">
        <v>1837</v>
      </c>
      <c r="I1581" s="515"/>
      <c r="J1581" s="515" t="s">
        <v>1838</v>
      </c>
      <c r="K1581" s="515"/>
      <c r="L1581" s="169" t="s">
        <v>1839</v>
      </c>
    </row>
    <row r="1582" spans="1:12" ht="15" customHeight="1" x14ac:dyDescent="0.25">
      <c r="A1582" s="170" t="s">
        <v>1840</v>
      </c>
      <c r="B1582" s="490" t="s">
        <v>1841</v>
      </c>
      <c r="C1582" s="490"/>
      <c r="D1582" s="490"/>
      <c r="E1582" s="490"/>
      <c r="F1582" s="490"/>
      <c r="G1582" s="127" t="s">
        <v>1024</v>
      </c>
      <c r="H1582" s="524">
        <v>0.1</v>
      </c>
      <c r="I1582" s="524"/>
      <c r="J1582" s="517">
        <v>21.94</v>
      </c>
      <c r="K1582" s="517"/>
      <c r="L1582" s="370">
        <f>TRUNC(TRUNC(H1582,8)*J1582,2)</f>
        <v>2.19</v>
      </c>
    </row>
    <row r="1583" spans="1:12" ht="15" customHeight="1" x14ac:dyDescent="0.25">
      <c r="A1583" s="170" t="s">
        <v>2178</v>
      </c>
      <c r="B1583" s="490" t="s">
        <v>2179</v>
      </c>
      <c r="C1583" s="490"/>
      <c r="D1583" s="490"/>
      <c r="E1583" s="490"/>
      <c r="F1583" s="490"/>
      <c r="G1583" s="127" t="s">
        <v>1024</v>
      </c>
      <c r="H1583" s="524">
        <v>0.1</v>
      </c>
      <c r="I1583" s="524"/>
      <c r="J1583" s="517">
        <v>26.03</v>
      </c>
      <c r="K1583" s="517"/>
      <c r="L1583" s="370">
        <f>TRUNC(TRUNC(H1583,8)*J1583,2)</f>
        <v>2.6</v>
      </c>
    </row>
    <row r="1584" spans="1:12" ht="15" customHeight="1" x14ac:dyDescent="0.25">
      <c r="A1584" s="184"/>
      <c r="B1584" s="141"/>
      <c r="C1584" s="141"/>
      <c r="D1584" s="141"/>
      <c r="E1584" s="141"/>
      <c r="F1584" s="141"/>
      <c r="G1584" s="141"/>
      <c r="H1584" s="491" t="s">
        <v>1844</v>
      </c>
      <c r="I1584" s="491"/>
      <c r="J1584" s="491"/>
      <c r="K1584" s="491"/>
      <c r="L1584" s="369">
        <f>SUM(L1582:L1583)</f>
        <v>4.79</v>
      </c>
    </row>
    <row r="1585" spans="1:12" ht="15" customHeight="1" x14ac:dyDescent="0.25">
      <c r="A1585" s="182"/>
      <c r="B1585" s="183"/>
      <c r="C1585" s="183"/>
      <c r="D1585" s="183"/>
      <c r="E1585" s="183"/>
      <c r="F1585" s="183"/>
      <c r="G1585" s="183"/>
      <c r="H1585" s="482" t="s">
        <v>1845</v>
      </c>
      <c r="I1585" s="482"/>
      <c r="J1585" s="482"/>
      <c r="K1585" s="482"/>
      <c r="L1585" s="371">
        <f>SUM(L1584)</f>
        <v>4.79</v>
      </c>
    </row>
    <row r="1586" spans="1:12" ht="15" customHeight="1" x14ac:dyDescent="0.25">
      <c r="A1586" s="182"/>
      <c r="B1586" s="183"/>
      <c r="C1586" s="183"/>
      <c r="D1586" s="183"/>
      <c r="E1586" s="183"/>
      <c r="F1586" s="183"/>
      <c r="G1586" s="183"/>
      <c r="H1586" s="482" t="s">
        <v>1846</v>
      </c>
      <c r="I1586" s="482"/>
      <c r="J1586" s="482"/>
      <c r="K1586" s="482"/>
      <c r="L1586" s="374">
        <v>1</v>
      </c>
    </row>
    <row r="1587" spans="1:12" ht="15" customHeight="1" x14ac:dyDescent="0.25">
      <c r="A1587" s="182"/>
      <c r="B1587" s="183"/>
      <c r="C1587" s="183"/>
      <c r="D1587" s="183"/>
      <c r="E1587" s="183"/>
      <c r="F1587" s="183"/>
      <c r="G1587" s="183"/>
      <c r="H1587" s="482" t="s">
        <v>1847</v>
      </c>
      <c r="I1587" s="482"/>
      <c r="J1587" s="482"/>
      <c r="K1587" s="482"/>
      <c r="L1587" s="371">
        <f>TRUNC(L1585/L1586,4)</f>
        <v>4.79</v>
      </c>
    </row>
    <row r="1588" spans="1:12" ht="20.100000000000001" customHeight="1" x14ac:dyDescent="0.25">
      <c r="A1588" s="488" t="s">
        <v>1880</v>
      </c>
      <c r="B1588" s="489"/>
      <c r="C1588" s="489"/>
      <c r="D1588" s="489"/>
      <c r="E1588" s="489"/>
      <c r="F1588" s="489"/>
      <c r="G1588" s="233" t="s">
        <v>44</v>
      </c>
      <c r="H1588" s="515" t="s">
        <v>1837</v>
      </c>
      <c r="I1588" s="515"/>
      <c r="J1588" s="515" t="s">
        <v>1881</v>
      </c>
      <c r="K1588" s="515"/>
      <c r="L1588" s="169" t="s">
        <v>1882</v>
      </c>
    </row>
    <row r="1589" spans="1:12" ht="15" customHeight="1" x14ac:dyDescent="0.25">
      <c r="A1589" s="170" t="s">
        <v>3669</v>
      </c>
      <c r="B1589" s="492" t="s">
        <v>3670</v>
      </c>
      <c r="C1589" s="492"/>
      <c r="D1589" s="492"/>
      <c r="E1589" s="492"/>
      <c r="F1589" s="492"/>
      <c r="G1589" s="127" t="s">
        <v>188</v>
      </c>
      <c r="H1589" s="524">
        <v>1.02</v>
      </c>
      <c r="I1589" s="524"/>
      <c r="J1589" s="525">
        <v>1.61</v>
      </c>
      <c r="K1589" s="525"/>
      <c r="L1589" s="171">
        <f>TRUNC(TRUNC(H1589,8)*J1589,2)</f>
        <v>1.64</v>
      </c>
    </row>
    <row r="1590" spans="1:12" ht="15" customHeight="1" x14ac:dyDescent="0.25">
      <c r="A1590" s="184"/>
      <c r="B1590" s="141"/>
      <c r="C1590" s="141"/>
      <c r="D1590" s="141"/>
      <c r="E1590" s="141"/>
      <c r="F1590" s="141"/>
      <c r="G1590" s="141"/>
      <c r="H1590" s="491" t="s">
        <v>1889</v>
      </c>
      <c r="I1590" s="491"/>
      <c r="J1590" s="491"/>
      <c r="K1590" s="491"/>
      <c r="L1590" s="375">
        <f>SUM(L1589:L1589)</f>
        <v>1.64</v>
      </c>
    </row>
    <row r="1591" spans="1:12" ht="15" customHeight="1" x14ac:dyDescent="0.25">
      <c r="A1591" s="182"/>
      <c r="B1591" s="183"/>
      <c r="C1591" s="183"/>
      <c r="D1591" s="183"/>
      <c r="E1591" s="183"/>
      <c r="F1591" s="183"/>
      <c r="G1591" s="183"/>
      <c r="H1591" s="482" t="s">
        <v>1848</v>
      </c>
      <c r="I1591" s="482"/>
      <c r="J1591" s="482"/>
      <c r="K1591" s="482"/>
      <c r="L1591" s="371">
        <f>SUM(L1587,L1590)</f>
        <v>6.43</v>
      </c>
    </row>
    <row r="1592" spans="1:12" ht="15" customHeight="1" x14ac:dyDescent="0.25">
      <c r="A1592" s="182"/>
      <c r="B1592" s="183"/>
      <c r="C1592" s="183"/>
      <c r="D1592" s="183"/>
      <c r="E1592" s="183"/>
      <c r="F1592" s="183"/>
      <c r="G1592" s="183"/>
      <c r="H1592" s="482" t="s">
        <v>1834</v>
      </c>
      <c r="I1592" s="482"/>
      <c r="J1592" s="482"/>
      <c r="K1592" s="482"/>
      <c r="L1592" s="369">
        <f>ROUND(SUM(L1591),2)</f>
        <v>6.43</v>
      </c>
    </row>
    <row r="1593" spans="1:12" ht="9.9499999999999993" customHeight="1" x14ac:dyDescent="0.25">
      <c r="A1593" s="182"/>
      <c r="B1593" s="183"/>
      <c r="C1593" s="183"/>
      <c r="D1593" s="183"/>
      <c r="E1593" s="183"/>
      <c r="F1593" s="183"/>
      <c r="G1593" s="183"/>
      <c r="H1593" s="485"/>
      <c r="I1593" s="485"/>
      <c r="J1593" s="485"/>
      <c r="K1593" s="485"/>
      <c r="L1593" s="512"/>
    </row>
    <row r="1594" spans="1:12" ht="20.100000000000001" customHeight="1" x14ac:dyDescent="0.25">
      <c r="A1594" s="486" t="s">
        <v>3671</v>
      </c>
      <c r="B1594" s="487"/>
      <c r="C1594" s="487"/>
      <c r="D1594" s="487"/>
      <c r="E1594" s="487"/>
      <c r="F1594" s="487"/>
      <c r="G1594" s="487"/>
      <c r="H1594" s="487"/>
      <c r="I1594" s="487"/>
      <c r="J1594" s="487"/>
      <c r="K1594" s="487"/>
      <c r="L1594" s="513"/>
    </row>
    <row r="1595" spans="1:12" ht="20.100000000000001" customHeight="1" x14ac:dyDescent="0.25">
      <c r="A1595" s="488" t="s">
        <v>1836</v>
      </c>
      <c r="B1595" s="489"/>
      <c r="C1595" s="489"/>
      <c r="D1595" s="489"/>
      <c r="E1595" s="489"/>
      <c r="F1595" s="489"/>
      <c r="G1595" s="233" t="s">
        <v>44</v>
      </c>
      <c r="H1595" s="515" t="s">
        <v>1837</v>
      </c>
      <c r="I1595" s="515"/>
      <c r="J1595" s="515" t="s">
        <v>1838</v>
      </c>
      <c r="K1595" s="515"/>
      <c r="L1595" s="169" t="s">
        <v>1839</v>
      </c>
    </row>
    <row r="1596" spans="1:12" ht="15" customHeight="1" x14ac:dyDescent="0.25">
      <c r="A1596" s="170" t="s">
        <v>1840</v>
      </c>
      <c r="B1596" s="490" t="s">
        <v>1841</v>
      </c>
      <c r="C1596" s="490"/>
      <c r="D1596" s="490"/>
      <c r="E1596" s="490"/>
      <c r="F1596" s="490"/>
      <c r="G1596" s="127" t="s">
        <v>1024</v>
      </c>
      <c r="H1596" s="524">
        <v>0.11</v>
      </c>
      <c r="I1596" s="524"/>
      <c r="J1596" s="517">
        <v>21.94</v>
      </c>
      <c r="K1596" s="517"/>
      <c r="L1596" s="370">
        <f>TRUNC(TRUNC(H1596,8)*J1596,2)</f>
        <v>2.41</v>
      </c>
    </row>
    <row r="1597" spans="1:12" ht="15" customHeight="1" x14ac:dyDescent="0.25">
      <c r="A1597" s="170" t="s">
        <v>2178</v>
      </c>
      <c r="B1597" s="490" t="s">
        <v>2179</v>
      </c>
      <c r="C1597" s="490"/>
      <c r="D1597" s="490"/>
      <c r="E1597" s="490"/>
      <c r="F1597" s="490"/>
      <c r="G1597" s="127" t="s">
        <v>1024</v>
      </c>
      <c r="H1597" s="524">
        <v>0.11</v>
      </c>
      <c r="I1597" s="524"/>
      <c r="J1597" s="517">
        <v>26.03</v>
      </c>
      <c r="K1597" s="517"/>
      <c r="L1597" s="370">
        <f>TRUNC(TRUNC(H1597,8)*J1597,2)</f>
        <v>2.86</v>
      </c>
    </row>
    <row r="1598" spans="1:12" ht="15" customHeight="1" x14ac:dyDescent="0.25">
      <c r="A1598" s="184"/>
      <c r="B1598" s="141"/>
      <c r="C1598" s="141"/>
      <c r="D1598" s="141"/>
      <c r="E1598" s="141"/>
      <c r="F1598" s="141"/>
      <c r="G1598" s="141"/>
      <c r="H1598" s="491" t="s">
        <v>1844</v>
      </c>
      <c r="I1598" s="491"/>
      <c r="J1598" s="491"/>
      <c r="K1598" s="491"/>
      <c r="L1598" s="369">
        <f>SUM(L1596:L1597)</f>
        <v>5.27</v>
      </c>
    </row>
    <row r="1599" spans="1:12" ht="15" customHeight="1" x14ac:dyDescent="0.25">
      <c r="A1599" s="182"/>
      <c r="B1599" s="183"/>
      <c r="C1599" s="183"/>
      <c r="D1599" s="183"/>
      <c r="E1599" s="183"/>
      <c r="F1599" s="183"/>
      <c r="G1599" s="183"/>
      <c r="H1599" s="482" t="s">
        <v>1845</v>
      </c>
      <c r="I1599" s="482"/>
      <c r="J1599" s="482"/>
      <c r="K1599" s="482"/>
      <c r="L1599" s="371">
        <f>SUM(L1598)</f>
        <v>5.27</v>
      </c>
    </row>
    <row r="1600" spans="1:12" ht="15" customHeight="1" x14ac:dyDescent="0.25">
      <c r="A1600" s="182"/>
      <c r="B1600" s="183"/>
      <c r="C1600" s="183"/>
      <c r="D1600" s="183"/>
      <c r="E1600" s="183"/>
      <c r="F1600" s="183"/>
      <c r="G1600" s="183"/>
      <c r="H1600" s="482" t="s">
        <v>1846</v>
      </c>
      <c r="I1600" s="482"/>
      <c r="J1600" s="482"/>
      <c r="K1600" s="482"/>
      <c r="L1600" s="374">
        <v>1</v>
      </c>
    </row>
    <row r="1601" spans="1:12" ht="15" customHeight="1" x14ac:dyDescent="0.25">
      <c r="A1601" s="182"/>
      <c r="B1601" s="183"/>
      <c r="C1601" s="183"/>
      <c r="D1601" s="183"/>
      <c r="E1601" s="183"/>
      <c r="F1601" s="183"/>
      <c r="G1601" s="183"/>
      <c r="H1601" s="482" t="s">
        <v>1847</v>
      </c>
      <c r="I1601" s="482"/>
      <c r="J1601" s="482"/>
      <c r="K1601" s="482"/>
      <c r="L1601" s="371">
        <f>TRUNC(L1599/L1600,4)</f>
        <v>5.27</v>
      </c>
    </row>
    <row r="1602" spans="1:12" ht="20.100000000000001" customHeight="1" x14ac:dyDescent="0.25">
      <c r="A1602" s="488" t="s">
        <v>1880</v>
      </c>
      <c r="B1602" s="489"/>
      <c r="C1602" s="489"/>
      <c r="D1602" s="489"/>
      <c r="E1602" s="489"/>
      <c r="F1602" s="489"/>
      <c r="G1602" s="233" t="s">
        <v>44</v>
      </c>
      <c r="H1602" s="515" t="s">
        <v>1837</v>
      </c>
      <c r="I1602" s="515"/>
      <c r="J1602" s="515" t="s">
        <v>1881</v>
      </c>
      <c r="K1602" s="515"/>
      <c r="L1602" s="169" t="s">
        <v>1882</v>
      </c>
    </row>
    <row r="1603" spans="1:12" ht="15" customHeight="1" x14ac:dyDescent="0.25">
      <c r="A1603" s="170" t="s">
        <v>3345</v>
      </c>
      <c r="B1603" s="492" t="s">
        <v>3346</v>
      </c>
      <c r="C1603" s="492"/>
      <c r="D1603" s="492"/>
      <c r="E1603" s="492"/>
      <c r="F1603" s="492"/>
      <c r="G1603" s="127" t="s">
        <v>188</v>
      </c>
      <c r="H1603" s="524">
        <v>1.02</v>
      </c>
      <c r="I1603" s="524"/>
      <c r="J1603" s="525">
        <v>4.17</v>
      </c>
      <c r="K1603" s="525"/>
      <c r="L1603" s="171">
        <f>TRUNC(TRUNC(H1603,8)*J1603,2)</f>
        <v>4.25</v>
      </c>
    </row>
    <row r="1604" spans="1:12" ht="15" customHeight="1" x14ac:dyDescent="0.25">
      <c r="A1604" s="184"/>
      <c r="B1604" s="141"/>
      <c r="C1604" s="141"/>
      <c r="D1604" s="141"/>
      <c r="E1604" s="141"/>
      <c r="F1604" s="141"/>
      <c r="G1604" s="141"/>
      <c r="H1604" s="491" t="s">
        <v>1889</v>
      </c>
      <c r="I1604" s="491"/>
      <c r="J1604" s="491"/>
      <c r="K1604" s="491"/>
      <c r="L1604" s="375">
        <f>SUM(L1603:L1603)</f>
        <v>4.25</v>
      </c>
    </row>
    <row r="1605" spans="1:12" ht="15" customHeight="1" x14ac:dyDescent="0.25">
      <c r="A1605" s="182"/>
      <c r="B1605" s="183"/>
      <c r="C1605" s="183"/>
      <c r="D1605" s="183"/>
      <c r="E1605" s="183"/>
      <c r="F1605" s="183"/>
      <c r="G1605" s="183"/>
      <c r="H1605" s="482" t="s">
        <v>1848</v>
      </c>
      <c r="I1605" s="482"/>
      <c r="J1605" s="482"/>
      <c r="K1605" s="482"/>
      <c r="L1605" s="371">
        <f>SUM(L1601,L1604)</f>
        <v>9.52</v>
      </c>
    </row>
    <row r="1606" spans="1:12" ht="15" customHeight="1" x14ac:dyDescent="0.25">
      <c r="A1606" s="182"/>
      <c r="B1606" s="183"/>
      <c r="C1606" s="183"/>
      <c r="D1606" s="183"/>
      <c r="E1606" s="183"/>
      <c r="F1606" s="183"/>
      <c r="G1606" s="183"/>
      <c r="H1606" s="482" t="s">
        <v>1834</v>
      </c>
      <c r="I1606" s="482"/>
      <c r="J1606" s="482"/>
      <c r="K1606" s="482"/>
      <c r="L1606" s="369">
        <f>ROUND(SUM(L1605),2)</f>
        <v>9.52</v>
      </c>
    </row>
    <row r="1607" spans="1:12" ht="9.9499999999999993" customHeight="1" x14ac:dyDescent="0.25">
      <c r="A1607" s="182"/>
      <c r="B1607" s="183"/>
      <c r="C1607" s="183"/>
      <c r="D1607" s="183"/>
      <c r="E1607" s="183"/>
      <c r="F1607" s="183"/>
      <c r="G1607" s="183"/>
      <c r="H1607" s="485"/>
      <c r="I1607" s="485"/>
      <c r="J1607" s="485"/>
      <c r="K1607" s="485"/>
      <c r="L1607" s="512"/>
    </row>
    <row r="1608" spans="1:12" ht="20.100000000000001" customHeight="1" x14ac:dyDescent="0.25">
      <c r="A1608" s="486" t="s">
        <v>3672</v>
      </c>
      <c r="B1608" s="487"/>
      <c r="C1608" s="487"/>
      <c r="D1608" s="487"/>
      <c r="E1608" s="487"/>
      <c r="F1608" s="487"/>
      <c r="G1608" s="487"/>
      <c r="H1608" s="487"/>
      <c r="I1608" s="487"/>
      <c r="J1608" s="487"/>
      <c r="K1608" s="487"/>
      <c r="L1608" s="513"/>
    </row>
    <row r="1609" spans="1:12" ht="20.100000000000001" customHeight="1" x14ac:dyDescent="0.25">
      <c r="A1609" s="488" t="s">
        <v>1836</v>
      </c>
      <c r="B1609" s="489"/>
      <c r="C1609" s="489"/>
      <c r="D1609" s="489"/>
      <c r="E1609" s="489"/>
      <c r="F1609" s="489"/>
      <c r="G1609" s="233" t="s">
        <v>44</v>
      </c>
      <c r="H1609" s="515" t="s">
        <v>1837</v>
      </c>
      <c r="I1609" s="515"/>
      <c r="J1609" s="515" t="s">
        <v>1838</v>
      </c>
      <c r="K1609" s="515"/>
      <c r="L1609" s="169" t="s">
        <v>1839</v>
      </c>
    </row>
    <row r="1610" spans="1:12" ht="15" customHeight="1" x14ac:dyDescent="0.25">
      <c r="A1610" s="170" t="s">
        <v>1840</v>
      </c>
      <c r="B1610" s="490" t="s">
        <v>1841</v>
      </c>
      <c r="C1610" s="490"/>
      <c r="D1610" s="490"/>
      <c r="E1610" s="490"/>
      <c r="F1610" s="490"/>
      <c r="G1610" s="127" t="s">
        <v>1024</v>
      </c>
      <c r="H1610" s="524">
        <v>0.11</v>
      </c>
      <c r="I1610" s="524"/>
      <c r="J1610" s="517">
        <v>21.94</v>
      </c>
      <c r="K1610" s="517"/>
      <c r="L1610" s="370">
        <f>TRUNC(TRUNC(H1610,8)*J1610,2)</f>
        <v>2.41</v>
      </c>
    </row>
    <row r="1611" spans="1:12" ht="15" customHeight="1" x14ac:dyDescent="0.25">
      <c r="A1611" s="170" t="s">
        <v>2178</v>
      </c>
      <c r="B1611" s="490" t="s">
        <v>2179</v>
      </c>
      <c r="C1611" s="490"/>
      <c r="D1611" s="490"/>
      <c r="E1611" s="490"/>
      <c r="F1611" s="490"/>
      <c r="G1611" s="127" t="s">
        <v>1024</v>
      </c>
      <c r="H1611" s="524">
        <v>0.11</v>
      </c>
      <c r="I1611" s="524"/>
      <c r="J1611" s="517">
        <v>26.03</v>
      </c>
      <c r="K1611" s="517"/>
      <c r="L1611" s="370">
        <f>TRUNC(TRUNC(H1611,8)*J1611,2)</f>
        <v>2.86</v>
      </c>
    </row>
    <row r="1612" spans="1:12" ht="15" customHeight="1" x14ac:dyDescent="0.25">
      <c r="A1612" s="184"/>
      <c r="B1612" s="141"/>
      <c r="C1612" s="141"/>
      <c r="D1612" s="141"/>
      <c r="E1612" s="141"/>
      <c r="F1612" s="141"/>
      <c r="G1612" s="141"/>
      <c r="H1612" s="491" t="s">
        <v>1844</v>
      </c>
      <c r="I1612" s="491"/>
      <c r="J1612" s="491"/>
      <c r="K1612" s="491"/>
      <c r="L1612" s="369">
        <f>SUM(L1610:L1611)</f>
        <v>5.27</v>
      </c>
    </row>
    <row r="1613" spans="1:12" ht="15" customHeight="1" x14ac:dyDescent="0.25">
      <c r="A1613" s="182"/>
      <c r="B1613" s="183"/>
      <c r="C1613" s="183"/>
      <c r="D1613" s="183"/>
      <c r="E1613" s="183"/>
      <c r="F1613" s="183"/>
      <c r="G1613" s="183"/>
      <c r="H1613" s="482" t="s">
        <v>1845</v>
      </c>
      <c r="I1613" s="482"/>
      <c r="J1613" s="482"/>
      <c r="K1613" s="482"/>
      <c r="L1613" s="371">
        <f>SUM(L1612)</f>
        <v>5.27</v>
      </c>
    </row>
    <row r="1614" spans="1:12" ht="15" customHeight="1" x14ac:dyDescent="0.25">
      <c r="A1614" s="182"/>
      <c r="B1614" s="183"/>
      <c r="C1614" s="183"/>
      <c r="D1614" s="183"/>
      <c r="E1614" s="183"/>
      <c r="F1614" s="183"/>
      <c r="G1614" s="183"/>
      <c r="H1614" s="482" t="s">
        <v>1846</v>
      </c>
      <c r="I1614" s="482"/>
      <c r="J1614" s="482"/>
      <c r="K1614" s="482"/>
      <c r="L1614" s="374">
        <v>1</v>
      </c>
    </row>
    <row r="1615" spans="1:12" ht="15" customHeight="1" x14ac:dyDescent="0.25">
      <c r="A1615" s="182"/>
      <c r="B1615" s="183"/>
      <c r="C1615" s="183"/>
      <c r="D1615" s="183"/>
      <c r="E1615" s="183"/>
      <c r="F1615" s="183"/>
      <c r="G1615" s="183"/>
      <c r="H1615" s="482" t="s">
        <v>1847</v>
      </c>
      <c r="I1615" s="482"/>
      <c r="J1615" s="482"/>
      <c r="K1615" s="482"/>
      <c r="L1615" s="371">
        <f>TRUNC(L1613/L1614,4)</f>
        <v>5.27</v>
      </c>
    </row>
    <row r="1616" spans="1:12" ht="20.100000000000001" customHeight="1" x14ac:dyDescent="0.25">
      <c r="A1616" s="488" t="s">
        <v>1880</v>
      </c>
      <c r="B1616" s="489"/>
      <c r="C1616" s="489"/>
      <c r="D1616" s="489"/>
      <c r="E1616" s="489"/>
      <c r="F1616" s="489"/>
      <c r="G1616" s="233" t="s">
        <v>44</v>
      </c>
      <c r="H1616" s="515" t="s">
        <v>1837</v>
      </c>
      <c r="I1616" s="515"/>
      <c r="J1616" s="515" t="s">
        <v>1881</v>
      </c>
      <c r="K1616" s="515"/>
      <c r="L1616" s="169" t="s">
        <v>1882</v>
      </c>
    </row>
    <row r="1617" spans="1:12" ht="15" customHeight="1" x14ac:dyDescent="0.25">
      <c r="A1617" s="170" t="s">
        <v>3278</v>
      </c>
      <c r="B1617" s="492" t="s">
        <v>3279</v>
      </c>
      <c r="C1617" s="492"/>
      <c r="D1617" s="492"/>
      <c r="E1617" s="492"/>
      <c r="F1617" s="492"/>
      <c r="G1617" s="127" t="s">
        <v>188</v>
      </c>
      <c r="H1617" s="524">
        <v>1.02</v>
      </c>
      <c r="I1617" s="524"/>
      <c r="J1617" s="525">
        <v>2.54</v>
      </c>
      <c r="K1617" s="525"/>
      <c r="L1617" s="171">
        <f>TRUNC(TRUNC(H1617,8)*J1617,2)</f>
        <v>2.59</v>
      </c>
    </row>
    <row r="1618" spans="1:12" ht="15" customHeight="1" x14ac:dyDescent="0.25">
      <c r="A1618" s="184"/>
      <c r="B1618" s="141"/>
      <c r="C1618" s="141"/>
      <c r="D1618" s="141"/>
      <c r="E1618" s="141"/>
      <c r="F1618" s="141"/>
      <c r="G1618" s="141"/>
      <c r="H1618" s="491" t="s">
        <v>1889</v>
      </c>
      <c r="I1618" s="491"/>
      <c r="J1618" s="491"/>
      <c r="K1618" s="491"/>
      <c r="L1618" s="375">
        <f>SUM(L1617:L1617)</f>
        <v>2.59</v>
      </c>
    </row>
    <row r="1619" spans="1:12" ht="15" customHeight="1" x14ac:dyDescent="0.25">
      <c r="A1619" s="182"/>
      <c r="B1619" s="183"/>
      <c r="C1619" s="183"/>
      <c r="D1619" s="183"/>
      <c r="E1619" s="183"/>
      <c r="F1619" s="183"/>
      <c r="G1619" s="183"/>
      <c r="H1619" s="482" t="s">
        <v>1848</v>
      </c>
      <c r="I1619" s="482"/>
      <c r="J1619" s="482"/>
      <c r="K1619" s="482"/>
      <c r="L1619" s="371">
        <f>SUM(L1615,L1618)</f>
        <v>7.8599999999999994</v>
      </c>
    </row>
    <row r="1620" spans="1:12" ht="15" customHeight="1" x14ac:dyDescent="0.25">
      <c r="A1620" s="182"/>
      <c r="B1620" s="183"/>
      <c r="C1620" s="183"/>
      <c r="D1620" s="183"/>
      <c r="E1620" s="183"/>
      <c r="F1620" s="183"/>
      <c r="G1620" s="183"/>
      <c r="H1620" s="482" t="s">
        <v>1834</v>
      </c>
      <c r="I1620" s="482"/>
      <c r="J1620" s="482"/>
      <c r="K1620" s="482"/>
      <c r="L1620" s="369">
        <f>ROUND(SUM(L1619),2)</f>
        <v>7.86</v>
      </c>
    </row>
    <row r="1621" spans="1:12" ht="9.9499999999999993" customHeight="1" x14ac:dyDescent="0.25">
      <c r="A1621" s="182"/>
      <c r="B1621" s="183"/>
      <c r="C1621" s="183"/>
      <c r="D1621" s="183"/>
      <c r="E1621" s="183"/>
      <c r="F1621" s="183"/>
      <c r="G1621" s="183"/>
      <c r="H1621" s="485"/>
      <c r="I1621" s="485"/>
      <c r="J1621" s="485"/>
      <c r="K1621" s="485"/>
      <c r="L1621" s="512"/>
    </row>
    <row r="1622" spans="1:12" ht="20.100000000000001" customHeight="1" x14ac:dyDescent="0.25">
      <c r="A1622" s="486" t="s">
        <v>3673</v>
      </c>
      <c r="B1622" s="487"/>
      <c r="C1622" s="487"/>
      <c r="D1622" s="487"/>
      <c r="E1622" s="487"/>
      <c r="F1622" s="487"/>
      <c r="G1622" s="487"/>
      <c r="H1622" s="487"/>
      <c r="I1622" s="487"/>
      <c r="J1622" s="487"/>
      <c r="K1622" s="487"/>
      <c r="L1622" s="513"/>
    </row>
    <row r="1623" spans="1:12" ht="20.100000000000001" customHeight="1" x14ac:dyDescent="0.25">
      <c r="A1623" s="488" t="s">
        <v>1836</v>
      </c>
      <c r="B1623" s="489"/>
      <c r="C1623" s="489"/>
      <c r="D1623" s="489"/>
      <c r="E1623" s="489"/>
      <c r="F1623" s="489"/>
      <c r="G1623" s="233" t="s">
        <v>44</v>
      </c>
      <c r="H1623" s="515" t="s">
        <v>1837</v>
      </c>
      <c r="I1623" s="515"/>
      <c r="J1623" s="515" t="s">
        <v>1838</v>
      </c>
      <c r="K1623" s="515"/>
      <c r="L1623" s="169" t="s">
        <v>1839</v>
      </c>
    </row>
    <row r="1624" spans="1:12" ht="15" customHeight="1" x14ac:dyDescent="0.25">
      <c r="A1624" s="170" t="s">
        <v>1840</v>
      </c>
      <c r="B1624" s="490" t="s">
        <v>1841</v>
      </c>
      <c r="C1624" s="490"/>
      <c r="D1624" s="490"/>
      <c r="E1624" s="490"/>
      <c r="F1624" s="490"/>
      <c r="G1624" s="127" t="s">
        <v>1024</v>
      </c>
      <c r="H1624" s="524">
        <v>0.13</v>
      </c>
      <c r="I1624" s="524"/>
      <c r="J1624" s="517">
        <v>21.94</v>
      </c>
      <c r="K1624" s="517"/>
      <c r="L1624" s="370">
        <f>TRUNC(TRUNC(H1624,8)*J1624,2)</f>
        <v>2.85</v>
      </c>
    </row>
    <row r="1625" spans="1:12" ht="15" customHeight="1" x14ac:dyDescent="0.25">
      <c r="A1625" s="170" t="s">
        <v>2178</v>
      </c>
      <c r="B1625" s="490" t="s">
        <v>2179</v>
      </c>
      <c r="C1625" s="490"/>
      <c r="D1625" s="490"/>
      <c r="E1625" s="490"/>
      <c r="F1625" s="490"/>
      <c r="G1625" s="127" t="s">
        <v>1024</v>
      </c>
      <c r="H1625" s="524">
        <v>0.13</v>
      </c>
      <c r="I1625" s="524"/>
      <c r="J1625" s="517">
        <v>26.03</v>
      </c>
      <c r="K1625" s="517"/>
      <c r="L1625" s="370">
        <f>TRUNC(TRUNC(H1625,8)*J1625,2)</f>
        <v>3.38</v>
      </c>
    </row>
    <row r="1626" spans="1:12" ht="15" customHeight="1" x14ac:dyDescent="0.25">
      <c r="A1626" s="184"/>
      <c r="B1626" s="141"/>
      <c r="C1626" s="141"/>
      <c r="D1626" s="141"/>
      <c r="E1626" s="141"/>
      <c r="F1626" s="141"/>
      <c r="G1626" s="141"/>
      <c r="H1626" s="491" t="s">
        <v>1844</v>
      </c>
      <c r="I1626" s="491"/>
      <c r="J1626" s="491"/>
      <c r="K1626" s="491"/>
      <c r="L1626" s="369">
        <f>SUM(L1624:L1625)</f>
        <v>6.23</v>
      </c>
    </row>
    <row r="1627" spans="1:12" ht="15" customHeight="1" x14ac:dyDescent="0.25">
      <c r="A1627" s="182"/>
      <c r="B1627" s="183"/>
      <c r="C1627" s="183"/>
      <c r="D1627" s="183"/>
      <c r="E1627" s="183"/>
      <c r="F1627" s="183"/>
      <c r="G1627" s="183"/>
      <c r="H1627" s="482" t="s">
        <v>1845</v>
      </c>
      <c r="I1627" s="482"/>
      <c r="J1627" s="482"/>
      <c r="K1627" s="482"/>
      <c r="L1627" s="371">
        <f>SUM(L1626)</f>
        <v>6.23</v>
      </c>
    </row>
    <row r="1628" spans="1:12" ht="15" customHeight="1" x14ac:dyDescent="0.25">
      <c r="A1628" s="182"/>
      <c r="B1628" s="183"/>
      <c r="C1628" s="183"/>
      <c r="D1628" s="183"/>
      <c r="E1628" s="183"/>
      <c r="F1628" s="183"/>
      <c r="G1628" s="183"/>
      <c r="H1628" s="482" t="s">
        <v>1846</v>
      </c>
      <c r="I1628" s="482"/>
      <c r="J1628" s="482"/>
      <c r="K1628" s="482"/>
      <c r="L1628" s="374">
        <v>1</v>
      </c>
    </row>
    <row r="1629" spans="1:12" ht="15" customHeight="1" x14ac:dyDescent="0.25">
      <c r="A1629" s="182"/>
      <c r="B1629" s="183"/>
      <c r="C1629" s="183"/>
      <c r="D1629" s="183"/>
      <c r="E1629" s="183"/>
      <c r="F1629" s="183"/>
      <c r="G1629" s="183"/>
      <c r="H1629" s="482" t="s">
        <v>1847</v>
      </c>
      <c r="I1629" s="482"/>
      <c r="J1629" s="482"/>
      <c r="K1629" s="482"/>
      <c r="L1629" s="371">
        <f>TRUNC(L1627/L1628,4)</f>
        <v>6.23</v>
      </c>
    </row>
    <row r="1630" spans="1:12" ht="20.100000000000001" customHeight="1" x14ac:dyDescent="0.25">
      <c r="A1630" s="488" t="s">
        <v>1880</v>
      </c>
      <c r="B1630" s="489"/>
      <c r="C1630" s="489"/>
      <c r="D1630" s="489"/>
      <c r="E1630" s="489"/>
      <c r="F1630" s="489"/>
      <c r="G1630" s="233" t="s">
        <v>44</v>
      </c>
      <c r="H1630" s="515" t="s">
        <v>1837</v>
      </c>
      <c r="I1630" s="515"/>
      <c r="J1630" s="515" t="s">
        <v>1881</v>
      </c>
      <c r="K1630" s="515"/>
      <c r="L1630" s="169" t="s">
        <v>1882</v>
      </c>
    </row>
    <row r="1631" spans="1:12" ht="15" customHeight="1" x14ac:dyDescent="0.25">
      <c r="A1631" s="170" t="s">
        <v>3674</v>
      </c>
      <c r="B1631" s="492" t="s">
        <v>3675</v>
      </c>
      <c r="C1631" s="492"/>
      <c r="D1631" s="492"/>
      <c r="E1631" s="492"/>
      <c r="F1631" s="492"/>
      <c r="G1631" s="127" t="s">
        <v>188</v>
      </c>
      <c r="H1631" s="524">
        <v>1.02</v>
      </c>
      <c r="I1631" s="524"/>
      <c r="J1631" s="525">
        <v>6.22</v>
      </c>
      <c r="K1631" s="525"/>
      <c r="L1631" s="171">
        <f>TRUNC(TRUNC(H1631,8)*J1631,2)</f>
        <v>6.34</v>
      </c>
    </row>
    <row r="1632" spans="1:12" ht="15" customHeight="1" x14ac:dyDescent="0.25">
      <c r="A1632" s="184"/>
      <c r="B1632" s="141"/>
      <c r="C1632" s="141"/>
      <c r="D1632" s="141"/>
      <c r="E1632" s="141"/>
      <c r="F1632" s="141"/>
      <c r="G1632" s="141"/>
      <c r="H1632" s="491" t="s">
        <v>1889</v>
      </c>
      <c r="I1632" s="491"/>
      <c r="J1632" s="491"/>
      <c r="K1632" s="491"/>
      <c r="L1632" s="375">
        <f>SUM(L1631:L1631)</f>
        <v>6.34</v>
      </c>
    </row>
    <row r="1633" spans="1:12" ht="15" customHeight="1" x14ac:dyDescent="0.25">
      <c r="A1633" s="182"/>
      <c r="B1633" s="183"/>
      <c r="C1633" s="183"/>
      <c r="D1633" s="183"/>
      <c r="E1633" s="183"/>
      <c r="F1633" s="183"/>
      <c r="G1633" s="183"/>
      <c r="H1633" s="482" t="s">
        <v>1848</v>
      </c>
      <c r="I1633" s="482"/>
      <c r="J1633" s="482"/>
      <c r="K1633" s="482"/>
      <c r="L1633" s="371">
        <f>SUM(L1629,L1632)</f>
        <v>12.57</v>
      </c>
    </row>
    <row r="1634" spans="1:12" ht="15" customHeight="1" x14ac:dyDescent="0.25">
      <c r="A1634" s="182"/>
      <c r="B1634" s="183"/>
      <c r="C1634" s="183"/>
      <c r="D1634" s="183"/>
      <c r="E1634" s="183"/>
      <c r="F1634" s="183"/>
      <c r="G1634" s="183"/>
      <c r="H1634" s="482" t="s">
        <v>1834</v>
      </c>
      <c r="I1634" s="482"/>
      <c r="J1634" s="482"/>
      <c r="K1634" s="482"/>
      <c r="L1634" s="369">
        <f>ROUND(SUM(L1633),2)</f>
        <v>12.57</v>
      </c>
    </row>
    <row r="1635" spans="1:12" ht="9.9499999999999993" customHeight="1" x14ac:dyDescent="0.25">
      <c r="A1635" s="182"/>
      <c r="B1635" s="183"/>
      <c r="C1635" s="183"/>
      <c r="D1635" s="183"/>
      <c r="E1635" s="183"/>
      <c r="F1635" s="183"/>
      <c r="G1635" s="183"/>
      <c r="H1635" s="485"/>
      <c r="I1635" s="485"/>
      <c r="J1635" s="485"/>
      <c r="K1635" s="485"/>
      <c r="L1635" s="512"/>
    </row>
    <row r="1636" spans="1:12" ht="20.100000000000001" customHeight="1" x14ac:dyDescent="0.25">
      <c r="A1636" s="486" t="s">
        <v>3676</v>
      </c>
      <c r="B1636" s="487"/>
      <c r="C1636" s="487"/>
      <c r="D1636" s="487"/>
      <c r="E1636" s="487"/>
      <c r="F1636" s="487"/>
      <c r="G1636" s="487"/>
      <c r="H1636" s="487"/>
      <c r="I1636" s="487"/>
      <c r="J1636" s="487"/>
      <c r="K1636" s="487"/>
      <c r="L1636" s="513"/>
    </row>
    <row r="1637" spans="1:12" ht="20.100000000000001" customHeight="1" x14ac:dyDescent="0.25">
      <c r="A1637" s="488" t="s">
        <v>1836</v>
      </c>
      <c r="B1637" s="489"/>
      <c r="C1637" s="489"/>
      <c r="D1637" s="489"/>
      <c r="E1637" s="489"/>
      <c r="F1637" s="489"/>
      <c r="G1637" s="233" t="s">
        <v>44</v>
      </c>
      <c r="H1637" s="515" t="s">
        <v>1837</v>
      </c>
      <c r="I1637" s="515"/>
      <c r="J1637" s="515" t="s">
        <v>1838</v>
      </c>
      <c r="K1637" s="515"/>
      <c r="L1637" s="169" t="s">
        <v>1839</v>
      </c>
    </row>
    <row r="1638" spans="1:12" ht="15" customHeight="1" x14ac:dyDescent="0.25">
      <c r="A1638" s="170" t="s">
        <v>1840</v>
      </c>
      <c r="B1638" s="490" t="s">
        <v>1841</v>
      </c>
      <c r="C1638" s="490"/>
      <c r="D1638" s="490"/>
      <c r="E1638" s="490"/>
      <c r="F1638" s="490"/>
      <c r="G1638" s="127" t="s">
        <v>1024</v>
      </c>
      <c r="H1638" s="524">
        <v>0.14000000000000001</v>
      </c>
      <c r="I1638" s="524"/>
      <c r="J1638" s="517">
        <v>21.94</v>
      </c>
      <c r="K1638" s="517"/>
      <c r="L1638" s="370">
        <f>TRUNC(TRUNC(H1638,8)*J1638,2)</f>
        <v>3.07</v>
      </c>
    </row>
    <row r="1639" spans="1:12" ht="15" customHeight="1" x14ac:dyDescent="0.25">
      <c r="A1639" s="170" t="s">
        <v>2178</v>
      </c>
      <c r="B1639" s="490" t="s">
        <v>2179</v>
      </c>
      <c r="C1639" s="490"/>
      <c r="D1639" s="490"/>
      <c r="E1639" s="490"/>
      <c r="F1639" s="490"/>
      <c r="G1639" s="127" t="s">
        <v>1024</v>
      </c>
      <c r="H1639" s="524">
        <v>0.14000000000000001</v>
      </c>
      <c r="I1639" s="524"/>
      <c r="J1639" s="517">
        <v>26.03</v>
      </c>
      <c r="K1639" s="517"/>
      <c r="L1639" s="370">
        <f>TRUNC(TRUNC(H1639,8)*J1639,2)</f>
        <v>3.64</v>
      </c>
    </row>
    <row r="1640" spans="1:12" ht="15" customHeight="1" x14ac:dyDescent="0.25">
      <c r="A1640" s="184"/>
      <c r="B1640" s="141"/>
      <c r="C1640" s="141"/>
      <c r="D1640" s="141"/>
      <c r="E1640" s="141"/>
      <c r="F1640" s="141"/>
      <c r="G1640" s="141"/>
      <c r="H1640" s="491" t="s">
        <v>1844</v>
      </c>
      <c r="I1640" s="491"/>
      <c r="J1640" s="491"/>
      <c r="K1640" s="491"/>
      <c r="L1640" s="369">
        <f>SUM(L1638:L1639)</f>
        <v>6.71</v>
      </c>
    </row>
    <row r="1641" spans="1:12" ht="15" customHeight="1" x14ac:dyDescent="0.25">
      <c r="A1641" s="182"/>
      <c r="B1641" s="183"/>
      <c r="C1641" s="183"/>
      <c r="D1641" s="183"/>
      <c r="E1641" s="183"/>
      <c r="F1641" s="183"/>
      <c r="G1641" s="183"/>
      <c r="H1641" s="482" t="s">
        <v>1845</v>
      </c>
      <c r="I1641" s="482"/>
      <c r="J1641" s="482"/>
      <c r="K1641" s="482"/>
      <c r="L1641" s="371">
        <f>SUM(L1640)</f>
        <v>6.71</v>
      </c>
    </row>
    <row r="1642" spans="1:12" ht="15" customHeight="1" x14ac:dyDescent="0.25">
      <c r="A1642" s="182"/>
      <c r="B1642" s="183"/>
      <c r="C1642" s="183"/>
      <c r="D1642" s="183"/>
      <c r="E1642" s="183"/>
      <c r="F1642" s="183"/>
      <c r="G1642" s="183"/>
      <c r="H1642" s="482" t="s">
        <v>1846</v>
      </c>
      <c r="I1642" s="482"/>
      <c r="J1642" s="482"/>
      <c r="K1642" s="482"/>
      <c r="L1642" s="374">
        <v>1</v>
      </c>
    </row>
    <row r="1643" spans="1:12" ht="15" customHeight="1" x14ac:dyDescent="0.25">
      <c r="A1643" s="182"/>
      <c r="B1643" s="183"/>
      <c r="C1643" s="183"/>
      <c r="D1643" s="183"/>
      <c r="E1643" s="183"/>
      <c r="F1643" s="183"/>
      <c r="G1643" s="183"/>
      <c r="H1643" s="482" t="s">
        <v>1847</v>
      </c>
      <c r="I1643" s="482"/>
      <c r="J1643" s="482"/>
      <c r="K1643" s="482"/>
      <c r="L1643" s="371">
        <f>TRUNC(L1641/L1642,4)</f>
        <v>6.71</v>
      </c>
    </row>
    <row r="1644" spans="1:12" ht="20.100000000000001" customHeight="1" x14ac:dyDescent="0.25">
      <c r="A1644" s="488" t="s">
        <v>1880</v>
      </c>
      <c r="B1644" s="489"/>
      <c r="C1644" s="489"/>
      <c r="D1644" s="489"/>
      <c r="E1644" s="489"/>
      <c r="F1644" s="489"/>
      <c r="G1644" s="233" t="s">
        <v>44</v>
      </c>
      <c r="H1644" s="515" t="s">
        <v>1837</v>
      </c>
      <c r="I1644" s="515"/>
      <c r="J1644" s="515" t="s">
        <v>1881</v>
      </c>
      <c r="K1644" s="515"/>
      <c r="L1644" s="169" t="s">
        <v>1882</v>
      </c>
    </row>
    <row r="1645" spans="1:12" ht="15" customHeight="1" x14ac:dyDescent="0.25">
      <c r="A1645" s="170" t="s">
        <v>3677</v>
      </c>
      <c r="B1645" s="492" t="s">
        <v>3678</v>
      </c>
      <c r="C1645" s="492"/>
      <c r="D1645" s="492"/>
      <c r="E1645" s="492"/>
      <c r="F1645" s="492"/>
      <c r="G1645" s="127" t="s">
        <v>188</v>
      </c>
      <c r="H1645" s="524">
        <v>1.02</v>
      </c>
      <c r="I1645" s="524"/>
      <c r="J1645" s="525">
        <v>10.11</v>
      </c>
      <c r="K1645" s="525"/>
      <c r="L1645" s="171">
        <f>TRUNC(TRUNC(H1645,8)*J1645,2)</f>
        <v>10.31</v>
      </c>
    </row>
    <row r="1646" spans="1:12" ht="15" customHeight="1" x14ac:dyDescent="0.25">
      <c r="A1646" s="184"/>
      <c r="B1646" s="141"/>
      <c r="C1646" s="141"/>
      <c r="D1646" s="141"/>
      <c r="E1646" s="141"/>
      <c r="F1646" s="141"/>
      <c r="G1646" s="141"/>
      <c r="H1646" s="491" t="s">
        <v>1889</v>
      </c>
      <c r="I1646" s="491"/>
      <c r="J1646" s="491"/>
      <c r="K1646" s="491"/>
      <c r="L1646" s="375">
        <f>SUM(L1645:L1645)</f>
        <v>10.31</v>
      </c>
    </row>
    <row r="1647" spans="1:12" ht="15" customHeight="1" x14ac:dyDescent="0.25">
      <c r="A1647" s="182"/>
      <c r="B1647" s="183"/>
      <c r="C1647" s="183"/>
      <c r="D1647" s="183"/>
      <c r="E1647" s="183"/>
      <c r="F1647" s="183"/>
      <c r="G1647" s="183"/>
      <c r="H1647" s="482" t="s">
        <v>1848</v>
      </c>
      <c r="I1647" s="482"/>
      <c r="J1647" s="482"/>
      <c r="K1647" s="482"/>
      <c r="L1647" s="371">
        <f>SUM(L1643,L1646)</f>
        <v>17.02</v>
      </c>
    </row>
    <row r="1648" spans="1:12" ht="15" customHeight="1" x14ac:dyDescent="0.25">
      <c r="A1648" s="182"/>
      <c r="B1648" s="183"/>
      <c r="C1648" s="183"/>
      <c r="D1648" s="183"/>
      <c r="E1648" s="183"/>
      <c r="F1648" s="183"/>
      <c r="G1648" s="183"/>
      <c r="H1648" s="482" t="s">
        <v>1834</v>
      </c>
      <c r="I1648" s="482"/>
      <c r="J1648" s="482"/>
      <c r="K1648" s="482"/>
      <c r="L1648" s="369">
        <f>ROUND(SUM(L1647),2)</f>
        <v>17.02</v>
      </c>
    </row>
    <row r="1649" spans="1:12" ht="9.9499999999999993" customHeight="1" x14ac:dyDescent="0.25">
      <c r="A1649" s="182"/>
      <c r="B1649" s="183"/>
      <c r="C1649" s="183"/>
      <c r="D1649" s="183"/>
      <c r="E1649" s="183"/>
      <c r="F1649" s="183"/>
      <c r="G1649" s="183"/>
      <c r="H1649" s="485"/>
      <c r="I1649" s="485"/>
      <c r="J1649" s="485"/>
      <c r="K1649" s="485"/>
      <c r="L1649" s="512"/>
    </row>
    <row r="1650" spans="1:12" ht="20.100000000000001" customHeight="1" x14ac:dyDescent="0.25">
      <c r="A1650" s="486" t="s">
        <v>3679</v>
      </c>
      <c r="B1650" s="487"/>
      <c r="C1650" s="487"/>
      <c r="D1650" s="487"/>
      <c r="E1650" s="487"/>
      <c r="F1650" s="487"/>
      <c r="G1650" s="487"/>
      <c r="H1650" s="487"/>
      <c r="I1650" s="487"/>
      <c r="J1650" s="487"/>
      <c r="K1650" s="487"/>
      <c r="L1650" s="513"/>
    </row>
    <row r="1651" spans="1:12" ht="20.100000000000001" customHeight="1" x14ac:dyDescent="0.25">
      <c r="A1651" s="488" t="s">
        <v>1836</v>
      </c>
      <c r="B1651" s="489"/>
      <c r="C1651" s="489"/>
      <c r="D1651" s="489"/>
      <c r="E1651" s="489"/>
      <c r="F1651" s="489"/>
      <c r="G1651" s="233" t="s">
        <v>44</v>
      </c>
      <c r="H1651" s="515" t="s">
        <v>1837</v>
      </c>
      <c r="I1651" s="515"/>
      <c r="J1651" s="515" t="s">
        <v>1838</v>
      </c>
      <c r="K1651" s="515"/>
      <c r="L1651" s="169" t="s">
        <v>1839</v>
      </c>
    </row>
    <row r="1652" spans="1:12" ht="15" customHeight="1" x14ac:dyDescent="0.25">
      <c r="A1652" s="170" t="s">
        <v>1840</v>
      </c>
      <c r="B1652" s="490" t="s">
        <v>1841</v>
      </c>
      <c r="C1652" s="490"/>
      <c r="D1652" s="490"/>
      <c r="E1652" s="490"/>
      <c r="F1652" s="490"/>
      <c r="G1652" s="127" t="s">
        <v>1024</v>
      </c>
      <c r="H1652" s="524">
        <v>0.31</v>
      </c>
      <c r="I1652" s="524"/>
      <c r="J1652" s="517">
        <v>21.94</v>
      </c>
      <c r="K1652" s="517"/>
      <c r="L1652" s="370">
        <f>TRUNC(TRUNC(H1652,8)*J1652,2)</f>
        <v>6.8</v>
      </c>
    </row>
    <row r="1653" spans="1:12" ht="15" customHeight="1" x14ac:dyDescent="0.25">
      <c r="A1653" s="170" t="s">
        <v>2178</v>
      </c>
      <c r="B1653" s="490" t="s">
        <v>2179</v>
      </c>
      <c r="C1653" s="490"/>
      <c r="D1653" s="490"/>
      <c r="E1653" s="490"/>
      <c r="F1653" s="490"/>
      <c r="G1653" s="127" t="s">
        <v>1024</v>
      </c>
      <c r="H1653" s="524">
        <v>0.31</v>
      </c>
      <c r="I1653" s="524"/>
      <c r="J1653" s="517">
        <v>26.03</v>
      </c>
      <c r="K1653" s="517"/>
      <c r="L1653" s="370">
        <f>TRUNC(TRUNC(H1653,8)*J1653,2)</f>
        <v>8.06</v>
      </c>
    </row>
    <row r="1654" spans="1:12" ht="15" customHeight="1" x14ac:dyDescent="0.25">
      <c r="A1654" s="184"/>
      <c r="B1654" s="141"/>
      <c r="C1654" s="141"/>
      <c r="D1654" s="141"/>
      <c r="E1654" s="141"/>
      <c r="F1654" s="141"/>
      <c r="G1654" s="141"/>
      <c r="H1654" s="491" t="s">
        <v>1844</v>
      </c>
      <c r="I1654" s="491"/>
      <c r="J1654" s="491"/>
      <c r="K1654" s="491"/>
      <c r="L1654" s="369">
        <f>SUM(L1652:L1653)</f>
        <v>14.86</v>
      </c>
    </row>
    <row r="1655" spans="1:12" ht="15" customHeight="1" x14ac:dyDescent="0.25">
      <c r="A1655" s="182"/>
      <c r="B1655" s="183"/>
      <c r="C1655" s="183"/>
      <c r="D1655" s="183"/>
      <c r="E1655" s="183"/>
      <c r="F1655" s="183"/>
      <c r="G1655" s="183"/>
      <c r="H1655" s="482" t="s">
        <v>1845</v>
      </c>
      <c r="I1655" s="482"/>
      <c r="J1655" s="482"/>
      <c r="K1655" s="482"/>
      <c r="L1655" s="371">
        <f>SUM(L1654)</f>
        <v>14.86</v>
      </c>
    </row>
    <row r="1656" spans="1:12" ht="15" customHeight="1" x14ac:dyDescent="0.25">
      <c r="A1656" s="182"/>
      <c r="B1656" s="183"/>
      <c r="C1656" s="183"/>
      <c r="D1656" s="183"/>
      <c r="E1656" s="183"/>
      <c r="F1656" s="183"/>
      <c r="G1656" s="183"/>
      <c r="H1656" s="482" t="s">
        <v>1846</v>
      </c>
      <c r="I1656" s="482"/>
      <c r="J1656" s="482"/>
      <c r="K1656" s="482"/>
      <c r="L1656" s="374">
        <v>1</v>
      </c>
    </row>
    <row r="1657" spans="1:12" ht="15" customHeight="1" x14ac:dyDescent="0.25">
      <c r="A1657" s="182"/>
      <c r="B1657" s="183"/>
      <c r="C1657" s="183"/>
      <c r="D1657" s="183"/>
      <c r="E1657" s="183"/>
      <c r="F1657" s="183"/>
      <c r="G1657" s="183"/>
      <c r="H1657" s="482" t="s">
        <v>1847</v>
      </c>
      <c r="I1657" s="482"/>
      <c r="J1657" s="482"/>
      <c r="K1657" s="482"/>
      <c r="L1657" s="371">
        <f>TRUNC(L1655/L1656,4)</f>
        <v>14.86</v>
      </c>
    </row>
    <row r="1658" spans="1:12" ht="20.100000000000001" customHeight="1" x14ac:dyDescent="0.25">
      <c r="A1658" s="488" t="s">
        <v>1880</v>
      </c>
      <c r="B1658" s="489"/>
      <c r="C1658" s="489"/>
      <c r="D1658" s="489"/>
      <c r="E1658" s="489"/>
      <c r="F1658" s="489"/>
      <c r="G1658" s="233" t="s">
        <v>44</v>
      </c>
      <c r="H1658" s="515" t="s">
        <v>1837</v>
      </c>
      <c r="I1658" s="515"/>
      <c r="J1658" s="515" t="s">
        <v>1881</v>
      </c>
      <c r="K1658" s="515"/>
      <c r="L1658" s="169" t="s">
        <v>1882</v>
      </c>
    </row>
    <row r="1659" spans="1:12" ht="15" customHeight="1" x14ac:dyDescent="0.25">
      <c r="A1659" s="170" t="s">
        <v>3680</v>
      </c>
      <c r="B1659" s="492" t="s">
        <v>3681</v>
      </c>
      <c r="C1659" s="492"/>
      <c r="D1659" s="492"/>
      <c r="E1659" s="492"/>
      <c r="F1659" s="492"/>
      <c r="G1659" s="127" t="s">
        <v>188</v>
      </c>
      <c r="H1659" s="524">
        <v>1.02</v>
      </c>
      <c r="I1659" s="524"/>
      <c r="J1659" s="525">
        <v>47.85</v>
      </c>
      <c r="K1659" s="525"/>
      <c r="L1659" s="171">
        <f>TRUNC(TRUNC(H1659,8)*J1659,2)</f>
        <v>48.8</v>
      </c>
    </row>
    <row r="1660" spans="1:12" ht="15" customHeight="1" x14ac:dyDescent="0.25">
      <c r="A1660" s="184"/>
      <c r="B1660" s="141"/>
      <c r="C1660" s="141"/>
      <c r="D1660" s="141"/>
      <c r="E1660" s="141"/>
      <c r="F1660" s="141"/>
      <c r="G1660" s="141"/>
      <c r="H1660" s="491" t="s">
        <v>1889</v>
      </c>
      <c r="I1660" s="491"/>
      <c r="J1660" s="491"/>
      <c r="K1660" s="491"/>
      <c r="L1660" s="375">
        <f>SUM(L1659:L1659)</f>
        <v>48.8</v>
      </c>
    </row>
    <row r="1661" spans="1:12" ht="15" customHeight="1" x14ac:dyDescent="0.25">
      <c r="A1661" s="182"/>
      <c r="B1661" s="183"/>
      <c r="C1661" s="183"/>
      <c r="D1661" s="183"/>
      <c r="E1661" s="183"/>
      <c r="F1661" s="183"/>
      <c r="G1661" s="183"/>
      <c r="H1661" s="482" t="s">
        <v>1848</v>
      </c>
      <c r="I1661" s="482"/>
      <c r="J1661" s="482"/>
      <c r="K1661" s="482"/>
      <c r="L1661" s="371">
        <f>SUM(L1657,L1660)</f>
        <v>63.66</v>
      </c>
    </row>
    <row r="1662" spans="1:12" ht="15" customHeight="1" x14ac:dyDescent="0.25">
      <c r="A1662" s="182"/>
      <c r="B1662" s="183"/>
      <c r="C1662" s="183"/>
      <c r="D1662" s="183"/>
      <c r="E1662" s="183"/>
      <c r="F1662" s="183"/>
      <c r="G1662" s="183"/>
      <c r="H1662" s="482" t="s">
        <v>1834</v>
      </c>
      <c r="I1662" s="482"/>
      <c r="J1662" s="482"/>
      <c r="K1662" s="482"/>
      <c r="L1662" s="369">
        <f>ROUND(SUM(L1661),2)</f>
        <v>63.66</v>
      </c>
    </row>
    <row r="1663" spans="1:12" ht="9.9499999999999993" customHeight="1" x14ac:dyDescent="0.25">
      <c r="A1663" s="182"/>
      <c r="B1663" s="183"/>
      <c r="C1663" s="183"/>
      <c r="D1663" s="183"/>
      <c r="E1663" s="183"/>
      <c r="F1663" s="183"/>
      <c r="G1663" s="183"/>
      <c r="H1663" s="485"/>
      <c r="I1663" s="485"/>
      <c r="J1663" s="485"/>
      <c r="K1663" s="485"/>
      <c r="L1663" s="512"/>
    </row>
    <row r="1664" spans="1:12" ht="20.100000000000001" customHeight="1" x14ac:dyDescent="0.25">
      <c r="A1664" s="486" t="s">
        <v>3682</v>
      </c>
      <c r="B1664" s="487"/>
      <c r="C1664" s="487"/>
      <c r="D1664" s="487"/>
      <c r="E1664" s="487"/>
      <c r="F1664" s="487"/>
      <c r="G1664" s="487"/>
      <c r="H1664" s="487"/>
      <c r="I1664" s="487"/>
      <c r="J1664" s="487"/>
      <c r="K1664" s="487"/>
      <c r="L1664" s="513"/>
    </row>
    <row r="1665" spans="1:12" ht="20.100000000000001" customHeight="1" x14ac:dyDescent="0.25">
      <c r="A1665" s="488" t="s">
        <v>1836</v>
      </c>
      <c r="B1665" s="489"/>
      <c r="C1665" s="489"/>
      <c r="D1665" s="489"/>
      <c r="E1665" s="489"/>
      <c r="F1665" s="489"/>
      <c r="G1665" s="233" t="s">
        <v>44</v>
      </c>
      <c r="H1665" s="515" t="s">
        <v>1837</v>
      </c>
      <c r="I1665" s="515"/>
      <c r="J1665" s="515" t="s">
        <v>1838</v>
      </c>
      <c r="K1665" s="515"/>
      <c r="L1665" s="169" t="s">
        <v>1839</v>
      </c>
    </row>
    <row r="1666" spans="1:12" ht="15" customHeight="1" x14ac:dyDescent="0.25">
      <c r="A1666" s="170" t="s">
        <v>1840</v>
      </c>
      <c r="B1666" s="490" t="s">
        <v>1841</v>
      </c>
      <c r="C1666" s="490"/>
      <c r="D1666" s="490"/>
      <c r="E1666" s="490"/>
      <c r="F1666" s="490"/>
      <c r="G1666" s="127" t="s">
        <v>1024</v>
      </c>
      <c r="H1666" s="524">
        <v>0.17</v>
      </c>
      <c r="I1666" s="524"/>
      <c r="J1666" s="517">
        <v>21.94</v>
      </c>
      <c r="K1666" s="517"/>
      <c r="L1666" s="370">
        <f>TRUNC(TRUNC(H1666,8)*J1666,2)</f>
        <v>3.72</v>
      </c>
    </row>
    <row r="1667" spans="1:12" ht="15" customHeight="1" x14ac:dyDescent="0.25">
      <c r="A1667" s="170" t="s">
        <v>2178</v>
      </c>
      <c r="B1667" s="490" t="s">
        <v>2179</v>
      </c>
      <c r="C1667" s="490"/>
      <c r="D1667" s="490"/>
      <c r="E1667" s="490"/>
      <c r="F1667" s="490"/>
      <c r="G1667" s="127" t="s">
        <v>1024</v>
      </c>
      <c r="H1667" s="524">
        <v>0.17</v>
      </c>
      <c r="I1667" s="524"/>
      <c r="J1667" s="517">
        <v>26.03</v>
      </c>
      <c r="K1667" s="517"/>
      <c r="L1667" s="370">
        <f>TRUNC(TRUNC(H1667,8)*J1667,2)</f>
        <v>4.42</v>
      </c>
    </row>
    <row r="1668" spans="1:12" ht="15" customHeight="1" x14ac:dyDescent="0.25">
      <c r="A1668" s="184"/>
      <c r="B1668" s="141"/>
      <c r="C1668" s="141"/>
      <c r="D1668" s="141"/>
      <c r="E1668" s="141"/>
      <c r="F1668" s="141"/>
      <c r="G1668" s="141"/>
      <c r="H1668" s="491" t="s">
        <v>1844</v>
      </c>
      <c r="I1668" s="491"/>
      <c r="J1668" s="491"/>
      <c r="K1668" s="491"/>
      <c r="L1668" s="369">
        <f>SUM(L1666:L1667)</f>
        <v>8.14</v>
      </c>
    </row>
    <row r="1669" spans="1:12" ht="15" customHeight="1" x14ac:dyDescent="0.25">
      <c r="A1669" s="182"/>
      <c r="B1669" s="183"/>
      <c r="C1669" s="183"/>
      <c r="D1669" s="183"/>
      <c r="E1669" s="183"/>
      <c r="F1669" s="183"/>
      <c r="G1669" s="183"/>
      <c r="H1669" s="482" t="s">
        <v>1845</v>
      </c>
      <c r="I1669" s="482"/>
      <c r="J1669" s="482"/>
      <c r="K1669" s="482"/>
      <c r="L1669" s="371">
        <f>SUM(L1668)</f>
        <v>8.14</v>
      </c>
    </row>
    <row r="1670" spans="1:12" ht="15" customHeight="1" x14ac:dyDescent="0.25">
      <c r="A1670" s="182"/>
      <c r="B1670" s="183"/>
      <c r="C1670" s="183"/>
      <c r="D1670" s="183"/>
      <c r="E1670" s="183"/>
      <c r="F1670" s="183"/>
      <c r="G1670" s="183"/>
      <c r="H1670" s="482" t="s">
        <v>1846</v>
      </c>
      <c r="I1670" s="482"/>
      <c r="J1670" s="482"/>
      <c r="K1670" s="482"/>
      <c r="L1670" s="374">
        <v>1</v>
      </c>
    </row>
    <row r="1671" spans="1:12" ht="15" customHeight="1" x14ac:dyDescent="0.25">
      <c r="A1671" s="182"/>
      <c r="B1671" s="183"/>
      <c r="C1671" s="183"/>
      <c r="D1671" s="183"/>
      <c r="E1671" s="183"/>
      <c r="F1671" s="183"/>
      <c r="G1671" s="183"/>
      <c r="H1671" s="482" t="s">
        <v>1847</v>
      </c>
      <c r="I1671" s="482"/>
      <c r="J1671" s="482"/>
      <c r="K1671" s="482"/>
      <c r="L1671" s="371">
        <f>TRUNC(L1669/L1670,4)</f>
        <v>8.14</v>
      </c>
    </row>
    <row r="1672" spans="1:12" ht="20.100000000000001" customHeight="1" x14ac:dyDescent="0.25">
      <c r="A1672" s="488" t="s">
        <v>1880</v>
      </c>
      <c r="B1672" s="489"/>
      <c r="C1672" s="489"/>
      <c r="D1672" s="489"/>
      <c r="E1672" s="489"/>
      <c r="F1672" s="489"/>
      <c r="G1672" s="233" t="s">
        <v>44</v>
      </c>
      <c r="H1672" s="515" t="s">
        <v>1837</v>
      </c>
      <c r="I1672" s="515"/>
      <c r="J1672" s="515" t="s">
        <v>1881</v>
      </c>
      <c r="K1672" s="515"/>
      <c r="L1672" s="169" t="s">
        <v>1882</v>
      </c>
    </row>
    <row r="1673" spans="1:12" ht="15" customHeight="1" x14ac:dyDescent="0.25">
      <c r="A1673" s="170" t="s">
        <v>3683</v>
      </c>
      <c r="B1673" s="492" t="s">
        <v>3684</v>
      </c>
      <c r="C1673" s="492"/>
      <c r="D1673" s="492"/>
      <c r="E1673" s="492"/>
      <c r="F1673" s="492"/>
      <c r="G1673" s="127" t="s">
        <v>188</v>
      </c>
      <c r="H1673" s="524">
        <v>1.02</v>
      </c>
      <c r="I1673" s="524"/>
      <c r="J1673" s="525">
        <v>24.36</v>
      </c>
      <c r="K1673" s="525"/>
      <c r="L1673" s="171">
        <f>TRUNC(TRUNC(H1673,8)*J1673,2)</f>
        <v>24.84</v>
      </c>
    </row>
    <row r="1674" spans="1:12" ht="15" customHeight="1" x14ac:dyDescent="0.25">
      <c r="A1674" s="184"/>
      <c r="B1674" s="141"/>
      <c r="C1674" s="141"/>
      <c r="D1674" s="141"/>
      <c r="E1674" s="141"/>
      <c r="F1674" s="141"/>
      <c r="G1674" s="141"/>
      <c r="H1674" s="491" t="s">
        <v>1889</v>
      </c>
      <c r="I1674" s="491"/>
      <c r="J1674" s="491"/>
      <c r="K1674" s="491"/>
      <c r="L1674" s="375">
        <f>SUM(L1673:L1673)</f>
        <v>24.84</v>
      </c>
    </row>
    <row r="1675" spans="1:12" ht="15" customHeight="1" x14ac:dyDescent="0.25">
      <c r="A1675" s="182"/>
      <c r="B1675" s="183"/>
      <c r="C1675" s="183"/>
      <c r="D1675" s="183"/>
      <c r="E1675" s="183"/>
      <c r="F1675" s="183"/>
      <c r="G1675" s="183"/>
      <c r="H1675" s="482" t="s">
        <v>1848</v>
      </c>
      <c r="I1675" s="482"/>
      <c r="J1675" s="482"/>
      <c r="K1675" s="482"/>
      <c r="L1675" s="371">
        <f>SUM(L1671,L1674)</f>
        <v>32.980000000000004</v>
      </c>
    </row>
    <row r="1676" spans="1:12" ht="15" customHeight="1" x14ac:dyDescent="0.25">
      <c r="A1676" s="182"/>
      <c r="B1676" s="183"/>
      <c r="C1676" s="183"/>
      <c r="D1676" s="183"/>
      <c r="E1676" s="183"/>
      <c r="F1676" s="183"/>
      <c r="G1676" s="183"/>
      <c r="H1676" s="482" t="s">
        <v>1834</v>
      </c>
      <c r="I1676" s="482"/>
      <c r="J1676" s="482"/>
      <c r="K1676" s="482"/>
      <c r="L1676" s="369">
        <f>ROUND(SUM(L1675),2)</f>
        <v>32.979999999999997</v>
      </c>
    </row>
    <row r="1677" spans="1:12" ht="9.9499999999999993" customHeight="1" x14ac:dyDescent="0.25">
      <c r="A1677" s="182"/>
      <c r="B1677" s="183"/>
      <c r="C1677" s="183"/>
      <c r="D1677" s="183"/>
      <c r="E1677" s="183"/>
      <c r="F1677" s="183"/>
      <c r="G1677" s="183"/>
      <c r="H1677" s="485"/>
      <c r="I1677" s="485"/>
      <c r="J1677" s="485"/>
      <c r="K1677" s="485"/>
      <c r="L1677" s="512"/>
    </row>
    <row r="1678" spans="1:12" ht="20.100000000000001" customHeight="1" x14ac:dyDescent="0.25">
      <c r="A1678" s="486" t="s">
        <v>2177</v>
      </c>
      <c r="B1678" s="487"/>
      <c r="C1678" s="487"/>
      <c r="D1678" s="487"/>
      <c r="E1678" s="487"/>
      <c r="F1678" s="487"/>
      <c r="G1678" s="487"/>
      <c r="H1678" s="487"/>
      <c r="I1678" s="487"/>
      <c r="J1678" s="487"/>
      <c r="K1678" s="487"/>
      <c r="L1678" s="513"/>
    </row>
    <row r="1679" spans="1:12" ht="20.100000000000001" customHeight="1" x14ac:dyDescent="0.25">
      <c r="A1679" s="488" t="s">
        <v>1836</v>
      </c>
      <c r="B1679" s="489"/>
      <c r="C1679" s="489"/>
      <c r="D1679" s="489"/>
      <c r="E1679" s="489"/>
      <c r="F1679" s="489"/>
      <c r="G1679" s="233" t="s">
        <v>44</v>
      </c>
      <c r="H1679" s="515" t="s">
        <v>1837</v>
      </c>
      <c r="I1679" s="515"/>
      <c r="J1679" s="515" t="s">
        <v>1838</v>
      </c>
      <c r="K1679" s="515"/>
      <c r="L1679" s="169" t="s">
        <v>1839</v>
      </c>
    </row>
    <row r="1680" spans="1:12" ht="15" customHeight="1" x14ac:dyDescent="0.25">
      <c r="A1680" s="170" t="s">
        <v>1840</v>
      </c>
      <c r="B1680" s="490" t="s">
        <v>1841</v>
      </c>
      <c r="C1680" s="490"/>
      <c r="D1680" s="490"/>
      <c r="E1680" s="490"/>
      <c r="F1680" s="490"/>
      <c r="G1680" s="127" t="s">
        <v>1024</v>
      </c>
      <c r="H1680" s="524">
        <v>0.4</v>
      </c>
      <c r="I1680" s="524"/>
      <c r="J1680" s="517">
        <v>21.94</v>
      </c>
      <c r="K1680" s="517"/>
      <c r="L1680" s="370">
        <f>ROUND(ROUND(H1680,8)*J1680,2)</f>
        <v>8.7799999999999994</v>
      </c>
    </row>
    <row r="1681" spans="1:12" ht="15" customHeight="1" x14ac:dyDescent="0.25">
      <c r="A1681" s="170" t="s">
        <v>2178</v>
      </c>
      <c r="B1681" s="490" t="s">
        <v>2179</v>
      </c>
      <c r="C1681" s="490"/>
      <c r="D1681" s="490"/>
      <c r="E1681" s="490"/>
      <c r="F1681" s="490"/>
      <c r="G1681" s="127" t="s">
        <v>1024</v>
      </c>
      <c r="H1681" s="524">
        <v>0.4</v>
      </c>
      <c r="I1681" s="524"/>
      <c r="J1681" s="517">
        <v>26.03</v>
      </c>
      <c r="K1681" s="517"/>
      <c r="L1681" s="370">
        <f>ROUND(ROUND(H1681,8)*J1681,2)</f>
        <v>10.41</v>
      </c>
    </row>
    <row r="1682" spans="1:12" ht="15" customHeight="1" x14ac:dyDescent="0.25">
      <c r="A1682" s="184"/>
      <c r="B1682" s="141"/>
      <c r="C1682" s="141"/>
      <c r="D1682" s="141"/>
      <c r="E1682" s="141"/>
      <c r="F1682" s="141"/>
      <c r="G1682" s="141"/>
      <c r="H1682" s="491" t="s">
        <v>1844</v>
      </c>
      <c r="I1682" s="491"/>
      <c r="J1682" s="491"/>
      <c r="K1682" s="491"/>
      <c r="L1682" s="369">
        <f>SUM(L1680:L1681)</f>
        <v>19.189999999999998</v>
      </c>
    </row>
    <row r="1683" spans="1:12" ht="15" customHeight="1" x14ac:dyDescent="0.25">
      <c r="A1683" s="182"/>
      <c r="B1683" s="183"/>
      <c r="C1683" s="183"/>
      <c r="D1683" s="183"/>
      <c r="E1683" s="183"/>
      <c r="F1683" s="183"/>
      <c r="G1683" s="183"/>
      <c r="H1683" s="482" t="s">
        <v>1845</v>
      </c>
      <c r="I1683" s="482"/>
      <c r="J1683" s="482"/>
      <c r="K1683" s="482"/>
      <c r="L1683" s="371">
        <f>SUM(L1682)</f>
        <v>19.189999999999998</v>
      </c>
    </row>
    <row r="1684" spans="1:12" ht="15" customHeight="1" x14ac:dyDescent="0.25">
      <c r="A1684" s="182"/>
      <c r="B1684" s="183"/>
      <c r="C1684" s="183"/>
      <c r="D1684" s="183"/>
      <c r="E1684" s="183"/>
      <c r="F1684" s="183"/>
      <c r="G1684" s="183"/>
      <c r="H1684" s="482" t="s">
        <v>1846</v>
      </c>
      <c r="I1684" s="482"/>
      <c r="J1684" s="482"/>
      <c r="K1684" s="482"/>
      <c r="L1684" s="382">
        <v>1</v>
      </c>
    </row>
    <row r="1685" spans="1:12" ht="15" customHeight="1" x14ac:dyDescent="0.25">
      <c r="A1685" s="182"/>
      <c r="B1685" s="183"/>
      <c r="C1685" s="183"/>
      <c r="D1685" s="183"/>
      <c r="E1685" s="183"/>
      <c r="F1685" s="183"/>
      <c r="G1685" s="183"/>
      <c r="H1685" s="482" t="s">
        <v>1847</v>
      </c>
      <c r="I1685" s="482"/>
      <c r="J1685" s="482"/>
      <c r="K1685" s="482"/>
      <c r="L1685" s="371">
        <f>ROUND(L1683/L1684,4)</f>
        <v>19.190000000000001</v>
      </c>
    </row>
    <row r="1686" spans="1:12" ht="20.100000000000001" customHeight="1" x14ac:dyDescent="0.25">
      <c r="A1686" s="488" t="s">
        <v>1880</v>
      </c>
      <c r="B1686" s="489"/>
      <c r="C1686" s="489"/>
      <c r="D1686" s="489"/>
      <c r="E1686" s="489"/>
      <c r="F1686" s="489"/>
      <c r="G1686" s="233" t="s">
        <v>44</v>
      </c>
      <c r="H1686" s="515" t="s">
        <v>1837</v>
      </c>
      <c r="I1686" s="515"/>
      <c r="J1686" s="515" t="s">
        <v>1881</v>
      </c>
      <c r="K1686" s="515"/>
      <c r="L1686" s="169" t="s">
        <v>1882</v>
      </c>
    </row>
    <row r="1687" spans="1:12" ht="15.95" customHeight="1" x14ac:dyDescent="0.25">
      <c r="A1687" s="170" t="s">
        <v>2180</v>
      </c>
      <c r="B1687" s="492" t="s">
        <v>2181</v>
      </c>
      <c r="C1687" s="492"/>
      <c r="D1687" s="492"/>
      <c r="E1687" s="492"/>
      <c r="F1687" s="492"/>
      <c r="G1687" s="127" t="s">
        <v>188</v>
      </c>
      <c r="H1687" s="524">
        <v>1</v>
      </c>
      <c r="I1687" s="524"/>
      <c r="J1687" s="525">
        <v>30.81</v>
      </c>
      <c r="K1687" s="525"/>
      <c r="L1687" s="171">
        <f>ROUND(ROUND(H1687,8)*J1687,2)</f>
        <v>30.81</v>
      </c>
    </row>
    <row r="1688" spans="1:12" ht="15" customHeight="1" x14ac:dyDescent="0.25">
      <c r="A1688" s="184"/>
      <c r="B1688" s="141"/>
      <c r="C1688" s="141"/>
      <c r="D1688" s="141"/>
      <c r="E1688" s="141"/>
      <c r="F1688" s="141"/>
      <c r="G1688" s="141"/>
      <c r="H1688" s="491" t="s">
        <v>1889</v>
      </c>
      <c r="I1688" s="491"/>
      <c r="J1688" s="491"/>
      <c r="K1688" s="491"/>
      <c r="L1688" s="375">
        <f>SUM(L1687:L1687)</f>
        <v>30.81</v>
      </c>
    </row>
    <row r="1689" spans="1:12" ht="15" customHeight="1" x14ac:dyDescent="0.25">
      <c r="A1689" s="182"/>
      <c r="B1689" s="183"/>
      <c r="C1689" s="183"/>
      <c r="D1689" s="183"/>
      <c r="E1689" s="183"/>
      <c r="F1689" s="183"/>
      <c r="G1689" s="183"/>
      <c r="H1689" s="482" t="s">
        <v>1848</v>
      </c>
      <c r="I1689" s="482"/>
      <c r="J1689" s="482"/>
      <c r="K1689" s="482"/>
      <c r="L1689" s="371">
        <f>SUM(L1685,L1688)</f>
        <v>50</v>
      </c>
    </row>
    <row r="1690" spans="1:12" ht="15" customHeight="1" x14ac:dyDescent="0.25">
      <c r="A1690" s="483" t="s">
        <v>2182</v>
      </c>
      <c r="B1690" s="484"/>
      <c r="C1690" s="484"/>
      <c r="D1690" s="484"/>
      <c r="E1690" s="183"/>
      <c r="F1690" s="183"/>
      <c r="G1690" s="183"/>
      <c r="H1690" s="482" t="s">
        <v>1834</v>
      </c>
      <c r="I1690" s="482"/>
      <c r="J1690" s="482"/>
      <c r="K1690" s="482"/>
      <c r="L1690" s="369">
        <v>50</v>
      </c>
    </row>
    <row r="1691" spans="1:12" ht="9.9499999999999993" customHeight="1" x14ac:dyDescent="0.25">
      <c r="A1691" s="182"/>
      <c r="B1691" s="183"/>
      <c r="C1691" s="183"/>
      <c r="D1691" s="183"/>
      <c r="E1691" s="183"/>
      <c r="F1691" s="183"/>
      <c r="G1691" s="183"/>
      <c r="H1691" s="485"/>
      <c r="I1691" s="485"/>
      <c r="J1691" s="485"/>
      <c r="K1691" s="485"/>
      <c r="L1691" s="512"/>
    </row>
    <row r="1692" spans="1:12" ht="20.100000000000001" customHeight="1" x14ac:dyDescent="0.25">
      <c r="A1692" s="486" t="s">
        <v>3685</v>
      </c>
      <c r="B1692" s="487"/>
      <c r="C1692" s="487"/>
      <c r="D1692" s="487"/>
      <c r="E1692" s="487"/>
      <c r="F1692" s="487"/>
      <c r="G1692" s="487"/>
      <c r="H1692" s="487"/>
      <c r="I1692" s="487"/>
      <c r="J1692" s="487"/>
      <c r="K1692" s="487"/>
      <c r="L1692" s="513"/>
    </row>
    <row r="1693" spans="1:12" ht="20.100000000000001" customHeight="1" x14ac:dyDescent="0.25">
      <c r="A1693" s="488" t="s">
        <v>1836</v>
      </c>
      <c r="B1693" s="489"/>
      <c r="C1693" s="489"/>
      <c r="D1693" s="489"/>
      <c r="E1693" s="489"/>
      <c r="F1693" s="489"/>
      <c r="G1693" s="233" t="s">
        <v>44</v>
      </c>
      <c r="H1693" s="515" t="s">
        <v>1837</v>
      </c>
      <c r="I1693" s="515"/>
      <c r="J1693" s="515" t="s">
        <v>1838</v>
      </c>
      <c r="K1693" s="515"/>
      <c r="L1693" s="169" t="s">
        <v>1839</v>
      </c>
    </row>
    <row r="1694" spans="1:12" ht="15" customHeight="1" x14ac:dyDescent="0.25">
      <c r="A1694" s="170" t="s">
        <v>1840</v>
      </c>
      <c r="B1694" s="490" t="s">
        <v>1841</v>
      </c>
      <c r="C1694" s="490"/>
      <c r="D1694" s="490"/>
      <c r="E1694" s="490"/>
      <c r="F1694" s="490"/>
      <c r="G1694" s="127" t="s">
        <v>1024</v>
      </c>
      <c r="H1694" s="524">
        <v>0.1</v>
      </c>
      <c r="I1694" s="524"/>
      <c r="J1694" s="517">
        <v>21.94</v>
      </c>
      <c r="K1694" s="517"/>
      <c r="L1694" s="370">
        <f>TRUNC(TRUNC(H1694,8)*J1694,2)</f>
        <v>2.19</v>
      </c>
    </row>
    <row r="1695" spans="1:12" ht="15" customHeight="1" x14ac:dyDescent="0.25">
      <c r="A1695" s="170" t="s">
        <v>2178</v>
      </c>
      <c r="B1695" s="490" t="s">
        <v>2179</v>
      </c>
      <c r="C1695" s="490"/>
      <c r="D1695" s="490"/>
      <c r="E1695" s="490"/>
      <c r="F1695" s="490"/>
      <c r="G1695" s="127" t="s">
        <v>1024</v>
      </c>
      <c r="H1695" s="524">
        <v>0.1</v>
      </c>
      <c r="I1695" s="524"/>
      <c r="J1695" s="517">
        <v>26.03</v>
      </c>
      <c r="K1695" s="517"/>
      <c r="L1695" s="370">
        <f>TRUNC(TRUNC(H1695,8)*J1695,2)</f>
        <v>2.6</v>
      </c>
    </row>
    <row r="1696" spans="1:12" ht="15" customHeight="1" x14ac:dyDescent="0.25">
      <c r="A1696" s="184"/>
      <c r="B1696" s="141"/>
      <c r="C1696" s="141"/>
      <c r="D1696" s="141"/>
      <c r="E1696" s="141"/>
      <c r="F1696" s="141"/>
      <c r="G1696" s="141"/>
      <c r="H1696" s="491" t="s">
        <v>1844</v>
      </c>
      <c r="I1696" s="491"/>
      <c r="J1696" s="491"/>
      <c r="K1696" s="491"/>
      <c r="L1696" s="369">
        <f>SUM(L1694:L1695)</f>
        <v>4.79</v>
      </c>
    </row>
    <row r="1697" spans="1:12" ht="15" customHeight="1" x14ac:dyDescent="0.25">
      <c r="A1697" s="182"/>
      <c r="B1697" s="183"/>
      <c r="C1697" s="183"/>
      <c r="D1697" s="183"/>
      <c r="E1697" s="183"/>
      <c r="F1697" s="183"/>
      <c r="G1697" s="183"/>
      <c r="H1697" s="482" t="s">
        <v>1845</v>
      </c>
      <c r="I1697" s="482"/>
      <c r="J1697" s="482"/>
      <c r="K1697" s="482"/>
      <c r="L1697" s="371">
        <f>SUM(L1696)</f>
        <v>4.79</v>
      </c>
    </row>
    <row r="1698" spans="1:12" ht="15" customHeight="1" x14ac:dyDescent="0.25">
      <c r="A1698" s="182"/>
      <c r="B1698" s="183"/>
      <c r="C1698" s="183"/>
      <c r="D1698" s="183"/>
      <c r="E1698" s="183"/>
      <c r="F1698" s="183"/>
      <c r="G1698" s="183"/>
      <c r="H1698" s="482" t="s">
        <v>1846</v>
      </c>
      <c r="I1698" s="482"/>
      <c r="J1698" s="482"/>
      <c r="K1698" s="482"/>
      <c r="L1698" s="374">
        <v>1</v>
      </c>
    </row>
    <row r="1699" spans="1:12" ht="15" customHeight="1" x14ac:dyDescent="0.25">
      <c r="A1699" s="182"/>
      <c r="B1699" s="183"/>
      <c r="C1699" s="183"/>
      <c r="D1699" s="183"/>
      <c r="E1699" s="183"/>
      <c r="F1699" s="183"/>
      <c r="G1699" s="183"/>
      <c r="H1699" s="482" t="s">
        <v>1847</v>
      </c>
      <c r="I1699" s="482"/>
      <c r="J1699" s="482"/>
      <c r="K1699" s="482"/>
      <c r="L1699" s="371">
        <f>TRUNC(L1697/L1698,4)</f>
        <v>4.79</v>
      </c>
    </row>
    <row r="1700" spans="1:12" ht="20.100000000000001" customHeight="1" x14ac:dyDescent="0.25">
      <c r="A1700" s="488" t="s">
        <v>1880</v>
      </c>
      <c r="B1700" s="489"/>
      <c r="C1700" s="489"/>
      <c r="D1700" s="489"/>
      <c r="E1700" s="489"/>
      <c r="F1700" s="489"/>
      <c r="G1700" s="233" t="s">
        <v>44</v>
      </c>
      <c r="H1700" s="515" t="s">
        <v>1837</v>
      </c>
      <c r="I1700" s="515"/>
      <c r="J1700" s="515" t="s">
        <v>1881</v>
      </c>
      <c r="K1700" s="515"/>
      <c r="L1700" s="169" t="s">
        <v>1882</v>
      </c>
    </row>
    <row r="1701" spans="1:12" ht="15.95" customHeight="1" x14ac:dyDescent="0.25">
      <c r="A1701" s="170" t="s">
        <v>3686</v>
      </c>
      <c r="B1701" s="492" t="s">
        <v>3687</v>
      </c>
      <c r="C1701" s="492"/>
      <c r="D1701" s="492"/>
      <c r="E1701" s="492"/>
      <c r="F1701" s="492"/>
      <c r="G1701" s="127" t="s">
        <v>188</v>
      </c>
      <c r="H1701" s="524">
        <v>1.02</v>
      </c>
      <c r="I1701" s="524"/>
      <c r="J1701" s="525">
        <v>1.78</v>
      </c>
      <c r="K1701" s="525"/>
      <c r="L1701" s="171">
        <f>TRUNC(TRUNC(H1701,8)*J1701,2)</f>
        <v>1.81</v>
      </c>
    </row>
    <row r="1702" spans="1:12" ht="15" customHeight="1" x14ac:dyDescent="0.25">
      <c r="A1702" s="184"/>
      <c r="B1702" s="141"/>
      <c r="C1702" s="141"/>
      <c r="D1702" s="141"/>
      <c r="E1702" s="141"/>
      <c r="F1702" s="141"/>
      <c r="G1702" s="141"/>
      <c r="H1702" s="491" t="s">
        <v>1889</v>
      </c>
      <c r="I1702" s="491"/>
      <c r="J1702" s="491"/>
      <c r="K1702" s="491"/>
      <c r="L1702" s="375">
        <f>SUM(L1701:L1701)</f>
        <v>1.81</v>
      </c>
    </row>
    <row r="1703" spans="1:12" ht="15" customHeight="1" x14ac:dyDescent="0.25">
      <c r="A1703" s="182"/>
      <c r="B1703" s="183"/>
      <c r="C1703" s="183"/>
      <c r="D1703" s="183"/>
      <c r="E1703" s="183"/>
      <c r="F1703" s="183"/>
      <c r="G1703" s="183"/>
      <c r="H1703" s="482" t="s">
        <v>1848</v>
      </c>
      <c r="I1703" s="482"/>
      <c r="J1703" s="482"/>
      <c r="K1703" s="482"/>
      <c r="L1703" s="371">
        <f>SUM(L1699,L1702)</f>
        <v>6.6</v>
      </c>
    </row>
    <row r="1704" spans="1:12" ht="15" customHeight="1" x14ac:dyDescent="0.25">
      <c r="A1704" s="182"/>
      <c r="B1704" s="183"/>
      <c r="C1704" s="183"/>
      <c r="D1704" s="183"/>
      <c r="E1704" s="183"/>
      <c r="F1704" s="183"/>
      <c r="G1704" s="183"/>
      <c r="H1704" s="482" t="s">
        <v>1834</v>
      </c>
      <c r="I1704" s="482"/>
      <c r="J1704" s="482"/>
      <c r="K1704" s="482"/>
      <c r="L1704" s="369">
        <f>ROUND(SUM(L1703),2)</f>
        <v>6.6</v>
      </c>
    </row>
    <row r="1705" spans="1:12" ht="9.9499999999999993" customHeight="1" x14ac:dyDescent="0.25">
      <c r="A1705" s="182"/>
      <c r="B1705" s="183"/>
      <c r="C1705" s="183"/>
      <c r="D1705" s="183"/>
      <c r="E1705" s="183"/>
      <c r="F1705" s="183"/>
      <c r="G1705" s="183"/>
      <c r="H1705" s="485"/>
      <c r="I1705" s="485"/>
      <c r="J1705" s="485"/>
      <c r="K1705" s="485"/>
      <c r="L1705" s="512"/>
    </row>
    <row r="1706" spans="1:12" ht="20.100000000000001" customHeight="1" x14ac:dyDescent="0.25">
      <c r="A1706" s="486" t="s">
        <v>3688</v>
      </c>
      <c r="B1706" s="487"/>
      <c r="C1706" s="487"/>
      <c r="D1706" s="487"/>
      <c r="E1706" s="487"/>
      <c r="F1706" s="487"/>
      <c r="G1706" s="487"/>
      <c r="H1706" s="487"/>
      <c r="I1706" s="487"/>
      <c r="J1706" s="487"/>
      <c r="K1706" s="487"/>
      <c r="L1706" s="513"/>
    </row>
    <row r="1707" spans="1:12" ht="20.100000000000001" customHeight="1" x14ac:dyDescent="0.25">
      <c r="A1707" s="488" t="s">
        <v>1836</v>
      </c>
      <c r="B1707" s="489"/>
      <c r="C1707" s="489"/>
      <c r="D1707" s="489"/>
      <c r="E1707" s="489"/>
      <c r="F1707" s="489"/>
      <c r="G1707" s="233" t="s">
        <v>44</v>
      </c>
      <c r="H1707" s="515" t="s">
        <v>1837</v>
      </c>
      <c r="I1707" s="515"/>
      <c r="J1707" s="515" t="s">
        <v>1838</v>
      </c>
      <c r="K1707" s="515"/>
      <c r="L1707" s="169" t="s">
        <v>1839</v>
      </c>
    </row>
    <row r="1708" spans="1:12" ht="15" customHeight="1" x14ac:dyDescent="0.25">
      <c r="A1708" s="170" t="s">
        <v>1840</v>
      </c>
      <c r="B1708" s="490" t="s">
        <v>1841</v>
      </c>
      <c r="C1708" s="490"/>
      <c r="D1708" s="490"/>
      <c r="E1708" s="490"/>
      <c r="F1708" s="490"/>
      <c r="G1708" s="127" t="s">
        <v>1024</v>
      </c>
      <c r="H1708" s="524">
        <v>0.1</v>
      </c>
      <c r="I1708" s="524"/>
      <c r="J1708" s="517">
        <v>21.94</v>
      </c>
      <c r="K1708" s="517"/>
      <c r="L1708" s="370">
        <f>TRUNC(TRUNC(H1708,8)*J1708,2)</f>
        <v>2.19</v>
      </c>
    </row>
    <row r="1709" spans="1:12" ht="15" customHeight="1" x14ac:dyDescent="0.25">
      <c r="A1709" s="170" t="s">
        <v>2178</v>
      </c>
      <c r="B1709" s="490" t="s">
        <v>2179</v>
      </c>
      <c r="C1709" s="490"/>
      <c r="D1709" s="490"/>
      <c r="E1709" s="490"/>
      <c r="F1709" s="490"/>
      <c r="G1709" s="127" t="s">
        <v>1024</v>
      </c>
      <c r="H1709" s="524">
        <v>0.1</v>
      </c>
      <c r="I1709" s="524"/>
      <c r="J1709" s="517">
        <v>26.03</v>
      </c>
      <c r="K1709" s="517"/>
      <c r="L1709" s="370">
        <f>TRUNC(TRUNC(H1709,8)*J1709,2)</f>
        <v>2.6</v>
      </c>
    </row>
    <row r="1710" spans="1:12" ht="15" customHeight="1" x14ac:dyDescent="0.25">
      <c r="A1710" s="184"/>
      <c r="B1710" s="141"/>
      <c r="C1710" s="141"/>
      <c r="D1710" s="141"/>
      <c r="E1710" s="141"/>
      <c r="F1710" s="141"/>
      <c r="G1710" s="141"/>
      <c r="H1710" s="491" t="s">
        <v>1844</v>
      </c>
      <c r="I1710" s="491"/>
      <c r="J1710" s="491"/>
      <c r="K1710" s="491"/>
      <c r="L1710" s="369">
        <f>SUM(L1708:L1709)</f>
        <v>4.79</v>
      </c>
    </row>
    <row r="1711" spans="1:12" ht="15" customHeight="1" x14ac:dyDescent="0.25">
      <c r="A1711" s="182"/>
      <c r="B1711" s="183"/>
      <c r="C1711" s="183"/>
      <c r="D1711" s="183"/>
      <c r="E1711" s="183"/>
      <c r="F1711" s="183"/>
      <c r="G1711" s="183"/>
      <c r="H1711" s="482" t="s">
        <v>1845</v>
      </c>
      <c r="I1711" s="482"/>
      <c r="J1711" s="482"/>
      <c r="K1711" s="482"/>
      <c r="L1711" s="371">
        <f>SUM(L1710)</f>
        <v>4.79</v>
      </c>
    </row>
    <row r="1712" spans="1:12" ht="15" customHeight="1" x14ac:dyDescent="0.25">
      <c r="A1712" s="182"/>
      <c r="B1712" s="183"/>
      <c r="C1712" s="183"/>
      <c r="D1712" s="183"/>
      <c r="E1712" s="183"/>
      <c r="F1712" s="183"/>
      <c r="G1712" s="183"/>
      <c r="H1712" s="482" t="s">
        <v>1846</v>
      </c>
      <c r="I1712" s="482"/>
      <c r="J1712" s="482"/>
      <c r="K1712" s="482"/>
      <c r="L1712" s="374">
        <v>1</v>
      </c>
    </row>
    <row r="1713" spans="1:12" ht="15" customHeight="1" x14ac:dyDescent="0.25">
      <c r="A1713" s="182"/>
      <c r="B1713" s="183"/>
      <c r="C1713" s="183"/>
      <c r="D1713" s="183"/>
      <c r="E1713" s="183"/>
      <c r="F1713" s="183"/>
      <c r="G1713" s="183"/>
      <c r="H1713" s="482" t="s">
        <v>1847</v>
      </c>
      <c r="I1713" s="482"/>
      <c r="J1713" s="482"/>
      <c r="K1713" s="482"/>
      <c r="L1713" s="371">
        <f>TRUNC(L1711/L1712,4)</f>
        <v>4.79</v>
      </c>
    </row>
    <row r="1714" spans="1:12" ht="20.100000000000001" customHeight="1" x14ac:dyDescent="0.25">
      <c r="A1714" s="488" t="s">
        <v>1880</v>
      </c>
      <c r="B1714" s="489"/>
      <c r="C1714" s="489"/>
      <c r="D1714" s="489"/>
      <c r="E1714" s="489"/>
      <c r="F1714" s="489"/>
      <c r="G1714" s="233" t="s">
        <v>44</v>
      </c>
      <c r="H1714" s="515" t="s">
        <v>1837</v>
      </c>
      <c r="I1714" s="515"/>
      <c r="J1714" s="515" t="s">
        <v>1881</v>
      </c>
      <c r="K1714" s="515"/>
      <c r="L1714" s="169" t="s">
        <v>1882</v>
      </c>
    </row>
    <row r="1715" spans="1:12" ht="15.95" customHeight="1" x14ac:dyDescent="0.25">
      <c r="A1715" s="170" t="s">
        <v>3689</v>
      </c>
      <c r="B1715" s="492" t="s">
        <v>3690</v>
      </c>
      <c r="C1715" s="492"/>
      <c r="D1715" s="492"/>
      <c r="E1715" s="492"/>
      <c r="F1715" s="492"/>
      <c r="G1715" s="127" t="s">
        <v>188</v>
      </c>
      <c r="H1715" s="524">
        <v>1.02</v>
      </c>
      <c r="I1715" s="524"/>
      <c r="J1715" s="525">
        <v>3.18</v>
      </c>
      <c r="K1715" s="525"/>
      <c r="L1715" s="171">
        <f>TRUNC(TRUNC(H1715,8)*J1715,2)</f>
        <v>3.24</v>
      </c>
    </row>
    <row r="1716" spans="1:12" ht="15" customHeight="1" x14ac:dyDescent="0.25">
      <c r="A1716" s="184"/>
      <c r="B1716" s="141"/>
      <c r="C1716" s="141"/>
      <c r="D1716" s="141"/>
      <c r="E1716" s="141"/>
      <c r="F1716" s="141"/>
      <c r="G1716" s="141"/>
      <c r="H1716" s="491" t="s">
        <v>1889</v>
      </c>
      <c r="I1716" s="491"/>
      <c r="J1716" s="491"/>
      <c r="K1716" s="491"/>
      <c r="L1716" s="375">
        <f>SUM(L1715:L1715)</f>
        <v>3.24</v>
      </c>
    </row>
    <row r="1717" spans="1:12" ht="15" customHeight="1" x14ac:dyDescent="0.25">
      <c r="A1717" s="182"/>
      <c r="B1717" s="183"/>
      <c r="C1717" s="183"/>
      <c r="D1717" s="183"/>
      <c r="E1717" s="183"/>
      <c r="F1717" s="183"/>
      <c r="G1717" s="183"/>
      <c r="H1717" s="482" t="s">
        <v>1848</v>
      </c>
      <c r="I1717" s="482"/>
      <c r="J1717" s="482"/>
      <c r="K1717" s="482"/>
      <c r="L1717" s="371">
        <f>SUM(L1713,L1716)</f>
        <v>8.0300000000000011</v>
      </c>
    </row>
    <row r="1718" spans="1:12" ht="15" customHeight="1" x14ac:dyDescent="0.25">
      <c r="A1718" s="182"/>
      <c r="B1718" s="183"/>
      <c r="C1718" s="183"/>
      <c r="D1718" s="183"/>
      <c r="E1718" s="183"/>
      <c r="F1718" s="183"/>
      <c r="G1718" s="183"/>
      <c r="H1718" s="482" t="s">
        <v>1834</v>
      </c>
      <c r="I1718" s="482"/>
      <c r="J1718" s="482"/>
      <c r="K1718" s="482"/>
      <c r="L1718" s="369">
        <f>ROUND(SUM(L1717),2)</f>
        <v>8.0299999999999994</v>
      </c>
    </row>
    <row r="1719" spans="1:12" ht="9.9499999999999993" customHeight="1" x14ac:dyDescent="0.25">
      <c r="A1719" s="182"/>
      <c r="B1719" s="183"/>
      <c r="C1719" s="183"/>
      <c r="D1719" s="183"/>
      <c r="E1719" s="183"/>
      <c r="F1719" s="183"/>
      <c r="G1719" s="183"/>
      <c r="H1719" s="485"/>
      <c r="I1719" s="485"/>
      <c r="J1719" s="485"/>
      <c r="K1719" s="485"/>
      <c r="L1719" s="512"/>
    </row>
    <row r="1720" spans="1:12" ht="20.100000000000001" customHeight="1" x14ac:dyDescent="0.25">
      <c r="A1720" s="486" t="s">
        <v>3691</v>
      </c>
      <c r="B1720" s="487"/>
      <c r="C1720" s="487"/>
      <c r="D1720" s="487"/>
      <c r="E1720" s="487"/>
      <c r="F1720" s="487"/>
      <c r="G1720" s="487"/>
      <c r="H1720" s="487"/>
      <c r="I1720" s="487"/>
      <c r="J1720" s="487"/>
      <c r="K1720" s="487"/>
      <c r="L1720" s="513"/>
    </row>
    <row r="1721" spans="1:12" ht="20.100000000000001" customHeight="1" x14ac:dyDescent="0.25">
      <c r="A1721" s="488" t="s">
        <v>1836</v>
      </c>
      <c r="B1721" s="489"/>
      <c r="C1721" s="489"/>
      <c r="D1721" s="489"/>
      <c r="E1721" s="489"/>
      <c r="F1721" s="489"/>
      <c r="G1721" s="233" t="s">
        <v>44</v>
      </c>
      <c r="H1721" s="515" t="s">
        <v>1837</v>
      </c>
      <c r="I1721" s="515"/>
      <c r="J1721" s="515" t="s">
        <v>1838</v>
      </c>
      <c r="K1721" s="515"/>
      <c r="L1721" s="169" t="s">
        <v>1839</v>
      </c>
    </row>
    <row r="1722" spans="1:12" ht="15" customHeight="1" x14ac:dyDescent="0.25">
      <c r="A1722" s="170" t="s">
        <v>1840</v>
      </c>
      <c r="B1722" s="490" t="s">
        <v>1841</v>
      </c>
      <c r="C1722" s="490"/>
      <c r="D1722" s="490"/>
      <c r="E1722" s="490"/>
      <c r="F1722" s="490"/>
      <c r="G1722" s="127" t="s">
        <v>1024</v>
      </c>
      <c r="H1722" s="524">
        <v>0.15</v>
      </c>
      <c r="I1722" s="524"/>
      <c r="J1722" s="517">
        <v>21.94</v>
      </c>
      <c r="K1722" s="517"/>
      <c r="L1722" s="370">
        <f>TRUNC(TRUNC(H1722,8)*J1722,2)</f>
        <v>3.29</v>
      </c>
    </row>
    <row r="1723" spans="1:12" ht="15" customHeight="1" x14ac:dyDescent="0.25">
      <c r="A1723" s="170" t="s">
        <v>2178</v>
      </c>
      <c r="B1723" s="490" t="s">
        <v>2179</v>
      </c>
      <c r="C1723" s="490"/>
      <c r="D1723" s="490"/>
      <c r="E1723" s="490"/>
      <c r="F1723" s="490"/>
      <c r="G1723" s="127" t="s">
        <v>1024</v>
      </c>
      <c r="H1723" s="524">
        <v>0.15</v>
      </c>
      <c r="I1723" s="524"/>
      <c r="J1723" s="517">
        <v>26.03</v>
      </c>
      <c r="K1723" s="517"/>
      <c r="L1723" s="370">
        <f>TRUNC(TRUNC(H1723,8)*J1723,2)</f>
        <v>3.9</v>
      </c>
    </row>
    <row r="1724" spans="1:12" ht="15" customHeight="1" x14ac:dyDescent="0.25">
      <c r="A1724" s="184"/>
      <c r="B1724" s="141"/>
      <c r="C1724" s="141"/>
      <c r="D1724" s="141"/>
      <c r="E1724" s="141"/>
      <c r="F1724" s="141"/>
      <c r="G1724" s="141"/>
      <c r="H1724" s="491" t="s">
        <v>1844</v>
      </c>
      <c r="I1724" s="491"/>
      <c r="J1724" s="491"/>
      <c r="K1724" s="491"/>
      <c r="L1724" s="369">
        <f>SUM(L1722:L1723)</f>
        <v>7.1899999999999995</v>
      </c>
    </row>
    <row r="1725" spans="1:12" ht="15" customHeight="1" x14ac:dyDescent="0.25">
      <c r="A1725" s="182"/>
      <c r="B1725" s="183"/>
      <c r="C1725" s="183"/>
      <c r="D1725" s="183"/>
      <c r="E1725" s="183"/>
      <c r="F1725" s="183"/>
      <c r="G1725" s="183"/>
      <c r="H1725" s="482" t="s">
        <v>1845</v>
      </c>
      <c r="I1725" s="482"/>
      <c r="J1725" s="482"/>
      <c r="K1725" s="482"/>
      <c r="L1725" s="371">
        <f>SUM(L1724)</f>
        <v>7.1899999999999995</v>
      </c>
    </row>
    <row r="1726" spans="1:12" ht="15" customHeight="1" x14ac:dyDescent="0.25">
      <c r="A1726" s="182"/>
      <c r="B1726" s="183"/>
      <c r="C1726" s="183"/>
      <c r="D1726" s="183"/>
      <c r="E1726" s="183"/>
      <c r="F1726" s="183"/>
      <c r="G1726" s="183"/>
      <c r="H1726" s="482" t="s">
        <v>1846</v>
      </c>
      <c r="I1726" s="482"/>
      <c r="J1726" s="482"/>
      <c r="K1726" s="482"/>
      <c r="L1726" s="374">
        <v>1</v>
      </c>
    </row>
    <row r="1727" spans="1:12" ht="15" customHeight="1" x14ac:dyDescent="0.25">
      <c r="A1727" s="182"/>
      <c r="B1727" s="183"/>
      <c r="C1727" s="183"/>
      <c r="D1727" s="183"/>
      <c r="E1727" s="183"/>
      <c r="F1727" s="183"/>
      <c r="G1727" s="183"/>
      <c r="H1727" s="482" t="s">
        <v>1847</v>
      </c>
      <c r="I1727" s="482"/>
      <c r="J1727" s="482"/>
      <c r="K1727" s="482"/>
      <c r="L1727" s="371">
        <f>TRUNC(L1725/L1726,4)</f>
        <v>7.19</v>
      </c>
    </row>
    <row r="1728" spans="1:12" ht="20.100000000000001" customHeight="1" x14ac:dyDescent="0.25">
      <c r="A1728" s="488" t="s">
        <v>1880</v>
      </c>
      <c r="B1728" s="489"/>
      <c r="C1728" s="489"/>
      <c r="D1728" s="489"/>
      <c r="E1728" s="489"/>
      <c r="F1728" s="489"/>
      <c r="G1728" s="233" t="s">
        <v>44</v>
      </c>
      <c r="H1728" s="515" t="s">
        <v>1837</v>
      </c>
      <c r="I1728" s="515"/>
      <c r="J1728" s="515" t="s">
        <v>1881</v>
      </c>
      <c r="K1728" s="515"/>
      <c r="L1728" s="169" t="s">
        <v>1882</v>
      </c>
    </row>
    <row r="1729" spans="1:12" ht="15" customHeight="1" x14ac:dyDescent="0.25">
      <c r="A1729" s="170" t="s">
        <v>3282</v>
      </c>
      <c r="B1729" s="492" t="s">
        <v>3283</v>
      </c>
      <c r="C1729" s="492"/>
      <c r="D1729" s="492"/>
      <c r="E1729" s="492"/>
      <c r="F1729" s="492"/>
      <c r="G1729" s="127" t="s">
        <v>226</v>
      </c>
      <c r="H1729" s="524">
        <v>1</v>
      </c>
      <c r="I1729" s="524"/>
      <c r="J1729" s="525">
        <v>2.73</v>
      </c>
      <c r="K1729" s="525"/>
      <c r="L1729" s="171">
        <f>TRUNC(TRUNC(H1729,8)*J1729,2)</f>
        <v>2.73</v>
      </c>
    </row>
    <row r="1730" spans="1:12" ht="15" customHeight="1" x14ac:dyDescent="0.25">
      <c r="A1730" s="184"/>
      <c r="B1730" s="141"/>
      <c r="C1730" s="141"/>
      <c r="D1730" s="141"/>
      <c r="E1730" s="141"/>
      <c r="F1730" s="141"/>
      <c r="G1730" s="141"/>
      <c r="H1730" s="491" t="s">
        <v>1889</v>
      </c>
      <c r="I1730" s="491"/>
      <c r="J1730" s="491"/>
      <c r="K1730" s="491"/>
      <c r="L1730" s="375">
        <f>SUM(L1729:L1729)</f>
        <v>2.73</v>
      </c>
    </row>
    <row r="1731" spans="1:12" ht="15" customHeight="1" x14ac:dyDescent="0.25">
      <c r="A1731" s="182"/>
      <c r="B1731" s="183"/>
      <c r="C1731" s="183"/>
      <c r="D1731" s="183"/>
      <c r="E1731" s="183"/>
      <c r="F1731" s="183"/>
      <c r="G1731" s="183"/>
      <c r="H1731" s="482" t="s">
        <v>1848</v>
      </c>
      <c r="I1731" s="482"/>
      <c r="J1731" s="482"/>
      <c r="K1731" s="482"/>
      <c r="L1731" s="371">
        <f>SUM(L1727,L1730)</f>
        <v>9.92</v>
      </c>
    </row>
    <row r="1732" spans="1:12" ht="15" customHeight="1" x14ac:dyDescent="0.25">
      <c r="A1732" s="182"/>
      <c r="B1732" s="183"/>
      <c r="C1732" s="183"/>
      <c r="D1732" s="183"/>
      <c r="E1732" s="183"/>
      <c r="F1732" s="183"/>
      <c r="G1732" s="183"/>
      <c r="H1732" s="482" t="s">
        <v>1834</v>
      </c>
      <c r="I1732" s="482"/>
      <c r="J1732" s="482"/>
      <c r="K1732" s="482"/>
      <c r="L1732" s="369">
        <f>ROUND(SUM(L1731),2)</f>
        <v>9.92</v>
      </c>
    </row>
    <row r="1733" spans="1:12" ht="9.9499999999999993" customHeight="1" x14ac:dyDescent="0.25">
      <c r="A1733" s="182"/>
      <c r="B1733" s="183"/>
      <c r="C1733" s="183"/>
      <c r="D1733" s="183"/>
      <c r="E1733" s="183"/>
      <c r="F1733" s="183"/>
      <c r="G1733" s="183"/>
      <c r="H1733" s="485"/>
      <c r="I1733" s="485"/>
      <c r="J1733" s="485"/>
      <c r="K1733" s="485"/>
      <c r="L1733" s="512"/>
    </row>
    <row r="1734" spans="1:12" ht="20.100000000000001" customHeight="1" x14ac:dyDescent="0.25">
      <c r="A1734" s="486" t="s">
        <v>2183</v>
      </c>
      <c r="B1734" s="487"/>
      <c r="C1734" s="487"/>
      <c r="D1734" s="487"/>
      <c r="E1734" s="487"/>
      <c r="F1734" s="487"/>
      <c r="G1734" s="487"/>
      <c r="H1734" s="487"/>
      <c r="I1734" s="487"/>
      <c r="J1734" s="487"/>
      <c r="K1734" s="487"/>
      <c r="L1734" s="513"/>
    </row>
    <row r="1735" spans="1:12" ht="20.100000000000001" customHeight="1" x14ac:dyDescent="0.25">
      <c r="A1735" s="488" t="s">
        <v>1836</v>
      </c>
      <c r="B1735" s="489"/>
      <c r="C1735" s="489"/>
      <c r="D1735" s="489"/>
      <c r="E1735" s="489"/>
      <c r="F1735" s="489"/>
      <c r="G1735" s="233" t="s">
        <v>44</v>
      </c>
      <c r="H1735" s="515" t="s">
        <v>1837</v>
      </c>
      <c r="I1735" s="515"/>
      <c r="J1735" s="515" t="s">
        <v>1838</v>
      </c>
      <c r="K1735" s="515"/>
      <c r="L1735" s="169" t="s">
        <v>1839</v>
      </c>
    </row>
    <row r="1736" spans="1:12" ht="15" customHeight="1" x14ac:dyDescent="0.25">
      <c r="A1736" s="170" t="s">
        <v>1840</v>
      </c>
      <c r="B1736" s="490" t="s">
        <v>1841</v>
      </c>
      <c r="C1736" s="490"/>
      <c r="D1736" s="490"/>
      <c r="E1736" s="490"/>
      <c r="F1736" s="490"/>
      <c r="G1736" s="127" t="s">
        <v>1024</v>
      </c>
      <c r="H1736" s="524">
        <v>0.25</v>
      </c>
      <c r="I1736" s="524"/>
      <c r="J1736" s="517">
        <v>21.94</v>
      </c>
      <c r="K1736" s="517"/>
      <c r="L1736" s="370">
        <f>ROUND(ROUND(H1736,8)*J1736,2)</f>
        <v>5.49</v>
      </c>
    </row>
    <row r="1737" spans="1:12" ht="15" customHeight="1" x14ac:dyDescent="0.25">
      <c r="A1737" s="170" t="s">
        <v>2178</v>
      </c>
      <c r="B1737" s="490" t="s">
        <v>2179</v>
      </c>
      <c r="C1737" s="490"/>
      <c r="D1737" s="490"/>
      <c r="E1737" s="490"/>
      <c r="F1737" s="490"/>
      <c r="G1737" s="127" t="s">
        <v>1024</v>
      </c>
      <c r="H1737" s="524">
        <v>0.25</v>
      </c>
      <c r="I1737" s="524"/>
      <c r="J1737" s="517">
        <v>26.03</v>
      </c>
      <c r="K1737" s="517"/>
      <c r="L1737" s="370">
        <f>ROUND(ROUND(H1737,8)*J1737,2)</f>
        <v>6.51</v>
      </c>
    </row>
    <row r="1738" spans="1:12" ht="15" customHeight="1" x14ac:dyDescent="0.25">
      <c r="A1738" s="184"/>
      <c r="B1738" s="141"/>
      <c r="C1738" s="141"/>
      <c r="D1738" s="141"/>
      <c r="E1738" s="141"/>
      <c r="F1738" s="141"/>
      <c r="G1738" s="141"/>
      <c r="H1738" s="491" t="s">
        <v>1844</v>
      </c>
      <c r="I1738" s="491"/>
      <c r="J1738" s="491"/>
      <c r="K1738" s="491"/>
      <c r="L1738" s="369">
        <f>SUM(L1736:L1737)</f>
        <v>12</v>
      </c>
    </row>
    <row r="1739" spans="1:12" ht="15" customHeight="1" x14ac:dyDescent="0.25">
      <c r="A1739" s="182"/>
      <c r="B1739" s="183"/>
      <c r="C1739" s="183"/>
      <c r="D1739" s="183"/>
      <c r="E1739" s="183"/>
      <c r="F1739" s="183"/>
      <c r="G1739" s="183"/>
      <c r="H1739" s="482" t="s">
        <v>1845</v>
      </c>
      <c r="I1739" s="482"/>
      <c r="J1739" s="482"/>
      <c r="K1739" s="482"/>
      <c r="L1739" s="371">
        <f>SUM(L1738)</f>
        <v>12</v>
      </c>
    </row>
    <row r="1740" spans="1:12" ht="15" customHeight="1" x14ac:dyDescent="0.25">
      <c r="A1740" s="182"/>
      <c r="B1740" s="183"/>
      <c r="C1740" s="183"/>
      <c r="D1740" s="183"/>
      <c r="E1740" s="183"/>
      <c r="F1740" s="183"/>
      <c r="G1740" s="183"/>
      <c r="H1740" s="482" t="s">
        <v>1846</v>
      </c>
      <c r="I1740" s="482"/>
      <c r="J1740" s="482"/>
      <c r="K1740" s="482"/>
      <c r="L1740" s="382">
        <v>1</v>
      </c>
    </row>
    <row r="1741" spans="1:12" ht="15" customHeight="1" x14ac:dyDescent="0.25">
      <c r="A1741" s="182"/>
      <c r="B1741" s="183"/>
      <c r="C1741" s="183"/>
      <c r="D1741" s="183"/>
      <c r="E1741" s="183"/>
      <c r="F1741" s="183"/>
      <c r="G1741" s="183"/>
      <c r="H1741" s="482" t="s">
        <v>1847</v>
      </c>
      <c r="I1741" s="482"/>
      <c r="J1741" s="482"/>
      <c r="K1741" s="482"/>
      <c r="L1741" s="371">
        <f>ROUND(L1739/L1740,4)</f>
        <v>12</v>
      </c>
    </row>
    <row r="1742" spans="1:12" ht="20.100000000000001" customHeight="1" x14ac:dyDescent="0.25">
      <c r="A1742" s="488" t="s">
        <v>1880</v>
      </c>
      <c r="B1742" s="489"/>
      <c r="C1742" s="489"/>
      <c r="D1742" s="489"/>
      <c r="E1742" s="489"/>
      <c r="F1742" s="489"/>
      <c r="G1742" s="233" t="s">
        <v>44</v>
      </c>
      <c r="H1742" s="515" t="s">
        <v>1837</v>
      </c>
      <c r="I1742" s="515"/>
      <c r="J1742" s="515" t="s">
        <v>1881</v>
      </c>
      <c r="K1742" s="515"/>
      <c r="L1742" s="169" t="s">
        <v>1882</v>
      </c>
    </row>
    <row r="1743" spans="1:12" ht="15" customHeight="1" x14ac:dyDescent="0.25">
      <c r="A1743" s="170" t="s">
        <v>2184</v>
      </c>
      <c r="B1743" s="492" t="s">
        <v>2185</v>
      </c>
      <c r="C1743" s="492"/>
      <c r="D1743" s="492"/>
      <c r="E1743" s="492"/>
      <c r="F1743" s="492"/>
      <c r="G1743" s="127" t="s">
        <v>226</v>
      </c>
      <c r="H1743" s="524">
        <v>1</v>
      </c>
      <c r="I1743" s="524"/>
      <c r="J1743" s="525">
        <v>4.72</v>
      </c>
      <c r="K1743" s="525"/>
      <c r="L1743" s="171">
        <f>ROUND(ROUND(H1743,8)*J1743,2)</f>
        <v>4.72</v>
      </c>
    </row>
    <row r="1744" spans="1:12" ht="15" customHeight="1" x14ac:dyDescent="0.25">
      <c r="A1744" s="184"/>
      <c r="B1744" s="141"/>
      <c r="C1744" s="141"/>
      <c r="D1744" s="141"/>
      <c r="E1744" s="141"/>
      <c r="F1744" s="141"/>
      <c r="G1744" s="141"/>
      <c r="H1744" s="491" t="s">
        <v>1889</v>
      </c>
      <c r="I1744" s="491"/>
      <c r="J1744" s="491"/>
      <c r="K1744" s="491"/>
      <c r="L1744" s="375">
        <f>SUM(L1743:L1743)</f>
        <v>4.72</v>
      </c>
    </row>
    <row r="1745" spans="1:12" ht="15" customHeight="1" x14ac:dyDescent="0.25">
      <c r="A1745" s="182"/>
      <c r="B1745" s="183"/>
      <c r="C1745" s="183"/>
      <c r="D1745" s="183"/>
      <c r="E1745" s="183"/>
      <c r="F1745" s="183"/>
      <c r="G1745" s="183"/>
      <c r="H1745" s="482" t="s">
        <v>1848</v>
      </c>
      <c r="I1745" s="482"/>
      <c r="J1745" s="482"/>
      <c r="K1745" s="482"/>
      <c r="L1745" s="371">
        <f>SUM(L1741,L1744)</f>
        <v>16.72</v>
      </c>
    </row>
    <row r="1746" spans="1:12" ht="15" customHeight="1" x14ac:dyDescent="0.25">
      <c r="A1746" s="483" t="s">
        <v>2186</v>
      </c>
      <c r="B1746" s="484"/>
      <c r="C1746" s="484"/>
      <c r="D1746" s="484"/>
      <c r="E1746" s="183"/>
      <c r="F1746" s="183"/>
      <c r="G1746" s="183"/>
      <c r="H1746" s="482" t="s">
        <v>1834</v>
      </c>
      <c r="I1746" s="482"/>
      <c r="J1746" s="482"/>
      <c r="K1746" s="482"/>
      <c r="L1746" s="369">
        <v>16.72</v>
      </c>
    </row>
    <row r="1747" spans="1:12" ht="9.9499999999999993" customHeight="1" x14ac:dyDescent="0.25">
      <c r="A1747" s="182"/>
      <c r="B1747" s="183"/>
      <c r="C1747" s="183"/>
      <c r="D1747" s="183"/>
      <c r="E1747" s="183"/>
      <c r="F1747" s="183"/>
      <c r="G1747" s="183"/>
      <c r="H1747" s="485"/>
      <c r="I1747" s="485"/>
      <c r="J1747" s="485"/>
      <c r="K1747" s="485"/>
      <c r="L1747" s="512"/>
    </row>
    <row r="1748" spans="1:12" ht="20.100000000000001" customHeight="1" x14ac:dyDescent="0.25">
      <c r="A1748" s="486" t="s">
        <v>3692</v>
      </c>
      <c r="B1748" s="487"/>
      <c r="C1748" s="487"/>
      <c r="D1748" s="487"/>
      <c r="E1748" s="487"/>
      <c r="F1748" s="487"/>
      <c r="G1748" s="487"/>
      <c r="H1748" s="487"/>
      <c r="I1748" s="487"/>
      <c r="J1748" s="487"/>
      <c r="K1748" s="487"/>
      <c r="L1748" s="513"/>
    </row>
    <row r="1749" spans="1:12" ht="15" customHeight="1" x14ac:dyDescent="0.25">
      <c r="A1749" s="474" t="s">
        <v>1812</v>
      </c>
      <c r="B1749" s="475"/>
      <c r="C1749" s="475"/>
      <c r="D1749" s="476" t="s">
        <v>42</v>
      </c>
      <c r="E1749" s="476"/>
      <c r="F1749" s="476"/>
      <c r="G1749" s="230" t="s">
        <v>44</v>
      </c>
      <c r="H1749" s="476" t="s">
        <v>1813</v>
      </c>
      <c r="I1749" s="476"/>
      <c r="J1749" s="476" t="s">
        <v>1814</v>
      </c>
      <c r="K1749" s="476"/>
      <c r="L1749" s="366" t="s">
        <v>1802</v>
      </c>
    </row>
    <row r="1750" spans="1:12" ht="29.1" customHeight="1" x14ac:dyDescent="0.25">
      <c r="A1750" s="181" t="s">
        <v>3693</v>
      </c>
      <c r="B1750" s="509" t="s">
        <v>3694</v>
      </c>
      <c r="C1750" s="509"/>
      <c r="D1750" s="481" t="s">
        <v>82</v>
      </c>
      <c r="E1750" s="481"/>
      <c r="F1750" s="481"/>
      <c r="G1750" s="231" t="s">
        <v>226</v>
      </c>
      <c r="H1750" s="510">
        <v>1</v>
      </c>
      <c r="I1750" s="510"/>
      <c r="J1750" s="511">
        <v>386.24</v>
      </c>
      <c r="K1750" s="511"/>
      <c r="L1750" s="367">
        <f>TRUNC(TRUNC(H1750,8)*J1750,2)</f>
        <v>386.24</v>
      </c>
    </row>
    <row r="1751" spans="1:12" ht="15" customHeight="1" x14ac:dyDescent="0.25">
      <c r="A1751" s="182"/>
      <c r="B1751" s="183"/>
      <c r="C1751" s="183"/>
      <c r="D1751" s="183"/>
      <c r="E1751" s="183"/>
      <c r="F1751" s="183"/>
      <c r="G1751" s="183"/>
      <c r="H1751" s="477" t="s">
        <v>1826</v>
      </c>
      <c r="I1751" s="477"/>
      <c r="J1751" s="477"/>
      <c r="K1751" s="477"/>
      <c r="L1751" s="368">
        <f>SUM(L1750:L1750)</f>
        <v>386.24</v>
      </c>
    </row>
    <row r="1752" spans="1:12" ht="15" customHeight="1" x14ac:dyDescent="0.25">
      <c r="A1752" s="474" t="s">
        <v>2190</v>
      </c>
      <c r="B1752" s="475"/>
      <c r="C1752" s="475"/>
      <c r="D1752" s="476" t="s">
        <v>42</v>
      </c>
      <c r="E1752" s="476"/>
      <c r="F1752" s="476"/>
      <c r="G1752" s="230" t="s">
        <v>44</v>
      </c>
      <c r="H1752" s="476" t="s">
        <v>1813</v>
      </c>
      <c r="I1752" s="476"/>
      <c r="J1752" s="476" t="s">
        <v>1814</v>
      </c>
      <c r="K1752" s="476"/>
      <c r="L1752" s="366" t="s">
        <v>1802</v>
      </c>
    </row>
    <row r="1753" spans="1:12" ht="21" customHeight="1" x14ac:dyDescent="0.25">
      <c r="A1753" s="181" t="s">
        <v>2191</v>
      </c>
      <c r="B1753" s="509" t="s">
        <v>2192</v>
      </c>
      <c r="C1753" s="509"/>
      <c r="D1753" s="481" t="s">
        <v>82</v>
      </c>
      <c r="E1753" s="481"/>
      <c r="F1753" s="481"/>
      <c r="G1753" s="231" t="s">
        <v>1024</v>
      </c>
      <c r="H1753" s="510">
        <v>0.31730000000000003</v>
      </c>
      <c r="I1753" s="510"/>
      <c r="J1753" s="511">
        <v>31.67</v>
      </c>
      <c r="K1753" s="511"/>
      <c r="L1753" s="367">
        <f>TRUNC(TRUNC(H1753,8)*J1753,2)</f>
        <v>10.039999999999999</v>
      </c>
    </row>
    <row r="1754" spans="1:12" ht="15" customHeight="1" x14ac:dyDescent="0.25">
      <c r="A1754" s="181" t="s">
        <v>2193</v>
      </c>
      <c r="B1754" s="509" t="s">
        <v>2194</v>
      </c>
      <c r="C1754" s="509"/>
      <c r="D1754" s="481" t="s">
        <v>82</v>
      </c>
      <c r="E1754" s="481"/>
      <c r="F1754" s="481"/>
      <c r="G1754" s="231" t="s">
        <v>1024</v>
      </c>
      <c r="H1754" s="510">
        <v>0.31730000000000003</v>
      </c>
      <c r="I1754" s="510"/>
      <c r="J1754" s="511">
        <v>44.2</v>
      </c>
      <c r="K1754" s="511"/>
      <c r="L1754" s="367">
        <f>TRUNC(TRUNC(H1754,8)*J1754,2)</f>
        <v>14.02</v>
      </c>
    </row>
    <row r="1755" spans="1:12" ht="18" customHeight="1" x14ac:dyDescent="0.25">
      <c r="A1755" s="182"/>
      <c r="B1755" s="183"/>
      <c r="C1755" s="183"/>
      <c r="D1755" s="183"/>
      <c r="E1755" s="183"/>
      <c r="F1755" s="183"/>
      <c r="G1755" s="183"/>
      <c r="H1755" s="477" t="s">
        <v>2195</v>
      </c>
      <c r="I1755" s="477"/>
      <c r="J1755" s="477"/>
      <c r="K1755" s="477"/>
      <c r="L1755" s="368">
        <f>SUM(L1753:L1754)</f>
        <v>24.06</v>
      </c>
    </row>
    <row r="1756" spans="1:12" ht="15" customHeight="1" x14ac:dyDescent="0.25">
      <c r="A1756" s="182"/>
      <c r="B1756" s="183"/>
      <c r="C1756" s="183"/>
      <c r="D1756" s="183"/>
      <c r="E1756" s="183"/>
      <c r="F1756" s="183"/>
      <c r="G1756" s="183"/>
      <c r="H1756" s="482" t="s">
        <v>1834</v>
      </c>
      <c r="I1756" s="482"/>
      <c r="J1756" s="482"/>
      <c r="K1756" s="482"/>
      <c r="L1756" s="369">
        <f>ROUND(SUM(L1751,L1755),2)</f>
        <v>410.3</v>
      </c>
    </row>
    <row r="1757" spans="1:12" ht="9.9499999999999993" customHeight="1" x14ac:dyDescent="0.25">
      <c r="A1757" s="182"/>
      <c r="B1757" s="183"/>
      <c r="C1757" s="183"/>
      <c r="D1757" s="183"/>
      <c r="E1757" s="183"/>
      <c r="F1757" s="183"/>
      <c r="G1757" s="183"/>
      <c r="H1757" s="485"/>
      <c r="I1757" s="485"/>
      <c r="J1757" s="485"/>
      <c r="K1757" s="485"/>
      <c r="L1757" s="512"/>
    </row>
    <row r="1758" spans="1:12" ht="20.100000000000001" customHeight="1" x14ac:dyDescent="0.25">
      <c r="A1758" s="486" t="s">
        <v>3695</v>
      </c>
      <c r="B1758" s="487"/>
      <c r="C1758" s="487"/>
      <c r="D1758" s="487"/>
      <c r="E1758" s="487"/>
      <c r="F1758" s="487"/>
      <c r="G1758" s="487"/>
      <c r="H1758" s="487"/>
      <c r="I1758" s="487"/>
      <c r="J1758" s="487"/>
      <c r="K1758" s="487"/>
      <c r="L1758" s="513"/>
    </row>
    <row r="1759" spans="1:12" ht="15" customHeight="1" x14ac:dyDescent="0.25">
      <c r="A1759" s="474" t="s">
        <v>1812</v>
      </c>
      <c r="B1759" s="475"/>
      <c r="C1759" s="475"/>
      <c r="D1759" s="476" t="s">
        <v>42</v>
      </c>
      <c r="E1759" s="476"/>
      <c r="F1759" s="476"/>
      <c r="G1759" s="230" t="s">
        <v>44</v>
      </c>
      <c r="H1759" s="476" t="s">
        <v>1813</v>
      </c>
      <c r="I1759" s="476"/>
      <c r="J1759" s="476" t="s">
        <v>1814</v>
      </c>
      <c r="K1759" s="476"/>
      <c r="L1759" s="366" t="s">
        <v>1802</v>
      </c>
    </row>
    <row r="1760" spans="1:12" ht="21" customHeight="1" x14ac:dyDescent="0.25">
      <c r="A1760" s="181" t="s">
        <v>3696</v>
      </c>
      <c r="B1760" s="509" t="s">
        <v>3697</v>
      </c>
      <c r="C1760" s="509"/>
      <c r="D1760" s="481" t="s">
        <v>82</v>
      </c>
      <c r="E1760" s="481"/>
      <c r="F1760" s="481"/>
      <c r="G1760" s="231" t="s">
        <v>226</v>
      </c>
      <c r="H1760" s="510">
        <v>1</v>
      </c>
      <c r="I1760" s="510"/>
      <c r="J1760" s="511">
        <v>65.930000000000007</v>
      </c>
      <c r="K1760" s="511"/>
      <c r="L1760" s="367">
        <f>TRUNC(TRUNC(H1760,8)*J1760,2)</f>
        <v>65.930000000000007</v>
      </c>
    </row>
    <row r="1761" spans="1:12" ht="29.1" customHeight="1" x14ac:dyDescent="0.25">
      <c r="A1761" s="181" t="s">
        <v>2655</v>
      </c>
      <c r="B1761" s="509" t="s">
        <v>2208</v>
      </c>
      <c r="C1761" s="509"/>
      <c r="D1761" s="481" t="s">
        <v>82</v>
      </c>
      <c r="E1761" s="481"/>
      <c r="F1761" s="481"/>
      <c r="G1761" s="231" t="s">
        <v>226</v>
      </c>
      <c r="H1761" s="510">
        <v>3</v>
      </c>
      <c r="I1761" s="510"/>
      <c r="J1761" s="511">
        <v>2.2999999999999998</v>
      </c>
      <c r="K1761" s="511"/>
      <c r="L1761" s="367">
        <f>TRUNC(TRUNC(H1761,8)*J1761,2)</f>
        <v>6.9</v>
      </c>
    </row>
    <row r="1762" spans="1:12" ht="15" customHeight="1" x14ac:dyDescent="0.25">
      <c r="A1762" s="182"/>
      <c r="B1762" s="183"/>
      <c r="C1762" s="183"/>
      <c r="D1762" s="183"/>
      <c r="E1762" s="183"/>
      <c r="F1762" s="183"/>
      <c r="G1762" s="183"/>
      <c r="H1762" s="477" t="s">
        <v>1826</v>
      </c>
      <c r="I1762" s="477"/>
      <c r="J1762" s="477"/>
      <c r="K1762" s="477"/>
      <c r="L1762" s="368">
        <f>SUM(L1760:L1761)</f>
        <v>72.830000000000013</v>
      </c>
    </row>
    <row r="1763" spans="1:12" ht="15" customHeight="1" x14ac:dyDescent="0.25">
      <c r="A1763" s="474" t="s">
        <v>2190</v>
      </c>
      <c r="B1763" s="475"/>
      <c r="C1763" s="475"/>
      <c r="D1763" s="476" t="s">
        <v>42</v>
      </c>
      <c r="E1763" s="476"/>
      <c r="F1763" s="476"/>
      <c r="G1763" s="230" t="s">
        <v>44</v>
      </c>
      <c r="H1763" s="476" t="s">
        <v>1813</v>
      </c>
      <c r="I1763" s="476"/>
      <c r="J1763" s="476" t="s">
        <v>1814</v>
      </c>
      <c r="K1763" s="476"/>
      <c r="L1763" s="366" t="s">
        <v>1802</v>
      </c>
    </row>
    <row r="1764" spans="1:12" ht="21" customHeight="1" x14ac:dyDescent="0.25">
      <c r="A1764" s="181" t="s">
        <v>2191</v>
      </c>
      <c r="B1764" s="509" t="s">
        <v>2192</v>
      </c>
      <c r="C1764" s="509"/>
      <c r="D1764" s="481" t="s">
        <v>82</v>
      </c>
      <c r="E1764" s="481"/>
      <c r="F1764" s="481"/>
      <c r="G1764" s="231" t="s">
        <v>1024</v>
      </c>
      <c r="H1764" s="510">
        <v>0.52974500000000002</v>
      </c>
      <c r="I1764" s="510"/>
      <c r="J1764" s="511">
        <v>31.67</v>
      </c>
      <c r="K1764" s="511"/>
      <c r="L1764" s="367">
        <f>TRUNC(TRUNC(H1764,8)*J1764,2)</f>
        <v>16.77</v>
      </c>
    </row>
    <row r="1765" spans="1:12" ht="15" customHeight="1" x14ac:dyDescent="0.25">
      <c r="A1765" s="181" t="s">
        <v>2193</v>
      </c>
      <c r="B1765" s="509" t="s">
        <v>2194</v>
      </c>
      <c r="C1765" s="509"/>
      <c r="D1765" s="481" t="s">
        <v>82</v>
      </c>
      <c r="E1765" s="481"/>
      <c r="F1765" s="481"/>
      <c r="G1765" s="231" t="s">
        <v>1024</v>
      </c>
      <c r="H1765" s="510">
        <v>0.52974500000000002</v>
      </c>
      <c r="I1765" s="510"/>
      <c r="J1765" s="511">
        <v>44.2</v>
      </c>
      <c r="K1765" s="511"/>
      <c r="L1765" s="367">
        <f>TRUNC(TRUNC(H1765,8)*J1765,2)</f>
        <v>23.41</v>
      </c>
    </row>
    <row r="1766" spans="1:12" ht="18" customHeight="1" x14ac:dyDescent="0.25">
      <c r="A1766" s="182"/>
      <c r="B1766" s="183"/>
      <c r="C1766" s="183"/>
      <c r="D1766" s="183"/>
      <c r="E1766" s="183"/>
      <c r="F1766" s="183"/>
      <c r="G1766" s="183"/>
      <c r="H1766" s="477" t="s">
        <v>2195</v>
      </c>
      <c r="I1766" s="477"/>
      <c r="J1766" s="477"/>
      <c r="K1766" s="477"/>
      <c r="L1766" s="368">
        <f>SUM(L1764:L1765)</f>
        <v>40.18</v>
      </c>
    </row>
    <row r="1767" spans="1:12" ht="15" customHeight="1" x14ac:dyDescent="0.25">
      <c r="A1767" s="182"/>
      <c r="B1767" s="183"/>
      <c r="C1767" s="183"/>
      <c r="D1767" s="183"/>
      <c r="E1767" s="183"/>
      <c r="F1767" s="183"/>
      <c r="G1767" s="183"/>
      <c r="H1767" s="482" t="s">
        <v>1834</v>
      </c>
      <c r="I1767" s="482"/>
      <c r="J1767" s="482"/>
      <c r="K1767" s="482"/>
      <c r="L1767" s="369">
        <f>ROUND(SUM(L1762,L1766),2)</f>
        <v>113.01</v>
      </c>
    </row>
    <row r="1768" spans="1:12" ht="9.9499999999999993" customHeight="1" x14ac:dyDescent="0.25">
      <c r="A1768" s="182"/>
      <c r="B1768" s="183"/>
      <c r="C1768" s="183"/>
      <c r="D1768" s="183"/>
      <c r="E1768" s="183"/>
      <c r="F1768" s="183"/>
      <c r="G1768" s="183"/>
      <c r="H1768" s="485"/>
      <c r="I1768" s="485"/>
      <c r="J1768" s="485"/>
      <c r="K1768" s="485"/>
      <c r="L1768" s="512"/>
    </row>
    <row r="1769" spans="1:12" ht="20.100000000000001" customHeight="1" x14ac:dyDescent="0.25">
      <c r="A1769" s="486" t="s">
        <v>3698</v>
      </c>
      <c r="B1769" s="487"/>
      <c r="C1769" s="487"/>
      <c r="D1769" s="487"/>
      <c r="E1769" s="487"/>
      <c r="F1769" s="487"/>
      <c r="G1769" s="487"/>
      <c r="H1769" s="487"/>
      <c r="I1769" s="487"/>
      <c r="J1769" s="487"/>
      <c r="K1769" s="487"/>
      <c r="L1769" s="513"/>
    </row>
    <row r="1770" spans="1:12" ht="15" customHeight="1" x14ac:dyDescent="0.25">
      <c r="A1770" s="474" t="s">
        <v>1812</v>
      </c>
      <c r="B1770" s="475"/>
      <c r="C1770" s="475"/>
      <c r="D1770" s="476" t="s">
        <v>42</v>
      </c>
      <c r="E1770" s="476"/>
      <c r="F1770" s="476"/>
      <c r="G1770" s="230" t="s">
        <v>44</v>
      </c>
      <c r="H1770" s="476" t="s">
        <v>1813</v>
      </c>
      <c r="I1770" s="476"/>
      <c r="J1770" s="476" t="s">
        <v>1814</v>
      </c>
      <c r="K1770" s="476"/>
      <c r="L1770" s="366" t="s">
        <v>1802</v>
      </c>
    </row>
    <row r="1771" spans="1:12" ht="21" customHeight="1" x14ac:dyDescent="0.25">
      <c r="A1771" s="181" t="s">
        <v>3699</v>
      </c>
      <c r="B1771" s="509" t="s">
        <v>3700</v>
      </c>
      <c r="C1771" s="509"/>
      <c r="D1771" s="481" t="s">
        <v>82</v>
      </c>
      <c r="E1771" s="481"/>
      <c r="F1771" s="481"/>
      <c r="G1771" s="231" t="s">
        <v>226</v>
      </c>
      <c r="H1771" s="510">
        <v>1</v>
      </c>
      <c r="I1771" s="510"/>
      <c r="J1771" s="511">
        <v>45.05</v>
      </c>
      <c r="K1771" s="511"/>
      <c r="L1771" s="367">
        <f>TRUNC(TRUNC(H1771,8)*J1771,2)</f>
        <v>45.05</v>
      </c>
    </row>
    <row r="1772" spans="1:12" ht="29.1" customHeight="1" x14ac:dyDescent="0.25">
      <c r="A1772" s="181" t="s">
        <v>3701</v>
      </c>
      <c r="B1772" s="509" t="s">
        <v>3702</v>
      </c>
      <c r="C1772" s="509"/>
      <c r="D1772" s="481" t="s">
        <v>82</v>
      </c>
      <c r="E1772" s="481"/>
      <c r="F1772" s="481"/>
      <c r="G1772" s="231" t="s">
        <v>226</v>
      </c>
      <c r="H1772" s="510">
        <v>2</v>
      </c>
      <c r="I1772" s="510"/>
      <c r="J1772" s="511">
        <v>1.1499999999999999</v>
      </c>
      <c r="K1772" s="511"/>
      <c r="L1772" s="367">
        <f>TRUNC(TRUNC(H1772,8)*J1772,2)</f>
        <v>2.2999999999999998</v>
      </c>
    </row>
    <row r="1773" spans="1:12" ht="15" customHeight="1" x14ac:dyDescent="0.25">
      <c r="A1773" s="182"/>
      <c r="B1773" s="183"/>
      <c r="C1773" s="183"/>
      <c r="D1773" s="183"/>
      <c r="E1773" s="183"/>
      <c r="F1773" s="183"/>
      <c r="G1773" s="183"/>
      <c r="H1773" s="477" t="s">
        <v>1826</v>
      </c>
      <c r="I1773" s="477"/>
      <c r="J1773" s="477"/>
      <c r="K1773" s="477"/>
      <c r="L1773" s="368">
        <f>SUM(L1771:L1772)</f>
        <v>47.349999999999994</v>
      </c>
    </row>
    <row r="1774" spans="1:12" ht="15" customHeight="1" x14ac:dyDescent="0.25">
      <c r="A1774" s="474" t="s">
        <v>2190</v>
      </c>
      <c r="B1774" s="475"/>
      <c r="C1774" s="475"/>
      <c r="D1774" s="476" t="s">
        <v>42</v>
      </c>
      <c r="E1774" s="476"/>
      <c r="F1774" s="476"/>
      <c r="G1774" s="230" t="s">
        <v>44</v>
      </c>
      <c r="H1774" s="476" t="s">
        <v>1813</v>
      </c>
      <c r="I1774" s="476"/>
      <c r="J1774" s="476" t="s">
        <v>1814</v>
      </c>
      <c r="K1774" s="476"/>
      <c r="L1774" s="366" t="s">
        <v>1802</v>
      </c>
    </row>
    <row r="1775" spans="1:12" ht="21" customHeight="1" x14ac:dyDescent="0.25">
      <c r="A1775" s="181" t="s">
        <v>2191</v>
      </c>
      <c r="B1775" s="509" t="s">
        <v>2192</v>
      </c>
      <c r="C1775" s="509"/>
      <c r="D1775" s="481" t="s">
        <v>82</v>
      </c>
      <c r="E1775" s="481"/>
      <c r="F1775" s="481"/>
      <c r="G1775" s="231" t="s">
        <v>1024</v>
      </c>
      <c r="H1775" s="510">
        <v>7.0857000000000003E-2</v>
      </c>
      <c r="I1775" s="510"/>
      <c r="J1775" s="511">
        <v>31.67</v>
      </c>
      <c r="K1775" s="511"/>
      <c r="L1775" s="367">
        <f>TRUNC(TRUNC(H1775,8)*J1775,2)</f>
        <v>2.2400000000000002</v>
      </c>
    </row>
    <row r="1776" spans="1:12" ht="15" customHeight="1" x14ac:dyDescent="0.25">
      <c r="A1776" s="181" t="s">
        <v>2193</v>
      </c>
      <c r="B1776" s="509" t="s">
        <v>2194</v>
      </c>
      <c r="C1776" s="509"/>
      <c r="D1776" s="481" t="s">
        <v>82</v>
      </c>
      <c r="E1776" s="481"/>
      <c r="F1776" s="481"/>
      <c r="G1776" s="231" t="s">
        <v>1024</v>
      </c>
      <c r="H1776" s="510">
        <v>7.0857000000000003E-2</v>
      </c>
      <c r="I1776" s="510"/>
      <c r="J1776" s="511">
        <v>44.2</v>
      </c>
      <c r="K1776" s="511"/>
      <c r="L1776" s="367">
        <f>TRUNC(TRUNC(H1776,8)*J1776,2)</f>
        <v>3.13</v>
      </c>
    </row>
    <row r="1777" spans="1:12" ht="18" customHeight="1" x14ac:dyDescent="0.25">
      <c r="A1777" s="182"/>
      <c r="B1777" s="183"/>
      <c r="C1777" s="183"/>
      <c r="D1777" s="183"/>
      <c r="E1777" s="183"/>
      <c r="F1777" s="183"/>
      <c r="G1777" s="183"/>
      <c r="H1777" s="477" t="s">
        <v>2195</v>
      </c>
      <c r="I1777" s="477"/>
      <c r="J1777" s="477"/>
      <c r="K1777" s="477"/>
      <c r="L1777" s="368">
        <f>SUM(L1775:L1776)</f>
        <v>5.37</v>
      </c>
    </row>
    <row r="1778" spans="1:12" ht="15" customHeight="1" x14ac:dyDescent="0.25">
      <c r="A1778" s="182"/>
      <c r="B1778" s="183"/>
      <c r="C1778" s="183"/>
      <c r="D1778" s="183"/>
      <c r="E1778" s="183"/>
      <c r="F1778" s="183"/>
      <c r="G1778" s="183"/>
      <c r="H1778" s="482" t="s">
        <v>1834</v>
      </c>
      <c r="I1778" s="482"/>
      <c r="J1778" s="482"/>
      <c r="K1778" s="482"/>
      <c r="L1778" s="369">
        <f>ROUND(SUM(L1773,L1777),2)</f>
        <v>52.72</v>
      </c>
    </row>
    <row r="1779" spans="1:12" ht="9.9499999999999993" customHeight="1" x14ac:dyDescent="0.25">
      <c r="A1779" s="182"/>
      <c r="B1779" s="183"/>
      <c r="C1779" s="183"/>
      <c r="D1779" s="183"/>
      <c r="E1779" s="183"/>
      <c r="F1779" s="183"/>
      <c r="G1779" s="183"/>
      <c r="H1779" s="485"/>
      <c r="I1779" s="485"/>
      <c r="J1779" s="485"/>
      <c r="K1779" s="485"/>
      <c r="L1779" s="512"/>
    </row>
    <row r="1780" spans="1:12" ht="20.100000000000001" customHeight="1" x14ac:dyDescent="0.25">
      <c r="A1780" s="486" t="s">
        <v>3703</v>
      </c>
      <c r="B1780" s="487"/>
      <c r="C1780" s="487"/>
      <c r="D1780" s="487"/>
      <c r="E1780" s="487"/>
      <c r="F1780" s="487"/>
      <c r="G1780" s="487"/>
      <c r="H1780" s="487"/>
      <c r="I1780" s="487"/>
      <c r="J1780" s="487"/>
      <c r="K1780" s="487"/>
      <c r="L1780" s="513"/>
    </row>
    <row r="1781" spans="1:12" ht="15" customHeight="1" x14ac:dyDescent="0.25">
      <c r="A1781" s="474" t="s">
        <v>1812</v>
      </c>
      <c r="B1781" s="475"/>
      <c r="C1781" s="475"/>
      <c r="D1781" s="476" t="s">
        <v>42</v>
      </c>
      <c r="E1781" s="476"/>
      <c r="F1781" s="476"/>
      <c r="G1781" s="230" t="s">
        <v>44</v>
      </c>
      <c r="H1781" s="476" t="s">
        <v>1813</v>
      </c>
      <c r="I1781" s="476"/>
      <c r="J1781" s="476" t="s">
        <v>1814</v>
      </c>
      <c r="K1781" s="476"/>
      <c r="L1781" s="366" t="s">
        <v>1802</v>
      </c>
    </row>
    <row r="1782" spans="1:12" ht="21" customHeight="1" x14ac:dyDescent="0.25">
      <c r="A1782" s="181" t="s">
        <v>3699</v>
      </c>
      <c r="B1782" s="509" t="s">
        <v>3700</v>
      </c>
      <c r="C1782" s="509"/>
      <c r="D1782" s="481" t="s">
        <v>82</v>
      </c>
      <c r="E1782" s="481"/>
      <c r="F1782" s="481"/>
      <c r="G1782" s="231" t="s">
        <v>226</v>
      </c>
      <c r="H1782" s="510">
        <v>1</v>
      </c>
      <c r="I1782" s="510"/>
      <c r="J1782" s="511">
        <v>45.05</v>
      </c>
      <c r="K1782" s="511"/>
      <c r="L1782" s="367">
        <f>TRUNC(TRUNC(H1782,8)*J1782,2)</f>
        <v>45.05</v>
      </c>
    </row>
    <row r="1783" spans="1:12" ht="29.1" customHeight="1" x14ac:dyDescent="0.25">
      <c r="A1783" s="181" t="s">
        <v>3704</v>
      </c>
      <c r="B1783" s="509" t="s">
        <v>3705</v>
      </c>
      <c r="C1783" s="509"/>
      <c r="D1783" s="481" t="s">
        <v>82</v>
      </c>
      <c r="E1783" s="481"/>
      <c r="F1783" s="481"/>
      <c r="G1783" s="231" t="s">
        <v>226</v>
      </c>
      <c r="H1783" s="510">
        <v>2</v>
      </c>
      <c r="I1783" s="510"/>
      <c r="J1783" s="511">
        <v>1.5</v>
      </c>
      <c r="K1783" s="511"/>
      <c r="L1783" s="367">
        <f>TRUNC(TRUNC(H1783,8)*J1783,2)</f>
        <v>3</v>
      </c>
    </row>
    <row r="1784" spans="1:12" ht="15" customHeight="1" x14ac:dyDescent="0.25">
      <c r="A1784" s="182"/>
      <c r="B1784" s="183"/>
      <c r="C1784" s="183"/>
      <c r="D1784" s="183"/>
      <c r="E1784" s="183"/>
      <c r="F1784" s="183"/>
      <c r="G1784" s="183"/>
      <c r="H1784" s="477" t="s">
        <v>1826</v>
      </c>
      <c r="I1784" s="477"/>
      <c r="J1784" s="477"/>
      <c r="K1784" s="477"/>
      <c r="L1784" s="368">
        <f>SUM(L1782:L1783)</f>
        <v>48.05</v>
      </c>
    </row>
    <row r="1785" spans="1:12" ht="15" customHeight="1" x14ac:dyDescent="0.25">
      <c r="A1785" s="474" t="s">
        <v>2190</v>
      </c>
      <c r="B1785" s="475"/>
      <c r="C1785" s="475"/>
      <c r="D1785" s="476" t="s">
        <v>42</v>
      </c>
      <c r="E1785" s="476"/>
      <c r="F1785" s="476"/>
      <c r="G1785" s="230" t="s">
        <v>44</v>
      </c>
      <c r="H1785" s="476" t="s">
        <v>1813</v>
      </c>
      <c r="I1785" s="476"/>
      <c r="J1785" s="476" t="s">
        <v>1814</v>
      </c>
      <c r="K1785" s="476"/>
      <c r="L1785" s="366" t="s">
        <v>1802</v>
      </c>
    </row>
    <row r="1786" spans="1:12" ht="21" customHeight="1" x14ac:dyDescent="0.25">
      <c r="A1786" s="181" t="s">
        <v>2191</v>
      </c>
      <c r="B1786" s="509" t="s">
        <v>2192</v>
      </c>
      <c r="C1786" s="509"/>
      <c r="D1786" s="481" t="s">
        <v>82</v>
      </c>
      <c r="E1786" s="481"/>
      <c r="F1786" s="481"/>
      <c r="G1786" s="231" t="s">
        <v>1024</v>
      </c>
      <c r="H1786" s="510">
        <v>0.12792799999999999</v>
      </c>
      <c r="I1786" s="510"/>
      <c r="J1786" s="511">
        <v>31.67</v>
      </c>
      <c r="K1786" s="511"/>
      <c r="L1786" s="367">
        <f>TRUNC(TRUNC(H1786,8)*J1786,2)</f>
        <v>4.05</v>
      </c>
    </row>
    <row r="1787" spans="1:12" ht="15" customHeight="1" x14ac:dyDescent="0.25">
      <c r="A1787" s="181" t="s">
        <v>2193</v>
      </c>
      <c r="B1787" s="509" t="s">
        <v>2194</v>
      </c>
      <c r="C1787" s="509"/>
      <c r="D1787" s="481" t="s">
        <v>82</v>
      </c>
      <c r="E1787" s="481"/>
      <c r="F1787" s="481"/>
      <c r="G1787" s="231" t="s">
        <v>1024</v>
      </c>
      <c r="H1787" s="510">
        <v>0.12792799999999999</v>
      </c>
      <c r="I1787" s="510"/>
      <c r="J1787" s="511">
        <v>44.2</v>
      </c>
      <c r="K1787" s="511"/>
      <c r="L1787" s="367">
        <f>TRUNC(TRUNC(H1787,8)*J1787,2)</f>
        <v>5.65</v>
      </c>
    </row>
    <row r="1788" spans="1:12" ht="18" customHeight="1" x14ac:dyDescent="0.25">
      <c r="A1788" s="182"/>
      <c r="B1788" s="183"/>
      <c r="C1788" s="183"/>
      <c r="D1788" s="183"/>
      <c r="E1788" s="183"/>
      <c r="F1788" s="183"/>
      <c r="G1788" s="183"/>
      <c r="H1788" s="477" t="s">
        <v>2195</v>
      </c>
      <c r="I1788" s="477"/>
      <c r="J1788" s="477"/>
      <c r="K1788" s="477"/>
      <c r="L1788" s="368">
        <f>SUM(L1786:L1787)</f>
        <v>9.6999999999999993</v>
      </c>
    </row>
    <row r="1789" spans="1:12" ht="15" customHeight="1" x14ac:dyDescent="0.25">
      <c r="A1789" s="182"/>
      <c r="B1789" s="183"/>
      <c r="C1789" s="183"/>
      <c r="D1789" s="183"/>
      <c r="E1789" s="183"/>
      <c r="F1789" s="183"/>
      <c r="G1789" s="183"/>
      <c r="H1789" s="482" t="s">
        <v>1834</v>
      </c>
      <c r="I1789" s="482"/>
      <c r="J1789" s="482"/>
      <c r="K1789" s="482"/>
      <c r="L1789" s="369">
        <f>ROUND(SUM(L1784,L1788),2)</f>
        <v>57.75</v>
      </c>
    </row>
    <row r="1790" spans="1:12" ht="9.9499999999999993" customHeight="1" x14ac:dyDescent="0.25">
      <c r="A1790" s="182"/>
      <c r="B1790" s="183"/>
      <c r="C1790" s="183"/>
      <c r="D1790" s="183"/>
      <c r="E1790" s="183"/>
      <c r="F1790" s="183"/>
      <c r="G1790" s="183"/>
      <c r="H1790" s="485"/>
      <c r="I1790" s="485"/>
      <c r="J1790" s="485"/>
      <c r="K1790" s="485"/>
      <c r="L1790" s="512"/>
    </row>
    <row r="1791" spans="1:12" ht="20.100000000000001" customHeight="1" x14ac:dyDescent="0.25">
      <c r="A1791" s="486" t="s">
        <v>3706</v>
      </c>
      <c r="B1791" s="487"/>
      <c r="C1791" s="487"/>
      <c r="D1791" s="487"/>
      <c r="E1791" s="487"/>
      <c r="F1791" s="487"/>
      <c r="G1791" s="487"/>
      <c r="H1791" s="487"/>
      <c r="I1791" s="487"/>
      <c r="J1791" s="487"/>
      <c r="K1791" s="487"/>
      <c r="L1791" s="513"/>
    </row>
    <row r="1792" spans="1:12" ht="15" customHeight="1" x14ac:dyDescent="0.25">
      <c r="A1792" s="474" t="s">
        <v>1812</v>
      </c>
      <c r="B1792" s="475"/>
      <c r="C1792" s="475"/>
      <c r="D1792" s="476" t="s">
        <v>42</v>
      </c>
      <c r="E1792" s="476"/>
      <c r="F1792" s="476"/>
      <c r="G1792" s="230" t="s">
        <v>44</v>
      </c>
      <c r="H1792" s="476" t="s">
        <v>1813</v>
      </c>
      <c r="I1792" s="476"/>
      <c r="J1792" s="476" t="s">
        <v>1814</v>
      </c>
      <c r="K1792" s="476"/>
      <c r="L1792" s="366" t="s">
        <v>1802</v>
      </c>
    </row>
    <row r="1793" spans="1:12" ht="21" customHeight="1" x14ac:dyDescent="0.25">
      <c r="A1793" s="181" t="s">
        <v>3707</v>
      </c>
      <c r="B1793" s="509" t="s">
        <v>3708</v>
      </c>
      <c r="C1793" s="509"/>
      <c r="D1793" s="481" t="s">
        <v>82</v>
      </c>
      <c r="E1793" s="481"/>
      <c r="F1793" s="481"/>
      <c r="G1793" s="231" t="s">
        <v>226</v>
      </c>
      <c r="H1793" s="510">
        <v>1</v>
      </c>
      <c r="I1793" s="510"/>
      <c r="J1793" s="511">
        <v>58.81</v>
      </c>
      <c r="K1793" s="511"/>
      <c r="L1793" s="367">
        <f>TRUNC(TRUNC(H1793,8)*J1793,2)</f>
        <v>58.81</v>
      </c>
    </row>
    <row r="1794" spans="1:12" ht="29.1" customHeight="1" x14ac:dyDescent="0.25">
      <c r="A1794" s="181" t="s">
        <v>3709</v>
      </c>
      <c r="B1794" s="509" t="s">
        <v>3710</v>
      </c>
      <c r="C1794" s="509"/>
      <c r="D1794" s="481" t="s">
        <v>82</v>
      </c>
      <c r="E1794" s="481"/>
      <c r="F1794" s="481"/>
      <c r="G1794" s="231" t="s">
        <v>226</v>
      </c>
      <c r="H1794" s="510">
        <v>1</v>
      </c>
      <c r="I1794" s="510"/>
      <c r="J1794" s="511">
        <v>1.79</v>
      </c>
      <c r="K1794" s="511"/>
      <c r="L1794" s="367">
        <f>TRUNC(TRUNC(H1794,8)*J1794,2)</f>
        <v>1.79</v>
      </c>
    </row>
    <row r="1795" spans="1:12" ht="15" customHeight="1" x14ac:dyDescent="0.25">
      <c r="A1795" s="182"/>
      <c r="B1795" s="183"/>
      <c r="C1795" s="183"/>
      <c r="D1795" s="183"/>
      <c r="E1795" s="183"/>
      <c r="F1795" s="183"/>
      <c r="G1795" s="183"/>
      <c r="H1795" s="477" t="s">
        <v>1826</v>
      </c>
      <c r="I1795" s="477"/>
      <c r="J1795" s="477"/>
      <c r="K1795" s="477"/>
      <c r="L1795" s="368">
        <f>SUM(L1793:L1794)</f>
        <v>60.6</v>
      </c>
    </row>
    <row r="1796" spans="1:12" ht="15" customHeight="1" x14ac:dyDescent="0.25">
      <c r="A1796" s="474" t="s">
        <v>2190</v>
      </c>
      <c r="B1796" s="475"/>
      <c r="C1796" s="475"/>
      <c r="D1796" s="476" t="s">
        <v>42</v>
      </c>
      <c r="E1796" s="476"/>
      <c r="F1796" s="476"/>
      <c r="G1796" s="230" t="s">
        <v>44</v>
      </c>
      <c r="H1796" s="476" t="s">
        <v>1813</v>
      </c>
      <c r="I1796" s="476"/>
      <c r="J1796" s="476" t="s">
        <v>1814</v>
      </c>
      <c r="K1796" s="476"/>
      <c r="L1796" s="366" t="s">
        <v>1802</v>
      </c>
    </row>
    <row r="1797" spans="1:12" ht="21" customHeight="1" x14ac:dyDescent="0.25">
      <c r="A1797" s="181" t="s">
        <v>2191</v>
      </c>
      <c r="B1797" s="509" t="s">
        <v>2192</v>
      </c>
      <c r="C1797" s="509"/>
      <c r="D1797" s="481" t="s">
        <v>82</v>
      </c>
      <c r="E1797" s="481"/>
      <c r="F1797" s="481"/>
      <c r="G1797" s="231" t="s">
        <v>1024</v>
      </c>
      <c r="H1797" s="510">
        <v>0.13244900000000001</v>
      </c>
      <c r="I1797" s="510"/>
      <c r="J1797" s="511">
        <v>31.67</v>
      </c>
      <c r="K1797" s="511"/>
      <c r="L1797" s="367">
        <f>TRUNC(TRUNC(H1797,8)*J1797,2)</f>
        <v>4.1900000000000004</v>
      </c>
    </row>
    <row r="1798" spans="1:12" ht="15" customHeight="1" x14ac:dyDescent="0.25">
      <c r="A1798" s="181" t="s">
        <v>2193</v>
      </c>
      <c r="B1798" s="509" t="s">
        <v>2194</v>
      </c>
      <c r="C1798" s="509"/>
      <c r="D1798" s="481" t="s">
        <v>82</v>
      </c>
      <c r="E1798" s="481"/>
      <c r="F1798" s="481"/>
      <c r="G1798" s="231" t="s">
        <v>1024</v>
      </c>
      <c r="H1798" s="510">
        <v>0.13244900000000001</v>
      </c>
      <c r="I1798" s="510"/>
      <c r="J1798" s="511">
        <v>44.2</v>
      </c>
      <c r="K1798" s="511"/>
      <c r="L1798" s="367">
        <f>TRUNC(TRUNC(H1798,8)*J1798,2)</f>
        <v>5.85</v>
      </c>
    </row>
    <row r="1799" spans="1:12" ht="18" customHeight="1" x14ac:dyDescent="0.25">
      <c r="A1799" s="182"/>
      <c r="B1799" s="183"/>
      <c r="C1799" s="183"/>
      <c r="D1799" s="183"/>
      <c r="E1799" s="183"/>
      <c r="F1799" s="183"/>
      <c r="G1799" s="183"/>
      <c r="H1799" s="477" t="s">
        <v>2195</v>
      </c>
      <c r="I1799" s="477"/>
      <c r="J1799" s="477"/>
      <c r="K1799" s="477"/>
      <c r="L1799" s="368">
        <f>SUM(L1797:L1798)</f>
        <v>10.039999999999999</v>
      </c>
    </row>
    <row r="1800" spans="1:12" ht="15" customHeight="1" x14ac:dyDescent="0.25">
      <c r="A1800" s="182"/>
      <c r="B1800" s="183"/>
      <c r="C1800" s="183"/>
      <c r="D1800" s="183"/>
      <c r="E1800" s="183"/>
      <c r="F1800" s="183"/>
      <c r="G1800" s="183"/>
      <c r="H1800" s="482" t="s">
        <v>1834</v>
      </c>
      <c r="I1800" s="482"/>
      <c r="J1800" s="482"/>
      <c r="K1800" s="482"/>
      <c r="L1800" s="369">
        <f>ROUND(SUM(L1795,L1799),2)</f>
        <v>70.64</v>
      </c>
    </row>
    <row r="1801" spans="1:12" ht="9.9499999999999993" customHeight="1" x14ac:dyDescent="0.25">
      <c r="A1801" s="182"/>
      <c r="B1801" s="183"/>
      <c r="C1801" s="183"/>
      <c r="D1801" s="183"/>
      <c r="E1801" s="183"/>
      <c r="F1801" s="183"/>
      <c r="G1801" s="183"/>
      <c r="H1801" s="485"/>
      <c r="I1801" s="485"/>
      <c r="J1801" s="485"/>
      <c r="K1801" s="485"/>
      <c r="L1801" s="512"/>
    </row>
    <row r="1802" spans="1:12" ht="20.100000000000001" customHeight="1" x14ac:dyDescent="0.25">
      <c r="A1802" s="486" t="s">
        <v>2470</v>
      </c>
      <c r="B1802" s="487"/>
      <c r="C1802" s="487"/>
      <c r="D1802" s="487"/>
      <c r="E1802" s="487"/>
      <c r="F1802" s="487"/>
      <c r="G1802" s="487"/>
      <c r="H1802" s="487"/>
      <c r="I1802" s="487"/>
      <c r="J1802" s="487"/>
      <c r="K1802" s="487"/>
      <c r="L1802" s="513"/>
    </row>
    <row r="1803" spans="1:12" ht="15" customHeight="1" x14ac:dyDescent="0.25">
      <c r="A1803" s="474" t="s">
        <v>1812</v>
      </c>
      <c r="B1803" s="475"/>
      <c r="C1803" s="475"/>
      <c r="D1803" s="476" t="s">
        <v>42</v>
      </c>
      <c r="E1803" s="476"/>
      <c r="F1803" s="476"/>
      <c r="G1803" s="230" t="s">
        <v>44</v>
      </c>
      <c r="H1803" s="476" t="s">
        <v>1813</v>
      </c>
      <c r="I1803" s="476"/>
      <c r="J1803" s="476" t="s">
        <v>1814</v>
      </c>
      <c r="K1803" s="476"/>
      <c r="L1803" s="366" t="s">
        <v>1802</v>
      </c>
    </row>
    <row r="1804" spans="1:12" ht="38.1" customHeight="1" x14ac:dyDescent="0.25">
      <c r="A1804" s="181" t="s">
        <v>2471</v>
      </c>
      <c r="B1804" s="509" t="s">
        <v>2472</v>
      </c>
      <c r="C1804" s="509"/>
      <c r="D1804" s="481" t="s">
        <v>82</v>
      </c>
      <c r="E1804" s="481"/>
      <c r="F1804" s="481"/>
      <c r="G1804" s="231" t="s">
        <v>188</v>
      </c>
      <c r="H1804" s="510">
        <v>1.2434000000000001</v>
      </c>
      <c r="I1804" s="510"/>
      <c r="J1804" s="511">
        <v>20.100000000000001</v>
      </c>
      <c r="K1804" s="511"/>
      <c r="L1804" s="367">
        <f>TRUNC(TRUNC(H1804,8)*J1804,2)</f>
        <v>24.99</v>
      </c>
    </row>
    <row r="1805" spans="1:12" ht="21" customHeight="1" x14ac:dyDescent="0.25">
      <c r="A1805" s="181" t="s">
        <v>2473</v>
      </c>
      <c r="B1805" s="509" t="s">
        <v>2474</v>
      </c>
      <c r="C1805" s="509"/>
      <c r="D1805" s="481" t="s">
        <v>82</v>
      </c>
      <c r="E1805" s="481"/>
      <c r="F1805" s="481"/>
      <c r="G1805" s="231" t="s">
        <v>226</v>
      </c>
      <c r="H1805" s="510">
        <v>9.4000000000000004E-3</v>
      </c>
      <c r="I1805" s="510"/>
      <c r="J1805" s="511">
        <v>5.6</v>
      </c>
      <c r="K1805" s="511"/>
      <c r="L1805" s="367">
        <f>TRUNC(TRUNC(H1805,8)*J1805,2)</f>
        <v>0.05</v>
      </c>
    </row>
    <row r="1806" spans="1:12" ht="15" customHeight="1" x14ac:dyDescent="0.25">
      <c r="A1806" s="182"/>
      <c r="B1806" s="183"/>
      <c r="C1806" s="183"/>
      <c r="D1806" s="183"/>
      <c r="E1806" s="183"/>
      <c r="F1806" s="183"/>
      <c r="G1806" s="183"/>
      <c r="H1806" s="477" t="s">
        <v>1826</v>
      </c>
      <c r="I1806" s="477"/>
      <c r="J1806" s="477"/>
      <c r="K1806" s="477"/>
      <c r="L1806" s="368">
        <f>SUM(L1804:L1805)</f>
        <v>25.04</v>
      </c>
    </row>
    <row r="1807" spans="1:12" ht="15" customHeight="1" x14ac:dyDescent="0.25">
      <c r="A1807" s="474" t="s">
        <v>2190</v>
      </c>
      <c r="B1807" s="475"/>
      <c r="C1807" s="475"/>
      <c r="D1807" s="476" t="s">
        <v>42</v>
      </c>
      <c r="E1807" s="476"/>
      <c r="F1807" s="476"/>
      <c r="G1807" s="230" t="s">
        <v>44</v>
      </c>
      <c r="H1807" s="476" t="s">
        <v>1813</v>
      </c>
      <c r="I1807" s="476"/>
      <c r="J1807" s="476" t="s">
        <v>1814</v>
      </c>
      <c r="K1807" s="476"/>
      <c r="L1807" s="366" t="s">
        <v>1802</v>
      </c>
    </row>
    <row r="1808" spans="1:12" ht="21" customHeight="1" x14ac:dyDescent="0.25">
      <c r="A1808" s="181" t="s">
        <v>2191</v>
      </c>
      <c r="B1808" s="509" t="s">
        <v>2192</v>
      </c>
      <c r="C1808" s="509"/>
      <c r="D1808" s="481" t="s">
        <v>82</v>
      </c>
      <c r="E1808" s="481"/>
      <c r="F1808" s="481"/>
      <c r="G1808" s="231" t="s">
        <v>1024</v>
      </c>
      <c r="H1808" s="510">
        <v>0.114</v>
      </c>
      <c r="I1808" s="510"/>
      <c r="J1808" s="511">
        <v>31.67</v>
      </c>
      <c r="K1808" s="511"/>
      <c r="L1808" s="367">
        <f>TRUNC(TRUNC(H1808,8)*J1808,2)</f>
        <v>3.61</v>
      </c>
    </row>
    <row r="1809" spans="1:12" ht="15" customHeight="1" x14ac:dyDescent="0.25">
      <c r="A1809" s="181" t="s">
        <v>2193</v>
      </c>
      <c r="B1809" s="509" t="s">
        <v>2194</v>
      </c>
      <c r="C1809" s="509"/>
      <c r="D1809" s="481" t="s">
        <v>82</v>
      </c>
      <c r="E1809" s="481"/>
      <c r="F1809" s="481"/>
      <c r="G1809" s="231" t="s">
        <v>1024</v>
      </c>
      <c r="H1809" s="510">
        <v>0.114</v>
      </c>
      <c r="I1809" s="510"/>
      <c r="J1809" s="511">
        <v>44.2</v>
      </c>
      <c r="K1809" s="511"/>
      <c r="L1809" s="367">
        <f>TRUNC(TRUNC(H1809,8)*J1809,2)</f>
        <v>5.03</v>
      </c>
    </row>
    <row r="1810" spans="1:12" ht="18" customHeight="1" x14ac:dyDescent="0.25">
      <c r="A1810" s="182"/>
      <c r="B1810" s="183"/>
      <c r="C1810" s="183"/>
      <c r="D1810" s="183"/>
      <c r="E1810" s="183"/>
      <c r="F1810" s="183"/>
      <c r="G1810" s="183"/>
      <c r="H1810" s="477" t="s">
        <v>2195</v>
      </c>
      <c r="I1810" s="477"/>
      <c r="J1810" s="477"/>
      <c r="K1810" s="477"/>
      <c r="L1810" s="368">
        <f>SUM(L1808:L1809)</f>
        <v>8.64</v>
      </c>
    </row>
    <row r="1811" spans="1:12" ht="15" customHeight="1" x14ac:dyDescent="0.25">
      <c r="A1811" s="182"/>
      <c r="B1811" s="183"/>
      <c r="C1811" s="183"/>
      <c r="D1811" s="183"/>
      <c r="E1811" s="183"/>
      <c r="F1811" s="183"/>
      <c r="G1811" s="183"/>
      <c r="H1811" s="482" t="s">
        <v>1834</v>
      </c>
      <c r="I1811" s="482"/>
      <c r="J1811" s="482"/>
      <c r="K1811" s="482"/>
      <c r="L1811" s="369">
        <f>ROUND(SUM(L1806,L1810),2)</f>
        <v>33.68</v>
      </c>
    </row>
    <row r="1812" spans="1:12" ht="9.9499999999999993" customHeight="1" x14ac:dyDescent="0.25">
      <c r="A1812" s="182"/>
      <c r="B1812" s="183"/>
      <c r="C1812" s="183"/>
      <c r="D1812" s="183"/>
      <c r="E1812" s="183"/>
      <c r="F1812" s="183"/>
      <c r="G1812" s="183"/>
      <c r="H1812" s="485"/>
      <c r="I1812" s="485"/>
      <c r="J1812" s="485"/>
      <c r="K1812" s="485"/>
      <c r="L1812" s="512"/>
    </row>
    <row r="1813" spans="1:12" ht="20.100000000000001" customHeight="1" x14ac:dyDescent="0.25">
      <c r="A1813" s="486" t="s">
        <v>3711</v>
      </c>
      <c r="B1813" s="487"/>
      <c r="C1813" s="487"/>
      <c r="D1813" s="487"/>
      <c r="E1813" s="487"/>
      <c r="F1813" s="487"/>
      <c r="G1813" s="487"/>
      <c r="H1813" s="487"/>
      <c r="I1813" s="487"/>
      <c r="J1813" s="487"/>
      <c r="K1813" s="487"/>
      <c r="L1813" s="513"/>
    </row>
    <row r="1814" spans="1:12" ht="15" customHeight="1" x14ac:dyDescent="0.25">
      <c r="A1814" s="474" t="s">
        <v>1812</v>
      </c>
      <c r="B1814" s="475"/>
      <c r="C1814" s="475"/>
      <c r="D1814" s="476" t="s">
        <v>42</v>
      </c>
      <c r="E1814" s="476"/>
      <c r="F1814" s="476"/>
      <c r="G1814" s="230" t="s">
        <v>44</v>
      </c>
      <c r="H1814" s="476" t="s">
        <v>1813</v>
      </c>
      <c r="I1814" s="476"/>
      <c r="J1814" s="476" t="s">
        <v>1814</v>
      </c>
      <c r="K1814" s="476"/>
      <c r="L1814" s="366" t="s">
        <v>1802</v>
      </c>
    </row>
    <row r="1815" spans="1:12" ht="38.1" customHeight="1" x14ac:dyDescent="0.25">
      <c r="A1815" s="181" t="s">
        <v>3712</v>
      </c>
      <c r="B1815" s="509" t="s">
        <v>3713</v>
      </c>
      <c r="C1815" s="509"/>
      <c r="D1815" s="481" t="s">
        <v>82</v>
      </c>
      <c r="E1815" s="481"/>
      <c r="F1815" s="481"/>
      <c r="G1815" s="231" t="s">
        <v>188</v>
      </c>
      <c r="H1815" s="510">
        <v>1.2434000000000001</v>
      </c>
      <c r="I1815" s="510"/>
      <c r="J1815" s="511">
        <v>5.3</v>
      </c>
      <c r="K1815" s="511"/>
      <c r="L1815" s="367">
        <f>TRUNC(TRUNC(H1815,8)*J1815,2)</f>
        <v>6.59</v>
      </c>
    </row>
    <row r="1816" spans="1:12" ht="21" customHeight="1" x14ac:dyDescent="0.25">
      <c r="A1816" s="181" t="s">
        <v>2473</v>
      </c>
      <c r="B1816" s="509" t="s">
        <v>2474</v>
      </c>
      <c r="C1816" s="509"/>
      <c r="D1816" s="481" t="s">
        <v>82</v>
      </c>
      <c r="E1816" s="481"/>
      <c r="F1816" s="481"/>
      <c r="G1816" s="231" t="s">
        <v>226</v>
      </c>
      <c r="H1816" s="510">
        <v>9.4000000000000004E-3</v>
      </c>
      <c r="I1816" s="510"/>
      <c r="J1816" s="511">
        <v>5.6</v>
      </c>
      <c r="K1816" s="511"/>
      <c r="L1816" s="367">
        <f>TRUNC(TRUNC(H1816,8)*J1816,2)</f>
        <v>0.05</v>
      </c>
    </row>
    <row r="1817" spans="1:12" ht="15" customHeight="1" x14ac:dyDescent="0.25">
      <c r="A1817" s="182"/>
      <c r="B1817" s="183"/>
      <c r="C1817" s="183"/>
      <c r="D1817" s="183"/>
      <c r="E1817" s="183"/>
      <c r="F1817" s="183"/>
      <c r="G1817" s="183"/>
      <c r="H1817" s="477" t="s">
        <v>1826</v>
      </c>
      <c r="I1817" s="477"/>
      <c r="J1817" s="477"/>
      <c r="K1817" s="477"/>
      <c r="L1817" s="368">
        <f>SUM(L1815:L1816)</f>
        <v>6.64</v>
      </c>
    </row>
    <row r="1818" spans="1:12" ht="15" customHeight="1" x14ac:dyDescent="0.25">
      <c r="A1818" s="474" t="s">
        <v>2190</v>
      </c>
      <c r="B1818" s="475"/>
      <c r="C1818" s="475"/>
      <c r="D1818" s="476" t="s">
        <v>42</v>
      </c>
      <c r="E1818" s="476"/>
      <c r="F1818" s="476"/>
      <c r="G1818" s="230" t="s">
        <v>44</v>
      </c>
      <c r="H1818" s="476" t="s">
        <v>1813</v>
      </c>
      <c r="I1818" s="476"/>
      <c r="J1818" s="476" t="s">
        <v>1814</v>
      </c>
      <c r="K1818" s="476"/>
      <c r="L1818" s="366" t="s">
        <v>1802</v>
      </c>
    </row>
    <row r="1819" spans="1:12" ht="21" customHeight="1" x14ac:dyDescent="0.25">
      <c r="A1819" s="181" t="s">
        <v>2191</v>
      </c>
      <c r="B1819" s="509" t="s">
        <v>2192</v>
      </c>
      <c r="C1819" s="509"/>
      <c r="D1819" s="481" t="s">
        <v>82</v>
      </c>
      <c r="E1819" s="481"/>
      <c r="F1819" s="481"/>
      <c r="G1819" s="231" t="s">
        <v>1024</v>
      </c>
      <c r="H1819" s="510">
        <v>3.9E-2</v>
      </c>
      <c r="I1819" s="510"/>
      <c r="J1819" s="511">
        <v>31.67</v>
      </c>
      <c r="K1819" s="511"/>
      <c r="L1819" s="367">
        <f>TRUNC(TRUNC(H1819,8)*J1819,2)</f>
        <v>1.23</v>
      </c>
    </row>
    <row r="1820" spans="1:12" ht="15" customHeight="1" x14ac:dyDescent="0.25">
      <c r="A1820" s="181" t="s">
        <v>2193</v>
      </c>
      <c r="B1820" s="509" t="s">
        <v>2194</v>
      </c>
      <c r="C1820" s="509"/>
      <c r="D1820" s="481" t="s">
        <v>82</v>
      </c>
      <c r="E1820" s="481"/>
      <c r="F1820" s="481"/>
      <c r="G1820" s="231" t="s">
        <v>1024</v>
      </c>
      <c r="H1820" s="510">
        <v>3.9E-2</v>
      </c>
      <c r="I1820" s="510"/>
      <c r="J1820" s="511">
        <v>44.2</v>
      </c>
      <c r="K1820" s="511"/>
      <c r="L1820" s="367">
        <f>TRUNC(TRUNC(H1820,8)*J1820,2)</f>
        <v>1.72</v>
      </c>
    </row>
    <row r="1821" spans="1:12" ht="18" customHeight="1" x14ac:dyDescent="0.25">
      <c r="A1821" s="182"/>
      <c r="B1821" s="183"/>
      <c r="C1821" s="183"/>
      <c r="D1821" s="183"/>
      <c r="E1821" s="183"/>
      <c r="F1821" s="183"/>
      <c r="G1821" s="183"/>
      <c r="H1821" s="477" t="s">
        <v>2195</v>
      </c>
      <c r="I1821" s="477"/>
      <c r="J1821" s="477"/>
      <c r="K1821" s="477"/>
      <c r="L1821" s="368">
        <f>SUM(L1819:L1820)</f>
        <v>2.95</v>
      </c>
    </row>
    <row r="1822" spans="1:12" ht="15" customHeight="1" x14ac:dyDescent="0.25">
      <c r="A1822" s="182"/>
      <c r="B1822" s="183"/>
      <c r="C1822" s="183"/>
      <c r="D1822" s="183"/>
      <c r="E1822" s="183"/>
      <c r="F1822" s="183"/>
      <c r="G1822" s="183"/>
      <c r="H1822" s="482" t="s">
        <v>1834</v>
      </c>
      <c r="I1822" s="482"/>
      <c r="J1822" s="482"/>
      <c r="K1822" s="482"/>
      <c r="L1822" s="369">
        <f>ROUND(SUM(L1817,L1821),2)</f>
        <v>9.59</v>
      </c>
    </row>
    <row r="1823" spans="1:12" ht="9.9499999999999993" customHeight="1" x14ac:dyDescent="0.25">
      <c r="A1823" s="182"/>
      <c r="B1823" s="183"/>
      <c r="C1823" s="183"/>
      <c r="D1823" s="183"/>
      <c r="E1823" s="183"/>
      <c r="F1823" s="183"/>
      <c r="G1823" s="183"/>
      <c r="H1823" s="485"/>
      <c r="I1823" s="485"/>
      <c r="J1823" s="485"/>
      <c r="K1823" s="485"/>
      <c r="L1823" s="512"/>
    </row>
    <row r="1824" spans="1:12" ht="20.100000000000001" customHeight="1" x14ac:dyDescent="0.25">
      <c r="A1824" s="486" t="s">
        <v>3714</v>
      </c>
      <c r="B1824" s="487"/>
      <c r="C1824" s="487"/>
      <c r="D1824" s="487"/>
      <c r="E1824" s="487"/>
      <c r="F1824" s="487"/>
      <c r="G1824" s="487"/>
      <c r="H1824" s="487"/>
      <c r="I1824" s="487"/>
      <c r="J1824" s="487"/>
      <c r="K1824" s="487"/>
      <c r="L1824" s="513"/>
    </row>
    <row r="1825" spans="1:12" ht="15" customHeight="1" x14ac:dyDescent="0.25">
      <c r="A1825" s="474" t="s">
        <v>1812</v>
      </c>
      <c r="B1825" s="475"/>
      <c r="C1825" s="475"/>
      <c r="D1825" s="476" t="s">
        <v>42</v>
      </c>
      <c r="E1825" s="476"/>
      <c r="F1825" s="476"/>
      <c r="G1825" s="230" t="s">
        <v>44</v>
      </c>
      <c r="H1825" s="476" t="s">
        <v>1813</v>
      </c>
      <c r="I1825" s="476"/>
      <c r="J1825" s="476" t="s">
        <v>1814</v>
      </c>
      <c r="K1825" s="476"/>
      <c r="L1825" s="366" t="s">
        <v>1802</v>
      </c>
    </row>
    <row r="1826" spans="1:12" ht="38.1" customHeight="1" x14ac:dyDescent="0.25">
      <c r="A1826" s="181" t="s">
        <v>3715</v>
      </c>
      <c r="B1826" s="509" t="s">
        <v>3716</v>
      </c>
      <c r="C1826" s="509"/>
      <c r="D1826" s="481" t="s">
        <v>82</v>
      </c>
      <c r="E1826" s="481"/>
      <c r="F1826" s="481"/>
      <c r="G1826" s="231" t="s">
        <v>188</v>
      </c>
      <c r="H1826" s="510">
        <v>1.2434000000000001</v>
      </c>
      <c r="I1826" s="510"/>
      <c r="J1826" s="511">
        <v>7.7</v>
      </c>
      <c r="K1826" s="511"/>
      <c r="L1826" s="367">
        <f>TRUNC(TRUNC(H1826,8)*J1826,2)</f>
        <v>9.57</v>
      </c>
    </row>
    <row r="1827" spans="1:12" ht="21" customHeight="1" x14ac:dyDescent="0.25">
      <c r="A1827" s="181" t="s">
        <v>2473</v>
      </c>
      <c r="B1827" s="509" t="s">
        <v>2474</v>
      </c>
      <c r="C1827" s="509"/>
      <c r="D1827" s="481" t="s">
        <v>82</v>
      </c>
      <c r="E1827" s="481"/>
      <c r="F1827" s="481"/>
      <c r="G1827" s="231" t="s">
        <v>226</v>
      </c>
      <c r="H1827" s="510">
        <v>9.4000000000000004E-3</v>
      </c>
      <c r="I1827" s="510"/>
      <c r="J1827" s="511">
        <v>5.6</v>
      </c>
      <c r="K1827" s="511"/>
      <c r="L1827" s="367">
        <f>TRUNC(TRUNC(H1827,8)*J1827,2)</f>
        <v>0.05</v>
      </c>
    </row>
    <row r="1828" spans="1:12" ht="15" customHeight="1" x14ac:dyDescent="0.25">
      <c r="A1828" s="182"/>
      <c r="B1828" s="183"/>
      <c r="C1828" s="183"/>
      <c r="D1828" s="183"/>
      <c r="E1828" s="183"/>
      <c r="F1828" s="183"/>
      <c r="G1828" s="183"/>
      <c r="H1828" s="477" t="s">
        <v>1826</v>
      </c>
      <c r="I1828" s="477"/>
      <c r="J1828" s="477"/>
      <c r="K1828" s="477"/>
      <c r="L1828" s="368">
        <f>SUM(L1826:L1827)</f>
        <v>9.620000000000001</v>
      </c>
    </row>
    <row r="1829" spans="1:12" ht="15" customHeight="1" x14ac:dyDescent="0.25">
      <c r="A1829" s="474" t="s">
        <v>2190</v>
      </c>
      <c r="B1829" s="475"/>
      <c r="C1829" s="475"/>
      <c r="D1829" s="476" t="s">
        <v>42</v>
      </c>
      <c r="E1829" s="476"/>
      <c r="F1829" s="476"/>
      <c r="G1829" s="230" t="s">
        <v>44</v>
      </c>
      <c r="H1829" s="476" t="s">
        <v>1813</v>
      </c>
      <c r="I1829" s="476"/>
      <c r="J1829" s="476" t="s">
        <v>1814</v>
      </c>
      <c r="K1829" s="476"/>
      <c r="L1829" s="366" t="s">
        <v>1802</v>
      </c>
    </row>
    <row r="1830" spans="1:12" ht="21" customHeight="1" x14ac:dyDescent="0.25">
      <c r="A1830" s="181" t="s">
        <v>2191</v>
      </c>
      <c r="B1830" s="509" t="s">
        <v>2192</v>
      </c>
      <c r="C1830" s="509"/>
      <c r="D1830" s="481" t="s">
        <v>82</v>
      </c>
      <c r="E1830" s="481"/>
      <c r="F1830" s="481"/>
      <c r="G1830" s="231" t="s">
        <v>1024</v>
      </c>
      <c r="H1830" s="510">
        <v>5.0999999999999997E-2</v>
      </c>
      <c r="I1830" s="510"/>
      <c r="J1830" s="511">
        <v>31.67</v>
      </c>
      <c r="K1830" s="511"/>
      <c r="L1830" s="367">
        <f>TRUNC(TRUNC(H1830,8)*J1830,2)</f>
        <v>1.61</v>
      </c>
    </row>
    <row r="1831" spans="1:12" ht="15" customHeight="1" x14ac:dyDescent="0.25">
      <c r="A1831" s="181" t="s">
        <v>2193</v>
      </c>
      <c r="B1831" s="509" t="s">
        <v>2194</v>
      </c>
      <c r="C1831" s="509"/>
      <c r="D1831" s="481" t="s">
        <v>82</v>
      </c>
      <c r="E1831" s="481"/>
      <c r="F1831" s="481"/>
      <c r="G1831" s="231" t="s">
        <v>1024</v>
      </c>
      <c r="H1831" s="510">
        <v>5.0999999999999997E-2</v>
      </c>
      <c r="I1831" s="510"/>
      <c r="J1831" s="511">
        <v>44.2</v>
      </c>
      <c r="K1831" s="511"/>
      <c r="L1831" s="367">
        <f>TRUNC(TRUNC(H1831,8)*J1831,2)</f>
        <v>2.25</v>
      </c>
    </row>
    <row r="1832" spans="1:12" ht="18" customHeight="1" x14ac:dyDescent="0.25">
      <c r="A1832" s="182"/>
      <c r="B1832" s="183"/>
      <c r="C1832" s="183"/>
      <c r="D1832" s="183"/>
      <c r="E1832" s="183"/>
      <c r="F1832" s="183"/>
      <c r="G1832" s="183"/>
      <c r="H1832" s="477" t="s">
        <v>2195</v>
      </c>
      <c r="I1832" s="477"/>
      <c r="J1832" s="477"/>
      <c r="K1832" s="477"/>
      <c r="L1832" s="368">
        <f>SUM(L1830:L1831)</f>
        <v>3.8600000000000003</v>
      </c>
    </row>
    <row r="1833" spans="1:12" ht="15" customHeight="1" x14ac:dyDescent="0.25">
      <c r="A1833" s="182"/>
      <c r="B1833" s="183"/>
      <c r="C1833" s="183"/>
      <c r="D1833" s="183"/>
      <c r="E1833" s="183"/>
      <c r="F1833" s="183"/>
      <c r="G1833" s="183"/>
      <c r="H1833" s="482" t="s">
        <v>1834</v>
      </c>
      <c r="I1833" s="482"/>
      <c r="J1833" s="482"/>
      <c r="K1833" s="482"/>
      <c r="L1833" s="369">
        <f>ROUND(SUM(L1828,L1832),2)</f>
        <v>13.48</v>
      </c>
    </row>
    <row r="1834" spans="1:12" ht="9.9499999999999993" customHeight="1" x14ac:dyDescent="0.25">
      <c r="A1834" s="182"/>
      <c r="B1834" s="183"/>
      <c r="C1834" s="183"/>
      <c r="D1834" s="183"/>
      <c r="E1834" s="183"/>
      <c r="F1834" s="183"/>
      <c r="G1834" s="183"/>
      <c r="H1834" s="485"/>
      <c r="I1834" s="485"/>
      <c r="J1834" s="485"/>
      <c r="K1834" s="485"/>
      <c r="L1834" s="512"/>
    </row>
    <row r="1835" spans="1:12" ht="20.100000000000001" customHeight="1" x14ac:dyDescent="0.25">
      <c r="A1835" s="486" t="s">
        <v>2187</v>
      </c>
      <c r="B1835" s="487"/>
      <c r="C1835" s="487"/>
      <c r="D1835" s="487"/>
      <c r="E1835" s="487"/>
      <c r="F1835" s="487"/>
      <c r="G1835" s="487"/>
      <c r="H1835" s="487"/>
      <c r="I1835" s="487"/>
      <c r="J1835" s="487"/>
      <c r="K1835" s="487"/>
      <c r="L1835" s="513"/>
    </row>
    <row r="1836" spans="1:12" ht="15" customHeight="1" x14ac:dyDescent="0.25">
      <c r="A1836" s="474" t="s">
        <v>1812</v>
      </c>
      <c r="B1836" s="475"/>
      <c r="C1836" s="475"/>
      <c r="D1836" s="476" t="s">
        <v>42</v>
      </c>
      <c r="E1836" s="476"/>
      <c r="F1836" s="476"/>
      <c r="G1836" s="230" t="s">
        <v>44</v>
      </c>
      <c r="H1836" s="476" t="s">
        <v>1813</v>
      </c>
      <c r="I1836" s="476"/>
      <c r="J1836" s="476" t="s">
        <v>1814</v>
      </c>
      <c r="K1836" s="476"/>
      <c r="L1836" s="366" t="s">
        <v>1802</v>
      </c>
    </row>
    <row r="1837" spans="1:12" ht="21" customHeight="1" x14ac:dyDescent="0.25">
      <c r="A1837" s="181" t="s">
        <v>2188</v>
      </c>
      <c r="B1837" s="509" t="s">
        <v>2189</v>
      </c>
      <c r="C1837" s="509"/>
      <c r="D1837" s="481" t="s">
        <v>82</v>
      </c>
      <c r="E1837" s="481"/>
      <c r="F1837" s="481"/>
      <c r="G1837" s="231" t="s">
        <v>188</v>
      </c>
      <c r="H1837" s="510">
        <v>1.0556000000000001</v>
      </c>
      <c r="I1837" s="510"/>
      <c r="J1837" s="511">
        <v>5.64</v>
      </c>
      <c r="K1837" s="511"/>
      <c r="L1837" s="367">
        <f>ROUND(ROUND(H1837,8)*J1837,2)</f>
        <v>5.95</v>
      </c>
    </row>
    <row r="1838" spans="1:12" ht="15" customHeight="1" x14ac:dyDescent="0.25">
      <c r="A1838" s="182"/>
      <c r="B1838" s="183"/>
      <c r="C1838" s="183"/>
      <c r="D1838" s="183"/>
      <c r="E1838" s="183"/>
      <c r="F1838" s="183"/>
      <c r="G1838" s="183"/>
      <c r="H1838" s="477" t="s">
        <v>1826</v>
      </c>
      <c r="I1838" s="477"/>
      <c r="J1838" s="477"/>
      <c r="K1838" s="477"/>
      <c r="L1838" s="368">
        <f>SUM(L1837:L1837)</f>
        <v>5.95</v>
      </c>
    </row>
    <row r="1839" spans="1:12" ht="15" customHeight="1" x14ac:dyDescent="0.25">
      <c r="A1839" s="474" t="s">
        <v>2190</v>
      </c>
      <c r="B1839" s="475"/>
      <c r="C1839" s="475"/>
      <c r="D1839" s="476" t="s">
        <v>42</v>
      </c>
      <c r="E1839" s="476"/>
      <c r="F1839" s="476"/>
      <c r="G1839" s="230" t="s">
        <v>44</v>
      </c>
      <c r="H1839" s="476" t="s">
        <v>1813</v>
      </c>
      <c r="I1839" s="476"/>
      <c r="J1839" s="476" t="s">
        <v>1814</v>
      </c>
      <c r="K1839" s="476"/>
      <c r="L1839" s="366" t="s">
        <v>1802</v>
      </c>
    </row>
    <row r="1840" spans="1:12" ht="21" customHeight="1" x14ac:dyDescent="0.25">
      <c r="A1840" s="181" t="s">
        <v>2191</v>
      </c>
      <c r="B1840" s="509" t="s">
        <v>2192</v>
      </c>
      <c r="C1840" s="509"/>
      <c r="D1840" s="481" t="s">
        <v>82</v>
      </c>
      <c r="E1840" s="481"/>
      <c r="F1840" s="481"/>
      <c r="G1840" s="231" t="s">
        <v>1024</v>
      </c>
      <c r="H1840" s="510">
        <v>5.7079199999999997E-2</v>
      </c>
      <c r="I1840" s="510"/>
      <c r="J1840" s="511">
        <v>31.67</v>
      </c>
      <c r="K1840" s="511"/>
      <c r="L1840" s="367">
        <f>ROUND(ROUND(H1840,8)*J1840,2)</f>
        <v>1.81</v>
      </c>
    </row>
    <row r="1841" spans="1:12" ht="15" customHeight="1" x14ac:dyDescent="0.25">
      <c r="A1841" s="181" t="s">
        <v>2193</v>
      </c>
      <c r="B1841" s="509" t="s">
        <v>2194</v>
      </c>
      <c r="C1841" s="509"/>
      <c r="D1841" s="481" t="s">
        <v>82</v>
      </c>
      <c r="E1841" s="481"/>
      <c r="F1841" s="481"/>
      <c r="G1841" s="231" t="s">
        <v>1024</v>
      </c>
      <c r="H1841" s="510">
        <v>0.1141585</v>
      </c>
      <c r="I1841" s="510"/>
      <c r="J1841" s="511">
        <v>44.2</v>
      </c>
      <c r="K1841" s="511"/>
      <c r="L1841" s="367">
        <f>ROUND(ROUND(H1841,8)*J1841,2)</f>
        <v>5.05</v>
      </c>
    </row>
    <row r="1842" spans="1:12" ht="18" customHeight="1" x14ac:dyDescent="0.25">
      <c r="A1842" s="182"/>
      <c r="B1842" s="183"/>
      <c r="C1842" s="183"/>
      <c r="D1842" s="183"/>
      <c r="E1842" s="183"/>
      <c r="F1842" s="183"/>
      <c r="G1842" s="183"/>
      <c r="H1842" s="477" t="s">
        <v>2195</v>
      </c>
      <c r="I1842" s="477"/>
      <c r="J1842" s="477"/>
      <c r="K1842" s="477"/>
      <c r="L1842" s="368">
        <f>SUM(L1840:L1841)</f>
        <v>6.8599999999999994</v>
      </c>
    </row>
    <row r="1843" spans="1:12" ht="15" customHeight="1" x14ac:dyDescent="0.25">
      <c r="A1843" s="474" t="s">
        <v>1912</v>
      </c>
      <c r="B1843" s="475"/>
      <c r="C1843" s="475"/>
      <c r="D1843" s="476" t="s">
        <v>42</v>
      </c>
      <c r="E1843" s="476"/>
      <c r="F1843" s="476"/>
      <c r="G1843" s="230" t="s">
        <v>44</v>
      </c>
      <c r="H1843" s="476" t="s">
        <v>1813</v>
      </c>
      <c r="I1843" s="476"/>
      <c r="J1843" s="476" t="s">
        <v>1814</v>
      </c>
      <c r="K1843" s="476"/>
      <c r="L1843" s="366" t="s">
        <v>1802</v>
      </c>
    </row>
    <row r="1844" spans="1:12" ht="45.95" customHeight="1" x14ac:dyDescent="0.25">
      <c r="A1844" s="181" t="s">
        <v>2196</v>
      </c>
      <c r="B1844" s="509" t="s">
        <v>2197</v>
      </c>
      <c r="C1844" s="509"/>
      <c r="D1844" s="481" t="s">
        <v>82</v>
      </c>
      <c r="E1844" s="481"/>
      <c r="F1844" s="481"/>
      <c r="G1844" s="231" t="s">
        <v>188</v>
      </c>
      <c r="H1844" s="510">
        <v>1</v>
      </c>
      <c r="I1844" s="510"/>
      <c r="J1844" s="511">
        <v>10.85</v>
      </c>
      <c r="K1844" s="511"/>
      <c r="L1844" s="367">
        <f>ROUND(ROUND(H1844,8)*J1844,2)</f>
        <v>10.85</v>
      </c>
    </row>
    <row r="1845" spans="1:12" ht="15" customHeight="1" x14ac:dyDescent="0.25">
      <c r="A1845" s="182"/>
      <c r="B1845" s="183"/>
      <c r="C1845" s="183"/>
      <c r="D1845" s="183"/>
      <c r="E1845" s="183"/>
      <c r="F1845" s="183"/>
      <c r="G1845" s="183"/>
      <c r="H1845" s="477" t="s">
        <v>1915</v>
      </c>
      <c r="I1845" s="477"/>
      <c r="J1845" s="477"/>
      <c r="K1845" s="477"/>
      <c r="L1845" s="368">
        <f>SUM(L1844:L1844)</f>
        <v>10.85</v>
      </c>
    </row>
    <row r="1846" spans="1:12" ht="15" customHeight="1" x14ac:dyDescent="0.25">
      <c r="A1846" s="483" t="s">
        <v>2198</v>
      </c>
      <c r="B1846" s="484"/>
      <c r="C1846" s="484"/>
      <c r="D1846" s="484"/>
      <c r="E1846" s="183"/>
      <c r="F1846" s="183"/>
      <c r="G1846" s="183"/>
      <c r="H1846" s="482" t="s">
        <v>1834</v>
      </c>
      <c r="I1846" s="482"/>
      <c r="J1846" s="482"/>
      <c r="K1846" s="482"/>
      <c r="L1846" s="369">
        <v>23.66</v>
      </c>
    </row>
    <row r="1847" spans="1:12" ht="9.9499999999999993" customHeight="1" x14ac:dyDescent="0.25">
      <c r="A1847" s="182"/>
      <c r="B1847" s="183"/>
      <c r="C1847" s="183"/>
      <c r="D1847" s="183"/>
      <c r="E1847" s="183"/>
      <c r="F1847" s="183"/>
      <c r="G1847" s="183"/>
      <c r="H1847" s="485"/>
      <c r="I1847" s="485"/>
      <c r="J1847" s="485"/>
      <c r="K1847" s="485"/>
      <c r="L1847" s="512"/>
    </row>
    <row r="1848" spans="1:12" ht="20.100000000000001" customHeight="1" x14ac:dyDescent="0.25">
      <c r="A1848" s="486" t="s">
        <v>3717</v>
      </c>
      <c r="B1848" s="487"/>
      <c r="C1848" s="487"/>
      <c r="D1848" s="487"/>
      <c r="E1848" s="487"/>
      <c r="F1848" s="487"/>
      <c r="G1848" s="487"/>
      <c r="H1848" s="487"/>
      <c r="I1848" s="487"/>
      <c r="J1848" s="487"/>
      <c r="K1848" s="487"/>
      <c r="L1848" s="513"/>
    </row>
    <row r="1849" spans="1:12" ht="20.100000000000001" customHeight="1" x14ac:dyDescent="0.25">
      <c r="A1849" s="488" t="s">
        <v>1836</v>
      </c>
      <c r="B1849" s="489"/>
      <c r="C1849" s="489"/>
      <c r="D1849" s="489"/>
      <c r="E1849" s="489"/>
      <c r="F1849" s="489"/>
      <c r="G1849" s="233" t="s">
        <v>44</v>
      </c>
      <c r="H1849" s="515" t="s">
        <v>1837</v>
      </c>
      <c r="I1849" s="515"/>
      <c r="J1849" s="515" t="s">
        <v>1838</v>
      </c>
      <c r="K1849" s="515"/>
      <c r="L1849" s="169" t="s">
        <v>1839</v>
      </c>
    </row>
    <row r="1850" spans="1:12" ht="15" customHeight="1" x14ac:dyDescent="0.25">
      <c r="A1850" s="170" t="s">
        <v>1840</v>
      </c>
      <c r="B1850" s="490" t="s">
        <v>1841</v>
      </c>
      <c r="C1850" s="490"/>
      <c r="D1850" s="490"/>
      <c r="E1850" s="490"/>
      <c r="F1850" s="490"/>
      <c r="G1850" s="127" t="s">
        <v>1024</v>
      </c>
      <c r="H1850" s="524">
        <v>1.25</v>
      </c>
      <c r="I1850" s="524"/>
      <c r="J1850" s="517">
        <v>21.94</v>
      </c>
      <c r="K1850" s="517"/>
      <c r="L1850" s="370">
        <f>TRUNC(TRUNC(H1850,8)*J1850,2)</f>
        <v>27.42</v>
      </c>
    </row>
    <row r="1851" spans="1:12" ht="15" customHeight="1" x14ac:dyDescent="0.25">
      <c r="A1851" s="170" t="s">
        <v>2178</v>
      </c>
      <c r="B1851" s="490" t="s">
        <v>2179</v>
      </c>
      <c r="C1851" s="490"/>
      <c r="D1851" s="490"/>
      <c r="E1851" s="490"/>
      <c r="F1851" s="490"/>
      <c r="G1851" s="127" t="s">
        <v>1024</v>
      </c>
      <c r="H1851" s="524">
        <v>1.25</v>
      </c>
      <c r="I1851" s="524"/>
      <c r="J1851" s="517">
        <v>26.03</v>
      </c>
      <c r="K1851" s="517"/>
      <c r="L1851" s="370">
        <f>TRUNC(TRUNC(H1851,8)*J1851,2)</f>
        <v>32.53</v>
      </c>
    </row>
    <row r="1852" spans="1:12" ht="15" customHeight="1" x14ac:dyDescent="0.25">
      <c r="A1852" s="184"/>
      <c r="B1852" s="141"/>
      <c r="C1852" s="141"/>
      <c r="D1852" s="141"/>
      <c r="E1852" s="141"/>
      <c r="F1852" s="141"/>
      <c r="G1852" s="141"/>
      <c r="H1852" s="491" t="s">
        <v>1844</v>
      </c>
      <c r="I1852" s="491"/>
      <c r="J1852" s="491"/>
      <c r="K1852" s="491"/>
      <c r="L1852" s="369">
        <f>SUM(L1850:L1851)</f>
        <v>59.95</v>
      </c>
    </row>
    <row r="1853" spans="1:12" ht="15" customHeight="1" x14ac:dyDescent="0.25">
      <c r="A1853" s="182"/>
      <c r="B1853" s="183"/>
      <c r="C1853" s="183"/>
      <c r="D1853" s="183"/>
      <c r="E1853" s="183"/>
      <c r="F1853" s="183"/>
      <c r="G1853" s="183"/>
      <c r="H1853" s="482" t="s">
        <v>1845</v>
      </c>
      <c r="I1853" s="482"/>
      <c r="J1853" s="482"/>
      <c r="K1853" s="482"/>
      <c r="L1853" s="371">
        <f>SUM(L1852)</f>
        <v>59.95</v>
      </c>
    </row>
    <row r="1854" spans="1:12" ht="15" customHeight="1" x14ac:dyDescent="0.25">
      <c r="A1854" s="182"/>
      <c r="B1854" s="183"/>
      <c r="C1854" s="183"/>
      <c r="D1854" s="183"/>
      <c r="E1854" s="183"/>
      <c r="F1854" s="183"/>
      <c r="G1854" s="183"/>
      <c r="H1854" s="482" t="s">
        <v>1846</v>
      </c>
      <c r="I1854" s="482"/>
      <c r="J1854" s="482"/>
      <c r="K1854" s="482"/>
      <c r="L1854" s="374">
        <v>1</v>
      </c>
    </row>
    <row r="1855" spans="1:12" ht="15" customHeight="1" x14ac:dyDescent="0.25">
      <c r="A1855" s="182"/>
      <c r="B1855" s="183"/>
      <c r="C1855" s="183"/>
      <c r="D1855" s="183"/>
      <c r="E1855" s="183"/>
      <c r="F1855" s="183"/>
      <c r="G1855" s="183"/>
      <c r="H1855" s="482" t="s">
        <v>1847</v>
      </c>
      <c r="I1855" s="482"/>
      <c r="J1855" s="482"/>
      <c r="K1855" s="482"/>
      <c r="L1855" s="371">
        <f>TRUNC(L1853/L1854,4)</f>
        <v>59.95</v>
      </c>
    </row>
    <row r="1856" spans="1:12" ht="20.100000000000001" customHeight="1" x14ac:dyDescent="0.25">
      <c r="A1856" s="488" t="s">
        <v>1880</v>
      </c>
      <c r="B1856" s="489"/>
      <c r="C1856" s="489"/>
      <c r="D1856" s="489"/>
      <c r="E1856" s="489"/>
      <c r="F1856" s="489"/>
      <c r="G1856" s="233" t="s">
        <v>44</v>
      </c>
      <c r="H1856" s="515" t="s">
        <v>1837</v>
      </c>
      <c r="I1856" s="515"/>
      <c r="J1856" s="515" t="s">
        <v>1881</v>
      </c>
      <c r="K1856" s="515"/>
      <c r="L1856" s="169" t="s">
        <v>1882</v>
      </c>
    </row>
    <row r="1857" spans="1:12" ht="15" customHeight="1" x14ac:dyDescent="0.25">
      <c r="A1857" s="170" t="s">
        <v>3718</v>
      </c>
      <c r="B1857" s="492" t="s">
        <v>3719</v>
      </c>
      <c r="C1857" s="492"/>
      <c r="D1857" s="492"/>
      <c r="E1857" s="492"/>
      <c r="F1857" s="492"/>
      <c r="G1857" s="127" t="s">
        <v>226</v>
      </c>
      <c r="H1857" s="524">
        <v>1</v>
      </c>
      <c r="I1857" s="524"/>
      <c r="J1857" s="525">
        <v>61.83</v>
      </c>
      <c r="K1857" s="525"/>
      <c r="L1857" s="171">
        <f>TRUNC(TRUNC(H1857,8)*J1857,2)</f>
        <v>61.83</v>
      </c>
    </row>
    <row r="1858" spans="1:12" ht="15" customHeight="1" x14ac:dyDescent="0.25">
      <c r="A1858" s="184"/>
      <c r="B1858" s="141"/>
      <c r="C1858" s="141"/>
      <c r="D1858" s="141"/>
      <c r="E1858" s="141"/>
      <c r="F1858" s="141"/>
      <c r="G1858" s="141"/>
      <c r="H1858" s="491" t="s">
        <v>1889</v>
      </c>
      <c r="I1858" s="491"/>
      <c r="J1858" s="491"/>
      <c r="K1858" s="491"/>
      <c r="L1858" s="375">
        <f>SUM(L1857:L1857)</f>
        <v>61.83</v>
      </c>
    </row>
    <row r="1859" spans="1:12" ht="15" customHeight="1" x14ac:dyDescent="0.25">
      <c r="A1859" s="182"/>
      <c r="B1859" s="183"/>
      <c r="C1859" s="183"/>
      <c r="D1859" s="183"/>
      <c r="E1859" s="183"/>
      <c r="F1859" s="183"/>
      <c r="G1859" s="183"/>
      <c r="H1859" s="482" t="s">
        <v>1848</v>
      </c>
      <c r="I1859" s="482"/>
      <c r="J1859" s="482"/>
      <c r="K1859" s="482"/>
      <c r="L1859" s="371">
        <f>SUM(L1855,L1858)</f>
        <v>121.78</v>
      </c>
    </row>
    <row r="1860" spans="1:12" ht="15" customHeight="1" x14ac:dyDescent="0.25">
      <c r="A1860" s="182"/>
      <c r="B1860" s="183"/>
      <c r="C1860" s="183"/>
      <c r="D1860" s="183"/>
      <c r="E1860" s="183"/>
      <c r="F1860" s="183"/>
      <c r="G1860" s="183"/>
      <c r="H1860" s="482" t="s">
        <v>1834</v>
      </c>
      <c r="I1860" s="482"/>
      <c r="J1860" s="482"/>
      <c r="K1860" s="482"/>
      <c r="L1860" s="369">
        <f>ROUND(SUM(L1859),2)</f>
        <v>121.78</v>
      </c>
    </row>
    <row r="1861" spans="1:12" ht="9.9499999999999993" customHeight="1" x14ac:dyDescent="0.25">
      <c r="A1861" s="182"/>
      <c r="B1861" s="183"/>
      <c r="C1861" s="183"/>
      <c r="D1861" s="183"/>
      <c r="E1861" s="183"/>
      <c r="F1861" s="183"/>
      <c r="G1861" s="183"/>
      <c r="H1861" s="485"/>
      <c r="I1861" s="485"/>
      <c r="J1861" s="485"/>
      <c r="K1861" s="485"/>
      <c r="L1861" s="512"/>
    </row>
    <row r="1862" spans="1:12" ht="20.100000000000001" customHeight="1" x14ac:dyDescent="0.25">
      <c r="A1862" s="486" t="s">
        <v>3720</v>
      </c>
      <c r="B1862" s="487"/>
      <c r="C1862" s="487"/>
      <c r="D1862" s="487"/>
      <c r="E1862" s="487"/>
      <c r="F1862" s="487"/>
      <c r="G1862" s="487"/>
      <c r="H1862" s="487"/>
      <c r="I1862" s="487"/>
      <c r="J1862" s="487"/>
      <c r="K1862" s="487"/>
      <c r="L1862" s="513"/>
    </row>
    <row r="1863" spans="1:12" ht="15" customHeight="1" x14ac:dyDescent="0.25">
      <c r="A1863" s="474" t="s">
        <v>2021</v>
      </c>
      <c r="B1863" s="475"/>
      <c r="C1863" s="475"/>
      <c r="D1863" s="476" t="s">
        <v>42</v>
      </c>
      <c r="E1863" s="476"/>
      <c r="F1863" s="476"/>
      <c r="G1863" s="230" t="s">
        <v>44</v>
      </c>
      <c r="H1863" s="476" t="s">
        <v>1813</v>
      </c>
      <c r="I1863" s="476"/>
      <c r="J1863" s="476" t="s">
        <v>1814</v>
      </c>
      <c r="K1863" s="476"/>
      <c r="L1863" s="366" t="s">
        <v>1802</v>
      </c>
    </row>
    <row r="1864" spans="1:12" ht="45.95" customHeight="1" x14ac:dyDescent="0.25">
      <c r="A1864" s="181" t="s">
        <v>3721</v>
      </c>
      <c r="B1864" s="509" t="s">
        <v>3722</v>
      </c>
      <c r="C1864" s="509"/>
      <c r="D1864" s="481" t="s">
        <v>82</v>
      </c>
      <c r="E1864" s="481"/>
      <c r="F1864" s="481"/>
      <c r="G1864" s="231" t="s">
        <v>2024</v>
      </c>
      <c r="H1864" s="510">
        <v>0.98652010000000001</v>
      </c>
      <c r="I1864" s="510"/>
      <c r="J1864" s="511">
        <v>81.36</v>
      </c>
      <c r="K1864" s="511"/>
      <c r="L1864" s="367">
        <f>TRUNC(TRUNC(H1864,8)*J1864,2)</f>
        <v>80.260000000000005</v>
      </c>
    </row>
    <row r="1865" spans="1:12" ht="45.95" customHeight="1" x14ac:dyDescent="0.25">
      <c r="A1865" s="181" t="s">
        <v>3723</v>
      </c>
      <c r="B1865" s="509" t="s">
        <v>3724</v>
      </c>
      <c r="C1865" s="509"/>
      <c r="D1865" s="481" t="s">
        <v>82</v>
      </c>
      <c r="E1865" s="481"/>
      <c r="F1865" s="481"/>
      <c r="G1865" s="231" t="s">
        <v>2027</v>
      </c>
      <c r="H1865" s="510">
        <v>0.18010000000000001</v>
      </c>
      <c r="I1865" s="510"/>
      <c r="J1865" s="511">
        <v>311.39</v>
      </c>
      <c r="K1865" s="511"/>
      <c r="L1865" s="367">
        <f>TRUNC(TRUNC(H1865,8)*J1865,2)</f>
        <v>56.08</v>
      </c>
    </row>
    <row r="1866" spans="1:12" ht="18" customHeight="1" x14ac:dyDescent="0.25">
      <c r="A1866" s="182"/>
      <c r="B1866" s="183"/>
      <c r="C1866" s="183"/>
      <c r="D1866" s="183"/>
      <c r="E1866" s="183"/>
      <c r="F1866" s="183"/>
      <c r="G1866" s="183"/>
      <c r="H1866" s="477" t="s">
        <v>2028</v>
      </c>
      <c r="I1866" s="477"/>
      <c r="J1866" s="477"/>
      <c r="K1866" s="477"/>
      <c r="L1866" s="368">
        <f>SUM(L1864:L1865)</f>
        <v>136.34</v>
      </c>
    </row>
    <row r="1867" spans="1:12" ht="15" customHeight="1" x14ac:dyDescent="0.25">
      <c r="A1867" s="474" t="s">
        <v>1812</v>
      </c>
      <c r="B1867" s="475"/>
      <c r="C1867" s="475"/>
      <c r="D1867" s="476" t="s">
        <v>42</v>
      </c>
      <c r="E1867" s="476"/>
      <c r="F1867" s="476"/>
      <c r="G1867" s="230" t="s">
        <v>44</v>
      </c>
      <c r="H1867" s="476" t="s">
        <v>1813</v>
      </c>
      <c r="I1867" s="476"/>
      <c r="J1867" s="476" t="s">
        <v>1814</v>
      </c>
      <c r="K1867" s="476"/>
      <c r="L1867" s="366" t="s">
        <v>1802</v>
      </c>
    </row>
    <row r="1868" spans="1:12" ht="15" customHeight="1" x14ac:dyDescent="0.25">
      <c r="A1868" s="181" t="s">
        <v>3725</v>
      </c>
      <c r="B1868" s="509" t="s">
        <v>3726</v>
      </c>
      <c r="C1868" s="509"/>
      <c r="D1868" s="481" t="s">
        <v>82</v>
      </c>
      <c r="E1868" s="481"/>
      <c r="F1868" s="481"/>
      <c r="G1868" s="231" t="s">
        <v>188</v>
      </c>
      <c r="H1868" s="510">
        <v>9</v>
      </c>
      <c r="I1868" s="510"/>
      <c r="J1868" s="511">
        <v>48.08</v>
      </c>
      <c r="K1868" s="511"/>
      <c r="L1868" s="367">
        <f>TRUNC(TRUNC(H1868,8)*J1868,2)</f>
        <v>432.72</v>
      </c>
    </row>
    <row r="1869" spans="1:12" ht="21" customHeight="1" x14ac:dyDescent="0.25">
      <c r="A1869" s="181" t="s">
        <v>3727</v>
      </c>
      <c r="B1869" s="509" t="s">
        <v>3728</v>
      </c>
      <c r="C1869" s="509"/>
      <c r="D1869" s="481" t="s">
        <v>82</v>
      </c>
      <c r="E1869" s="481"/>
      <c r="F1869" s="481"/>
      <c r="G1869" s="231" t="s">
        <v>226</v>
      </c>
      <c r="H1869" s="510">
        <v>4</v>
      </c>
      <c r="I1869" s="510"/>
      <c r="J1869" s="511">
        <v>75.55</v>
      </c>
      <c r="K1869" s="511"/>
      <c r="L1869" s="367">
        <f>TRUNC(TRUNC(H1869,8)*J1869,2)</f>
        <v>302.2</v>
      </c>
    </row>
    <row r="1870" spans="1:12" ht="29.1" customHeight="1" x14ac:dyDescent="0.25">
      <c r="A1870" s="181" t="s">
        <v>3729</v>
      </c>
      <c r="B1870" s="509" t="s">
        <v>3730</v>
      </c>
      <c r="C1870" s="509"/>
      <c r="D1870" s="481" t="s">
        <v>82</v>
      </c>
      <c r="E1870" s="481"/>
      <c r="F1870" s="481"/>
      <c r="G1870" s="231" t="s">
        <v>226</v>
      </c>
      <c r="H1870" s="510">
        <v>1</v>
      </c>
      <c r="I1870" s="510"/>
      <c r="J1870" s="511">
        <v>1859.57</v>
      </c>
      <c r="K1870" s="511"/>
      <c r="L1870" s="367">
        <f>TRUNC(TRUNC(H1870,8)*J1870,2)</f>
        <v>1859.57</v>
      </c>
    </row>
    <row r="1871" spans="1:12" ht="15" customHeight="1" x14ac:dyDescent="0.25">
      <c r="A1871" s="182"/>
      <c r="B1871" s="183"/>
      <c r="C1871" s="183"/>
      <c r="D1871" s="183"/>
      <c r="E1871" s="183"/>
      <c r="F1871" s="183"/>
      <c r="G1871" s="183"/>
      <c r="H1871" s="477" t="s">
        <v>1826</v>
      </c>
      <c r="I1871" s="477"/>
      <c r="J1871" s="477"/>
      <c r="K1871" s="477"/>
      <c r="L1871" s="368">
        <f>SUM(L1868:L1870)</f>
        <v>2594.4899999999998</v>
      </c>
    </row>
    <row r="1872" spans="1:12" ht="15" customHeight="1" x14ac:dyDescent="0.25">
      <c r="A1872" s="474" t="s">
        <v>2190</v>
      </c>
      <c r="B1872" s="475"/>
      <c r="C1872" s="475"/>
      <c r="D1872" s="476" t="s">
        <v>42</v>
      </c>
      <c r="E1872" s="476"/>
      <c r="F1872" s="476"/>
      <c r="G1872" s="230" t="s">
        <v>44</v>
      </c>
      <c r="H1872" s="476" t="s">
        <v>1813</v>
      </c>
      <c r="I1872" s="476"/>
      <c r="J1872" s="476" t="s">
        <v>1814</v>
      </c>
      <c r="K1872" s="476"/>
      <c r="L1872" s="366" t="s">
        <v>1802</v>
      </c>
    </row>
    <row r="1873" spans="1:12" ht="21" customHeight="1" x14ac:dyDescent="0.25">
      <c r="A1873" s="181" t="s">
        <v>2191</v>
      </c>
      <c r="B1873" s="509" t="s">
        <v>2192</v>
      </c>
      <c r="C1873" s="509"/>
      <c r="D1873" s="481" t="s">
        <v>82</v>
      </c>
      <c r="E1873" s="481"/>
      <c r="F1873" s="481"/>
      <c r="G1873" s="231" t="s">
        <v>1024</v>
      </c>
      <c r="H1873" s="510">
        <v>0.2678545</v>
      </c>
      <c r="I1873" s="510"/>
      <c r="J1873" s="511">
        <v>31.67</v>
      </c>
      <c r="K1873" s="511"/>
      <c r="L1873" s="367">
        <f>TRUNC(TRUNC(H1873,8)*J1873,2)</f>
        <v>8.48</v>
      </c>
    </row>
    <row r="1874" spans="1:12" ht="15" customHeight="1" x14ac:dyDescent="0.25">
      <c r="A1874" s="181" t="s">
        <v>2193</v>
      </c>
      <c r="B1874" s="509" t="s">
        <v>2194</v>
      </c>
      <c r="C1874" s="509"/>
      <c r="D1874" s="481" t="s">
        <v>82</v>
      </c>
      <c r="E1874" s="481"/>
      <c r="F1874" s="481"/>
      <c r="G1874" s="231" t="s">
        <v>1024</v>
      </c>
      <c r="H1874" s="510">
        <v>1.2053455</v>
      </c>
      <c r="I1874" s="510"/>
      <c r="J1874" s="511">
        <v>44.2</v>
      </c>
      <c r="K1874" s="511"/>
      <c r="L1874" s="367">
        <f>TRUNC(TRUNC(H1874,8)*J1874,2)</f>
        <v>53.27</v>
      </c>
    </row>
    <row r="1875" spans="1:12" ht="18" customHeight="1" x14ac:dyDescent="0.25">
      <c r="A1875" s="182"/>
      <c r="B1875" s="183"/>
      <c r="C1875" s="183"/>
      <c r="D1875" s="183"/>
      <c r="E1875" s="183"/>
      <c r="F1875" s="183"/>
      <c r="G1875" s="183"/>
      <c r="H1875" s="477" t="s">
        <v>2195</v>
      </c>
      <c r="I1875" s="477"/>
      <c r="J1875" s="477"/>
      <c r="K1875" s="477"/>
      <c r="L1875" s="368">
        <f>SUM(L1873:L1874)</f>
        <v>61.75</v>
      </c>
    </row>
    <row r="1876" spans="1:12" ht="15" customHeight="1" x14ac:dyDescent="0.25">
      <c r="A1876" s="182"/>
      <c r="B1876" s="183"/>
      <c r="C1876" s="183"/>
      <c r="D1876" s="183"/>
      <c r="E1876" s="183"/>
      <c r="F1876" s="183"/>
      <c r="G1876" s="183"/>
      <c r="H1876" s="482" t="s">
        <v>1834</v>
      </c>
      <c r="I1876" s="482"/>
      <c r="J1876" s="482"/>
      <c r="K1876" s="482"/>
      <c r="L1876" s="369">
        <f>ROUND(SUM(L1866,L1871,L1875),2)</f>
        <v>2792.58</v>
      </c>
    </row>
    <row r="1877" spans="1:12" ht="9.9499999999999993" customHeight="1" x14ac:dyDescent="0.25">
      <c r="A1877" s="182"/>
      <c r="B1877" s="183"/>
      <c r="C1877" s="183"/>
      <c r="D1877" s="183"/>
      <c r="E1877" s="183"/>
      <c r="F1877" s="183"/>
      <c r="G1877" s="183"/>
      <c r="H1877" s="485"/>
      <c r="I1877" s="485"/>
      <c r="J1877" s="485"/>
      <c r="K1877" s="485"/>
      <c r="L1877" s="512"/>
    </row>
    <row r="1878" spans="1:12" ht="20.100000000000001" customHeight="1" x14ac:dyDescent="0.25">
      <c r="A1878" s="486" t="s">
        <v>3731</v>
      </c>
      <c r="B1878" s="487"/>
      <c r="C1878" s="487"/>
      <c r="D1878" s="487"/>
      <c r="E1878" s="487"/>
      <c r="F1878" s="487"/>
      <c r="G1878" s="487"/>
      <c r="H1878" s="487"/>
      <c r="I1878" s="487"/>
      <c r="J1878" s="487"/>
      <c r="K1878" s="487"/>
      <c r="L1878" s="513"/>
    </row>
    <row r="1879" spans="1:12" ht="15" customHeight="1" x14ac:dyDescent="0.25">
      <c r="A1879" s="474" t="s">
        <v>2021</v>
      </c>
      <c r="B1879" s="475"/>
      <c r="C1879" s="475"/>
      <c r="D1879" s="476" t="s">
        <v>42</v>
      </c>
      <c r="E1879" s="476"/>
      <c r="F1879" s="476"/>
      <c r="G1879" s="230" t="s">
        <v>44</v>
      </c>
      <c r="H1879" s="476" t="s">
        <v>1813</v>
      </c>
      <c r="I1879" s="476"/>
      <c r="J1879" s="476" t="s">
        <v>1814</v>
      </c>
      <c r="K1879" s="476"/>
      <c r="L1879" s="366" t="s">
        <v>1802</v>
      </c>
    </row>
    <row r="1880" spans="1:12" ht="45.95" customHeight="1" x14ac:dyDescent="0.25">
      <c r="A1880" s="181" t="s">
        <v>3721</v>
      </c>
      <c r="B1880" s="509" t="s">
        <v>3722</v>
      </c>
      <c r="C1880" s="509"/>
      <c r="D1880" s="481" t="s">
        <v>82</v>
      </c>
      <c r="E1880" s="481"/>
      <c r="F1880" s="481"/>
      <c r="G1880" s="231" t="s">
        <v>2024</v>
      </c>
      <c r="H1880" s="510">
        <v>5.1701400000000002E-2</v>
      </c>
      <c r="I1880" s="510"/>
      <c r="J1880" s="511">
        <v>81.36</v>
      </c>
      <c r="K1880" s="511"/>
      <c r="L1880" s="367">
        <f>TRUNC(TRUNC(H1880,8)*J1880,2)</f>
        <v>4.2</v>
      </c>
    </row>
    <row r="1881" spans="1:12" ht="45.95" customHeight="1" x14ac:dyDescent="0.25">
      <c r="A1881" s="181" t="s">
        <v>3723</v>
      </c>
      <c r="B1881" s="509" t="s">
        <v>3724</v>
      </c>
      <c r="C1881" s="509"/>
      <c r="D1881" s="481" t="s">
        <v>82</v>
      </c>
      <c r="E1881" s="481"/>
      <c r="F1881" s="481"/>
      <c r="G1881" s="231" t="s">
        <v>2027</v>
      </c>
      <c r="H1881" s="510">
        <v>0.20160710000000001</v>
      </c>
      <c r="I1881" s="510"/>
      <c r="J1881" s="511">
        <v>311.39</v>
      </c>
      <c r="K1881" s="511"/>
      <c r="L1881" s="367">
        <f>TRUNC(TRUNC(H1881,8)*J1881,2)</f>
        <v>62.77</v>
      </c>
    </row>
    <row r="1882" spans="1:12" ht="18" customHeight="1" x14ac:dyDescent="0.25">
      <c r="A1882" s="182"/>
      <c r="B1882" s="183"/>
      <c r="C1882" s="183"/>
      <c r="D1882" s="183"/>
      <c r="E1882" s="183"/>
      <c r="F1882" s="183"/>
      <c r="G1882" s="183"/>
      <c r="H1882" s="477" t="s">
        <v>2028</v>
      </c>
      <c r="I1882" s="477"/>
      <c r="J1882" s="477"/>
      <c r="K1882" s="477"/>
      <c r="L1882" s="368">
        <f>SUM(L1880:L1881)</f>
        <v>66.97</v>
      </c>
    </row>
    <row r="1883" spans="1:12" ht="15" customHeight="1" x14ac:dyDescent="0.25">
      <c r="A1883" s="474" t="s">
        <v>1812</v>
      </c>
      <c r="B1883" s="475"/>
      <c r="C1883" s="475"/>
      <c r="D1883" s="476" t="s">
        <v>42</v>
      </c>
      <c r="E1883" s="476"/>
      <c r="F1883" s="476"/>
      <c r="G1883" s="230" t="s">
        <v>44</v>
      </c>
      <c r="H1883" s="476" t="s">
        <v>1813</v>
      </c>
      <c r="I1883" s="476"/>
      <c r="J1883" s="476" t="s">
        <v>1814</v>
      </c>
      <c r="K1883" s="476"/>
      <c r="L1883" s="366" t="s">
        <v>1802</v>
      </c>
    </row>
    <row r="1884" spans="1:12" ht="21" customHeight="1" x14ac:dyDescent="0.25">
      <c r="A1884" s="181" t="s">
        <v>2473</v>
      </c>
      <c r="B1884" s="509" t="s">
        <v>2474</v>
      </c>
      <c r="C1884" s="509"/>
      <c r="D1884" s="481" t="s">
        <v>82</v>
      </c>
      <c r="E1884" s="481"/>
      <c r="F1884" s="481"/>
      <c r="G1884" s="231" t="s">
        <v>226</v>
      </c>
      <c r="H1884" s="510">
        <v>1.4E-2</v>
      </c>
      <c r="I1884" s="510"/>
      <c r="J1884" s="511">
        <v>5.6</v>
      </c>
      <c r="K1884" s="511"/>
      <c r="L1884" s="367">
        <f>TRUNC(TRUNC(H1884,8)*J1884,2)</f>
        <v>7.0000000000000007E-2</v>
      </c>
    </row>
    <row r="1885" spans="1:12" ht="21" customHeight="1" x14ac:dyDescent="0.25">
      <c r="A1885" s="181" t="s">
        <v>3732</v>
      </c>
      <c r="B1885" s="509" t="s">
        <v>3733</v>
      </c>
      <c r="C1885" s="509"/>
      <c r="D1885" s="481" t="s">
        <v>82</v>
      </c>
      <c r="E1885" s="481"/>
      <c r="F1885" s="481"/>
      <c r="G1885" s="231" t="s">
        <v>226</v>
      </c>
      <c r="H1885" s="510">
        <v>1</v>
      </c>
      <c r="I1885" s="510"/>
      <c r="J1885" s="511">
        <v>493.03</v>
      </c>
      <c r="K1885" s="511"/>
      <c r="L1885" s="367">
        <f>TRUNC(TRUNC(H1885,8)*J1885,2)</f>
        <v>493.03</v>
      </c>
    </row>
    <row r="1886" spans="1:12" ht="15" customHeight="1" x14ac:dyDescent="0.25">
      <c r="A1886" s="182"/>
      <c r="B1886" s="183"/>
      <c r="C1886" s="183"/>
      <c r="D1886" s="183"/>
      <c r="E1886" s="183"/>
      <c r="F1886" s="183"/>
      <c r="G1886" s="183"/>
      <c r="H1886" s="477" t="s">
        <v>1826</v>
      </c>
      <c r="I1886" s="477"/>
      <c r="J1886" s="477"/>
      <c r="K1886" s="477"/>
      <c r="L1886" s="368">
        <f>SUM(L1884:L1885)</f>
        <v>493.09999999999997</v>
      </c>
    </row>
    <row r="1887" spans="1:12" ht="15" customHeight="1" x14ac:dyDescent="0.25">
      <c r="A1887" s="474" t="s">
        <v>2190</v>
      </c>
      <c r="B1887" s="475"/>
      <c r="C1887" s="475"/>
      <c r="D1887" s="476" t="s">
        <v>42</v>
      </c>
      <c r="E1887" s="476"/>
      <c r="F1887" s="476"/>
      <c r="G1887" s="230" t="s">
        <v>44</v>
      </c>
      <c r="H1887" s="476" t="s">
        <v>1813</v>
      </c>
      <c r="I1887" s="476"/>
      <c r="J1887" s="476" t="s">
        <v>1814</v>
      </c>
      <c r="K1887" s="476"/>
      <c r="L1887" s="366" t="s">
        <v>1802</v>
      </c>
    </row>
    <row r="1888" spans="1:12" ht="21" customHeight="1" x14ac:dyDescent="0.25">
      <c r="A1888" s="181" t="s">
        <v>2191</v>
      </c>
      <c r="B1888" s="509" t="s">
        <v>2192</v>
      </c>
      <c r="C1888" s="509"/>
      <c r="D1888" s="481" t="s">
        <v>82</v>
      </c>
      <c r="E1888" s="481"/>
      <c r="F1888" s="481"/>
      <c r="G1888" s="231" t="s">
        <v>1024</v>
      </c>
      <c r="H1888" s="510">
        <v>0.2064</v>
      </c>
      <c r="I1888" s="510"/>
      <c r="J1888" s="511">
        <v>31.67</v>
      </c>
      <c r="K1888" s="511"/>
      <c r="L1888" s="367">
        <f>TRUNC(TRUNC(H1888,8)*J1888,2)</f>
        <v>6.53</v>
      </c>
    </row>
    <row r="1889" spans="1:12" ht="15" customHeight="1" x14ac:dyDescent="0.25">
      <c r="A1889" s="181" t="s">
        <v>2193</v>
      </c>
      <c r="B1889" s="509" t="s">
        <v>2194</v>
      </c>
      <c r="C1889" s="509"/>
      <c r="D1889" s="481" t="s">
        <v>82</v>
      </c>
      <c r="E1889" s="481"/>
      <c r="F1889" s="481"/>
      <c r="G1889" s="231" t="s">
        <v>1024</v>
      </c>
      <c r="H1889" s="510">
        <v>0.2064</v>
      </c>
      <c r="I1889" s="510"/>
      <c r="J1889" s="511">
        <v>44.2</v>
      </c>
      <c r="K1889" s="511"/>
      <c r="L1889" s="367">
        <f>TRUNC(TRUNC(H1889,8)*J1889,2)</f>
        <v>9.1199999999999992</v>
      </c>
    </row>
    <row r="1890" spans="1:12" ht="18" customHeight="1" x14ac:dyDescent="0.25">
      <c r="A1890" s="182"/>
      <c r="B1890" s="183"/>
      <c r="C1890" s="183"/>
      <c r="D1890" s="183"/>
      <c r="E1890" s="183"/>
      <c r="F1890" s="183"/>
      <c r="G1890" s="183"/>
      <c r="H1890" s="477" t="s">
        <v>2195</v>
      </c>
      <c r="I1890" s="477"/>
      <c r="J1890" s="477"/>
      <c r="K1890" s="477"/>
      <c r="L1890" s="368">
        <f>SUM(L1888:L1889)</f>
        <v>15.649999999999999</v>
      </c>
    </row>
    <row r="1891" spans="1:12" ht="15" customHeight="1" x14ac:dyDescent="0.25">
      <c r="A1891" s="182"/>
      <c r="B1891" s="183"/>
      <c r="C1891" s="183"/>
      <c r="D1891" s="183"/>
      <c r="E1891" s="183"/>
      <c r="F1891" s="183"/>
      <c r="G1891" s="183"/>
      <c r="H1891" s="482" t="s">
        <v>1834</v>
      </c>
      <c r="I1891" s="482"/>
      <c r="J1891" s="482"/>
      <c r="K1891" s="482"/>
      <c r="L1891" s="369">
        <f>ROUND(SUM(L1882,L1886,L1890),2)</f>
        <v>575.72</v>
      </c>
    </row>
    <row r="1892" spans="1:12" ht="9.9499999999999993" customHeight="1" x14ac:dyDescent="0.25">
      <c r="A1892" s="182"/>
      <c r="B1892" s="183"/>
      <c r="C1892" s="183"/>
      <c r="D1892" s="183"/>
      <c r="E1892" s="183"/>
      <c r="F1892" s="183"/>
      <c r="G1892" s="183"/>
      <c r="H1892" s="485"/>
      <c r="I1892" s="485"/>
      <c r="J1892" s="485"/>
      <c r="K1892" s="485"/>
      <c r="L1892" s="512"/>
    </row>
    <row r="1893" spans="1:12" ht="20.100000000000001" customHeight="1" x14ac:dyDescent="0.25">
      <c r="A1893" s="486" t="s">
        <v>2199</v>
      </c>
      <c r="B1893" s="487"/>
      <c r="C1893" s="487"/>
      <c r="D1893" s="487"/>
      <c r="E1893" s="487"/>
      <c r="F1893" s="487"/>
      <c r="G1893" s="487"/>
      <c r="H1893" s="487"/>
      <c r="I1893" s="487"/>
      <c r="J1893" s="487"/>
      <c r="K1893" s="487"/>
      <c r="L1893" s="513"/>
    </row>
    <row r="1894" spans="1:12" ht="15" customHeight="1" x14ac:dyDescent="0.25">
      <c r="A1894" s="474" t="s">
        <v>1812</v>
      </c>
      <c r="B1894" s="475"/>
      <c r="C1894" s="475"/>
      <c r="D1894" s="476" t="s">
        <v>42</v>
      </c>
      <c r="E1894" s="476"/>
      <c r="F1894" s="476"/>
      <c r="G1894" s="230" t="s">
        <v>44</v>
      </c>
      <c r="H1894" s="476" t="s">
        <v>1813</v>
      </c>
      <c r="I1894" s="476"/>
      <c r="J1894" s="476" t="s">
        <v>1814</v>
      </c>
      <c r="K1894" s="476"/>
      <c r="L1894" s="366" t="s">
        <v>1802</v>
      </c>
    </row>
    <row r="1895" spans="1:12" ht="15" customHeight="1" x14ac:dyDescent="0.25">
      <c r="A1895" s="181" t="s">
        <v>2200</v>
      </c>
      <c r="B1895" s="509" t="s">
        <v>2201</v>
      </c>
      <c r="C1895" s="509"/>
      <c r="D1895" s="481" t="s">
        <v>341</v>
      </c>
      <c r="E1895" s="481"/>
      <c r="F1895" s="481"/>
      <c r="G1895" s="231" t="s">
        <v>579</v>
      </c>
      <c r="H1895" s="510">
        <v>1</v>
      </c>
      <c r="I1895" s="510"/>
      <c r="J1895" s="511">
        <v>43.6</v>
      </c>
      <c r="K1895" s="511"/>
      <c r="L1895" s="367">
        <f>ROUND(ROUND(H1895,8)*J1895,2)</f>
        <v>43.6</v>
      </c>
    </row>
    <row r="1896" spans="1:12" ht="15" customHeight="1" x14ac:dyDescent="0.25">
      <c r="A1896" s="182"/>
      <c r="B1896" s="183"/>
      <c r="C1896" s="183"/>
      <c r="D1896" s="183"/>
      <c r="E1896" s="183"/>
      <c r="F1896" s="183"/>
      <c r="G1896" s="183"/>
      <c r="H1896" s="477" t="s">
        <v>1826</v>
      </c>
      <c r="I1896" s="477"/>
      <c r="J1896" s="477"/>
      <c r="K1896" s="477"/>
      <c r="L1896" s="368">
        <f>SUM(L1895:L1895)</f>
        <v>43.6</v>
      </c>
    </row>
    <row r="1897" spans="1:12" ht="15" customHeight="1" x14ac:dyDescent="0.25">
      <c r="A1897" s="474" t="s">
        <v>1827</v>
      </c>
      <c r="B1897" s="475"/>
      <c r="C1897" s="475"/>
      <c r="D1897" s="476" t="s">
        <v>42</v>
      </c>
      <c r="E1897" s="476"/>
      <c r="F1897" s="476"/>
      <c r="G1897" s="230" t="s">
        <v>44</v>
      </c>
      <c r="H1897" s="476" t="s">
        <v>1813</v>
      </c>
      <c r="I1897" s="476"/>
      <c r="J1897" s="476" t="s">
        <v>1814</v>
      </c>
      <c r="K1897" s="476"/>
      <c r="L1897" s="366" t="s">
        <v>1802</v>
      </c>
    </row>
    <row r="1898" spans="1:12" ht="15" customHeight="1" x14ac:dyDescent="0.25">
      <c r="A1898" s="181" t="s">
        <v>2178</v>
      </c>
      <c r="B1898" s="509" t="s">
        <v>2179</v>
      </c>
      <c r="C1898" s="509"/>
      <c r="D1898" s="481" t="s">
        <v>51</v>
      </c>
      <c r="E1898" s="481"/>
      <c r="F1898" s="481"/>
      <c r="G1898" s="231" t="s">
        <v>1024</v>
      </c>
      <c r="H1898" s="510">
        <v>1.1000000000000001</v>
      </c>
      <c r="I1898" s="510"/>
      <c r="J1898" s="511">
        <v>26.03</v>
      </c>
      <c r="K1898" s="511"/>
      <c r="L1898" s="367">
        <f>ROUND(ROUND(H1898,8)*J1898,2)</f>
        <v>28.63</v>
      </c>
    </row>
    <row r="1899" spans="1:12" ht="15" customHeight="1" x14ac:dyDescent="0.25">
      <c r="A1899" s="181" t="s">
        <v>1830</v>
      </c>
      <c r="B1899" s="509" t="s">
        <v>1831</v>
      </c>
      <c r="C1899" s="509"/>
      <c r="D1899" s="481" t="s">
        <v>51</v>
      </c>
      <c r="E1899" s="481"/>
      <c r="F1899" s="481"/>
      <c r="G1899" s="231" t="s">
        <v>1024</v>
      </c>
      <c r="H1899" s="510">
        <v>1.1000000000000001</v>
      </c>
      <c r="I1899" s="510"/>
      <c r="J1899" s="511">
        <v>19.68</v>
      </c>
      <c r="K1899" s="511"/>
      <c r="L1899" s="367">
        <f>ROUND(ROUND(H1899,8)*J1899,2)</f>
        <v>21.65</v>
      </c>
    </row>
    <row r="1900" spans="1:12" ht="15" customHeight="1" x14ac:dyDescent="0.25">
      <c r="A1900" s="182"/>
      <c r="B1900" s="183"/>
      <c r="C1900" s="183"/>
      <c r="D1900" s="183"/>
      <c r="E1900" s="183"/>
      <c r="F1900" s="183"/>
      <c r="G1900" s="183"/>
      <c r="H1900" s="477" t="s">
        <v>1832</v>
      </c>
      <c r="I1900" s="477"/>
      <c r="J1900" s="477"/>
      <c r="K1900" s="477"/>
      <c r="L1900" s="368">
        <f>SUM(L1898:L1899)</f>
        <v>50.28</v>
      </c>
    </row>
    <row r="1901" spans="1:12" ht="15" customHeight="1" x14ac:dyDescent="0.25">
      <c r="A1901" s="483" t="s">
        <v>2202</v>
      </c>
      <c r="B1901" s="484"/>
      <c r="C1901" s="484"/>
      <c r="D1901" s="484"/>
      <c r="E1901" s="183"/>
      <c r="F1901" s="183"/>
      <c r="G1901" s="183"/>
      <c r="H1901" s="482" t="s">
        <v>1834</v>
      </c>
      <c r="I1901" s="482"/>
      <c r="J1901" s="482"/>
      <c r="K1901" s="482"/>
      <c r="L1901" s="369">
        <v>93.88</v>
      </c>
    </row>
    <row r="1902" spans="1:12" ht="9.9499999999999993" customHeight="1" x14ac:dyDescent="0.25">
      <c r="A1902" s="182"/>
      <c r="B1902" s="183"/>
      <c r="C1902" s="183"/>
      <c r="D1902" s="183"/>
      <c r="E1902" s="183"/>
      <c r="F1902" s="183"/>
      <c r="G1902" s="183"/>
      <c r="H1902" s="485"/>
      <c r="I1902" s="485"/>
      <c r="J1902" s="485"/>
      <c r="K1902" s="485"/>
      <c r="L1902" s="512"/>
    </row>
    <row r="1903" spans="1:12" ht="20.100000000000001" customHeight="1" x14ac:dyDescent="0.25">
      <c r="A1903" s="486" t="s">
        <v>3734</v>
      </c>
      <c r="B1903" s="487"/>
      <c r="C1903" s="487"/>
      <c r="D1903" s="487"/>
      <c r="E1903" s="487"/>
      <c r="F1903" s="487"/>
      <c r="G1903" s="487"/>
      <c r="H1903" s="487"/>
      <c r="I1903" s="487"/>
      <c r="J1903" s="487"/>
      <c r="K1903" s="487"/>
      <c r="L1903" s="513"/>
    </row>
    <row r="1904" spans="1:12" ht="15" customHeight="1" x14ac:dyDescent="0.25">
      <c r="A1904" s="474" t="s">
        <v>1812</v>
      </c>
      <c r="B1904" s="475"/>
      <c r="C1904" s="475"/>
      <c r="D1904" s="476" t="s">
        <v>42</v>
      </c>
      <c r="E1904" s="476"/>
      <c r="F1904" s="476"/>
      <c r="G1904" s="230" t="s">
        <v>44</v>
      </c>
      <c r="H1904" s="476" t="s">
        <v>1813</v>
      </c>
      <c r="I1904" s="476"/>
      <c r="J1904" s="476" t="s">
        <v>1814</v>
      </c>
      <c r="K1904" s="476"/>
      <c r="L1904" s="366" t="s">
        <v>1802</v>
      </c>
    </row>
    <row r="1905" spans="1:12" ht="29.1" customHeight="1" x14ac:dyDescent="0.25">
      <c r="A1905" s="181" t="s">
        <v>3735</v>
      </c>
      <c r="B1905" s="509" t="s">
        <v>3736</v>
      </c>
      <c r="C1905" s="509"/>
      <c r="D1905" s="481" t="s">
        <v>82</v>
      </c>
      <c r="E1905" s="481"/>
      <c r="F1905" s="481"/>
      <c r="G1905" s="231" t="s">
        <v>226</v>
      </c>
      <c r="H1905" s="510">
        <v>1</v>
      </c>
      <c r="I1905" s="510"/>
      <c r="J1905" s="511">
        <v>54.33</v>
      </c>
      <c r="K1905" s="511"/>
      <c r="L1905" s="367">
        <f>TRUNC(TRUNC(H1905,8)*J1905,2)</f>
        <v>54.33</v>
      </c>
    </row>
    <row r="1906" spans="1:12" ht="29.1" customHeight="1" x14ac:dyDescent="0.25">
      <c r="A1906" s="181" t="s">
        <v>3737</v>
      </c>
      <c r="B1906" s="509" t="s">
        <v>3738</v>
      </c>
      <c r="C1906" s="509"/>
      <c r="D1906" s="481" t="s">
        <v>82</v>
      </c>
      <c r="E1906" s="481"/>
      <c r="F1906" s="481"/>
      <c r="G1906" s="231" t="s">
        <v>226</v>
      </c>
      <c r="H1906" s="510">
        <v>1</v>
      </c>
      <c r="I1906" s="510"/>
      <c r="J1906" s="511">
        <v>201.92</v>
      </c>
      <c r="K1906" s="511"/>
      <c r="L1906" s="367">
        <f>TRUNC(TRUNC(H1906,8)*J1906,2)</f>
        <v>201.92</v>
      </c>
    </row>
    <row r="1907" spans="1:12" ht="15" customHeight="1" x14ac:dyDescent="0.25">
      <c r="A1907" s="182"/>
      <c r="B1907" s="183"/>
      <c r="C1907" s="183"/>
      <c r="D1907" s="183"/>
      <c r="E1907" s="183"/>
      <c r="F1907" s="183"/>
      <c r="G1907" s="183"/>
      <c r="H1907" s="477" t="s">
        <v>1826</v>
      </c>
      <c r="I1907" s="477"/>
      <c r="J1907" s="477"/>
      <c r="K1907" s="477"/>
      <c r="L1907" s="368">
        <f>SUM(L1905:L1906)</f>
        <v>256.25</v>
      </c>
    </row>
    <row r="1908" spans="1:12" ht="15" customHeight="1" x14ac:dyDescent="0.25">
      <c r="A1908" s="474" t="s">
        <v>2190</v>
      </c>
      <c r="B1908" s="475"/>
      <c r="C1908" s="475"/>
      <c r="D1908" s="476" t="s">
        <v>42</v>
      </c>
      <c r="E1908" s="476"/>
      <c r="F1908" s="476"/>
      <c r="G1908" s="230" t="s">
        <v>44</v>
      </c>
      <c r="H1908" s="476" t="s">
        <v>1813</v>
      </c>
      <c r="I1908" s="476"/>
      <c r="J1908" s="476" t="s">
        <v>1814</v>
      </c>
      <c r="K1908" s="476"/>
      <c r="L1908" s="366" t="s">
        <v>1802</v>
      </c>
    </row>
    <row r="1909" spans="1:12" ht="21" customHeight="1" x14ac:dyDescent="0.25">
      <c r="A1909" s="181" t="s">
        <v>2191</v>
      </c>
      <c r="B1909" s="509" t="s">
        <v>2192</v>
      </c>
      <c r="C1909" s="509"/>
      <c r="D1909" s="481" t="s">
        <v>82</v>
      </c>
      <c r="E1909" s="481"/>
      <c r="F1909" s="481"/>
      <c r="G1909" s="231" t="s">
        <v>1024</v>
      </c>
      <c r="H1909" s="510">
        <v>0.24079999999999999</v>
      </c>
      <c r="I1909" s="510"/>
      <c r="J1909" s="511">
        <v>31.67</v>
      </c>
      <c r="K1909" s="511"/>
      <c r="L1909" s="367">
        <f>TRUNC(TRUNC(H1909,8)*J1909,2)</f>
        <v>7.62</v>
      </c>
    </row>
    <row r="1910" spans="1:12" ht="15" customHeight="1" x14ac:dyDescent="0.25">
      <c r="A1910" s="181" t="s">
        <v>2193</v>
      </c>
      <c r="B1910" s="509" t="s">
        <v>2194</v>
      </c>
      <c r="C1910" s="509"/>
      <c r="D1910" s="481" t="s">
        <v>82</v>
      </c>
      <c r="E1910" s="481"/>
      <c r="F1910" s="481"/>
      <c r="G1910" s="231" t="s">
        <v>1024</v>
      </c>
      <c r="H1910" s="510">
        <v>1.204</v>
      </c>
      <c r="I1910" s="510"/>
      <c r="J1910" s="511">
        <v>44.2</v>
      </c>
      <c r="K1910" s="511"/>
      <c r="L1910" s="367">
        <f>TRUNC(TRUNC(H1910,8)*J1910,2)</f>
        <v>53.21</v>
      </c>
    </row>
    <row r="1911" spans="1:12" ht="18" customHeight="1" x14ac:dyDescent="0.25">
      <c r="A1911" s="182"/>
      <c r="B1911" s="183"/>
      <c r="C1911" s="183"/>
      <c r="D1911" s="183"/>
      <c r="E1911" s="183"/>
      <c r="F1911" s="183"/>
      <c r="G1911" s="183"/>
      <c r="H1911" s="477" t="s">
        <v>2195</v>
      </c>
      <c r="I1911" s="477"/>
      <c r="J1911" s="477"/>
      <c r="K1911" s="477"/>
      <c r="L1911" s="368">
        <f>SUM(L1909:L1910)</f>
        <v>60.83</v>
      </c>
    </row>
    <row r="1912" spans="1:12" ht="15" customHeight="1" x14ac:dyDescent="0.25">
      <c r="A1912" s="474" t="s">
        <v>1912</v>
      </c>
      <c r="B1912" s="475"/>
      <c r="C1912" s="475"/>
      <c r="D1912" s="476" t="s">
        <v>42</v>
      </c>
      <c r="E1912" s="476"/>
      <c r="F1912" s="476"/>
      <c r="G1912" s="230" t="s">
        <v>44</v>
      </c>
      <c r="H1912" s="476" t="s">
        <v>1813</v>
      </c>
      <c r="I1912" s="476"/>
      <c r="J1912" s="476" t="s">
        <v>1814</v>
      </c>
      <c r="K1912" s="476"/>
      <c r="L1912" s="366" t="s">
        <v>1802</v>
      </c>
    </row>
    <row r="1913" spans="1:12" ht="38.1" customHeight="1" x14ac:dyDescent="0.25">
      <c r="A1913" s="181" t="s">
        <v>3739</v>
      </c>
      <c r="B1913" s="509" t="s">
        <v>3740</v>
      </c>
      <c r="C1913" s="509"/>
      <c r="D1913" s="481" t="s">
        <v>82</v>
      </c>
      <c r="E1913" s="481"/>
      <c r="F1913" s="481"/>
      <c r="G1913" s="231" t="s">
        <v>85</v>
      </c>
      <c r="H1913" s="510">
        <v>1.66E-2</v>
      </c>
      <c r="I1913" s="510"/>
      <c r="J1913" s="511">
        <v>782.99</v>
      </c>
      <c r="K1913" s="511"/>
      <c r="L1913" s="367">
        <f t="shared" ref="L1913:L1920" si="13">TRUNC(TRUNC(H1913,8)*J1913,2)</f>
        <v>12.99</v>
      </c>
    </row>
    <row r="1914" spans="1:12" ht="29.1" customHeight="1" x14ac:dyDescent="0.25">
      <c r="A1914" s="181" t="s">
        <v>554</v>
      </c>
      <c r="B1914" s="509" t="s">
        <v>555</v>
      </c>
      <c r="C1914" s="509"/>
      <c r="D1914" s="481" t="s">
        <v>82</v>
      </c>
      <c r="E1914" s="481"/>
      <c r="F1914" s="481"/>
      <c r="G1914" s="231" t="s">
        <v>188</v>
      </c>
      <c r="H1914" s="510">
        <v>19.8</v>
      </c>
      <c r="I1914" s="510"/>
      <c r="J1914" s="511">
        <v>33.68</v>
      </c>
      <c r="K1914" s="511"/>
      <c r="L1914" s="367">
        <f t="shared" si="13"/>
        <v>666.86</v>
      </c>
    </row>
    <row r="1915" spans="1:12" ht="29.1" customHeight="1" x14ac:dyDescent="0.25">
      <c r="A1915" s="181" t="s">
        <v>3741</v>
      </c>
      <c r="B1915" s="509" t="s">
        <v>3742</v>
      </c>
      <c r="C1915" s="509"/>
      <c r="D1915" s="481" t="s">
        <v>82</v>
      </c>
      <c r="E1915" s="481"/>
      <c r="F1915" s="481"/>
      <c r="G1915" s="231" t="s">
        <v>226</v>
      </c>
      <c r="H1915" s="510">
        <v>1</v>
      </c>
      <c r="I1915" s="510"/>
      <c r="J1915" s="511">
        <v>24.07</v>
      </c>
      <c r="K1915" s="511"/>
      <c r="L1915" s="367">
        <f t="shared" si="13"/>
        <v>24.07</v>
      </c>
    </row>
    <row r="1916" spans="1:12" ht="21" customHeight="1" x14ac:dyDescent="0.25">
      <c r="A1916" s="181" t="s">
        <v>3743</v>
      </c>
      <c r="B1916" s="509" t="s">
        <v>904</v>
      </c>
      <c r="C1916" s="509"/>
      <c r="D1916" s="481" t="s">
        <v>82</v>
      </c>
      <c r="E1916" s="481"/>
      <c r="F1916" s="481"/>
      <c r="G1916" s="231" t="s">
        <v>188</v>
      </c>
      <c r="H1916" s="510">
        <v>1.95</v>
      </c>
      <c r="I1916" s="510"/>
      <c r="J1916" s="511">
        <v>74.42</v>
      </c>
      <c r="K1916" s="511"/>
      <c r="L1916" s="367">
        <f t="shared" si="13"/>
        <v>145.11000000000001</v>
      </c>
    </row>
    <row r="1917" spans="1:12" ht="21" customHeight="1" x14ac:dyDescent="0.25">
      <c r="A1917" s="181" t="s">
        <v>3744</v>
      </c>
      <c r="B1917" s="509" t="s">
        <v>3745</v>
      </c>
      <c r="C1917" s="509"/>
      <c r="D1917" s="481" t="s">
        <v>82</v>
      </c>
      <c r="E1917" s="481"/>
      <c r="F1917" s="481"/>
      <c r="G1917" s="231" t="s">
        <v>226</v>
      </c>
      <c r="H1917" s="510">
        <v>1</v>
      </c>
      <c r="I1917" s="510"/>
      <c r="J1917" s="511">
        <v>75.739999999999995</v>
      </c>
      <c r="K1917" s="511"/>
      <c r="L1917" s="367">
        <f t="shared" si="13"/>
        <v>75.739999999999995</v>
      </c>
    </row>
    <row r="1918" spans="1:12" ht="29.1" customHeight="1" x14ac:dyDescent="0.25">
      <c r="A1918" s="181" t="s">
        <v>3746</v>
      </c>
      <c r="B1918" s="509" t="s">
        <v>3747</v>
      </c>
      <c r="C1918" s="509"/>
      <c r="D1918" s="481" t="s">
        <v>82</v>
      </c>
      <c r="E1918" s="481"/>
      <c r="F1918" s="481"/>
      <c r="G1918" s="231" t="s">
        <v>188</v>
      </c>
      <c r="H1918" s="510">
        <v>6.3</v>
      </c>
      <c r="I1918" s="510"/>
      <c r="J1918" s="511">
        <v>15.79</v>
      </c>
      <c r="K1918" s="511"/>
      <c r="L1918" s="367">
        <f t="shared" si="13"/>
        <v>99.47</v>
      </c>
    </row>
    <row r="1919" spans="1:12" ht="29.1" customHeight="1" x14ac:dyDescent="0.25">
      <c r="A1919" s="181" t="s">
        <v>3748</v>
      </c>
      <c r="B1919" s="509" t="s">
        <v>3749</v>
      </c>
      <c r="C1919" s="509"/>
      <c r="D1919" s="481" t="s">
        <v>82</v>
      </c>
      <c r="E1919" s="481"/>
      <c r="F1919" s="481"/>
      <c r="G1919" s="231" t="s">
        <v>188</v>
      </c>
      <c r="H1919" s="510">
        <v>1.3</v>
      </c>
      <c r="I1919" s="510"/>
      <c r="J1919" s="511">
        <v>22.06</v>
      </c>
      <c r="K1919" s="511"/>
      <c r="L1919" s="367">
        <f t="shared" si="13"/>
        <v>28.67</v>
      </c>
    </row>
    <row r="1920" spans="1:12" ht="21" customHeight="1" x14ac:dyDescent="0.25">
      <c r="A1920" s="181" t="s">
        <v>586</v>
      </c>
      <c r="B1920" s="509" t="s">
        <v>587</v>
      </c>
      <c r="C1920" s="509"/>
      <c r="D1920" s="481" t="s">
        <v>82</v>
      </c>
      <c r="E1920" s="481"/>
      <c r="F1920" s="481"/>
      <c r="G1920" s="231" t="s">
        <v>226</v>
      </c>
      <c r="H1920" s="510">
        <v>1</v>
      </c>
      <c r="I1920" s="510"/>
      <c r="J1920" s="511">
        <v>125.61</v>
      </c>
      <c r="K1920" s="511"/>
      <c r="L1920" s="367">
        <f t="shared" si="13"/>
        <v>125.61</v>
      </c>
    </row>
    <row r="1921" spans="1:12" ht="15" customHeight="1" x14ac:dyDescent="0.25">
      <c r="A1921" s="182"/>
      <c r="B1921" s="183"/>
      <c r="C1921" s="183"/>
      <c r="D1921" s="183"/>
      <c r="E1921" s="183"/>
      <c r="F1921" s="183"/>
      <c r="G1921" s="183"/>
      <c r="H1921" s="477" t="s">
        <v>1915</v>
      </c>
      <c r="I1921" s="477"/>
      <c r="J1921" s="477"/>
      <c r="K1921" s="477"/>
      <c r="L1921" s="368">
        <f>SUM(L1913:L1920)</f>
        <v>1178.52</v>
      </c>
    </row>
    <row r="1922" spans="1:12" ht="15" customHeight="1" x14ac:dyDescent="0.25">
      <c r="A1922" s="182"/>
      <c r="B1922" s="183"/>
      <c r="C1922" s="183"/>
      <c r="D1922" s="183"/>
      <c r="E1922" s="183"/>
      <c r="F1922" s="183"/>
      <c r="G1922" s="183"/>
      <c r="H1922" s="482" t="s">
        <v>1834</v>
      </c>
      <c r="I1922" s="482"/>
      <c r="J1922" s="482"/>
      <c r="K1922" s="482"/>
      <c r="L1922" s="369">
        <f>ROUND(SUM(L1907,L1911,L1921),2)</f>
        <v>1495.6</v>
      </c>
    </row>
    <row r="1923" spans="1:12" ht="9.9499999999999993" customHeight="1" x14ac:dyDescent="0.25">
      <c r="A1923" s="182"/>
      <c r="B1923" s="183"/>
      <c r="C1923" s="183"/>
      <c r="D1923" s="183"/>
      <c r="E1923" s="183"/>
      <c r="F1923" s="183"/>
      <c r="G1923" s="183"/>
      <c r="H1923" s="485"/>
      <c r="I1923" s="485"/>
      <c r="J1923" s="485"/>
      <c r="K1923" s="485"/>
      <c r="L1923" s="512"/>
    </row>
    <row r="1924" spans="1:12" ht="20.100000000000001" customHeight="1" x14ac:dyDescent="0.25">
      <c r="A1924" s="486" t="s">
        <v>2882</v>
      </c>
      <c r="B1924" s="487"/>
      <c r="C1924" s="487"/>
      <c r="D1924" s="487"/>
      <c r="E1924" s="487"/>
      <c r="F1924" s="487"/>
      <c r="G1924" s="487"/>
      <c r="H1924" s="487"/>
      <c r="I1924" s="487"/>
      <c r="J1924" s="487"/>
      <c r="K1924" s="487"/>
      <c r="L1924" s="513"/>
    </row>
    <row r="1925" spans="1:12" ht="15" customHeight="1" x14ac:dyDescent="0.25">
      <c r="A1925" s="474" t="s">
        <v>1812</v>
      </c>
      <c r="B1925" s="475"/>
      <c r="C1925" s="475"/>
      <c r="D1925" s="476" t="s">
        <v>42</v>
      </c>
      <c r="E1925" s="476"/>
      <c r="F1925" s="476"/>
      <c r="G1925" s="230" t="s">
        <v>44</v>
      </c>
      <c r="H1925" s="476" t="s">
        <v>1813</v>
      </c>
      <c r="I1925" s="476"/>
      <c r="J1925" s="476" t="s">
        <v>1814</v>
      </c>
      <c r="K1925" s="476"/>
      <c r="L1925" s="366" t="s">
        <v>1802</v>
      </c>
    </row>
    <row r="1926" spans="1:12" ht="29.1" customHeight="1" x14ac:dyDescent="0.25">
      <c r="A1926" s="181" t="s">
        <v>2883</v>
      </c>
      <c r="B1926" s="509" t="s">
        <v>2884</v>
      </c>
      <c r="C1926" s="509"/>
      <c r="D1926" s="481" t="s">
        <v>82</v>
      </c>
      <c r="E1926" s="481"/>
      <c r="F1926" s="481"/>
      <c r="G1926" s="231" t="s">
        <v>226</v>
      </c>
      <c r="H1926" s="510">
        <v>1</v>
      </c>
      <c r="I1926" s="510"/>
      <c r="J1926" s="511">
        <v>96.17</v>
      </c>
      <c r="K1926" s="511"/>
      <c r="L1926" s="367">
        <f>TRUNC(TRUNC(H1926,8)*J1926,2)</f>
        <v>96.17</v>
      </c>
    </row>
    <row r="1927" spans="1:12" ht="15" customHeight="1" x14ac:dyDescent="0.25">
      <c r="A1927" s="182"/>
      <c r="B1927" s="183"/>
      <c r="C1927" s="183"/>
      <c r="D1927" s="183"/>
      <c r="E1927" s="183"/>
      <c r="F1927" s="183"/>
      <c r="G1927" s="183"/>
      <c r="H1927" s="477" t="s">
        <v>1826</v>
      </c>
      <c r="I1927" s="477"/>
      <c r="J1927" s="477"/>
      <c r="K1927" s="477"/>
      <c r="L1927" s="368">
        <f>SUM(L1926:L1926)</f>
        <v>96.17</v>
      </c>
    </row>
    <row r="1928" spans="1:12" ht="15" customHeight="1" x14ac:dyDescent="0.25">
      <c r="A1928" s="474" t="s">
        <v>2190</v>
      </c>
      <c r="B1928" s="475"/>
      <c r="C1928" s="475"/>
      <c r="D1928" s="476" t="s">
        <v>42</v>
      </c>
      <c r="E1928" s="476"/>
      <c r="F1928" s="476"/>
      <c r="G1928" s="230" t="s">
        <v>44</v>
      </c>
      <c r="H1928" s="476" t="s">
        <v>1813</v>
      </c>
      <c r="I1928" s="476"/>
      <c r="J1928" s="476" t="s">
        <v>1814</v>
      </c>
      <c r="K1928" s="476"/>
      <c r="L1928" s="366" t="s">
        <v>1802</v>
      </c>
    </row>
    <row r="1929" spans="1:12" ht="21" customHeight="1" x14ac:dyDescent="0.25">
      <c r="A1929" s="181" t="s">
        <v>2191</v>
      </c>
      <c r="B1929" s="509" t="s">
        <v>2192</v>
      </c>
      <c r="C1929" s="509"/>
      <c r="D1929" s="481" t="s">
        <v>82</v>
      </c>
      <c r="E1929" s="481"/>
      <c r="F1929" s="481"/>
      <c r="G1929" s="231" t="s">
        <v>1024</v>
      </c>
      <c r="H1929" s="510">
        <v>0.38819999999999999</v>
      </c>
      <c r="I1929" s="510"/>
      <c r="J1929" s="511">
        <v>31.67</v>
      </c>
      <c r="K1929" s="511"/>
      <c r="L1929" s="367">
        <f>TRUNC(TRUNC(H1929,8)*J1929,2)</f>
        <v>12.29</v>
      </c>
    </row>
    <row r="1930" spans="1:12" ht="15" customHeight="1" x14ac:dyDescent="0.25">
      <c r="A1930" s="181" t="s">
        <v>2193</v>
      </c>
      <c r="B1930" s="509" t="s">
        <v>2194</v>
      </c>
      <c r="C1930" s="509"/>
      <c r="D1930" s="481" t="s">
        <v>82</v>
      </c>
      <c r="E1930" s="481"/>
      <c r="F1930" s="481"/>
      <c r="G1930" s="231" t="s">
        <v>1024</v>
      </c>
      <c r="H1930" s="510">
        <v>0.38819999999999999</v>
      </c>
      <c r="I1930" s="510"/>
      <c r="J1930" s="511">
        <v>44.2</v>
      </c>
      <c r="K1930" s="511"/>
      <c r="L1930" s="367">
        <f>TRUNC(TRUNC(H1930,8)*J1930,2)</f>
        <v>17.149999999999999</v>
      </c>
    </row>
    <row r="1931" spans="1:12" ht="18" customHeight="1" x14ac:dyDescent="0.25">
      <c r="A1931" s="182"/>
      <c r="B1931" s="183"/>
      <c r="C1931" s="183"/>
      <c r="D1931" s="183"/>
      <c r="E1931" s="183"/>
      <c r="F1931" s="183"/>
      <c r="G1931" s="183"/>
      <c r="H1931" s="477" t="s">
        <v>2195</v>
      </c>
      <c r="I1931" s="477"/>
      <c r="J1931" s="477"/>
      <c r="K1931" s="477"/>
      <c r="L1931" s="368">
        <f>SUM(L1929:L1930)</f>
        <v>29.439999999999998</v>
      </c>
    </row>
    <row r="1932" spans="1:12" ht="15" customHeight="1" x14ac:dyDescent="0.25">
      <c r="A1932" s="182"/>
      <c r="B1932" s="183"/>
      <c r="C1932" s="183"/>
      <c r="D1932" s="183"/>
      <c r="E1932" s="183"/>
      <c r="F1932" s="183"/>
      <c r="G1932" s="183"/>
      <c r="H1932" s="482" t="s">
        <v>1834</v>
      </c>
      <c r="I1932" s="482"/>
      <c r="J1932" s="482"/>
      <c r="K1932" s="482"/>
      <c r="L1932" s="369">
        <f>ROUND(SUM(L1927,L1931),2)</f>
        <v>125.61</v>
      </c>
    </row>
    <row r="1933" spans="1:12" ht="9.9499999999999993" customHeight="1" x14ac:dyDescent="0.25">
      <c r="A1933" s="182"/>
      <c r="B1933" s="183"/>
      <c r="C1933" s="183"/>
      <c r="D1933" s="183"/>
      <c r="E1933" s="183"/>
      <c r="F1933" s="183"/>
      <c r="G1933" s="183"/>
      <c r="H1933" s="485"/>
      <c r="I1933" s="485"/>
      <c r="J1933" s="485"/>
      <c r="K1933" s="485"/>
      <c r="L1933" s="512"/>
    </row>
    <row r="1934" spans="1:12" ht="20.100000000000001" customHeight="1" x14ac:dyDescent="0.25">
      <c r="A1934" s="486" t="s">
        <v>2203</v>
      </c>
      <c r="B1934" s="487"/>
      <c r="C1934" s="487"/>
      <c r="D1934" s="487"/>
      <c r="E1934" s="487"/>
      <c r="F1934" s="487"/>
      <c r="G1934" s="487"/>
      <c r="H1934" s="487"/>
      <c r="I1934" s="487"/>
      <c r="J1934" s="487"/>
      <c r="K1934" s="487"/>
      <c r="L1934" s="513"/>
    </row>
    <row r="1935" spans="1:12" ht="15" customHeight="1" x14ac:dyDescent="0.25">
      <c r="A1935" s="474" t="s">
        <v>1812</v>
      </c>
      <c r="B1935" s="475"/>
      <c r="C1935" s="475"/>
      <c r="D1935" s="476" t="s">
        <v>42</v>
      </c>
      <c r="E1935" s="476"/>
      <c r="F1935" s="476"/>
      <c r="G1935" s="230" t="s">
        <v>44</v>
      </c>
      <c r="H1935" s="476" t="s">
        <v>1813</v>
      </c>
      <c r="I1935" s="476"/>
      <c r="J1935" s="476" t="s">
        <v>1814</v>
      </c>
      <c r="K1935" s="476"/>
      <c r="L1935" s="366" t="s">
        <v>1802</v>
      </c>
    </row>
    <row r="1936" spans="1:12" ht="21" customHeight="1" x14ac:dyDescent="0.25">
      <c r="A1936" s="181" t="s">
        <v>2204</v>
      </c>
      <c r="B1936" s="509" t="s">
        <v>2205</v>
      </c>
      <c r="C1936" s="509"/>
      <c r="D1936" s="481" t="s">
        <v>2206</v>
      </c>
      <c r="E1936" s="481"/>
      <c r="F1936" s="481"/>
      <c r="G1936" s="231" t="s">
        <v>579</v>
      </c>
      <c r="H1936" s="510">
        <v>1</v>
      </c>
      <c r="I1936" s="510"/>
      <c r="J1936" s="511">
        <v>37.840000000000003</v>
      </c>
      <c r="K1936" s="511"/>
      <c r="L1936" s="367">
        <f>ROUND(ROUND(H1936,8)*J1936,2)</f>
        <v>37.840000000000003</v>
      </c>
    </row>
    <row r="1937" spans="1:12" ht="29.1" customHeight="1" x14ac:dyDescent="0.25">
      <c r="A1937" s="181" t="s">
        <v>2207</v>
      </c>
      <c r="B1937" s="509" t="s">
        <v>2208</v>
      </c>
      <c r="C1937" s="509"/>
      <c r="D1937" s="481" t="s">
        <v>2209</v>
      </c>
      <c r="E1937" s="481"/>
      <c r="F1937" s="481"/>
      <c r="G1937" s="231" t="s">
        <v>226</v>
      </c>
      <c r="H1937" s="510">
        <v>2</v>
      </c>
      <c r="I1937" s="510"/>
      <c r="J1937" s="511">
        <v>2.27</v>
      </c>
      <c r="K1937" s="511"/>
      <c r="L1937" s="367">
        <f>ROUND(ROUND(H1937,8)*J1937,2)</f>
        <v>4.54</v>
      </c>
    </row>
    <row r="1938" spans="1:12" ht="15" customHeight="1" x14ac:dyDescent="0.25">
      <c r="A1938" s="182"/>
      <c r="B1938" s="183"/>
      <c r="C1938" s="183"/>
      <c r="D1938" s="183"/>
      <c r="E1938" s="183"/>
      <c r="F1938" s="183"/>
      <c r="G1938" s="183"/>
      <c r="H1938" s="477" t="s">
        <v>1826</v>
      </c>
      <c r="I1938" s="477"/>
      <c r="J1938" s="477"/>
      <c r="K1938" s="477"/>
      <c r="L1938" s="368">
        <f>SUM(L1936:L1937)</f>
        <v>42.38</v>
      </c>
    </row>
    <row r="1939" spans="1:12" ht="15" customHeight="1" x14ac:dyDescent="0.25">
      <c r="A1939" s="474" t="s">
        <v>1827</v>
      </c>
      <c r="B1939" s="475"/>
      <c r="C1939" s="475"/>
      <c r="D1939" s="476" t="s">
        <v>42</v>
      </c>
      <c r="E1939" s="476"/>
      <c r="F1939" s="476"/>
      <c r="G1939" s="230" t="s">
        <v>44</v>
      </c>
      <c r="H1939" s="476" t="s">
        <v>1813</v>
      </c>
      <c r="I1939" s="476"/>
      <c r="J1939" s="476" t="s">
        <v>1814</v>
      </c>
      <c r="K1939" s="476"/>
      <c r="L1939" s="366" t="s">
        <v>1802</v>
      </c>
    </row>
    <row r="1940" spans="1:12" ht="15" customHeight="1" x14ac:dyDescent="0.25">
      <c r="A1940" s="181" t="s">
        <v>2210</v>
      </c>
      <c r="B1940" s="509" t="s">
        <v>2211</v>
      </c>
      <c r="C1940" s="509"/>
      <c r="D1940" s="481" t="s">
        <v>82</v>
      </c>
      <c r="E1940" s="481"/>
      <c r="F1940" s="481"/>
      <c r="G1940" s="231" t="s">
        <v>1024</v>
      </c>
      <c r="H1940" s="510">
        <v>0.353163</v>
      </c>
      <c r="I1940" s="510"/>
      <c r="J1940" s="511">
        <v>18.940000000000001</v>
      </c>
      <c r="K1940" s="511"/>
      <c r="L1940" s="367">
        <f>ROUND(ROUND(H1940,8)*J1940,2)</f>
        <v>6.69</v>
      </c>
    </row>
    <row r="1941" spans="1:12" ht="15" customHeight="1" x14ac:dyDescent="0.25">
      <c r="A1941" s="181" t="s">
        <v>2178</v>
      </c>
      <c r="B1941" s="509" t="s">
        <v>2179</v>
      </c>
      <c r="C1941" s="509"/>
      <c r="D1941" s="481" t="s">
        <v>51</v>
      </c>
      <c r="E1941" s="481"/>
      <c r="F1941" s="481"/>
      <c r="G1941" s="231" t="s">
        <v>1024</v>
      </c>
      <c r="H1941" s="510">
        <v>0.353163</v>
      </c>
      <c r="I1941" s="510"/>
      <c r="J1941" s="511">
        <v>26.03</v>
      </c>
      <c r="K1941" s="511"/>
      <c r="L1941" s="367">
        <f>ROUND(ROUND(H1941,8)*J1941,2)</f>
        <v>9.19</v>
      </c>
    </row>
    <row r="1942" spans="1:12" ht="15" customHeight="1" x14ac:dyDescent="0.25">
      <c r="A1942" s="182"/>
      <c r="B1942" s="183"/>
      <c r="C1942" s="183"/>
      <c r="D1942" s="183"/>
      <c r="E1942" s="183"/>
      <c r="F1942" s="183"/>
      <c r="G1942" s="183"/>
      <c r="H1942" s="477" t="s">
        <v>1832</v>
      </c>
      <c r="I1942" s="477"/>
      <c r="J1942" s="477"/>
      <c r="K1942" s="477"/>
      <c r="L1942" s="368">
        <f>SUM(L1940:L1941)</f>
        <v>15.879999999999999</v>
      </c>
    </row>
    <row r="1943" spans="1:12" ht="15" customHeight="1" x14ac:dyDescent="0.25">
      <c r="A1943" s="483" t="s">
        <v>2212</v>
      </c>
      <c r="B1943" s="484"/>
      <c r="C1943" s="484"/>
      <c r="D1943" s="484"/>
      <c r="E1943" s="183"/>
      <c r="F1943" s="183"/>
      <c r="G1943" s="183"/>
      <c r="H1943" s="482" t="s">
        <v>1834</v>
      </c>
      <c r="I1943" s="482"/>
      <c r="J1943" s="482"/>
      <c r="K1943" s="482"/>
      <c r="L1943" s="369">
        <v>58.26</v>
      </c>
    </row>
    <row r="1944" spans="1:12" ht="2.1" customHeight="1" x14ac:dyDescent="0.25">
      <c r="A1944" s="483"/>
      <c r="B1944" s="484"/>
      <c r="C1944" s="484"/>
      <c r="D1944" s="484"/>
      <c r="E1944" s="183"/>
      <c r="F1944" s="183"/>
      <c r="G1944" s="183"/>
      <c r="H1944" s="183"/>
      <c r="I1944" s="183"/>
      <c r="J1944" s="183"/>
      <c r="K1944" s="183"/>
      <c r="L1944" s="383"/>
    </row>
    <row r="1945" spans="1:12" ht="9.9499999999999993" customHeight="1" x14ac:dyDescent="0.25">
      <c r="A1945" s="182"/>
      <c r="B1945" s="183"/>
      <c r="C1945" s="183"/>
      <c r="D1945" s="183"/>
      <c r="E1945" s="183"/>
      <c r="F1945" s="183"/>
      <c r="G1945" s="183"/>
      <c r="H1945" s="485"/>
      <c r="I1945" s="485"/>
      <c r="J1945" s="485"/>
      <c r="K1945" s="485"/>
      <c r="L1945" s="512"/>
    </row>
    <row r="1946" spans="1:12" ht="20.100000000000001" customHeight="1" x14ac:dyDescent="0.25">
      <c r="A1946" s="486" t="s">
        <v>3750</v>
      </c>
      <c r="B1946" s="487"/>
      <c r="C1946" s="487"/>
      <c r="D1946" s="487"/>
      <c r="E1946" s="487"/>
      <c r="F1946" s="487"/>
      <c r="G1946" s="487"/>
      <c r="H1946" s="487"/>
      <c r="I1946" s="487"/>
      <c r="J1946" s="487"/>
      <c r="K1946" s="487"/>
      <c r="L1946" s="513"/>
    </row>
    <row r="1947" spans="1:12" ht="20.100000000000001" customHeight="1" x14ac:dyDescent="0.25">
      <c r="A1947" s="488" t="s">
        <v>1836</v>
      </c>
      <c r="B1947" s="489"/>
      <c r="C1947" s="489"/>
      <c r="D1947" s="489"/>
      <c r="E1947" s="489"/>
      <c r="F1947" s="489"/>
      <c r="G1947" s="233" t="s">
        <v>44</v>
      </c>
      <c r="H1947" s="515" t="s">
        <v>1837</v>
      </c>
      <c r="I1947" s="515"/>
      <c r="J1947" s="515" t="s">
        <v>1838</v>
      </c>
      <c r="K1947" s="515"/>
      <c r="L1947" s="169" t="s">
        <v>1839</v>
      </c>
    </row>
    <row r="1948" spans="1:12" ht="15" customHeight="1" x14ac:dyDescent="0.25">
      <c r="A1948" s="170" t="s">
        <v>1840</v>
      </c>
      <c r="B1948" s="490" t="s">
        <v>1841</v>
      </c>
      <c r="C1948" s="490"/>
      <c r="D1948" s="490"/>
      <c r="E1948" s="490"/>
      <c r="F1948" s="490"/>
      <c r="G1948" s="127" t="s">
        <v>1024</v>
      </c>
      <c r="H1948" s="524">
        <v>0.9</v>
      </c>
      <c r="I1948" s="524"/>
      <c r="J1948" s="517">
        <v>21.94</v>
      </c>
      <c r="K1948" s="517"/>
      <c r="L1948" s="370">
        <f>TRUNC(TRUNC(H1948,8)*J1948,2)</f>
        <v>19.739999999999998</v>
      </c>
    </row>
    <row r="1949" spans="1:12" ht="15" customHeight="1" x14ac:dyDescent="0.25">
      <c r="A1949" s="170" t="s">
        <v>2178</v>
      </c>
      <c r="B1949" s="490" t="s">
        <v>2179</v>
      </c>
      <c r="C1949" s="490"/>
      <c r="D1949" s="490"/>
      <c r="E1949" s="490"/>
      <c r="F1949" s="490"/>
      <c r="G1949" s="127" t="s">
        <v>1024</v>
      </c>
      <c r="H1949" s="524">
        <v>0.9</v>
      </c>
      <c r="I1949" s="524"/>
      <c r="J1949" s="517">
        <v>26.03</v>
      </c>
      <c r="K1949" s="517"/>
      <c r="L1949" s="370">
        <f>TRUNC(TRUNC(H1949,8)*J1949,2)</f>
        <v>23.42</v>
      </c>
    </row>
    <row r="1950" spans="1:12" ht="15" customHeight="1" x14ac:dyDescent="0.25">
      <c r="A1950" s="184"/>
      <c r="B1950" s="141"/>
      <c r="C1950" s="141"/>
      <c r="D1950" s="141"/>
      <c r="E1950" s="141"/>
      <c r="F1950" s="141"/>
      <c r="G1950" s="141"/>
      <c r="H1950" s="491" t="s">
        <v>1844</v>
      </c>
      <c r="I1950" s="491"/>
      <c r="J1950" s="491"/>
      <c r="K1950" s="491"/>
      <c r="L1950" s="369">
        <f>SUM(L1948:L1949)</f>
        <v>43.16</v>
      </c>
    </row>
    <row r="1951" spans="1:12" ht="15" customHeight="1" x14ac:dyDescent="0.25">
      <c r="A1951" s="182"/>
      <c r="B1951" s="183"/>
      <c r="C1951" s="183"/>
      <c r="D1951" s="183"/>
      <c r="E1951" s="183"/>
      <c r="F1951" s="183"/>
      <c r="G1951" s="183"/>
      <c r="H1951" s="482" t="s">
        <v>1845</v>
      </c>
      <c r="I1951" s="482"/>
      <c r="J1951" s="482"/>
      <c r="K1951" s="482"/>
      <c r="L1951" s="371">
        <f>SUM(L1950)</f>
        <v>43.16</v>
      </c>
    </row>
    <row r="1952" spans="1:12" ht="15" customHeight="1" x14ac:dyDescent="0.25">
      <c r="A1952" s="182"/>
      <c r="B1952" s="183"/>
      <c r="C1952" s="183"/>
      <c r="D1952" s="183"/>
      <c r="E1952" s="183"/>
      <c r="F1952" s="183"/>
      <c r="G1952" s="183"/>
      <c r="H1952" s="482" t="s">
        <v>1846</v>
      </c>
      <c r="I1952" s="482"/>
      <c r="J1952" s="482"/>
      <c r="K1952" s="482"/>
      <c r="L1952" s="374">
        <v>1</v>
      </c>
    </row>
    <row r="1953" spans="1:12" ht="15" customHeight="1" x14ac:dyDescent="0.25">
      <c r="A1953" s="182"/>
      <c r="B1953" s="183"/>
      <c r="C1953" s="183"/>
      <c r="D1953" s="183"/>
      <c r="E1953" s="183"/>
      <c r="F1953" s="183"/>
      <c r="G1953" s="183"/>
      <c r="H1953" s="482" t="s">
        <v>1847</v>
      </c>
      <c r="I1953" s="482"/>
      <c r="J1953" s="482"/>
      <c r="K1953" s="482"/>
      <c r="L1953" s="371">
        <f>TRUNC(L1951/L1952,4)</f>
        <v>43.16</v>
      </c>
    </row>
    <row r="1954" spans="1:12" ht="20.100000000000001" customHeight="1" x14ac:dyDescent="0.25">
      <c r="A1954" s="488" t="s">
        <v>1880</v>
      </c>
      <c r="B1954" s="489"/>
      <c r="C1954" s="489"/>
      <c r="D1954" s="489"/>
      <c r="E1954" s="489"/>
      <c r="F1954" s="489"/>
      <c r="G1954" s="233" t="s">
        <v>44</v>
      </c>
      <c r="H1954" s="515" t="s">
        <v>1837</v>
      </c>
      <c r="I1954" s="515"/>
      <c r="J1954" s="515" t="s">
        <v>1881</v>
      </c>
      <c r="K1954" s="515"/>
      <c r="L1954" s="169" t="s">
        <v>1882</v>
      </c>
    </row>
    <row r="1955" spans="1:12" ht="15" customHeight="1" x14ac:dyDescent="0.25">
      <c r="A1955" s="170" t="s">
        <v>3751</v>
      </c>
      <c r="B1955" s="492" t="s">
        <v>3752</v>
      </c>
      <c r="C1955" s="492"/>
      <c r="D1955" s="492"/>
      <c r="E1955" s="492"/>
      <c r="F1955" s="492"/>
      <c r="G1955" s="127" t="s">
        <v>226</v>
      </c>
      <c r="H1955" s="524">
        <v>1</v>
      </c>
      <c r="I1955" s="524"/>
      <c r="J1955" s="525">
        <v>71.16</v>
      </c>
      <c r="K1955" s="525"/>
      <c r="L1955" s="171">
        <f>TRUNC(TRUNC(H1955,8)*J1955,2)</f>
        <v>71.16</v>
      </c>
    </row>
    <row r="1956" spans="1:12" ht="15" customHeight="1" x14ac:dyDescent="0.25">
      <c r="A1956" s="184"/>
      <c r="B1956" s="141"/>
      <c r="C1956" s="141"/>
      <c r="D1956" s="141"/>
      <c r="E1956" s="141"/>
      <c r="F1956" s="141"/>
      <c r="G1956" s="141"/>
      <c r="H1956" s="491" t="s">
        <v>1889</v>
      </c>
      <c r="I1956" s="491"/>
      <c r="J1956" s="491"/>
      <c r="K1956" s="491"/>
      <c r="L1956" s="375">
        <f>SUM(L1955:L1955)</f>
        <v>71.16</v>
      </c>
    </row>
    <row r="1957" spans="1:12" ht="15" customHeight="1" x14ac:dyDescent="0.25">
      <c r="A1957" s="182"/>
      <c r="B1957" s="183"/>
      <c r="C1957" s="183"/>
      <c r="D1957" s="183"/>
      <c r="E1957" s="183"/>
      <c r="F1957" s="183"/>
      <c r="G1957" s="183"/>
      <c r="H1957" s="482" t="s">
        <v>1848</v>
      </c>
      <c r="I1957" s="482"/>
      <c r="J1957" s="482"/>
      <c r="K1957" s="482"/>
      <c r="L1957" s="371">
        <f>SUM(L1953,L1956)</f>
        <v>114.32</v>
      </c>
    </row>
    <row r="1958" spans="1:12" ht="15" customHeight="1" x14ac:dyDescent="0.25">
      <c r="A1958" s="182"/>
      <c r="B1958" s="183"/>
      <c r="C1958" s="183"/>
      <c r="D1958" s="183"/>
      <c r="E1958" s="183"/>
      <c r="F1958" s="183"/>
      <c r="G1958" s="183"/>
      <c r="H1958" s="482" t="s">
        <v>1834</v>
      </c>
      <c r="I1958" s="482"/>
      <c r="J1958" s="482"/>
      <c r="K1958" s="482"/>
      <c r="L1958" s="369">
        <f>ROUND(SUM(L1957),2)</f>
        <v>114.32</v>
      </c>
    </row>
    <row r="1959" spans="1:12" ht="9.9499999999999993" customHeight="1" x14ac:dyDescent="0.25">
      <c r="A1959" s="182"/>
      <c r="B1959" s="183"/>
      <c r="C1959" s="183"/>
      <c r="D1959" s="183"/>
      <c r="E1959" s="183"/>
      <c r="F1959" s="183"/>
      <c r="G1959" s="183"/>
      <c r="H1959" s="485"/>
      <c r="I1959" s="485"/>
      <c r="J1959" s="485"/>
      <c r="K1959" s="485"/>
      <c r="L1959" s="512"/>
    </row>
    <row r="1960" spans="1:12" ht="20.100000000000001" customHeight="1" x14ac:dyDescent="0.25">
      <c r="A1960" s="486" t="s">
        <v>3753</v>
      </c>
      <c r="B1960" s="487"/>
      <c r="C1960" s="487"/>
      <c r="D1960" s="487"/>
      <c r="E1960" s="487"/>
      <c r="F1960" s="487"/>
      <c r="G1960" s="487"/>
      <c r="H1960" s="487"/>
      <c r="I1960" s="487"/>
      <c r="J1960" s="487"/>
      <c r="K1960" s="487"/>
      <c r="L1960" s="513"/>
    </row>
    <row r="1961" spans="1:12" ht="15" customHeight="1" x14ac:dyDescent="0.25">
      <c r="A1961" s="474" t="s">
        <v>1812</v>
      </c>
      <c r="B1961" s="475"/>
      <c r="C1961" s="475"/>
      <c r="D1961" s="476" t="s">
        <v>42</v>
      </c>
      <c r="E1961" s="476"/>
      <c r="F1961" s="476"/>
      <c r="G1961" s="230" t="s">
        <v>44</v>
      </c>
      <c r="H1961" s="476" t="s">
        <v>1813</v>
      </c>
      <c r="I1961" s="476"/>
      <c r="J1961" s="476" t="s">
        <v>1814</v>
      </c>
      <c r="K1961" s="476"/>
      <c r="L1961" s="366" t="s">
        <v>1802</v>
      </c>
    </row>
    <row r="1962" spans="1:12" ht="21" customHeight="1" x14ac:dyDescent="0.25">
      <c r="A1962" s="181" t="s">
        <v>3754</v>
      </c>
      <c r="B1962" s="509" t="s">
        <v>3755</v>
      </c>
      <c r="C1962" s="509"/>
      <c r="D1962" s="481" t="s">
        <v>82</v>
      </c>
      <c r="E1962" s="481"/>
      <c r="F1962" s="481"/>
      <c r="G1962" s="231" t="s">
        <v>226</v>
      </c>
      <c r="H1962" s="510">
        <v>1</v>
      </c>
      <c r="I1962" s="510"/>
      <c r="J1962" s="511">
        <v>138.78</v>
      </c>
      <c r="K1962" s="511"/>
      <c r="L1962" s="367">
        <f>TRUNC(TRUNC(H1962,8)*J1962,2)</f>
        <v>138.78</v>
      </c>
    </row>
    <row r="1963" spans="1:12" ht="29.1" customHeight="1" x14ac:dyDescent="0.25">
      <c r="A1963" s="181" t="s">
        <v>3701</v>
      </c>
      <c r="B1963" s="509" t="s">
        <v>3702</v>
      </c>
      <c r="C1963" s="509"/>
      <c r="D1963" s="481" t="s">
        <v>82</v>
      </c>
      <c r="E1963" s="481"/>
      <c r="F1963" s="481"/>
      <c r="G1963" s="231" t="s">
        <v>226</v>
      </c>
      <c r="H1963" s="510">
        <v>3</v>
      </c>
      <c r="I1963" s="510"/>
      <c r="J1963" s="511">
        <v>1.1499999999999999</v>
      </c>
      <c r="K1963" s="511"/>
      <c r="L1963" s="367">
        <f>TRUNC(TRUNC(H1963,8)*J1963,2)</f>
        <v>3.45</v>
      </c>
    </row>
    <row r="1964" spans="1:12" ht="15" customHeight="1" x14ac:dyDescent="0.25">
      <c r="A1964" s="182"/>
      <c r="B1964" s="183"/>
      <c r="C1964" s="183"/>
      <c r="D1964" s="183"/>
      <c r="E1964" s="183"/>
      <c r="F1964" s="183"/>
      <c r="G1964" s="183"/>
      <c r="H1964" s="477" t="s">
        <v>1826</v>
      </c>
      <c r="I1964" s="477"/>
      <c r="J1964" s="477"/>
      <c r="K1964" s="477"/>
      <c r="L1964" s="368">
        <f>SUM(L1962:L1963)</f>
        <v>142.22999999999999</v>
      </c>
    </row>
    <row r="1965" spans="1:12" ht="15" customHeight="1" x14ac:dyDescent="0.25">
      <c r="A1965" s="474" t="s">
        <v>2190</v>
      </c>
      <c r="B1965" s="475"/>
      <c r="C1965" s="475"/>
      <c r="D1965" s="476" t="s">
        <v>42</v>
      </c>
      <c r="E1965" s="476"/>
      <c r="F1965" s="476"/>
      <c r="G1965" s="230" t="s">
        <v>44</v>
      </c>
      <c r="H1965" s="476" t="s">
        <v>1813</v>
      </c>
      <c r="I1965" s="476"/>
      <c r="J1965" s="476" t="s">
        <v>1814</v>
      </c>
      <c r="K1965" s="476"/>
      <c r="L1965" s="366" t="s">
        <v>1802</v>
      </c>
    </row>
    <row r="1966" spans="1:12" ht="21" customHeight="1" x14ac:dyDescent="0.25">
      <c r="A1966" s="181" t="s">
        <v>2191</v>
      </c>
      <c r="B1966" s="509" t="s">
        <v>2192</v>
      </c>
      <c r="C1966" s="509"/>
      <c r="D1966" s="481" t="s">
        <v>82</v>
      </c>
      <c r="E1966" s="481"/>
      <c r="F1966" s="481"/>
      <c r="G1966" s="231" t="s">
        <v>1024</v>
      </c>
      <c r="H1966" s="510">
        <v>0.106285</v>
      </c>
      <c r="I1966" s="510"/>
      <c r="J1966" s="511">
        <v>31.67</v>
      </c>
      <c r="K1966" s="511"/>
      <c r="L1966" s="367">
        <f>TRUNC(TRUNC(H1966,8)*J1966,2)</f>
        <v>3.36</v>
      </c>
    </row>
    <row r="1967" spans="1:12" ht="15" customHeight="1" x14ac:dyDescent="0.25">
      <c r="A1967" s="181" t="s">
        <v>2193</v>
      </c>
      <c r="B1967" s="509" t="s">
        <v>2194</v>
      </c>
      <c r="C1967" s="509"/>
      <c r="D1967" s="481" t="s">
        <v>82</v>
      </c>
      <c r="E1967" s="481"/>
      <c r="F1967" s="481"/>
      <c r="G1967" s="231" t="s">
        <v>1024</v>
      </c>
      <c r="H1967" s="510">
        <v>0.106285</v>
      </c>
      <c r="I1967" s="510"/>
      <c r="J1967" s="511">
        <v>44.2</v>
      </c>
      <c r="K1967" s="511"/>
      <c r="L1967" s="367">
        <f>TRUNC(TRUNC(H1967,8)*J1967,2)</f>
        <v>4.6900000000000004</v>
      </c>
    </row>
    <row r="1968" spans="1:12" ht="18" customHeight="1" x14ac:dyDescent="0.25">
      <c r="A1968" s="182"/>
      <c r="B1968" s="183"/>
      <c r="C1968" s="183"/>
      <c r="D1968" s="183"/>
      <c r="E1968" s="183"/>
      <c r="F1968" s="183"/>
      <c r="G1968" s="183"/>
      <c r="H1968" s="477" t="s">
        <v>2195</v>
      </c>
      <c r="I1968" s="477"/>
      <c r="J1968" s="477"/>
      <c r="K1968" s="477"/>
      <c r="L1968" s="368">
        <f>SUM(L1966:L1967)</f>
        <v>8.0500000000000007</v>
      </c>
    </row>
    <row r="1969" spans="1:12" ht="15" customHeight="1" x14ac:dyDescent="0.25">
      <c r="A1969" s="182"/>
      <c r="B1969" s="183"/>
      <c r="C1969" s="183"/>
      <c r="D1969" s="183"/>
      <c r="E1969" s="183"/>
      <c r="F1969" s="183"/>
      <c r="G1969" s="183"/>
      <c r="H1969" s="482" t="s">
        <v>1834</v>
      </c>
      <c r="I1969" s="482"/>
      <c r="J1969" s="482"/>
      <c r="K1969" s="482"/>
      <c r="L1969" s="369">
        <f>ROUND(SUM(L1964,L1968),2)</f>
        <v>150.28</v>
      </c>
    </row>
    <row r="1970" spans="1:12" ht="9.9499999999999993" customHeight="1" x14ac:dyDescent="0.25">
      <c r="A1970" s="182"/>
      <c r="B1970" s="183"/>
      <c r="C1970" s="183"/>
      <c r="D1970" s="183"/>
      <c r="E1970" s="183"/>
      <c r="F1970" s="183"/>
      <c r="G1970" s="183"/>
      <c r="H1970" s="485"/>
      <c r="I1970" s="485"/>
      <c r="J1970" s="485"/>
      <c r="K1970" s="485"/>
      <c r="L1970" s="512"/>
    </row>
    <row r="1971" spans="1:12" ht="20.100000000000001" customHeight="1" x14ac:dyDescent="0.25">
      <c r="A1971" s="486" t="s">
        <v>3756</v>
      </c>
      <c r="B1971" s="487"/>
      <c r="C1971" s="487"/>
      <c r="D1971" s="487"/>
      <c r="E1971" s="487"/>
      <c r="F1971" s="487"/>
      <c r="G1971" s="487"/>
      <c r="H1971" s="487"/>
      <c r="I1971" s="487"/>
      <c r="J1971" s="487"/>
      <c r="K1971" s="487"/>
      <c r="L1971" s="513"/>
    </row>
    <row r="1972" spans="1:12" ht="15" customHeight="1" x14ac:dyDescent="0.25">
      <c r="A1972" s="474" t="s">
        <v>1812</v>
      </c>
      <c r="B1972" s="475"/>
      <c r="C1972" s="475"/>
      <c r="D1972" s="476" t="s">
        <v>42</v>
      </c>
      <c r="E1972" s="476"/>
      <c r="F1972" s="476"/>
      <c r="G1972" s="230" t="s">
        <v>44</v>
      </c>
      <c r="H1972" s="476" t="s">
        <v>1813</v>
      </c>
      <c r="I1972" s="476"/>
      <c r="J1972" s="476" t="s">
        <v>1814</v>
      </c>
      <c r="K1972" s="476"/>
      <c r="L1972" s="366" t="s">
        <v>1802</v>
      </c>
    </row>
    <row r="1973" spans="1:12" ht="38.1" customHeight="1" x14ac:dyDescent="0.25">
      <c r="A1973" s="181" t="s">
        <v>3757</v>
      </c>
      <c r="B1973" s="509" t="s">
        <v>3758</v>
      </c>
      <c r="C1973" s="509"/>
      <c r="D1973" s="481" t="s">
        <v>82</v>
      </c>
      <c r="E1973" s="481"/>
      <c r="F1973" s="481"/>
      <c r="G1973" s="231" t="s">
        <v>188</v>
      </c>
      <c r="H1973" s="510">
        <v>1.2434000000000001</v>
      </c>
      <c r="I1973" s="510"/>
      <c r="J1973" s="511">
        <v>3.45</v>
      </c>
      <c r="K1973" s="511"/>
      <c r="L1973" s="367">
        <f>TRUNC(TRUNC(H1973,8)*J1973,2)</f>
        <v>4.28</v>
      </c>
    </row>
    <row r="1974" spans="1:12" ht="21" customHeight="1" x14ac:dyDescent="0.25">
      <c r="A1974" s="181" t="s">
        <v>2473</v>
      </c>
      <c r="B1974" s="509" t="s">
        <v>2474</v>
      </c>
      <c r="C1974" s="509"/>
      <c r="D1974" s="481" t="s">
        <v>82</v>
      </c>
      <c r="E1974" s="481"/>
      <c r="F1974" s="481"/>
      <c r="G1974" s="231" t="s">
        <v>226</v>
      </c>
      <c r="H1974" s="510">
        <v>9.4000000000000004E-3</v>
      </c>
      <c r="I1974" s="510"/>
      <c r="J1974" s="511">
        <v>5.6</v>
      </c>
      <c r="K1974" s="511"/>
      <c r="L1974" s="367">
        <f>TRUNC(TRUNC(H1974,8)*J1974,2)</f>
        <v>0.05</v>
      </c>
    </row>
    <row r="1975" spans="1:12" ht="15" customHeight="1" x14ac:dyDescent="0.25">
      <c r="A1975" s="182"/>
      <c r="B1975" s="183"/>
      <c r="C1975" s="183"/>
      <c r="D1975" s="183"/>
      <c r="E1975" s="183"/>
      <c r="F1975" s="183"/>
      <c r="G1975" s="183"/>
      <c r="H1975" s="477" t="s">
        <v>1826</v>
      </c>
      <c r="I1975" s="477"/>
      <c r="J1975" s="477"/>
      <c r="K1975" s="477"/>
      <c r="L1975" s="368">
        <f>SUM(L1973:L1974)</f>
        <v>4.33</v>
      </c>
    </row>
    <row r="1976" spans="1:12" ht="15" customHeight="1" x14ac:dyDescent="0.25">
      <c r="A1976" s="474" t="s">
        <v>2190</v>
      </c>
      <c r="B1976" s="475"/>
      <c r="C1976" s="475"/>
      <c r="D1976" s="476" t="s">
        <v>42</v>
      </c>
      <c r="E1976" s="476"/>
      <c r="F1976" s="476"/>
      <c r="G1976" s="230" t="s">
        <v>44</v>
      </c>
      <c r="H1976" s="476" t="s">
        <v>1813</v>
      </c>
      <c r="I1976" s="476"/>
      <c r="J1976" s="476" t="s">
        <v>1814</v>
      </c>
      <c r="K1976" s="476"/>
      <c r="L1976" s="366" t="s">
        <v>1802</v>
      </c>
    </row>
    <row r="1977" spans="1:12" ht="21" customHeight="1" x14ac:dyDescent="0.25">
      <c r="A1977" s="181" t="s">
        <v>2191</v>
      </c>
      <c r="B1977" s="509" t="s">
        <v>2192</v>
      </c>
      <c r="C1977" s="509"/>
      <c r="D1977" s="481" t="s">
        <v>82</v>
      </c>
      <c r="E1977" s="481"/>
      <c r="F1977" s="481"/>
      <c r="G1977" s="231" t="s">
        <v>1024</v>
      </c>
      <c r="H1977" s="510">
        <v>2.9000000000000001E-2</v>
      </c>
      <c r="I1977" s="510"/>
      <c r="J1977" s="511">
        <v>31.67</v>
      </c>
      <c r="K1977" s="511"/>
      <c r="L1977" s="367">
        <f>TRUNC(TRUNC(H1977,8)*J1977,2)</f>
        <v>0.91</v>
      </c>
    </row>
    <row r="1978" spans="1:12" ht="15" customHeight="1" x14ac:dyDescent="0.25">
      <c r="A1978" s="181" t="s">
        <v>2193</v>
      </c>
      <c r="B1978" s="509" t="s">
        <v>2194</v>
      </c>
      <c r="C1978" s="509"/>
      <c r="D1978" s="481" t="s">
        <v>82</v>
      </c>
      <c r="E1978" s="481"/>
      <c r="F1978" s="481"/>
      <c r="G1978" s="231" t="s">
        <v>1024</v>
      </c>
      <c r="H1978" s="510">
        <v>2.9000000000000001E-2</v>
      </c>
      <c r="I1978" s="510"/>
      <c r="J1978" s="511">
        <v>44.2</v>
      </c>
      <c r="K1978" s="511"/>
      <c r="L1978" s="367">
        <f>TRUNC(TRUNC(H1978,8)*J1978,2)</f>
        <v>1.28</v>
      </c>
    </row>
    <row r="1979" spans="1:12" ht="18" customHeight="1" x14ac:dyDescent="0.25">
      <c r="A1979" s="182"/>
      <c r="B1979" s="183"/>
      <c r="C1979" s="183"/>
      <c r="D1979" s="183"/>
      <c r="E1979" s="183"/>
      <c r="F1979" s="183"/>
      <c r="G1979" s="183"/>
      <c r="H1979" s="477" t="s">
        <v>2195</v>
      </c>
      <c r="I1979" s="477"/>
      <c r="J1979" s="477"/>
      <c r="K1979" s="477"/>
      <c r="L1979" s="368">
        <f>SUM(L1977:L1978)</f>
        <v>2.19</v>
      </c>
    </row>
    <row r="1980" spans="1:12" ht="15" customHeight="1" x14ac:dyDescent="0.25">
      <c r="A1980" s="182"/>
      <c r="B1980" s="183"/>
      <c r="C1980" s="183"/>
      <c r="D1980" s="183"/>
      <c r="E1980" s="183"/>
      <c r="F1980" s="183"/>
      <c r="G1980" s="183"/>
      <c r="H1980" s="482" t="s">
        <v>1834</v>
      </c>
      <c r="I1980" s="482"/>
      <c r="J1980" s="482"/>
      <c r="K1980" s="482"/>
      <c r="L1980" s="369">
        <f>ROUND(SUM(L1975,L1979),2)</f>
        <v>6.52</v>
      </c>
    </row>
    <row r="1981" spans="1:12" ht="9.9499999999999993" customHeight="1" x14ac:dyDescent="0.25">
      <c r="A1981" s="182"/>
      <c r="B1981" s="183"/>
      <c r="C1981" s="183"/>
      <c r="D1981" s="183"/>
      <c r="E1981" s="183"/>
      <c r="F1981" s="183"/>
      <c r="G1981" s="183"/>
      <c r="H1981" s="485"/>
      <c r="I1981" s="485"/>
      <c r="J1981" s="485"/>
      <c r="K1981" s="485"/>
      <c r="L1981" s="512"/>
    </row>
    <row r="1982" spans="1:12" ht="20.100000000000001" customHeight="1" x14ac:dyDescent="0.25">
      <c r="A1982" s="486" t="s">
        <v>3759</v>
      </c>
      <c r="B1982" s="487"/>
      <c r="C1982" s="487"/>
      <c r="D1982" s="487"/>
      <c r="E1982" s="487"/>
      <c r="F1982" s="487"/>
      <c r="G1982" s="487"/>
      <c r="H1982" s="487"/>
      <c r="I1982" s="487"/>
      <c r="J1982" s="487"/>
      <c r="K1982" s="487"/>
      <c r="L1982" s="513"/>
    </row>
    <row r="1983" spans="1:12" ht="20.100000000000001" customHeight="1" x14ac:dyDescent="0.25">
      <c r="A1983" s="488" t="s">
        <v>1836</v>
      </c>
      <c r="B1983" s="489"/>
      <c r="C1983" s="489"/>
      <c r="D1983" s="489"/>
      <c r="E1983" s="489"/>
      <c r="F1983" s="489"/>
      <c r="G1983" s="233" t="s">
        <v>44</v>
      </c>
      <c r="H1983" s="515" t="s">
        <v>1837</v>
      </c>
      <c r="I1983" s="515"/>
      <c r="J1983" s="515" t="s">
        <v>1838</v>
      </c>
      <c r="K1983" s="515"/>
      <c r="L1983" s="169" t="s">
        <v>1839</v>
      </c>
    </row>
    <row r="1984" spans="1:12" ht="15" customHeight="1" x14ac:dyDescent="0.25">
      <c r="A1984" s="170" t="s">
        <v>1840</v>
      </c>
      <c r="B1984" s="490" t="s">
        <v>1841</v>
      </c>
      <c r="C1984" s="490"/>
      <c r="D1984" s="490"/>
      <c r="E1984" s="490"/>
      <c r="F1984" s="490"/>
      <c r="G1984" s="127" t="s">
        <v>1024</v>
      </c>
      <c r="H1984" s="524">
        <v>0.3</v>
      </c>
      <c r="I1984" s="524"/>
      <c r="J1984" s="517">
        <v>21.94</v>
      </c>
      <c r="K1984" s="517"/>
      <c r="L1984" s="370">
        <f>TRUNC(TRUNC(H1984,8)*J1984,2)</f>
        <v>6.58</v>
      </c>
    </row>
    <row r="1985" spans="1:12" ht="15" customHeight="1" x14ac:dyDescent="0.25">
      <c r="A1985" s="170" t="s">
        <v>2178</v>
      </c>
      <c r="B1985" s="490" t="s">
        <v>2179</v>
      </c>
      <c r="C1985" s="490"/>
      <c r="D1985" s="490"/>
      <c r="E1985" s="490"/>
      <c r="F1985" s="490"/>
      <c r="G1985" s="127" t="s">
        <v>1024</v>
      </c>
      <c r="H1985" s="524">
        <v>0.3</v>
      </c>
      <c r="I1985" s="524"/>
      <c r="J1985" s="517">
        <v>26.03</v>
      </c>
      <c r="K1985" s="517"/>
      <c r="L1985" s="370">
        <f>TRUNC(TRUNC(H1985,8)*J1985,2)</f>
        <v>7.8</v>
      </c>
    </row>
    <row r="1986" spans="1:12" ht="15" customHeight="1" x14ac:dyDescent="0.25">
      <c r="A1986" s="184"/>
      <c r="B1986" s="141"/>
      <c r="C1986" s="141"/>
      <c r="D1986" s="141"/>
      <c r="E1986" s="141"/>
      <c r="F1986" s="141"/>
      <c r="G1986" s="141"/>
      <c r="H1986" s="491" t="s">
        <v>1844</v>
      </c>
      <c r="I1986" s="491"/>
      <c r="J1986" s="491"/>
      <c r="K1986" s="491"/>
      <c r="L1986" s="369">
        <f>SUM(L1984:L1985)</f>
        <v>14.379999999999999</v>
      </c>
    </row>
    <row r="1987" spans="1:12" ht="15" customHeight="1" x14ac:dyDescent="0.25">
      <c r="A1987" s="182"/>
      <c r="B1987" s="183"/>
      <c r="C1987" s="183"/>
      <c r="D1987" s="183"/>
      <c r="E1987" s="183"/>
      <c r="F1987" s="183"/>
      <c r="G1987" s="183"/>
      <c r="H1987" s="482" t="s">
        <v>1845</v>
      </c>
      <c r="I1987" s="482"/>
      <c r="J1987" s="482"/>
      <c r="K1987" s="482"/>
      <c r="L1987" s="371">
        <f>SUM(L1986)</f>
        <v>14.379999999999999</v>
      </c>
    </row>
    <row r="1988" spans="1:12" ht="15" customHeight="1" x14ac:dyDescent="0.25">
      <c r="A1988" s="182"/>
      <c r="B1988" s="183"/>
      <c r="C1988" s="183"/>
      <c r="D1988" s="183"/>
      <c r="E1988" s="183"/>
      <c r="F1988" s="183"/>
      <c r="G1988" s="183"/>
      <c r="H1988" s="482" t="s">
        <v>1846</v>
      </c>
      <c r="I1988" s="482"/>
      <c r="J1988" s="482"/>
      <c r="K1988" s="482"/>
      <c r="L1988" s="374">
        <v>1</v>
      </c>
    </row>
    <row r="1989" spans="1:12" ht="15" customHeight="1" x14ac:dyDescent="0.25">
      <c r="A1989" s="182"/>
      <c r="B1989" s="183"/>
      <c r="C1989" s="183"/>
      <c r="D1989" s="183"/>
      <c r="E1989" s="183"/>
      <c r="F1989" s="183"/>
      <c r="G1989" s="183"/>
      <c r="H1989" s="482" t="s">
        <v>1847</v>
      </c>
      <c r="I1989" s="482"/>
      <c r="J1989" s="482"/>
      <c r="K1989" s="482"/>
      <c r="L1989" s="371">
        <f>TRUNC(L1987/L1988,4)</f>
        <v>14.38</v>
      </c>
    </row>
    <row r="1990" spans="1:12" ht="20.100000000000001" customHeight="1" x14ac:dyDescent="0.25">
      <c r="A1990" s="488" t="s">
        <v>1880</v>
      </c>
      <c r="B1990" s="489"/>
      <c r="C1990" s="489"/>
      <c r="D1990" s="489"/>
      <c r="E1990" s="489"/>
      <c r="F1990" s="489"/>
      <c r="G1990" s="233" t="s">
        <v>44</v>
      </c>
      <c r="H1990" s="515" t="s">
        <v>1837</v>
      </c>
      <c r="I1990" s="515"/>
      <c r="J1990" s="515" t="s">
        <v>1881</v>
      </c>
      <c r="K1990" s="515"/>
      <c r="L1990" s="169" t="s">
        <v>1882</v>
      </c>
    </row>
    <row r="1991" spans="1:12" ht="15" customHeight="1" x14ac:dyDescent="0.25">
      <c r="A1991" s="170" t="s">
        <v>3760</v>
      </c>
      <c r="B1991" s="492" t="s">
        <v>3761</v>
      </c>
      <c r="C1991" s="492"/>
      <c r="D1991" s="492"/>
      <c r="E1991" s="492"/>
      <c r="F1991" s="492"/>
      <c r="G1991" s="127" t="s">
        <v>188</v>
      </c>
      <c r="H1991" s="524">
        <v>1.1000000000000001</v>
      </c>
      <c r="I1991" s="524"/>
      <c r="J1991" s="525">
        <v>5.6</v>
      </c>
      <c r="K1991" s="525"/>
      <c r="L1991" s="171">
        <f>TRUNC(TRUNC(H1991,8)*J1991,2)</f>
        <v>6.16</v>
      </c>
    </row>
    <row r="1992" spans="1:12" ht="15" customHeight="1" x14ac:dyDescent="0.25">
      <c r="A1992" s="184"/>
      <c r="B1992" s="141"/>
      <c r="C1992" s="141"/>
      <c r="D1992" s="141"/>
      <c r="E1992" s="141"/>
      <c r="F1992" s="141"/>
      <c r="G1992" s="141"/>
      <c r="H1992" s="491" t="s">
        <v>1889</v>
      </c>
      <c r="I1992" s="491"/>
      <c r="J1992" s="491"/>
      <c r="K1992" s="491"/>
      <c r="L1992" s="375">
        <f>SUM(L1991:L1991)</f>
        <v>6.16</v>
      </c>
    </row>
    <row r="1993" spans="1:12" ht="15" customHeight="1" x14ac:dyDescent="0.25">
      <c r="A1993" s="182"/>
      <c r="B1993" s="183"/>
      <c r="C1993" s="183"/>
      <c r="D1993" s="183"/>
      <c r="E1993" s="183"/>
      <c r="F1993" s="183"/>
      <c r="G1993" s="183"/>
      <c r="H1993" s="482" t="s">
        <v>1848</v>
      </c>
      <c r="I1993" s="482"/>
      <c r="J1993" s="482"/>
      <c r="K1993" s="482"/>
      <c r="L1993" s="371">
        <f>SUM(L1989,L1992)</f>
        <v>20.54</v>
      </c>
    </row>
    <row r="1994" spans="1:12" ht="15" customHeight="1" x14ac:dyDescent="0.25">
      <c r="A1994" s="182"/>
      <c r="B1994" s="183"/>
      <c r="C1994" s="183"/>
      <c r="D1994" s="183"/>
      <c r="E1994" s="183"/>
      <c r="F1994" s="183"/>
      <c r="G1994" s="183"/>
      <c r="H1994" s="482" t="s">
        <v>1834</v>
      </c>
      <c r="I1994" s="482"/>
      <c r="J1994" s="482"/>
      <c r="K1994" s="482"/>
      <c r="L1994" s="369">
        <f>ROUND(SUM(L1993),2)</f>
        <v>20.54</v>
      </c>
    </row>
    <row r="1995" spans="1:12" ht="9.9499999999999993" customHeight="1" x14ac:dyDescent="0.25">
      <c r="A1995" s="182"/>
      <c r="B1995" s="183"/>
      <c r="C1995" s="183"/>
      <c r="D1995" s="183"/>
      <c r="E1995" s="183"/>
      <c r="F1995" s="183"/>
      <c r="G1995" s="183"/>
      <c r="H1995" s="485"/>
      <c r="I1995" s="485"/>
      <c r="J1995" s="485"/>
      <c r="K1995" s="485"/>
      <c r="L1995" s="512"/>
    </row>
    <row r="1996" spans="1:12" ht="20.100000000000001" customHeight="1" x14ac:dyDescent="0.25">
      <c r="A1996" s="486" t="s">
        <v>2213</v>
      </c>
      <c r="B1996" s="487"/>
      <c r="C1996" s="487"/>
      <c r="D1996" s="487"/>
      <c r="E1996" s="487"/>
      <c r="F1996" s="487"/>
      <c r="G1996" s="487"/>
      <c r="H1996" s="487"/>
      <c r="I1996" s="487"/>
      <c r="J1996" s="487"/>
      <c r="K1996" s="487"/>
      <c r="L1996" s="513"/>
    </row>
    <row r="1997" spans="1:12" ht="20.100000000000001" customHeight="1" x14ac:dyDescent="0.25">
      <c r="A1997" s="488" t="s">
        <v>1836</v>
      </c>
      <c r="B1997" s="489"/>
      <c r="C1997" s="489"/>
      <c r="D1997" s="489"/>
      <c r="E1997" s="489"/>
      <c r="F1997" s="489"/>
      <c r="G1997" s="233" t="s">
        <v>44</v>
      </c>
      <c r="H1997" s="515" t="s">
        <v>1837</v>
      </c>
      <c r="I1997" s="515"/>
      <c r="J1997" s="515" t="s">
        <v>1838</v>
      </c>
      <c r="K1997" s="515"/>
      <c r="L1997" s="169" t="s">
        <v>1839</v>
      </c>
    </row>
    <row r="1998" spans="1:12" ht="15" customHeight="1" x14ac:dyDescent="0.25">
      <c r="A1998" s="170" t="s">
        <v>1840</v>
      </c>
      <c r="B1998" s="490" t="s">
        <v>1841</v>
      </c>
      <c r="C1998" s="490"/>
      <c r="D1998" s="490"/>
      <c r="E1998" s="490"/>
      <c r="F1998" s="490"/>
      <c r="G1998" s="127" t="s">
        <v>1024</v>
      </c>
      <c r="H1998" s="524">
        <v>1.5</v>
      </c>
      <c r="I1998" s="524"/>
      <c r="J1998" s="517">
        <v>21.94</v>
      </c>
      <c r="K1998" s="517"/>
      <c r="L1998" s="370">
        <f>ROUND(ROUND(H1998,8)*J1998,2)</f>
        <v>32.909999999999997</v>
      </c>
    </row>
    <row r="1999" spans="1:12" ht="15" customHeight="1" x14ac:dyDescent="0.25">
      <c r="A1999" s="170" t="s">
        <v>2178</v>
      </c>
      <c r="B1999" s="490" t="s">
        <v>2179</v>
      </c>
      <c r="C1999" s="490"/>
      <c r="D1999" s="490"/>
      <c r="E1999" s="490"/>
      <c r="F1999" s="490"/>
      <c r="G1999" s="127" t="s">
        <v>1024</v>
      </c>
      <c r="H1999" s="524">
        <v>1.5</v>
      </c>
      <c r="I1999" s="524"/>
      <c r="J1999" s="517">
        <v>26.03</v>
      </c>
      <c r="K1999" s="517"/>
      <c r="L1999" s="370">
        <f>ROUND(ROUND(H1999,8)*J1999,2)</f>
        <v>39.049999999999997</v>
      </c>
    </row>
    <row r="2000" spans="1:12" ht="15" customHeight="1" x14ac:dyDescent="0.25">
      <c r="A2000" s="184"/>
      <c r="B2000" s="141"/>
      <c r="C2000" s="141"/>
      <c r="D2000" s="141"/>
      <c r="E2000" s="141"/>
      <c r="F2000" s="141"/>
      <c r="G2000" s="141"/>
      <c r="H2000" s="491" t="s">
        <v>1844</v>
      </c>
      <c r="I2000" s="491"/>
      <c r="J2000" s="491"/>
      <c r="K2000" s="491"/>
      <c r="L2000" s="369">
        <f>SUM(L1998:L1999)</f>
        <v>71.959999999999994</v>
      </c>
    </row>
    <row r="2001" spans="1:12" ht="15" customHeight="1" x14ac:dyDescent="0.25">
      <c r="A2001" s="182"/>
      <c r="B2001" s="183"/>
      <c r="C2001" s="183"/>
      <c r="D2001" s="183"/>
      <c r="E2001" s="183"/>
      <c r="F2001" s="183"/>
      <c r="G2001" s="183"/>
      <c r="H2001" s="482" t="s">
        <v>1845</v>
      </c>
      <c r="I2001" s="482"/>
      <c r="J2001" s="482"/>
      <c r="K2001" s="482"/>
      <c r="L2001" s="371">
        <f>SUM(L2000)</f>
        <v>71.959999999999994</v>
      </c>
    </row>
    <row r="2002" spans="1:12" ht="15" customHeight="1" x14ac:dyDescent="0.25">
      <c r="A2002" s="182"/>
      <c r="B2002" s="183"/>
      <c r="C2002" s="183"/>
      <c r="D2002" s="183"/>
      <c r="E2002" s="183"/>
      <c r="F2002" s="183"/>
      <c r="G2002" s="183"/>
      <c r="H2002" s="482" t="s">
        <v>1846</v>
      </c>
      <c r="I2002" s="482"/>
      <c r="J2002" s="482"/>
      <c r="K2002" s="482"/>
      <c r="L2002" s="382">
        <v>1</v>
      </c>
    </row>
    <row r="2003" spans="1:12" ht="15" customHeight="1" x14ac:dyDescent="0.25">
      <c r="A2003" s="182"/>
      <c r="B2003" s="183"/>
      <c r="C2003" s="183"/>
      <c r="D2003" s="183"/>
      <c r="E2003" s="183"/>
      <c r="F2003" s="183"/>
      <c r="G2003" s="183"/>
      <c r="H2003" s="482" t="s">
        <v>1847</v>
      </c>
      <c r="I2003" s="482"/>
      <c r="J2003" s="482"/>
      <c r="K2003" s="482"/>
      <c r="L2003" s="371">
        <f>ROUND(L2001/L2002,4)</f>
        <v>71.959999999999994</v>
      </c>
    </row>
    <row r="2004" spans="1:12" ht="20.100000000000001" customHeight="1" x14ac:dyDescent="0.25">
      <c r="A2004" s="488" t="s">
        <v>1880</v>
      </c>
      <c r="B2004" s="489"/>
      <c r="C2004" s="489"/>
      <c r="D2004" s="489"/>
      <c r="E2004" s="489"/>
      <c r="F2004" s="489"/>
      <c r="G2004" s="233" t="s">
        <v>44</v>
      </c>
      <c r="H2004" s="515" t="s">
        <v>1837</v>
      </c>
      <c r="I2004" s="515"/>
      <c r="J2004" s="515" t="s">
        <v>1881</v>
      </c>
      <c r="K2004" s="515"/>
      <c r="L2004" s="169" t="s">
        <v>1882</v>
      </c>
    </row>
    <row r="2005" spans="1:12" ht="15.95" customHeight="1" x14ac:dyDescent="0.25">
      <c r="A2005" s="170" t="s">
        <v>2214</v>
      </c>
      <c r="B2005" s="492" t="s">
        <v>2215</v>
      </c>
      <c r="C2005" s="492"/>
      <c r="D2005" s="492"/>
      <c r="E2005" s="492"/>
      <c r="F2005" s="492"/>
      <c r="G2005" s="127" t="s">
        <v>251</v>
      </c>
      <c r="H2005" s="524">
        <v>1</v>
      </c>
      <c r="I2005" s="524"/>
      <c r="J2005" s="525">
        <v>116.15</v>
      </c>
      <c r="K2005" s="525"/>
      <c r="L2005" s="171">
        <f>ROUND(ROUND(H2005,8)*J2005,2)</f>
        <v>116.15</v>
      </c>
    </row>
    <row r="2006" spans="1:12" ht="15" customHeight="1" x14ac:dyDescent="0.25">
      <c r="A2006" s="184"/>
      <c r="B2006" s="141"/>
      <c r="C2006" s="141"/>
      <c r="D2006" s="141"/>
      <c r="E2006" s="141"/>
      <c r="F2006" s="141"/>
      <c r="G2006" s="141"/>
      <c r="H2006" s="491" t="s">
        <v>1889</v>
      </c>
      <c r="I2006" s="491"/>
      <c r="J2006" s="491"/>
      <c r="K2006" s="491"/>
      <c r="L2006" s="375">
        <f>SUM(L2005:L2005)</f>
        <v>116.15</v>
      </c>
    </row>
    <row r="2007" spans="1:12" ht="15" customHeight="1" x14ac:dyDescent="0.25">
      <c r="A2007" s="182"/>
      <c r="B2007" s="183"/>
      <c r="C2007" s="183"/>
      <c r="D2007" s="183"/>
      <c r="E2007" s="183"/>
      <c r="F2007" s="183"/>
      <c r="G2007" s="183"/>
      <c r="H2007" s="482" t="s">
        <v>1848</v>
      </c>
      <c r="I2007" s="482"/>
      <c r="J2007" s="482"/>
      <c r="K2007" s="482"/>
      <c r="L2007" s="371">
        <f>SUM(L2003,L2006)</f>
        <v>188.11</v>
      </c>
    </row>
    <row r="2008" spans="1:12" ht="15" customHeight="1" x14ac:dyDescent="0.25">
      <c r="A2008" s="483" t="s">
        <v>2216</v>
      </c>
      <c r="B2008" s="484"/>
      <c r="C2008" s="484"/>
      <c r="D2008" s="484"/>
      <c r="E2008" s="183"/>
      <c r="F2008" s="183"/>
      <c r="G2008" s="183"/>
      <c r="H2008" s="482" t="s">
        <v>1834</v>
      </c>
      <c r="I2008" s="482"/>
      <c r="J2008" s="482"/>
      <c r="K2008" s="482"/>
      <c r="L2008" s="369">
        <v>188.11</v>
      </c>
    </row>
    <row r="2009" spans="1:12" ht="9.9499999999999993" customHeight="1" x14ac:dyDescent="0.25">
      <c r="A2009" s="182"/>
      <c r="B2009" s="183"/>
      <c r="C2009" s="183"/>
      <c r="D2009" s="183"/>
      <c r="E2009" s="183"/>
      <c r="F2009" s="183"/>
      <c r="G2009" s="183"/>
      <c r="H2009" s="485"/>
      <c r="I2009" s="485"/>
      <c r="J2009" s="485"/>
      <c r="K2009" s="485"/>
      <c r="L2009" s="512"/>
    </row>
    <row r="2010" spans="1:12" ht="27" customHeight="1" x14ac:dyDescent="0.25">
      <c r="A2010" s="486" t="s">
        <v>3762</v>
      </c>
      <c r="B2010" s="487"/>
      <c r="C2010" s="487"/>
      <c r="D2010" s="487"/>
      <c r="E2010" s="487"/>
      <c r="F2010" s="487"/>
      <c r="G2010" s="487"/>
      <c r="H2010" s="487"/>
      <c r="I2010" s="487"/>
      <c r="J2010" s="487"/>
      <c r="K2010" s="487"/>
      <c r="L2010" s="513"/>
    </row>
    <row r="2011" spans="1:12" ht="15" customHeight="1" x14ac:dyDescent="0.25">
      <c r="A2011" s="474" t="s">
        <v>2021</v>
      </c>
      <c r="B2011" s="475"/>
      <c r="C2011" s="475"/>
      <c r="D2011" s="476" t="s">
        <v>42</v>
      </c>
      <c r="E2011" s="476"/>
      <c r="F2011" s="476"/>
      <c r="G2011" s="230" t="s">
        <v>44</v>
      </c>
      <c r="H2011" s="476" t="s">
        <v>1813</v>
      </c>
      <c r="I2011" s="476"/>
      <c r="J2011" s="476" t="s">
        <v>1814</v>
      </c>
      <c r="K2011" s="476"/>
      <c r="L2011" s="366" t="s">
        <v>1802</v>
      </c>
    </row>
    <row r="2012" spans="1:12" ht="29.1" customHeight="1" x14ac:dyDescent="0.25">
      <c r="A2012" s="181" t="s">
        <v>3763</v>
      </c>
      <c r="B2012" s="509" t="s">
        <v>3764</v>
      </c>
      <c r="C2012" s="509"/>
      <c r="D2012" s="481" t="s">
        <v>82</v>
      </c>
      <c r="E2012" s="481"/>
      <c r="F2012" s="481"/>
      <c r="G2012" s="231" t="s">
        <v>2024</v>
      </c>
      <c r="H2012" s="510">
        <v>1.6503299999999999E-2</v>
      </c>
      <c r="I2012" s="510"/>
      <c r="J2012" s="511">
        <v>102.3</v>
      </c>
      <c r="K2012" s="511"/>
      <c r="L2012" s="367">
        <f>TRUNC(TRUNC(H2012,8)*J2012,2)</f>
        <v>1.68</v>
      </c>
    </row>
    <row r="2013" spans="1:12" ht="29.1" customHeight="1" x14ac:dyDescent="0.25">
      <c r="A2013" s="181" t="s">
        <v>3765</v>
      </c>
      <c r="B2013" s="509" t="s">
        <v>3766</v>
      </c>
      <c r="C2013" s="509"/>
      <c r="D2013" s="481" t="s">
        <v>82</v>
      </c>
      <c r="E2013" s="481"/>
      <c r="F2013" s="481"/>
      <c r="G2013" s="231" t="s">
        <v>2027</v>
      </c>
      <c r="H2013" s="510">
        <v>2.0951000000000001E-2</v>
      </c>
      <c r="I2013" s="510"/>
      <c r="J2013" s="511">
        <v>235.61</v>
      </c>
      <c r="K2013" s="511"/>
      <c r="L2013" s="367">
        <f>TRUNC(TRUNC(H2013,8)*J2013,2)</f>
        <v>4.93</v>
      </c>
    </row>
    <row r="2014" spans="1:12" ht="18" customHeight="1" x14ac:dyDescent="0.25">
      <c r="A2014" s="182"/>
      <c r="B2014" s="183"/>
      <c r="C2014" s="183"/>
      <c r="D2014" s="183"/>
      <c r="E2014" s="183"/>
      <c r="F2014" s="183"/>
      <c r="G2014" s="183"/>
      <c r="H2014" s="477" t="s">
        <v>2028</v>
      </c>
      <c r="I2014" s="477"/>
      <c r="J2014" s="477"/>
      <c r="K2014" s="477"/>
      <c r="L2014" s="368">
        <f>SUM(L2012:L2013)</f>
        <v>6.6099999999999994</v>
      </c>
    </row>
    <row r="2015" spans="1:12" ht="15" customHeight="1" x14ac:dyDescent="0.25">
      <c r="A2015" s="474" t="s">
        <v>2190</v>
      </c>
      <c r="B2015" s="475"/>
      <c r="C2015" s="475"/>
      <c r="D2015" s="476" t="s">
        <v>42</v>
      </c>
      <c r="E2015" s="476"/>
      <c r="F2015" s="476"/>
      <c r="G2015" s="230" t="s">
        <v>44</v>
      </c>
      <c r="H2015" s="476" t="s">
        <v>1813</v>
      </c>
      <c r="I2015" s="476"/>
      <c r="J2015" s="476" t="s">
        <v>1814</v>
      </c>
      <c r="K2015" s="476"/>
      <c r="L2015" s="366" t="s">
        <v>1802</v>
      </c>
    </row>
    <row r="2016" spans="1:12" ht="15" customHeight="1" x14ac:dyDescent="0.25">
      <c r="A2016" s="181" t="s">
        <v>2375</v>
      </c>
      <c r="B2016" s="509" t="s">
        <v>2376</v>
      </c>
      <c r="C2016" s="509"/>
      <c r="D2016" s="481" t="s">
        <v>82</v>
      </c>
      <c r="E2016" s="481"/>
      <c r="F2016" s="481"/>
      <c r="G2016" s="231" t="s">
        <v>1024</v>
      </c>
      <c r="H2016" s="510">
        <v>3.7454300000000003E-2</v>
      </c>
      <c r="I2016" s="510"/>
      <c r="J2016" s="511">
        <v>28.97</v>
      </c>
      <c r="K2016" s="511"/>
      <c r="L2016" s="367">
        <f>TRUNC(TRUNC(H2016,8)*J2016,2)</f>
        <v>1.08</v>
      </c>
    </row>
    <row r="2017" spans="1:12" ht="18" customHeight="1" x14ac:dyDescent="0.25">
      <c r="A2017" s="182"/>
      <c r="B2017" s="183"/>
      <c r="C2017" s="183"/>
      <c r="D2017" s="183"/>
      <c r="E2017" s="183"/>
      <c r="F2017" s="183"/>
      <c r="G2017" s="183"/>
      <c r="H2017" s="477" t="s">
        <v>2195</v>
      </c>
      <c r="I2017" s="477"/>
      <c r="J2017" s="477"/>
      <c r="K2017" s="477"/>
      <c r="L2017" s="368">
        <f>SUM(L2016:L2016)</f>
        <v>1.08</v>
      </c>
    </row>
    <row r="2018" spans="1:12" ht="15" customHeight="1" x14ac:dyDescent="0.25">
      <c r="A2018" s="182"/>
      <c r="B2018" s="183"/>
      <c r="C2018" s="183"/>
      <c r="D2018" s="183"/>
      <c r="E2018" s="183"/>
      <c r="F2018" s="183"/>
      <c r="G2018" s="183"/>
      <c r="H2018" s="482" t="s">
        <v>1834</v>
      </c>
      <c r="I2018" s="482"/>
      <c r="J2018" s="482"/>
      <c r="K2018" s="482"/>
      <c r="L2018" s="369">
        <f>ROUND(SUM(L2014,L2017),2)</f>
        <v>7.69</v>
      </c>
    </row>
    <row r="2019" spans="1:12" ht="9.9499999999999993" customHeight="1" x14ac:dyDescent="0.25">
      <c r="A2019" s="182"/>
      <c r="B2019" s="183"/>
      <c r="C2019" s="183"/>
      <c r="D2019" s="183"/>
      <c r="E2019" s="183"/>
      <c r="F2019" s="183"/>
      <c r="G2019" s="183"/>
      <c r="H2019" s="485"/>
      <c r="I2019" s="485"/>
      <c r="J2019" s="485"/>
      <c r="K2019" s="485"/>
      <c r="L2019" s="512"/>
    </row>
    <row r="2020" spans="1:12" ht="20.100000000000001" customHeight="1" x14ac:dyDescent="0.25">
      <c r="A2020" s="486" t="s">
        <v>3028</v>
      </c>
      <c r="B2020" s="487"/>
      <c r="C2020" s="487"/>
      <c r="D2020" s="487"/>
      <c r="E2020" s="487"/>
      <c r="F2020" s="487"/>
      <c r="G2020" s="487"/>
      <c r="H2020" s="487"/>
      <c r="I2020" s="487"/>
      <c r="J2020" s="487"/>
      <c r="K2020" s="487"/>
      <c r="L2020" s="513"/>
    </row>
    <row r="2021" spans="1:12" ht="20.100000000000001" customHeight="1" x14ac:dyDescent="0.25">
      <c r="A2021" s="488" t="s">
        <v>1836</v>
      </c>
      <c r="B2021" s="489"/>
      <c r="C2021" s="489"/>
      <c r="D2021" s="489"/>
      <c r="E2021" s="489"/>
      <c r="F2021" s="489"/>
      <c r="G2021" s="233" t="s">
        <v>44</v>
      </c>
      <c r="H2021" s="515" t="s">
        <v>1837</v>
      </c>
      <c r="I2021" s="515"/>
      <c r="J2021" s="515" t="s">
        <v>1838</v>
      </c>
      <c r="K2021" s="515"/>
      <c r="L2021" s="169" t="s">
        <v>1839</v>
      </c>
    </row>
    <row r="2022" spans="1:12" ht="15" customHeight="1" x14ac:dyDescent="0.25">
      <c r="A2022" s="170" t="s">
        <v>1830</v>
      </c>
      <c r="B2022" s="490" t="s">
        <v>1831</v>
      </c>
      <c r="C2022" s="490"/>
      <c r="D2022" s="490"/>
      <c r="E2022" s="490"/>
      <c r="F2022" s="490"/>
      <c r="G2022" s="127" t="s">
        <v>1024</v>
      </c>
      <c r="H2022" s="524">
        <v>3.5</v>
      </c>
      <c r="I2022" s="524"/>
      <c r="J2022" s="517">
        <v>19.68</v>
      </c>
      <c r="K2022" s="517"/>
      <c r="L2022" s="370">
        <f>TRUNC(TRUNC(H2022,8)*J2022,2)</f>
        <v>68.88</v>
      </c>
    </row>
    <row r="2023" spans="1:12" ht="15" customHeight="1" x14ac:dyDescent="0.25">
      <c r="A2023" s="184"/>
      <c r="B2023" s="141"/>
      <c r="C2023" s="141"/>
      <c r="D2023" s="141"/>
      <c r="E2023" s="141"/>
      <c r="F2023" s="141"/>
      <c r="G2023" s="141"/>
      <c r="H2023" s="491" t="s">
        <v>1844</v>
      </c>
      <c r="I2023" s="491"/>
      <c r="J2023" s="491"/>
      <c r="K2023" s="491"/>
      <c r="L2023" s="369">
        <f>SUM(L2022:L2022)</f>
        <v>68.88</v>
      </c>
    </row>
    <row r="2024" spans="1:12" ht="15" customHeight="1" x14ac:dyDescent="0.25">
      <c r="A2024" s="182"/>
      <c r="B2024" s="183"/>
      <c r="C2024" s="183"/>
      <c r="D2024" s="183"/>
      <c r="E2024" s="183"/>
      <c r="F2024" s="183"/>
      <c r="G2024" s="183"/>
      <c r="H2024" s="482" t="s">
        <v>1845</v>
      </c>
      <c r="I2024" s="482"/>
      <c r="J2024" s="482"/>
      <c r="K2024" s="482"/>
      <c r="L2024" s="371">
        <f>SUM(L2023)</f>
        <v>68.88</v>
      </c>
    </row>
    <row r="2025" spans="1:12" ht="15" customHeight="1" x14ac:dyDescent="0.25">
      <c r="A2025" s="182"/>
      <c r="B2025" s="183"/>
      <c r="C2025" s="183"/>
      <c r="D2025" s="183"/>
      <c r="E2025" s="183"/>
      <c r="F2025" s="183"/>
      <c r="G2025" s="183"/>
      <c r="H2025" s="482" t="s">
        <v>1846</v>
      </c>
      <c r="I2025" s="482"/>
      <c r="J2025" s="482"/>
      <c r="K2025" s="482"/>
      <c r="L2025" s="374">
        <v>1</v>
      </c>
    </row>
    <row r="2026" spans="1:12" ht="15" customHeight="1" x14ac:dyDescent="0.25">
      <c r="A2026" s="182"/>
      <c r="B2026" s="183"/>
      <c r="C2026" s="183"/>
      <c r="D2026" s="183"/>
      <c r="E2026" s="183"/>
      <c r="F2026" s="183"/>
      <c r="G2026" s="183"/>
      <c r="H2026" s="482" t="s">
        <v>1847</v>
      </c>
      <c r="I2026" s="482"/>
      <c r="J2026" s="482"/>
      <c r="K2026" s="482"/>
      <c r="L2026" s="371">
        <f>TRUNC(L2024/L2025,4)</f>
        <v>68.88</v>
      </c>
    </row>
    <row r="2027" spans="1:12" ht="15" customHeight="1" x14ac:dyDescent="0.25">
      <c r="A2027" s="182"/>
      <c r="B2027" s="183"/>
      <c r="C2027" s="183"/>
      <c r="D2027" s="183"/>
      <c r="E2027" s="183"/>
      <c r="F2027" s="183"/>
      <c r="G2027" s="183"/>
      <c r="H2027" s="482" t="s">
        <v>1848</v>
      </c>
      <c r="I2027" s="482"/>
      <c r="J2027" s="482"/>
      <c r="K2027" s="482"/>
      <c r="L2027" s="371">
        <f>SUM(L2026)</f>
        <v>68.88</v>
      </c>
    </row>
    <row r="2028" spans="1:12" ht="15" customHeight="1" x14ac:dyDescent="0.25">
      <c r="A2028" s="182"/>
      <c r="B2028" s="183"/>
      <c r="C2028" s="183"/>
      <c r="D2028" s="183"/>
      <c r="E2028" s="183"/>
      <c r="F2028" s="183"/>
      <c r="G2028" s="183"/>
      <c r="H2028" s="482" t="s">
        <v>1834</v>
      </c>
      <c r="I2028" s="482"/>
      <c r="J2028" s="482"/>
      <c r="K2028" s="482"/>
      <c r="L2028" s="369">
        <f>ROUND(SUM(L2027),2)</f>
        <v>68.88</v>
      </c>
    </row>
    <row r="2029" spans="1:12" ht="9.9499999999999993" customHeight="1" x14ac:dyDescent="0.25">
      <c r="A2029" s="182"/>
      <c r="B2029" s="183"/>
      <c r="C2029" s="183"/>
      <c r="D2029" s="183"/>
      <c r="E2029" s="183"/>
      <c r="F2029" s="183"/>
      <c r="G2029" s="183"/>
      <c r="H2029" s="485"/>
      <c r="I2029" s="485"/>
      <c r="J2029" s="485"/>
      <c r="K2029" s="485"/>
      <c r="L2029" s="512"/>
    </row>
    <row r="2030" spans="1:12" ht="20.100000000000001" customHeight="1" x14ac:dyDescent="0.25">
      <c r="A2030" s="486" t="s">
        <v>2217</v>
      </c>
      <c r="B2030" s="487"/>
      <c r="C2030" s="487"/>
      <c r="D2030" s="487"/>
      <c r="E2030" s="487"/>
      <c r="F2030" s="487"/>
      <c r="G2030" s="487"/>
      <c r="H2030" s="487"/>
      <c r="I2030" s="487"/>
      <c r="J2030" s="487"/>
      <c r="K2030" s="487"/>
      <c r="L2030" s="513"/>
    </row>
    <row r="2031" spans="1:12" ht="15" customHeight="1" x14ac:dyDescent="0.25">
      <c r="A2031" s="474" t="s">
        <v>2021</v>
      </c>
      <c r="B2031" s="475"/>
      <c r="C2031" s="475"/>
      <c r="D2031" s="476" t="s">
        <v>42</v>
      </c>
      <c r="E2031" s="476"/>
      <c r="F2031" s="476"/>
      <c r="G2031" s="230" t="s">
        <v>44</v>
      </c>
      <c r="H2031" s="476" t="s">
        <v>1813</v>
      </c>
      <c r="I2031" s="476"/>
      <c r="J2031" s="476" t="s">
        <v>1814</v>
      </c>
      <c r="K2031" s="476"/>
      <c r="L2031" s="366" t="s">
        <v>1802</v>
      </c>
    </row>
    <row r="2032" spans="1:12" ht="29.1" customHeight="1" x14ac:dyDescent="0.25">
      <c r="A2032" s="181" t="s">
        <v>2218</v>
      </c>
      <c r="B2032" s="509" t="s">
        <v>2219</v>
      </c>
      <c r="C2032" s="509"/>
      <c r="D2032" s="481" t="s">
        <v>82</v>
      </c>
      <c r="E2032" s="481"/>
      <c r="F2032" s="481"/>
      <c r="G2032" s="231" t="s">
        <v>2027</v>
      </c>
      <c r="H2032" s="510">
        <v>0.52800000000000002</v>
      </c>
      <c r="I2032" s="510"/>
      <c r="J2032" s="511">
        <v>52.35</v>
      </c>
      <c r="K2032" s="511"/>
      <c r="L2032" s="367">
        <f>ROUND(ROUND(H2032,8)*J2032,2)</f>
        <v>27.64</v>
      </c>
    </row>
    <row r="2033" spans="1:12" ht="18" customHeight="1" x14ac:dyDescent="0.25">
      <c r="A2033" s="182"/>
      <c r="B2033" s="183"/>
      <c r="C2033" s="183"/>
      <c r="D2033" s="183"/>
      <c r="E2033" s="183"/>
      <c r="F2033" s="183"/>
      <c r="G2033" s="183"/>
      <c r="H2033" s="477" t="s">
        <v>2028</v>
      </c>
      <c r="I2033" s="477"/>
      <c r="J2033" s="477"/>
      <c r="K2033" s="477"/>
      <c r="L2033" s="368">
        <f>SUM(L2032:L2032)</f>
        <v>27.64</v>
      </c>
    </row>
    <row r="2034" spans="1:12" ht="15" customHeight="1" x14ac:dyDescent="0.25">
      <c r="A2034" s="474" t="s">
        <v>1812</v>
      </c>
      <c r="B2034" s="475"/>
      <c r="C2034" s="475"/>
      <c r="D2034" s="476" t="s">
        <v>42</v>
      </c>
      <c r="E2034" s="476"/>
      <c r="F2034" s="476"/>
      <c r="G2034" s="230" t="s">
        <v>44</v>
      </c>
      <c r="H2034" s="476" t="s">
        <v>1813</v>
      </c>
      <c r="I2034" s="476"/>
      <c r="J2034" s="476" t="s">
        <v>1814</v>
      </c>
      <c r="K2034" s="476"/>
      <c r="L2034" s="366" t="s">
        <v>1802</v>
      </c>
    </row>
    <row r="2035" spans="1:12" ht="21" customHeight="1" x14ac:dyDescent="0.25">
      <c r="A2035" s="181" t="s">
        <v>2220</v>
      </c>
      <c r="B2035" s="509" t="s">
        <v>2221</v>
      </c>
      <c r="C2035" s="509"/>
      <c r="D2035" s="481" t="s">
        <v>82</v>
      </c>
      <c r="E2035" s="481"/>
      <c r="F2035" s="481"/>
      <c r="G2035" s="231" t="s">
        <v>85</v>
      </c>
      <c r="H2035" s="510">
        <v>1.1000000000000001</v>
      </c>
      <c r="I2035" s="510"/>
      <c r="J2035" s="511">
        <v>90</v>
      </c>
      <c r="K2035" s="511"/>
      <c r="L2035" s="367">
        <f>ROUND(ROUND(H2035,8)*J2035,2)</f>
        <v>99</v>
      </c>
    </row>
    <row r="2036" spans="1:12" ht="15" customHeight="1" x14ac:dyDescent="0.25">
      <c r="A2036" s="182"/>
      <c r="B2036" s="183"/>
      <c r="C2036" s="183"/>
      <c r="D2036" s="183"/>
      <c r="E2036" s="183"/>
      <c r="F2036" s="183"/>
      <c r="G2036" s="183"/>
      <c r="H2036" s="477" t="s">
        <v>1826</v>
      </c>
      <c r="I2036" s="477"/>
      <c r="J2036" s="477"/>
      <c r="K2036" s="477"/>
      <c r="L2036" s="368">
        <f>SUM(L2035:L2035)</f>
        <v>99</v>
      </c>
    </row>
    <row r="2037" spans="1:12" ht="15" customHeight="1" x14ac:dyDescent="0.25">
      <c r="A2037" s="474" t="s">
        <v>1827</v>
      </c>
      <c r="B2037" s="475"/>
      <c r="C2037" s="475"/>
      <c r="D2037" s="476" t="s">
        <v>42</v>
      </c>
      <c r="E2037" s="476"/>
      <c r="F2037" s="476"/>
      <c r="G2037" s="230" t="s">
        <v>44</v>
      </c>
      <c r="H2037" s="476" t="s">
        <v>1813</v>
      </c>
      <c r="I2037" s="476"/>
      <c r="J2037" s="476" t="s">
        <v>1814</v>
      </c>
      <c r="K2037" s="476"/>
      <c r="L2037" s="366" t="s">
        <v>1802</v>
      </c>
    </row>
    <row r="2038" spans="1:12" ht="15" customHeight="1" x14ac:dyDescent="0.25">
      <c r="A2038" s="181" t="s">
        <v>1830</v>
      </c>
      <c r="B2038" s="509" t="s">
        <v>1831</v>
      </c>
      <c r="C2038" s="509"/>
      <c r="D2038" s="481" t="s">
        <v>51</v>
      </c>
      <c r="E2038" s="481"/>
      <c r="F2038" s="481"/>
      <c r="G2038" s="231" t="s">
        <v>1024</v>
      </c>
      <c r="H2038" s="510">
        <v>0.7</v>
      </c>
      <c r="I2038" s="510"/>
      <c r="J2038" s="511">
        <v>19.68</v>
      </c>
      <c r="K2038" s="511"/>
      <c r="L2038" s="367">
        <f>ROUND(ROUND(H2038,8)*J2038,2)</f>
        <v>13.78</v>
      </c>
    </row>
    <row r="2039" spans="1:12" ht="15" customHeight="1" x14ac:dyDescent="0.25">
      <c r="A2039" s="182"/>
      <c r="B2039" s="183"/>
      <c r="C2039" s="183"/>
      <c r="D2039" s="183"/>
      <c r="E2039" s="183"/>
      <c r="F2039" s="183"/>
      <c r="G2039" s="183"/>
      <c r="H2039" s="477" t="s">
        <v>1832</v>
      </c>
      <c r="I2039" s="477"/>
      <c r="J2039" s="477"/>
      <c r="K2039" s="477"/>
      <c r="L2039" s="368">
        <f>SUM(L2038:L2038)</f>
        <v>13.78</v>
      </c>
    </row>
    <row r="2040" spans="1:12" ht="15" customHeight="1" x14ac:dyDescent="0.25">
      <c r="A2040" s="483" t="s">
        <v>2222</v>
      </c>
      <c r="B2040" s="484"/>
      <c r="C2040" s="484"/>
      <c r="D2040" s="484"/>
      <c r="E2040" s="183"/>
      <c r="F2040" s="183"/>
      <c r="G2040" s="183"/>
      <c r="H2040" s="482" t="s">
        <v>1834</v>
      </c>
      <c r="I2040" s="482"/>
      <c r="J2040" s="482"/>
      <c r="K2040" s="482"/>
      <c r="L2040" s="369">
        <v>140.41999999999999</v>
      </c>
    </row>
    <row r="2041" spans="1:12" ht="9.9499999999999993" customHeight="1" x14ac:dyDescent="0.25">
      <c r="A2041" s="182"/>
      <c r="B2041" s="183"/>
      <c r="C2041" s="183"/>
      <c r="D2041" s="183"/>
      <c r="E2041" s="183"/>
      <c r="F2041" s="183"/>
      <c r="G2041" s="183"/>
      <c r="H2041" s="485"/>
      <c r="I2041" s="485"/>
      <c r="J2041" s="485"/>
      <c r="K2041" s="485"/>
      <c r="L2041" s="512"/>
    </row>
    <row r="2042" spans="1:12" ht="20.100000000000001" customHeight="1" x14ac:dyDescent="0.25">
      <c r="A2042" s="486" t="s">
        <v>3767</v>
      </c>
      <c r="B2042" s="487"/>
      <c r="C2042" s="487"/>
      <c r="D2042" s="487"/>
      <c r="E2042" s="487"/>
      <c r="F2042" s="487"/>
      <c r="G2042" s="487"/>
      <c r="H2042" s="487"/>
      <c r="I2042" s="487"/>
      <c r="J2042" s="487"/>
      <c r="K2042" s="487"/>
      <c r="L2042" s="513"/>
    </row>
    <row r="2043" spans="1:12" ht="15" customHeight="1" x14ac:dyDescent="0.25">
      <c r="A2043" s="474" t="s">
        <v>2443</v>
      </c>
      <c r="B2043" s="475"/>
      <c r="C2043" s="475"/>
      <c r="D2043" s="476" t="s">
        <v>42</v>
      </c>
      <c r="E2043" s="476"/>
      <c r="F2043" s="476"/>
      <c r="G2043" s="230" t="s">
        <v>44</v>
      </c>
      <c r="H2043" s="476" t="s">
        <v>1813</v>
      </c>
      <c r="I2043" s="476"/>
      <c r="J2043" s="476" t="s">
        <v>1814</v>
      </c>
      <c r="K2043" s="476"/>
      <c r="L2043" s="366" t="s">
        <v>1802</v>
      </c>
    </row>
    <row r="2044" spans="1:12" ht="29.1" customHeight="1" x14ac:dyDescent="0.25">
      <c r="A2044" s="181" t="s">
        <v>3768</v>
      </c>
      <c r="B2044" s="509" t="s">
        <v>3769</v>
      </c>
      <c r="C2044" s="509"/>
      <c r="D2044" s="481" t="s">
        <v>82</v>
      </c>
      <c r="E2044" s="481"/>
      <c r="F2044" s="481"/>
      <c r="G2044" s="231" t="s">
        <v>226</v>
      </c>
      <c r="H2044" s="510">
        <v>1</v>
      </c>
      <c r="I2044" s="510"/>
      <c r="J2044" s="511">
        <v>12737.4</v>
      </c>
      <c r="K2044" s="511"/>
      <c r="L2044" s="367">
        <f>TRUNC(TRUNC(H2044,8)*J2044,2)</f>
        <v>12737.4</v>
      </c>
    </row>
    <row r="2045" spans="1:12" ht="15" customHeight="1" x14ac:dyDescent="0.25">
      <c r="A2045" s="182"/>
      <c r="B2045" s="183"/>
      <c r="C2045" s="183"/>
      <c r="D2045" s="183"/>
      <c r="E2045" s="183"/>
      <c r="F2045" s="183"/>
      <c r="G2045" s="183"/>
      <c r="H2045" s="477" t="s">
        <v>2446</v>
      </c>
      <c r="I2045" s="477"/>
      <c r="J2045" s="477"/>
      <c r="K2045" s="477"/>
      <c r="L2045" s="368">
        <f>SUM(L2044:L2044)</f>
        <v>12737.4</v>
      </c>
    </row>
    <row r="2046" spans="1:12" ht="15" customHeight="1" x14ac:dyDescent="0.25">
      <c r="A2046" s="474" t="s">
        <v>2021</v>
      </c>
      <c r="B2046" s="475"/>
      <c r="C2046" s="475"/>
      <c r="D2046" s="476" t="s">
        <v>42</v>
      </c>
      <c r="E2046" s="476"/>
      <c r="F2046" s="476"/>
      <c r="G2046" s="230" t="s">
        <v>44</v>
      </c>
      <c r="H2046" s="476" t="s">
        <v>1813</v>
      </c>
      <c r="I2046" s="476"/>
      <c r="J2046" s="476" t="s">
        <v>1814</v>
      </c>
      <c r="K2046" s="476"/>
      <c r="L2046" s="366" t="s">
        <v>1802</v>
      </c>
    </row>
    <row r="2047" spans="1:12" ht="29.1" customHeight="1" x14ac:dyDescent="0.25">
      <c r="A2047" s="181" t="s">
        <v>3770</v>
      </c>
      <c r="B2047" s="509" t="s">
        <v>3771</v>
      </c>
      <c r="C2047" s="509"/>
      <c r="D2047" s="481" t="s">
        <v>82</v>
      </c>
      <c r="E2047" s="481"/>
      <c r="F2047" s="481"/>
      <c r="G2047" s="231" t="s">
        <v>2024</v>
      </c>
      <c r="H2047" s="510">
        <v>1.5165999999999999</v>
      </c>
      <c r="I2047" s="510"/>
      <c r="J2047" s="511">
        <v>202.27</v>
      </c>
      <c r="K2047" s="511"/>
      <c r="L2047" s="367">
        <f>TRUNC(TRUNC(H2047,8)*J2047,2)</f>
        <v>306.76</v>
      </c>
    </row>
    <row r="2048" spans="1:12" ht="29.1" customHeight="1" x14ac:dyDescent="0.25">
      <c r="A2048" s="181" t="s">
        <v>3772</v>
      </c>
      <c r="B2048" s="509" t="s">
        <v>3773</v>
      </c>
      <c r="C2048" s="509"/>
      <c r="D2048" s="481" t="s">
        <v>82</v>
      </c>
      <c r="E2048" s="481"/>
      <c r="F2048" s="481"/>
      <c r="G2048" s="231" t="s">
        <v>2027</v>
      </c>
      <c r="H2048" s="510">
        <v>0.2059</v>
      </c>
      <c r="I2048" s="510"/>
      <c r="J2048" s="511">
        <v>374.92</v>
      </c>
      <c r="K2048" s="511"/>
      <c r="L2048" s="367">
        <f>TRUNC(TRUNC(H2048,8)*J2048,2)</f>
        <v>77.19</v>
      </c>
    </row>
    <row r="2049" spans="1:12" ht="18" customHeight="1" x14ac:dyDescent="0.25">
      <c r="A2049" s="182"/>
      <c r="B2049" s="183"/>
      <c r="C2049" s="183"/>
      <c r="D2049" s="183"/>
      <c r="E2049" s="183"/>
      <c r="F2049" s="183"/>
      <c r="G2049" s="183"/>
      <c r="H2049" s="477" t="s">
        <v>2028</v>
      </c>
      <c r="I2049" s="477"/>
      <c r="J2049" s="477"/>
      <c r="K2049" s="477"/>
      <c r="L2049" s="368">
        <f>SUM(L2047:L2048)</f>
        <v>383.95</v>
      </c>
    </row>
    <row r="2050" spans="1:12" ht="15" customHeight="1" x14ac:dyDescent="0.25">
      <c r="A2050" s="474" t="s">
        <v>1812</v>
      </c>
      <c r="B2050" s="475"/>
      <c r="C2050" s="475"/>
      <c r="D2050" s="476" t="s">
        <v>42</v>
      </c>
      <c r="E2050" s="476"/>
      <c r="F2050" s="476"/>
      <c r="G2050" s="230" t="s">
        <v>44</v>
      </c>
      <c r="H2050" s="476" t="s">
        <v>1813</v>
      </c>
      <c r="I2050" s="476"/>
      <c r="J2050" s="476" t="s">
        <v>1814</v>
      </c>
      <c r="K2050" s="476"/>
      <c r="L2050" s="366" t="s">
        <v>1802</v>
      </c>
    </row>
    <row r="2051" spans="1:12" ht="29.1" customHeight="1" x14ac:dyDescent="0.25">
      <c r="A2051" s="181" t="s">
        <v>3774</v>
      </c>
      <c r="B2051" s="509" t="s">
        <v>3775</v>
      </c>
      <c r="C2051" s="509"/>
      <c r="D2051" s="481" t="s">
        <v>82</v>
      </c>
      <c r="E2051" s="481"/>
      <c r="F2051" s="481"/>
      <c r="G2051" s="231" t="s">
        <v>226</v>
      </c>
      <c r="H2051" s="510">
        <v>4</v>
      </c>
      <c r="I2051" s="510"/>
      <c r="J2051" s="511">
        <v>1.47</v>
      </c>
      <c r="K2051" s="511"/>
      <c r="L2051" s="367">
        <f>TRUNC(TRUNC(H2051,8)*J2051,2)</f>
        <v>5.88</v>
      </c>
    </row>
    <row r="2052" spans="1:12" ht="21" customHeight="1" x14ac:dyDescent="0.25">
      <c r="A2052" s="181" t="s">
        <v>3776</v>
      </c>
      <c r="B2052" s="509" t="s">
        <v>3777</v>
      </c>
      <c r="C2052" s="509"/>
      <c r="D2052" s="481" t="s">
        <v>82</v>
      </c>
      <c r="E2052" s="481"/>
      <c r="F2052" s="481"/>
      <c r="G2052" s="231" t="s">
        <v>226</v>
      </c>
      <c r="H2052" s="510">
        <v>4</v>
      </c>
      <c r="I2052" s="510"/>
      <c r="J2052" s="511">
        <v>1.1100000000000001</v>
      </c>
      <c r="K2052" s="511"/>
      <c r="L2052" s="367">
        <f>TRUNC(TRUNC(H2052,8)*J2052,2)</f>
        <v>4.4400000000000004</v>
      </c>
    </row>
    <row r="2053" spans="1:12" ht="15" customHeight="1" x14ac:dyDescent="0.25">
      <c r="A2053" s="181" t="s">
        <v>3778</v>
      </c>
      <c r="B2053" s="509" t="s">
        <v>3779</v>
      </c>
      <c r="C2053" s="509"/>
      <c r="D2053" s="481" t="s">
        <v>82</v>
      </c>
      <c r="E2053" s="481"/>
      <c r="F2053" s="481"/>
      <c r="G2053" s="231" t="s">
        <v>226</v>
      </c>
      <c r="H2053" s="510">
        <v>8</v>
      </c>
      <c r="I2053" s="510"/>
      <c r="J2053" s="511">
        <v>0.28000000000000003</v>
      </c>
      <c r="K2053" s="511"/>
      <c r="L2053" s="367">
        <f>TRUNC(TRUNC(H2053,8)*J2053,2)</f>
        <v>2.2400000000000002</v>
      </c>
    </row>
    <row r="2054" spans="1:12" ht="29.1" customHeight="1" x14ac:dyDescent="0.25">
      <c r="A2054" s="181" t="s">
        <v>3701</v>
      </c>
      <c r="B2054" s="509" t="s">
        <v>3702</v>
      </c>
      <c r="C2054" s="509"/>
      <c r="D2054" s="481" t="s">
        <v>82</v>
      </c>
      <c r="E2054" s="481"/>
      <c r="F2054" s="481"/>
      <c r="G2054" s="231" t="s">
        <v>226</v>
      </c>
      <c r="H2054" s="510">
        <v>10</v>
      </c>
      <c r="I2054" s="510"/>
      <c r="J2054" s="511">
        <v>1.1499999999999999</v>
      </c>
      <c r="K2054" s="511"/>
      <c r="L2054" s="367">
        <f>TRUNC(TRUNC(H2054,8)*J2054,2)</f>
        <v>11.5</v>
      </c>
    </row>
    <row r="2055" spans="1:12" ht="15" customHeight="1" x14ac:dyDescent="0.25">
      <c r="A2055" s="181" t="s">
        <v>3780</v>
      </c>
      <c r="B2055" s="509" t="s">
        <v>3781</v>
      </c>
      <c r="C2055" s="509"/>
      <c r="D2055" s="481" t="s">
        <v>82</v>
      </c>
      <c r="E2055" s="481"/>
      <c r="F2055" s="481"/>
      <c r="G2055" s="231" t="s">
        <v>188</v>
      </c>
      <c r="H2055" s="510">
        <v>1.28</v>
      </c>
      <c r="I2055" s="510"/>
      <c r="J2055" s="511">
        <v>3.43</v>
      </c>
      <c r="K2055" s="511"/>
      <c r="L2055" s="367">
        <f>TRUNC(TRUNC(H2055,8)*J2055,2)</f>
        <v>4.3899999999999997</v>
      </c>
    </row>
    <row r="2056" spans="1:12" ht="15" customHeight="1" x14ac:dyDescent="0.25">
      <c r="A2056" s="182"/>
      <c r="B2056" s="183"/>
      <c r="C2056" s="183"/>
      <c r="D2056" s="183"/>
      <c r="E2056" s="183"/>
      <c r="F2056" s="183"/>
      <c r="G2056" s="183"/>
      <c r="H2056" s="477" t="s">
        <v>1826</v>
      </c>
      <c r="I2056" s="477"/>
      <c r="J2056" s="477"/>
      <c r="K2056" s="477"/>
      <c r="L2056" s="368">
        <f>SUM(L2051:L2055)</f>
        <v>28.450000000000003</v>
      </c>
    </row>
    <row r="2057" spans="1:12" ht="15" customHeight="1" x14ac:dyDescent="0.25">
      <c r="A2057" s="474" t="s">
        <v>2190</v>
      </c>
      <c r="B2057" s="475"/>
      <c r="C2057" s="475"/>
      <c r="D2057" s="476" t="s">
        <v>42</v>
      </c>
      <c r="E2057" s="476"/>
      <c r="F2057" s="476"/>
      <c r="G2057" s="230" t="s">
        <v>44</v>
      </c>
      <c r="H2057" s="476" t="s">
        <v>1813</v>
      </c>
      <c r="I2057" s="476"/>
      <c r="J2057" s="476" t="s">
        <v>1814</v>
      </c>
      <c r="K2057" s="476"/>
      <c r="L2057" s="366" t="s">
        <v>1802</v>
      </c>
    </row>
    <row r="2058" spans="1:12" ht="21" customHeight="1" x14ac:dyDescent="0.25">
      <c r="A2058" s="181" t="s">
        <v>3782</v>
      </c>
      <c r="B2058" s="509" t="s">
        <v>3783</v>
      </c>
      <c r="C2058" s="509"/>
      <c r="D2058" s="481" t="s">
        <v>82</v>
      </c>
      <c r="E2058" s="481"/>
      <c r="F2058" s="481"/>
      <c r="G2058" s="231" t="s">
        <v>1024</v>
      </c>
      <c r="H2058" s="510">
        <v>5.0091000000000001</v>
      </c>
      <c r="I2058" s="510"/>
      <c r="J2058" s="511">
        <v>29.3</v>
      </c>
      <c r="K2058" s="511"/>
      <c r="L2058" s="367">
        <f>TRUNC(TRUNC(H2058,8)*J2058,2)</f>
        <v>146.76</v>
      </c>
    </row>
    <row r="2059" spans="1:12" ht="21" customHeight="1" x14ac:dyDescent="0.25">
      <c r="A2059" s="181" t="s">
        <v>3784</v>
      </c>
      <c r="B2059" s="509" t="s">
        <v>3785</v>
      </c>
      <c r="C2059" s="509"/>
      <c r="D2059" s="481" t="s">
        <v>82</v>
      </c>
      <c r="E2059" s="481"/>
      <c r="F2059" s="481"/>
      <c r="G2059" s="231" t="s">
        <v>1024</v>
      </c>
      <c r="H2059" s="510">
        <v>5.0091000000000001</v>
      </c>
      <c r="I2059" s="510"/>
      <c r="J2059" s="511">
        <v>39.14</v>
      </c>
      <c r="K2059" s="511"/>
      <c r="L2059" s="367">
        <f>TRUNC(TRUNC(H2059,8)*J2059,2)</f>
        <v>196.05</v>
      </c>
    </row>
    <row r="2060" spans="1:12" ht="18" customHeight="1" x14ac:dyDescent="0.25">
      <c r="A2060" s="182"/>
      <c r="B2060" s="183"/>
      <c r="C2060" s="183"/>
      <c r="D2060" s="183"/>
      <c r="E2060" s="183"/>
      <c r="F2060" s="183"/>
      <c r="G2060" s="183"/>
      <c r="H2060" s="477" t="s">
        <v>2195</v>
      </c>
      <c r="I2060" s="477"/>
      <c r="J2060" s="477"/>
      <c r="K2060" s="477"/>
      <c r="L2060" s="368">
        <f>SUM(L2058:L2059)</f>
        <v>342.81</v>
      </c>
    </row>
    <row r="2061" spans="1:12" ht="15" customHeight="1" x14ac:dyDescent="0.25">
      <c r="A2061" s="182"/>
      <c r="B2061" s="183"/>
      <c r="C2061" s="183"/>
      <c r="D2061" s="183"/>
      <c r="E2061" s="183"/>
      <c r="F2061" s="183"/>
      <c r="G2061" s="183"/>
      <c r="H2061" s="482" t="s">
        <v>1834</v>
      </c>
      <c r="I2061" s="482"/>
      <c r="J2061" s="482"/>
      <c r="K2061" s="482"/>
      <c r="L2061" s="369">
        <f>ROUND(SUM(L2045,L2049,L2056,L2060),2)</f>
        <v>13492.61</v>
      </c>
    </row>
    <row r="2062" spans="1:12" ht="9.9499999999999993" customHeight="1" x14ac:dyDescent="0.25">
      <c r="A2062" s="182"/>
      <c r="B2062" s="183"/>
      <c r="C2062" s="183"/>
      <c r="D2062" s="183"/>
      <c r="E2062" s="183"/>
      <c r="F2062" s="183"/>
      <c r="G2062" s="183"/>
      <c r="H2062" s="485"/>
      <c r="I2062" s="485"/>
      <c r="J2062" s="485"/>
      <c r="K2062" s="485"/>
      <c r="L2062" s="512"/>
    </row>
    <row r="2063" spans="1:12" ht="20.100000000000001" customHeight="1" x14ac:dyDescent="0.25">
      <c r="A2063" s="486" t="s">
        <v>3786</v>
      </c>
      <c r="B2063" s="487"/>
      <c r="C2063" s="487"/>
      <c r="D2063" s="487"/>
      <c r="E2063" s="487"/>
      <c r="F2063" s="487"/>
      <c r="G2063" s="487"/>
      <c r="H2063" s="487"/>
      <c r="I2063" s="487"/>
      <c r="J2063" s="487"/>
      <c r="K2063" s="487"/>
      <c r="L2063" s="513"/>
    </row>
    <row r="2064" spans="1:12" ht="15" customHeight="1" x14ac:dyDescent="0.25">
      <c r="A2064" s="474" t="s">
        <v>2443</v>
      </c>
      <c r="B2064" s="475"/>
      <c r="C2064" s="475"/>
      <c r="D2064" s="476" t="s">
        <v>42</v>
      </c>
      <c r="E2064" s="476"/>
      <c r="F2064" s="476"/>
      <c r="G2064" s="230" t="s">
        <v>44</v>
      </c>
      <c r="H2064" s="476" t="s">
        <v>1813</v>
      </c>
      <c r="I2064" s="476"/>
      <c r="J2064" s="476" t="s">
        <v>1814</v>
      </c>
      <c r="K2064" s="476"/>
      <c r="L2064" s="366" t="s">
        <v>1802</v>
      </c>
    </row>
    <row r="2065" spans="1:12" ht="29.1" customHeight="1" x14ac:dyDescent="0.25">
      <c r="A2065" s="181" t="s">
        <v>3787</v>
      </c>
      <c r="B2065" s="509" t="s">
        <v>3788</v>
      </c>
      <c r="C2065" s="509"/>
      <c r="D2065" s="481" t="s">
        <v>82</v>
      </c>
      <c r="E2065" s="481"/>
      <c r="F2065" s="481"/>
      <c r="G2065" s="231" t="s">
        <v>226</v>
      </c>
      <c r="H2065" s="510">
        <v>1</v>
      </c>
      <c r="I2065" s="510"/>
      <c r="J2065" s="511">
        <v>15697.27</v>
      </c>
      <c r="K2065" s="511"/>
      <c r="L2065" s="367">
        <f>TRUNC(TRUNC(H2065,8)*J2065,2)</f>
        <v>15697.27</v>
      </c>
    </row>
    <row r="2066" spans="1:12" ht="15" customHeight="1" x14ac:dyDescent="0.25">
      <c r="A2066" s="182"/>
      <c r="B2066" s="183"/>
      <c r="C2066" s="183"/>
      <c r="D2066" s="183"/>
      <c r="E2066" s="183"/>
      <c r="F2066" s="183"/>
      <c r="G2066" s="183"/>
      <c r="H2066" s="477" t="s">
        <v>2446</v>
      </c>
      <c r="I2066" s="477"/>
      <c r="J2066" s="477"/>
      <c r="K2066" s="477"/>
      <c r="L2066" s="368">
        <f>SUM(L2065:L2065)</f>
        <v>15697.27</v>
      </c>
    </row>
    <row r="2067" spans="1:12" ht="15" customHeight="1" x14ac:dyDescent="0.25">
      <c r="A2067" s="474" t="s">
        <v>2021</v>
      </c>
      <c r="B2067" s="475"/>
      <c r="C2067" s="475"/>
      <c r="D2067" s="476" t="s">
        <v>42</v>
      </c>
      <c r="E2067" s="476"/>
      <c r="F2067" s="476"/>
      <c r="G2067" s="230" t="s">
        <v>44</v>
      </c>
      <c r="H2067" s="476" t="s">
        <v>1813</v>
      </c>
      <c r="I2067" s="476"/>
      <c r="J2067" s="476" t="s">
        <v>1814</v>
      </c>
      <c r="K2067" s="476"/>
      <c r="L2067" s="366" t="s">
        <v>1802</v>
      </c>
    </row>
    <row r="2068" spans="1:12" ht="29.1" customHeight="1" x14ac:dyDescent="0.25">
      <c r="A2068" s="181" t="s">
        <v>3770</v>
      </c>
      <c r="B2068" s="509" t="s">
        <v>3771</v>
      </c>
      <c r="C2068" s="509"/>
      <c r="D2068" s="481" t="s">
        <v>82</v>
      </c>
      <c r="E2068" s="481"/>
      <c r="F2068" s="481"/>
      <c r="G2068" s="231" t="s">
        <v>2024</v>
      </c>
      <c r="H2068" s="510">
        <v>1.5165999999999999</v>
      </c>
      <c r="I2068" s="510"/>
      <c r="J2068" s="511">
        <v>202.27</v>
      </c>
      <c r="K2068" s="511"/>
      <c r="L2068" s="367">
        <f>TRUNC(TRUNC(H2068,8)*J2068,2)</f>
        <v>306.76</v>
      </c>
    </row>
    <row r="2069" spans="1:12" ht="29.1" customHeight="1" x14ac:dyDescent="0.25">
      <c r="A2069" s="181" t="s">
        <v>3772</v>
      </c>
      <c r="B2069" s="509" t="s">
        <v>3773</v>
      </c>
      <c r="C2069" s="509"/>
      <c r="D2069" s="481" t="s">
        <v>82</v>
      </c>
      <c r="E2069" s="481"/>
      <c r="F2069" s="481"/>
      <c r="G2069" s="231" t="s">
        <v>2027</v>
      </c>
      <c r="H2069" s="510">
        <v>0.2059</v>
      </c>
      <c r="I2069" s="510"/>
      <c r="J2069" s="511">
        <v>374.92</v>
      </c>
      <c r="K2069" s="511"/>
      <c r="L2069" s="367">
        <f>TRUNC(TRUNC(H2069,8)*J2069,2)</f>
        <v>77.19</v>
      </c>
    </row>
    <row r="2070" spans="1:12" ht="18" customHeight="1" x14ac:dyDescent="0.25">
      <c r="A2070" s="182"/>
      <c r="B2070" s="183"/>
      <c r="C2070" s="183"/>
      <c r="D2070" s="183"/>
      <c r="E2070" s="183"/>
      <c r="F2070" s="183"/>
      <c r="G2070" s="183"/>
      <c r="H2070" s="477" t="s">
        <v>2028</v>
      </c>
      <c r="I2070" s="477"/>
      <c r="J2070" s="477"/>
      <c r="K2070" s="477"/>
      <c r="L2070" s="368">
        <f>SUM(L2068:L2069)</f>
        <v>383.95</v>
      </c>
    </row>
    <row r="2071" spans="1:12" ht="15" customHeight="1" x14ac:dyDescent="0.25">
      <c r="A2071" s="474" t="s">
        <v>1812</v>
      </c>
      <c r="B2071" s="475"/>
      <c r="C2071" s="475"/>
      <c r="D2071" s="476" t="s">
        <v>42</v>
      </c>
      <c r="E2071" s="476"/>
      <c r="F2071" s="476"/>
      <c r="G2071" s="230" t="s">
        <v>44</v>
      </c>
      <c r="H2071" s="476" t="s">
        <v>1813</v>
      </c>
      <c r="I2071" s="476"/>
      <c r="J2071" s="476" t="s">
        <v>1814</v>
      </c>
      <c r="K2071" s="476"/>
      <c r="L2071" s="366" t="s">
        <v>1802</v>
      </c>
    </row>
    <row r="2072" spans="1:12" ht="29.1" customHeight="1" x14ac:dyDescent="0.25">
      <c r="A2072" s="181" t="s">
        <v>3774</v>
      </c>
      <c r="B2072" s="509" t="s">
        <v>3775</v>
      </c>
      <c r="C2072" s="509"/>
      <c r="D2072" s="481" t="s">
        <v>82</v>
      </c>
      <c r="E2072" s="481"/>
      <c r="F2072" s="481"/>
      <c r="G2072" s="231" t="s">
        <v>226</v>
      </c>
      <c r="H2072" s="510">
        <v>6</v>
      </c>
      <c r="I2072" s="510"/>
      <c r="J2072" s="511">
        <v>1.47</v>
      </c>
      <c r="K2072" s="511"/>
      <c r="L2072" s="367">
        <f>TRUNC(TRUNC(H2072,8)*J2072,2)</f>
        <v>8.82</v>
      </c>
    </row>
    <row r="2073" spans="1:12" ht="15" customHeight="1" x14ac:dyDescent="0.25">
      <c r="A2073" s="181" t="s">
        <v>3789</v>
      </c>
      <c r="B2073" s="509" t="s">
        <v>3790</v>
      </c>
      <c r="C2073" s="509"/>
      <c r="D2073" s="481" t="s">
        <v>82</v>
      </c>
      <c r="E2073" s="481"/>
      <c r="F2073" s="481"/>
      <c r="G2073" s="231" t="s">
        <v>226</v>
      </c>
      <c r="H2073" s="510">
        <v>6</v>
      </c>
      <c r="I2073" s="510"/>
      <c r="J2073" s="511">
        <v>0.37</v>
      </c>
      <c r="K2073" s="511"/>
      <c r="L2073" s="367">
        <f>TRUNC(TRUNC(H2073,8)*J2073,2)</f>
        <v>2.2200000000000002</v>
      </c>
    </row>
    <row r="2074" spans="1:12" ht="29.1" customHeight="1" x14ac:dyDescent="0.25">
      <c r="A2074" s="181" t="s">
        <v>3791</v>
      </c>
      <c r="B2074" s="509" t="s">
        <v>3792</v>
      </c>
      <c r="C2074" s="509"/>
      <c r="D2074" s="481" t="s">
        <v>82</v>
      </c>
      <c r="E2074" s="481"/>
      <c r="F2074" s="481"/>
      <c r="G2074" s="231" t="s">
        <v>226</v>
      </c>
      <c r="H2074" s="510">
        <v>4</v>
      </c>
      <c r="I2074" s="510"/>
      <c r="J2074" s="511">
        <v>0.41</v>
      </c>
      <c r="K2074" s="511"/>
      <c r="L2074" s="367">
        <f>TRUNC(TRUNC(H2074,8)*J2074,2)</f>
        <v>1.64</v>
      </c>
    </row>
    <row r="2075" spans="1:12" ht="21" customHeight="1" x14ac:dyDescent="0.25">
      <c r="A2075" s="181" t="s">
        <v>3793</v>
      </c>
      <c r="B2075" s="509" t="s">
        <v>3794</v>
      </c>
      <c r="C2075" s="509"/>
      <c r="D2075" s="481" t="s">
        <v>82</v>
      </c>
      <c r="E2075" s="481"/>
      <c r="F2075" s="481"/>
      <c r="G2075" s="231" t="s">
        <v>226</v>
      </c>
      <c r="H2075" s="510">
        <v>6</v>
      </c>
      <c r="I2075" s="510"/>
      <c r="J2075" s="511">
        <v>1.39</v>
      </c>
      <c r="K2075" s="511"/>
      <c r="L2075" s="367">
        <f>TRUNC(TRUNC(H2075,8)*J2075,2)</f>
        <v>8.34</v>
      </c>
    </row>
    <row r="2076" spans="1:12" ht="29.1" customHeight="1" x14ac:dyDescent="0.25">
      <c r="A2076" s="181" t="s">
        <v>3701</v>
      </c>
      <c r="B2076" s="509" t="s">
        <v>3702</v>
      </c>
      <c r="C2076" s="509"/>
      <c r="D2076" s="481" t="s">
        <v>82</v>
      </c>
      <c r="E2076" s="481"/>
      <c r="F2076" s="481"/>
      <c r="G2076" s="231" t="s">
        <v>226</v>
      </c>
      <c r="H2076" s="510">
        <v>10</v>
      </c>
      <c r="I2076" s="510"/>
      <c r="J2076" s="511">
        <v>1.1499999999999999</v>
      </c>
      <c r="K2076" s="511"/>
      <c r="L2076" s="367">
        <f>TRUNC(TRUNC(H2076,8)*J2076,2)</f>
        <v>11.5</v>
      </c>
    </row>
    <row r="2077" spans="1:12" ht="15" customHeight="1" x14ac:dyDescent="0.25">
      <c r="A2077" s="182"/>
      <c r="B2077" s="183"/>
      <c r="C2077" s="183"/>
      <c r="D2077" s="183"/>
      <c r="E2077" s="183"/>
      <c r="F2077" s="183"/>
      <c r="G2077" s="183"/>
      <c r="H2077" s="477" t="s">
        <v>1826</v>
      </c>
      <c r="I2077" s="477"/>
      <c r="J2077" s="477"/>
      <c r="K2077" s="477"/>
      <c r="L2077" s="368">
        <f>SUM(L2072:L2076)</f>
        <v>32.520000000000003</v>
      </c>
    </row>
    <row r="2078" spans="1:12" ht="15" customHeight="1" x14ac:dyDescent="0.25">
      <c r="A2078" s="474" t="s">
        <v>2190</v>
      </c>
      <c r="B2078" s="475"/>
      <c r="C2078" s="475"/>
      <c r="D2078" s="476" t="s">
        <v>42</v>
      </c>
      <c r="E2078" s="476"/>
      <c r="F2078" s="476"/>
      <c r="G2078" s="230" t="s">
        <v>44</v>
      </c>
      <c r="H2078" s="476" t="s">
        <v>1813</v>
      </c>
      <c r="I2078" s="476"/>
      <c r="J2078" s="476" t="s">
        <v>1814</v>
      </c>
      <c r="K2078" s="476"/>
      <c r="L2078" s="366" t="s">
        <v>1802</v>
      </c>
    </row>
    <row r="2079" spans="1:12" ht="21" customHeight="1" x14ac:dyDescent="0.25">
      <c r="A2079" s="181" t="s">
        <v>3782</v>
      </c>
      <c r="B2079" s="509" t="s">
        <v>3783</v>
      </c>
      <c r="C2079" s="509"/>
      <c r="D2079" s="481" t="s">
        <v>82</v>
      </c>
      <c r="E2079" s="481"/>
      <c r="F2079" s="481"/>
      <c r="G2079" s="231" t="s">
        <v>1024</v>
      </c>
      <c r="H2079" s="510">
        <v>4.5749000000000004</v>
      </c>
      <c r="I2079" s="510"/>
      <c r="J2079" s="511">
        <v>29.3</v>
      </c>
      <c r="K2079" s="511"/>
      <c r="L2079" s="367">
        <f>TRUNC(TRUNC(H2079,8)*J2079,2)</f>
        <v>134.04</v>
      </c>
    </row>
    <row r="2080" spans="1:12" ht="21" customHeight="1" x14ac:dyDescent="0.25">
      <c r="A2080" s="181" t="s">
        <v>3784</v>
      </c>
      <c r="B2080" s="509" t="s">
        <v>3785</v>
      </c>
      <c r="C2080" s="509"/>
      <c r="D2080" s="481" t="s">
        <v>82</v>
      </c>
      <c r="E2080" s="481"/>
      <c r="F2080" s="481"/>
      <c r="G2080" s="231" t="s">
        <v>1024</v>
      </c>
      <c r="H2080" s="510">
        <v>4.5749000000000004</v>
      </c>
      <c r="I2080" s="510"/>
      <c r="J2080" s="511">
        <v>39.14</v>
      </c>
      <c r="K2080" s="511"/>
      <c r="L2080" s="367">
        <f>TRUNC(TRUNC(H2080,8)*J2080,2)</f>
        <v>179.06</v>
      </c>
    </row>
    <row r="2081" spans="1:12" ht="18" customHeight="1" x14ac:dyDescent="0.25">
      <c r="A2081" s="182"/>
      <c r="B2081" s="183"/>
      <c r="C2081" s="183"/>
      <c r="D2081" s="183"/>
      <c r="E2081" s="183"/>
      <c r="F2081" s="183"/>
      <c r="G2081" s="183"/>
      <c r="H2081" s="477" t="s">
        <v>2195</v>
      </c>
      <c r="I2081" s="477"/>
      <c r="J2081" s="477"/>
      <c r="K2081" s="477"/>
      <c r="L2081" s="368">
        <f>SUM(L2079:L2080)</f>
        <v>313.10000000000002</v>
      </c>
    </row>
    <row r="2082" spans="1:12" ht="15" customHeight="1" x14ac:dyDescent="0.25">
      <c r="A2082" s="182"/>
      <c r="B2082" s="183"/>
      <c r="C2082" s="183"/>
      <c r="D2082" s="183"/>
      <c r="E2082" s="183"/>
      <c r="F2082" s="183"/>
      <c r="G2082" s="183"/>
      <c r="H2082" s="482" t="s">
        <v>1834</v>
      </c>
      <c r="I2082" s="482"/>
      <c r="J2082" s="482"/>
      <c r="K2082" s="482"/>
      <c r="L2082" s="369">
        <f>ROUND(SUM(L2066,L2070,L2077,L2081),2)</f>
        <v>16426.84</v>
      </c>
    </row>
    <row r="2083" spans="1:12" ht="9.9499999999999993" customHeight="1" x14ac:dyDescent="0.25">
      <c r="A2083" s="182"/>
      <c r="B2083" s="183"/>
      <c r="C2083" s="183"/>
      <c r="D2083" s="183"/>
      <c r="E2083" s="183"/>
      <c r="F2083" s="183"/>
      <c r="G2083" s="183"/>
      <c r="H2083" s="485"/>
      <c r="I2083" s="485"/>
      <c r="J2083" s="485"/>
      <c r="K2083" s="485"/>
      <c r="L2083" s="512"/>
    </row>
    <row r="2084" spans="1:12" ht="20.100000000000001" customHeight="1" x14ac:dyDescent="0.25">
      <c r="A2084" s="486" t="s">
        <v>3795</v>
      </c>
      <c r="B2084" s="487"/>
      <c r="C2084" s="487"/>
      <c r="D2084" s="487"/>
      <c r="E2084" s="487"/>
      <c r="F2084" s="487"/>
      <c r="G2084" s="487"/>
      <c r="H2084" s="487"/>
      <c r="I2084" s="487"/>
      <c r="J2084" s="487"/>
      <c r="K2084" s="487"/>
      <c r="L2084" s="513"/>
    </row>
    <row r="2085" spans="1:12" ht="15" customHeight="1" x14ac:dyDescent="0.25">
      <c r="A2085" s="474" t="s">
        <v>2443</v>
      </c>
      <c r="B2085" s="475"/>
      <c r="C2085" s="475"/>
      <c r="D2085" s="476" t="s">
        <v>42</v>
      </c>
      <c r="E2085" s="476"/>
      <c r="F2085" s="476"/>
      <c r="G2085" s="230" t="s">
        <v>44</v>
      </c>
      <c r="H2085" s="476" t="s">
        <v>1813</v>
      </c>
      <c r="I2085" s="476"/>
      <c r="J2085" s="476" t="s">
        <v>1814</v>
      </c>
      <c r="K2085" s="476"/>
      <c r="L2085" s="366" t="s">
        <v>1802</v>
      </c>
    </row>
    <row r="2086" spans="1:12" ht="29.1" customHeight="1" x14ac:dyDescent="0.25">
      <c r="A2086" s="181" t="s">
        <v>3796</v>
      </c>
      <c r="B2086" s="509" t="s">
        <v>3797</v>
      </c>
      <c r="C2086" s="509"/>
      <c r="D2086" s="481" t="s">
        <v>82</v>
      </c>
      <c r="E2086" s="481"/>
      <c r="F2086" s="481"/>
      <c r="G2086" s="231" t="s">
        <v>226</v>
      </c>
      <c r="H2086" s="510">
        <v>1</v>
      </c>
      <c r="I2086" s="510"/>
      <c r="J2086" s="511">
        <v>4805.4799999999996</v>
      </c>
      <c r="K2086" s="511"/>
      <c r="L2086" s="367">
        <f>TRUNC(TRUNC(H2086,8)*J2086,2)</f>
        <v>4805.4799999999996</v>
      </c>
    </row>
    <row r="2087" spans="1:12" ht="15" customHeight="1" x14ac:dyDescent="0.25">
      <c r="A2087" s="182"/>
      <c r="B2087" s="183"/>
      <c r="C2087" s="183"/>
      <c r="D2087" s="183"/>
      <c r="E2087" s="183"/>
      <c r="F2087" s="183"/>
      <c r="G2087" s="183"/>
      <c r="H2087" s="477" t="s">
        <v>2446</v>
      </c>
      <c r="I2087" s="477"/>
      <c r="J2087" s="477"/>
      <c r="K2087" s="477"/>
      <c r="L2087" s="368">
        <f>SUM(L2086:L2086)</f>
        <v>4805.4799999999996</v>
      </c>
    </row>
    <row r="2088" spans="1:12" ht="15" customHeight="1" x14ac:dyDescent="0.25">
      <c r="A2088" s="474" t="s">
        <v>1812</v>
      </c>
      <c r="B2088" s="475"/>
      <c r="C2088" s="475"/>
      <c r="D2088" s="476" t="s">
        <v>42</v>
      </c>
      <c r="E2088" s="476"/>
      <c r="F2088" s="476"/>
      <c r="G2088" s="230" t="s">
        <v>44</v>
      </c>
      <c r="H2088" s="476" t="s">
        <v>1813</v>
      </c>
      <c r="I2088" s="476"/>
      <c r="J2088" s="476" t="s">
        <v>1814</v>
      </c>
      <c r="K2088" s="476"/>
      <c r="L2088" s="366" t="s">
        <v>1802</v>
      </c>
    </row>
    <row r="2089" spans="1:12" ht="29.1" customHeight="1" x14ac:dyDescent="0.25">
      <c r="A2089" s="181" t="s">
        <v>1918</v>
      </c>
      <c r="B2089" s="509" t="s">
        <v>1919</v>
      </c>
      <c r="C2089" s="509"/>
      <c r="D2089" s="481" t="s">
        <v>82</v>
      </c>
      <c r="E2089" s="481"/>
      <c r="F2089" s="481"/>
      <c r="G2089" s="231" t="s">
        <v>226</v>
      </c>
      <c r="H2089" s="510">
        <v>9</v>
      </c>
      <c r="I2089" s="510"/>
      <c r="J2089" s="511">
        <v>0.61</v>
      </c>
      <c r="K2089" s="511"/>
      <c r="L2089" s="367">
        <f>TRUNC(TRUNC(H2089,8)*J2089,2)</f>
        <v>5.49</v>
      </c>
    </row>
    <row r="2090" spans="1:12" ht="21" customHeight="1" x14ac:dyDescent="0.25">
      <c r="A2090" s="181" t="s">
        <v>3776</v>
      </c>
      <c r="B2090" s="509" t="s">
        <v>3777</v>
      </c>
      <c r="C2090" s="509"/>
      <c r="D2090" s="481" t="s">
        <v>82</v>
      </c>
      <c r="E2090" s="481"/>
      <c r="F2090" s="481"/>
      <c r="G2090" s="231" t="s">
        <v>226</v>
      </c>
      <c r="H2090" s="510">
        <v>6</v>
      </c>
      <c r="I2090" s="510"/>
      <c r="J2090" s="511">
        <v>1.1100000000000001</v>
      </c>
      <c r="K2090" s="511"/>
      <c r="L2090" s="367">
        <f>TRUNC(TRUNC(H2090,8)*J2090,2)</f>
        <v>6.66</v>
      </c>
    </row>
    <row r="2091" spans="1:12" ht="29.1" customHeight="1" x14ac:dyDescent="0.25">
      <c r="A2091" s="181" t="s">
        <v>3791</v>
      </c>
      <c r="B2091" s="509" t="s">
        <v>3792</v>
      </c>
      <c r="C2091" s="509"/>
      <c r="D2091" s="481" t="s">
        <v>82</v>
      </c>
      <c r="E2091" s="481"/>
      <c r="F2091" s="481"/>
      <c r="G2091" s="231" t="s">
        <v>226</v>
      </c>
      <c r="H2091" s="510">
        <v>4</v>
      </c>
      <c r="I2091" s="510"/>
      <c r="J2091" s="511">
        <v>0.41</v>
      </c>
      <c r="K2091" s="511"/>
      <c r="L2091" s="367">
        <f>TRUNC(TRUNC(H2091,8)*J2091,2)</f>
        <v>1.64</v>
      </c>
    </row>
    <row r="2092" spans="1:12" ht="21" customHeight="1" x14ac:dyDescent="0.25">
      <c r="A2092" s="181" t="s">
        <v>3798</v>
      </c>
      <c r="B2092" s="509" t="s">
        <v>3799</v>
      </c>
      <c r="C2092" s="509"/>
      <c r="D2092" s="481" t="s">
        <v>82</v>
      </c>
      <c r="E2092" s="481"/>
      <c r="F2092" s="481"/>
      <c r="G2092" s="231" t="s">
        <v>226</v>
      </c>
      <c r="H2092" s="510">
        <v>2</v>
      </c>
      <c r="I2092" s="510"/>
      <c r="J2092" s="511">
        <v>20.27</v>
      </c>
      <c r="K2092" s="511"/>
      <c r="L2092" s="367">
        <f>TRUNC(TRUNC(H2092,8)*J2092,2)</f>
        <v>40.54</v>
      </c>
    </row>
    <row r="2093" spans="1:12" ht="29.1" customHeight="1" x14ac:dyDescent="0.25">
      <c r="A2093" s="181" t="s">
        <v>3701</v>
      </c>
      <c r="B2093" s="509" t="s">
        <v>3702</v>
      </c>
      <c r="C2093" s="509"/>
      <c r="D2093" s="481" t="s">
        <v>82</v>
      </c>
      <c r="E2093" s="481"/>
      <c r="F2093" s="481"/>
      <c r="G2093" s="231" t="s">
        <v>226</v>
      </c>
      <c r="H2093" s="510">
        <v>10</v>
      </c>
      <c r="I2093" s="510"/>
      <c r="J2093" s="511">
        <v>1.1499999999999999</v>
      </c>
      <c r="K2093" s="511"/>
      <c r="L2093" s="367">
        <f>TRUNC(TRUNC(H2093,8)*J2093,2)</f>
        <v>11.5</v>
      </c>
    </row>
    <row r="2094" spans="1:12" ht="15" customHeight="1" x14ac:dyDescent="0.25">
      <c r="A2094" s="182"/>
      <c r="B2094" s="183"/>
      <c r="C2094" s="183"/>
      <c r="D2094" s="183"/>
      <c r="E2094" s="183"/>
      <c r="F2094" s="183"/>
      <c r="G2094" s="183"/>
      <c r="H2094" s="477" t="s">
        <v>1826</v>
      </c>
      <c r="I2094" s="477"/>
      <c r="J2094" s="477"/>
      <c r="K2094" s="477"/>
      <c r="L2094" s="368">
        <f>SUM(L2089:L2093)</f>
        <v>65.83</v>
      </c>
    </row>
    <row r="2095" spans="1:12" ht="15" customHeight="1" x14ac:dyDescent="0.25">
      <c r="A2095" s="474" t="s">
        <v>2190</v>
      </c>
      <c r="B2095" s="475"/>
      <c r="C2095" s="475"/>
      <c r="D2095" s="476" t="s">
        <v>42</v>
      </c>
      <c r="E2095" s="476"/>
      <c r="F2095" s="476"/>
      <c r="G2095" s="230" t="s">
        <v>44</v>
      </c>
      <c r="H2095" s="476" t="s">
        <v>1813</v>
      </c>
      <c r="I2095" s="476"/>
      <c r="J2095" s="476" t="s">
        <v>1814</v>
      </c>
      <c r="K2095" s="476"/>
      <c r="L2095" s="366" t="s">
        <v>1802</v>
      </c>
    </row>
    <row r="2096" spans="1:12" ht="21" customHeight="1" x14ac:dyDescent="0.25">
      <c r="A2096" s="181" t="s">
        <v>3782</v>
      </c>
      <c r="B2096" s="509" t="s">
        <v>3783</v>
      </c>
      <c r="C2096" s="509"/>
      <c r="D2096" s="481" t="s">
        <v>82</v>
      </c>
      <c r="E2096" s="481"/>
      <c r="F2096" s="481"/>
      <c r="G2096" s="231" t="s">
        <v>1024</v>
      </c>
      <c r="H2096" s="510">
        <v>2.6335000000000002</v>
      </c>
      <c r="I2096" s="510"/>
      <c r="J2096" s="511">
        <v>29.3</v>
      </c>
      <c r="K2096" s="511"/>
      <c r="L2096" s="367">
        <f>TRUNC(TRUNC(H2096,8)*J2096,2)</f>
        <v>77.16</v>
      </c>
    </row>
    <row r="2097" spans="1:12" ht="21" customHeight="1" x14ac:dyDescent="0.25">
      <c r="A2097" s="181" t="s">
        <v>3784</v>
      </c>
      <c r="B2097" s="509" t="s">
        <v>3785</v>
      </c>
      <c r="C2097" s="509"/>
      <c r="D2097" s="481" t="s">
        <v>82</v>
      </c>
      <c r="E2097" s="481"/>
      <c r="F2097" s="481"/>
      <c r="G2097" s="231" t="s">
        <v>1024</v>
      </c>
      <c r="H2097" s="510">
        <v>2.6335000000000002</v>
      </c>
      <c r="I2097" s="510"/>
      <c r="J2097" s="511">
        <v>39.14</v>
      </c>
      <c r="K2097" s="511"/>
      <c r="L2097" s="367">
        <f>TRUNC(TRUNC(H2097,8)*J2097,2)</f>
        <v>103.07</v>
      </c>
    </row>
    <row r="2098" spans="1:12" ht="18" customHeight="1" x14ac:dyDescent="0.25">
      <c r="A2098" s="182"/>
      <c r="B2098" s="183"/>
      <c r="C2098" s="183"/>
      <c r="D2098" s="183"/>
      <c r="E2098" s="183"/>
      <c r="F2098" s="183"/>
      <c r="G2098" s="183"/>
      <c r="H2098" s="477" t="s">
        <v>2195</v>
      </c>
      <c r="I2098" s="477"/>
      <c r="J2098" s="477"/>
      <c r="K2098" s="477"/>
      <c r="L2098" s="368">
        <f>SUM(L2096:L2097)</f>
        <v>180.23</v>
      </c>
    </row>
    <row r="2099" spans="1:12" ht="15" customHeight="1" x14ac:dyDescent="0.25">
      <c r="A2099" s="182"/>
      <c r="B2099" s="183"/>
      <c r="C2099" s="183"/>
      <c r="D2099" s="183"/>
      <c r="E2099" s="183"/>
      <c r="F2099" s="183"/>
      <c r="G2099" s="183"/>
      <c r="H2099" s="482" t="s">
        <v>1834</v>
      </c>
      <c r="I2099" s="482"/>
      <c r="J2099" s="482"/>
      <c r="K2099" s="482"/>
      <c r="L2099" s="369">
        <f>ROUND(SUM(L2087,L2094,L2098),2)</f>
        <v>5051.54</v>
      </c>
    </row>
    <row r="2100" spans="1:12" ht="9.9499999999999993" customHeight="1" x14ac:dyDescent="0.25">
      <c r="A2100" s="182"/>
      <c r="B2100" s="183"/>
      <c r="C2100" s="183"/>
      <c r="D2100" s="183"/>
      <c r="E2100" s="183"/>
      <c r="F2100" s="183"/>
      <c r="G2100" s="183"/>
      <c r="H2100" s="485"/>
      <c r="I2100" s="485"/>
      <c r="J2100" s="485"/>
      <c r="K2100" s="485"/>
      <c r="L2100" s="512"/>
    </row>
    <row r="2101" spans="1:12" ht="20.100000000000001" customHeight="1" x14ac:dyDescent="0.25">
      <c r="A2101" s="486" t="s">
        <v>2223</v>
      </c>
      <c r="B2101" s="487"/>
      <c r="C2101" s="487"/>
      <c r="D2101" s="487"/>
      <c r="E2101" s="487"/>
      <c r="F2101" s="487"/>
      <c r="G2101" s="487"/>
      <c r="H2101" s="487"/>
      <c r="I2101" s="487"/>
      <c r="J2101" s="487"/>
      <c r="K2101" s="487"/>
      <c r="L2101" s="513"/>
    </row>
    <row r="2102" spans="1:12" ht="15" customHeight="1" x14ac:dyDescent="0.25">
      <c r="A2102" s="474" t="s">
        <v>1812</v>
      </c>
      <c r="B2102" s="475"/>
      <c r="C2102" s="475"/>
      <c r="D2102" s="476" t="s">
        <v>42</v>
      </c>
      <c r="E2102" s="476"/>
      <c r="F2102" s="476"/>
      <c r="G2102" s="230" t="s">
        <v>44</v>
      </c>
      <c r="H2102" s="476" t="s">
        <v>1813</v>
      </c>
      <c r="I2102" s="476"/>
      <c r="J2102" s="476" t="s">
        <v>1814</v>
      </c>
      <c r="K2102" s="476"/>
      <c r="L2102" s="366" t="s">
        <v>1802</v>
      </c>
    </row>
    <row r="2103" spans="1:12" ht="21" customHeight="1" x14ac:dyDescent="0.25">
      <c r="A2103" s="181" t="s">
        <v>2224</v>
      </c>
      <c r="B2103" s="509" t="s">
        <v>2225</v>
      </c>
      <c r="C2103" s="509"/>
      <c r="D2103" s="481" t="s">
        <v>1859</v>
      </c>
      <c r="E2103" s="481"/>
      <c r="F2103" s="481"/>
      <c r="G2103" s="231" t="s">
        <v>226</v>
      </c>
      <c r="H2103" s="510">
        <v>1</v>
      </c>
      <c r="I2103" s="510"/>
      <c r="J2103" s="511">
        <v>737.57</v>
      </c>
      <c r="K2103" s="511"/>
      <c r="L2103" s="367">
        <f>ROUND(ROUND(H2103,8)*J2103,2)</f>
        <v>737.57</v>
      </c>
    </row>
    <row r="2104" spans="1:12" ht="15" customHeight="1" x14ac:dyDescent="0.25">
      <c r="A2104" s="182"/>
      <c r="B2104" s="183"/>
      <c r="C2104" s="183"/>
      <c r="D2104" s="183"/>
      <c r="E2104" s="183"/>
      <c r="F2104" s="183"/>
      <c r="G2104" s="183"/>
      <c r="H2104" s="477" t="s">
        <v>1826</v>
      </c>
      <c r="I2104" s="477"/>
      <c r="J2104" s="477"/>
      <c r="K2104" s="477"/>
      <c r="L2104" s="368">
        <f>SUM(L2103:L2103)</f>
        <v>737.57</v>
      </c>
    </row>
    <row r="2105" spans="1:12" ht="15" customHeight="1" x14ac:dyDescent="0.25">
      <c r="A2105" s="474" t="s">
        <v>1827</v>
      </c>
      <c r="B2105" s="475"/>
      <c r="C2105" s="475"/>
      <c r="D2105" s="476" t="s">
        <v>42</v>
      </c>
      <c r="E2105" s="476"/>
      <c r="F2105" s="476"/>
      <c r="G2105" s="230" t="s">
        <v>44</v>
      </c>
      <c r="H2105" s="476" t="s">
        <v>1813</v>
      </c>
      <c r="I2105" s="476"/>
      <c r="J2105" s="476" t="s">
        <v>1814</v>
      </c>
      <c r="K2105" s="476"/>
      <c r="L2105" s="366" t="s">
        <v>1802</v>
      </c>
    </row>
    <row r="2106" spans="1:12" ht="15" customHeight="1" x14ac:dyDescent="0.25">
      <c r="A2106" s="181" t="s">
        <v>2178</v>
      </c>
      <c r="B2106" s="509" t="s">
        <v>2179</v>
      </c>
      <c r="C2106" s="509"/>
      <c r="D2106" s="481" t="s">
        <v>51</v>
      </c>
      <c r="E2106" s="481"/>
      <c r="F2106" s="481"/>
      <c r="G2106" s="231" t="s">
        <v>1024</v>
      </c>
      <c r="H2106" s="510">
        <v>0.1</v>
      </c>
      <c r="I2106" s="510"/>
      <c r="J2106" s="511">
        <v>26.03</v>
      </c>
      <c r="K2106" s="511"/>
      <c r="L2106" s="367">
        <f>ROUND(ROUND(H2106,8)*J2106,2)</f>
        <v>2.6</v>
      </c>
    </row>
    <row r="2107" spans="1:12" ht="15" customHeight="1" x14ac:dyDescent="0.25">
      <c r="A2107" s="181" t="s">
        <v>1830</v>
      </c>
      <c r="B2107" s="509" t="s">
        <v>1831</v>
      </c>
      <c r="C2107" s="509"/>
      <c r="D2107" s="481" t="s">
        <v>51</v>
      </c>
      <c r="E2107" s="481"/>
      <c r="F2107" s="481"/>
      <c r="G2107" s="231" t="s">
        <v>1024</v>
      </c>
      <c r="H2107" s="510">
        <v>0.5</v>
      </c>
      <c r="I2107" s="510"/>
      <c r="J2107" s="511">
        <v>19.68</v>
      </c>
      <c r="K2107" s="511"/>
      <c r="L2107" s="367">
        <f>ROUND(ROUND(H2107,8)*J2107,2)</f>
        <v>9.84</v>
      </c>
    </row>
    <row r="2108" spans="1:12" ht="15" customHeight="1" x14ac:dyDescent="0.25">
      <c r="A2108" s="182"/>
      <c r="B2108" s="183"/>
      <c r="C2108" s="183"/>
      <c r="D2108" s="183"/>
      <c r="E2108" s="183"/>
      <c r="F2108" s="183"/>
      <c r="G2108" s="183"/>
      <c r="H2108" s="477" t="s">
        <v>1832</v>
      </c>
      <c r="I2108" s="477"/>
      <c r="J2108" s="477"/>
      <c r="K2108" s="477"/>
      <c r="L2108" s="368">
        <f>SUM(L2106:L2107)</f>
        <v>12.44</v>
      </c>
    </row>
    <row r="2109" spans="1:12" ht="15" customHeight="1" x14ac:dyDescent="0.25">
      <c r="A2109" s="483" t="s">
        <v>2226</v>
      </c>
      <c r="B2109" s="484"/>
      <c r="C2109" s="484"/>
      <c r="D2109" s="484"/>
      <c r="E2109" s="183"/>
      <c r="F2109" s="183"/>
      <c r="G2109" s="183"/>
      <c r="H2109" s="482" t="s">
        <v>1834</v>
      </c>
      <c r="I2109" s="482"/>
      <c r="J2109" s="482"/>
      <c r="K2109" s="482"/>
      <c r="L2109" s="369">
        <v>750.01</v>
      </c>
    </row>
    <row r="2110" spans="1:12" ht="2.1" customHeight="1" x14ac:dyDescent="0.25">
      <c r="A2110" s="483"/>
      <c r="B2110" s="484"/>
      <c r="C2110" s="484"/>
      <c r="D2110" s="484"/>
      <c r="E2110" s="183"/>
      <c r="F2110" s="183"/>
      <c r="G2110" s="183"/>
      <c r="H2110" s="183"/>
      <c r="I2110" s="183"/>
      <c r="J2110" s="183"/>
      <c r="K2110" s="183"/>
      <c r="L2110" s="383"/>
    </row>
    <row r="2111" spans="1:12" ht="9.9499999999999993" customHeight="1" x14ac:dyDescent="0.25">
      <c r="A2111" s="182"/>
      <c r="B2111" s="183"/>
      <c r="C2111" s="183"/>
      <c r="D2111" s="183"/>
      <c r="E2111" s="183"/>
      <c r="F2111" s="183"/>
      <c r="G2111" s="183"/>
      <c r="H2111" s="485"/>
      <c r="I2111" s="485"/>
      <c r="J2111" s="485"/>
      <c r="K2111" s="485"/>
      <c r="L2111" s="512"/>
    </row>
    <row r="2112" spans="1:12" ht="20.100000000000001" customHeight="1" x14ac:dyDescent="0.25">
      <c r="A2112" s="486" t="s">
        <v>3800</v>
      </c>
      <c r="B2112" s="487"/>
      <c r="C2112" s="487"/>
      <c r="D2112" s="487"/>
      <c r="E2112" s="487"/>
      <c r="F2112" s="487"/>
      <c r="G2112" s="487"/>
      <c r="H2112" s="487"/>
      <c r="I2112" s="487"/>
      <c r="J2112" s="487"/>
      <c r="K2112" s="487"/>
      <c r="L2112" s="513"/>
    </row>
    <row r="2113" spans="1:12" ht="20.100000000000001" customHeight="1" x14ac:dyDescent="0.25">
      <c r="A2113" s="488" t="s">
        <v>1836</v>
      </c>
      <c r="B2113" s="489"/>
      <c r="C2113" s="489"/>
      <c r="D2113" s="489"/>
      <c r="E2113" s="489"/>
      <c r="F2113" s="489"/>
      <c r="G2113" s="233" t="s">
        <v>44</v>
      </c>
      <c r="H2113" s="515" t="s">
        <v>1837</v>
      </c>
      <c r="I2113" s="515"/>
      <c r="J2113" s="515" t="s">
        <v>1838</v>
      </c>
      <c r="K2113" s="515"/>
      <c r="L2113" s="169" t="s">
        <v>1839</v>
      </c>
    </row>
    <row r="2114" spans="1:12" ht="15" customHeight="1" x14ac:dyDescent="0.25">
      <c r="A2114" s="170" t="s">
        <v>1840</v>
      </c>
      <c r="B2114" s="490" t="s">
        <v>1841</v>
      </c>
      <c r="C2114" s="490"/>
      <c r="D2114" s="490"/>
      <c r="E2114" s="490"/>
      <c r="F2114" s="490"/>
      <c r="G2114" s="127" t="s">
        <v>1024</v>
      </c>
      <c r="H2114" s="524">
        <v>0.45</v>
      </c>
      <c r="I2114" s="524"/>
      <c r="J2114" s="517">
        <v>21.94</v>
      </c>
      <c r="K2114" s="517"/>
      <c r="L2114" s="370">
        <f>TRUNC(TRUNC(H2114,8)*J2114,2)</f>
        <v>9.8699999999999992</v>
      </c>
    </row>
    <row r="2115" spans="1:12" ht="15" customHeight="1" x14ac:dyDescent="0.25">
      <c r="A2115" s="170" t="s">
        <v>2178</v>
      </c>
      <c r="B2115" s="490" t="s">
        <v>2179</v>
      </c>
      <c r="C2115" s="490"/>
      <c r="D2115" s="490"/>
      <c r="E2115" s="490"/>
      <c r="F2115" s="490"/>
      <c r="G2115" s="127" t="s">
        <v>1024</v>
      </c>
      <c r="H2115" s="524">
        <v>0.45</v>
      </c>
      <c r="I2115" s="524"/>
      <c r="J2115" s="517">
        <v>26.03</v>
      </c>
      <c r="K2115" s="517"/>
      <c r="L2115" s="370">
        <f>TRUNC(TRUNC(H2115,8)*J2115,2)</f>
        <v>11.71</v>
      </c>
    </row>
    <row r="2116" spans="1:12" ht="15" customHeight="1" x14ac:dyDescent="0.25">
      <c r="A2116" s="170" t="s">
        <v>3801</v>
      </c>
      <c r="B2116" s="490" t="s">
        <v>3802</v>
      </c>
      <c r="C2116" s="490"/>
      <c r="D2116" s="490"/>
      <c r="E2116" s="490"/>
      <c r="F2116" s="490"/>
      <c r="G2116" s="127" t="s">
        <v>1024</v>
      </c>
      <c r="H2116" s="524">
        <v>0.45</v>
      </c>
      <c r="I2116" s="524"/>
      <c r="J2116" s="517">
        <v>24.8</v>
      </c>
      <c r="K2116" s="517"/>
      <c r="L2116" s="370">
        <f>TRUNC(TRUNC(H2116,8)*J2116,2)</f>
        <v>11.16</v>
      </c>
    </row>
    <row r="2117" spans="1:12" ht="15" customHeight="1" x14ac:dyDescent="0.25">
      <c r="A2117" s="170" t="s">
        <v>3803</v>
      </c>
      <c r="B2117" s="490" t="s">
        <v>3804</v>
      </c>
      <c r="C2117" s="490"/>
      <c r="D2117" s="490"/>
      <c r="E2117" s="490"/>
      <c r="F2117" s="490"/>
      <c r="G2117" s="127" t="s">
        <v>1024</v>
      </c>
      <c r="H2117" s="524">
        <v>0.45</v>
      </c>
      <c r="I2117" s="524"/>
      <c r="J2117" s="517">
        <v>41.98</v>
      </c>
      <c r="K2117" s="517"/>
      <c r="L2117" s="370">
        <f>TRUNC(TRUNC(H2117,8)*J2117,2)</f>
        <v>18.89</v>
      </c>
    </row>
    <row r="2118" spans="1:12" ht="15" customHeight="1" x14ac:dyDescent="0.25">
      <c r="A2118" s="184"/>
      <c r="B2118" s="141"/>
      <c r="C2118" s="141"/>
      <c r="D2118" s="141"/>
      <c r="E2118" s="141"/>
      <c r="F2118" s="141"/>
      <c r="G2118" s="141"/>
      <c r="H2118" s="491" t="s">
        <v>1844</v>
      </c>
      <c r="I2118" s="491"/>
      <c r="J2118" s="491"/>
      <c r="K2118" s="491"/>
      <c r="L2118" s="369">
        <f>SUM(L2114:L2117)</f>
        <v>51.629999999999995</v>
      </c>
    </row>
    <row r="2119" spans="1:12" ht="15" customHeight="1" x14ac:dyDescent="0.25">
      <c r="A2119" s="182"/>
      <c r="B2119" s="183"/>
      <c r="C2119" s="183"/>
      <c r="D2119" s="183"/>
      <c r="E2119" s="183"/>
      <c r="F2119" s="183"/>
      <c r="G2119" s="183"/>
      <c r="H2119" s="482" t="s">
        <v>1845</v>
      </c>
      <c r="I2119" s="482"/>
      <c r="J2119" s="482"/>
      <c r="K2119" s="482"/>
      <c r="L2119" s="371">
        <f>SUM(L2118)</f>
        <v>51.629999999999995</v>
      </c>
    </row>
    <row r="2120" spans="1:12" ht="15" customHeight="1" x14ac:dyDescent="0.25">
      <c r="A2120" s="182"/>
      <c r="B2120" s="183"/>
      <c r="C2120" s="183"/>
      <c r="D2120" s="183"/>
      <c r="E2120" s="183"/>
      <c r="F2120" s="183"/>
      <c r="G2120" s="183"/>
      <c r="H2120" s="482" t="s">
        <v>1846</v>
      </c>
      <c r="I2120" s="482"/>
      <c r="J2120" s="482"/>
      <c r="K2120" s="482"/>
      <c r="L2120" s="374">
        <v>1</v>
      </c>
    </row>
    <row r="2121" spans="1:12" ht="15" customHeight="1" x14ac:dyDescent="0.25">
      <c r="A2121" s="182"/>
      <c r="B2121" s="183"/>
      <c r="C2121" s="183"/>
      <c r="D2121" s="183"/>
      <c r="E2121" s="183"/>
      <c r="F2121" s="183"/>
      <c r="G2121" s="183"/>
      <c r="H2121" s="482" t="s">
        <v>1847</v>
      </c>
      <c r="I2121" s="482"/>
      <c r="J2121" s="482"/>
      <c r="K2121" s="482"/>
      <c r="L2121" s="371">
        <f>TRUNC(L2119/L2120,4)</f>
        <v>51.63</v>
      </c>
    </row>
    <row r="2122" spans="1:12" ht="20.100000000000001" customHeight="1" x14ac:dyDescent="0.25">
      <c r="A2122" s="488" t="s">
        <v>1880</v>
      </c>
      <c r="B2122" s="489"/>
      <c r="C2122" s="489"/>
      <c r="D2122" s="489"/>
      <c r="E2122" s="489"/>
      <c r="F2122" s="489"/>
      <c r="G2122" s="233" t="s">
        <v>44</v>
      </c>
      <c r="H2122" s="515" t="s">
        <v>1837</v>
      </c>
      <c r="I2122" s="515"/>
      <c r="J2122" s="515" t="s">
        <v>1881</v>
      </c>
      <c r="K2122" s="515"/>
      <c r="L2122" s="169" t="s">
        <v>1882</v>
      </c>
    </row>
    <row r="2123" spans="1:12" ht="15" customHeight="1" x14ac:dyDescent="0.25">
      <c r="A2123" s="170" t="s">
        <v>3805</v>
      </c>
      <c r="B2123" s="492" t="s">
        <v>3806</v>
      </c>
      <c r="C2123" s="492"/>
      <c r="D2123" s="492"/>
      <c r="E2123" s="492"/>
      <c r="F2123" s="492"/>
      <c r="G2123" s="127" t="s">
        <v>226</v>
      </c>
      <c r="H2123" s="524">
        <v>2</v>
      </c>
      <c r="I2123" s="524"/>
      <c r="J2123" s="525">
        <v>3.09</v>
      </c>
      <c r="K2123" s="525"/>
      <c r="L2123" s="171">
        <f t="shared" ref="L2123:L2128" si="14">TRUNC(TRUNC(H2123,8)*J2123,2)</f>
        <v>6.18</v>
      </c>
    </row>
    <row r="2124" spans="1:12" ht="15" customHeight="1" x14ac:dyDescent="0.25">
      <c r="A2124" s="170" t="s">
        <v>3807</v>
      </c>
      <c r="B2124" s="492" t="s">
        <v>3808</v>
      </c>
      <c r="C2124" s="492"/>
      <c r="D2124" s="492"/>
      <c r="E2124" s="492"/>
      <c r="F2124" s="492"/>
      <c r="G2124" s="127" t="s">
        <v>226</v>
      </c>
      <c r="H2124" s="524">
        <v>2</v>
      </c>
      <c r="I2124" s="524"/>
      <c r="J2124" s="525">
        <v>1.98</v>
      </c>
      <c r="K2124" s="525"/>
      <c r="L2124" s="171">
        <f t="shared" si="14"/>
        <v>3.96</v>
      </c>
    </row>
    <row r="2125" spans="1:12" ht="15.95" customHeight="1" x14ac:dyDescent="0.25">
      <c r="A2125" s="170" t="s">
        <v>3809</v>
      </c>
      <c r="B2125" s="492" t="s">
        <v>3810</v>
      </c>
      <c r="C2125" s="492"/>
      <c r="D2125" s="492"/>
      <c r="E2125" s="492"/>
      <c r="F2125" s="492"/>
      <c r="G2125" s="127" t="s">
        <v>188</v>
      </c>
      <c r="H2125" s="524">
        <v>1.02</v>
      </c>
      <c r="I2125" s="524"/>
      <c r="J2125" s="525">
        <v>6.29</v>
      </c>
      <c r="K2125" s="525"/>
      <c r="L2125" s="171">
        <f t="shared" si="14"/>
        <v>6.41</v>
      </c>
    </row>
    <row r="2126" spans="1:12" ht="15" customHeight="1" x14ac:dyDescent="0.25">
      <c r="A2126" s="170" t="s">
        <v>3811</v>
      </c>
      <c r="B2126" s="492" t="s">
        <v>3812</v>
      </c>
      <c r="C2126" s="492"/>
      <c r="D2126" s="492"/>
      <c r="E2126" s="492"/>
      <c r="F2126" s="492"/>
      <c r="G2126" s="127" t="s">
        <v>188</v>
      </c>
      <c r="H2126" s="524">
        <v>4</v>
      </c>
      <c r="I2126" s="524"/>
      <c r="J2126" s="525">
        <v>0.61</v>
      </c>
      <c r="K2126" s="525"/>
      <c r="L2126" s="171">
        <f t="shared" si="14"/>
        <v>2.44</v>
      </c>
    </row>
    <row r="2127" spans="1:12" ht="15" customHeight="1" x14ac:dyDescent="0.25">
      <c r="A2127" s="170" t="s">
        <v>3813</v>
      </c>
      <c r="B2127" s="492" t="s">
        <v>3814</v>
      </c>
      <c r="C2127" s="492"/>
      <c r="D2127" s="492"/>
      <c r="E2127" s="492"/>
      <c r="F2127" s="492"/>
      <c r="G2127" s="127" t="s">
        <v>226</v>
      </c>
      <c r="H2127" s="524">
        <v>1.1999999999999999E-3</v>
      </c>
      <c r="I2127" s="524"/>
      <c r="J2127" s="525">
        <v>34.82</v>
      </c>
      <c r="K2127" s="525"/>
      <c r="L2127" s="171">
        <f t="shared" si="14"/>
        <v>0.04</v>
      </c>
    </row>
    <row r="2128" spans="1:12" ht="15" customHeight="1" x14ac:dyDescent="0.25">
      <c r="A2128" s="170" t="s">
        <v>3815</v>
      </c>
      <c r="B2128" s="492" t="s">
        <v>3816</v>
      </c>
      <c r="C2128" s="492"/>
      <c r="D2128" s="492"/>
      <c r="E2128" s="492"/>
      <c r="F2128" s="492"/>
      <c r="G2128" s="127" t="s">
        <v>226</v>
      </c>
      <c r="H2128" s="524">
        <v>2</v>
      </c>
      <c r="I2128" s="524"/>
      <c r="J2128" s="525">
        <v>0.22</v>
      </c>
      <c r="K2128" s="525"/>
      <c r="L2128" s="171">
        <f t="shared" si="14"/>
        <v>0.44</v>
      </c>
    </row>
    <row r="2129" spans="1:12" ht="15" customHeight="1" x14ac:dyDescent="0.25">
      <c r="A2129" s="184"/>
      <c r="B2129" s="141"/>
      <c r="C2129" s="141"/>
      <c r="D2129" s="141"/>
      <c r="E2129" s="141"/>
      <c r="F2129" s="141"/>
      <c r="G2129" s="141"/>
      <c r="H2129" s="491" t="s">
        <v>1889</v>
      </c>
      <c r="I2129" s="491"/>
      <c r="J2129" s="491"/>
      <c r="K2129" s="491"/>
      <c r="L2129" s="375">
        <f>SUM(L2123:L2128)</f>
        <v>19.470000000000002</v>
      </c>
    </row>
    <row r="2130" spans="1:12" ht="15" customHeight="1" x14ac:dyDescent="0.25">
      <c r="A2130" s="182"/>
      <c r="B2130" s="183"/>
      <c r="C2130" s="183"/>
      <c r="D2130" s="183"/>
      <c r="E2130" s="183"/>
      <c r="F2130" s="183"/>
      <c r="G2130" s="183"/>
      <c r="H2130" s="482" t="s">
        <v>1848</v>
      </c>
      <c r="I2130" s="482"/>
      <c r="J2130" s="482"/>
      <c r="K2130" s="482"/>
      <c r="L2130" s="371">
        <f>SUM(L2121,L2129)</f>
        <v>71.100000000000009</v>
      </c>
    </row>
    <row r="2131" spans="1:12" ht="15" customHeight="1" x14ac:dyDescent="0.25">
      <c r="A2131" s="182"/>
      <c r="B2131" s="183"/>
      <c r="C2131" s="183"/>
      <c r="D2131" s="183"/>
      <c r="E2131" s="183"/>
      <c r="F2131" s="183"/>
      <c r="G2131" s="183"/>
      <c r="H2131" s="482" t="s">
        <v>1834</v>
      </c>
      <c r="I2131" s="482"/>
      <c r="J2131" s="482"/>
      <c r="K2131" s="482"/>
      <c r="L2131" s="369">
        <f>ROUND(SUM(L2130),2)</f>
        <v>71.099999999999994</v>
      </c>
    </row>
    <row r="2132" spans="1:12" ht="9.9499999999999993" customHeight="1" x14ac:dyDescent="0.25">
      <c r="A2132" s="182"/>
      <c r="B2132" s="183"/>
      <c r="C2132" s="183"/>
      <c r="D2132" s="183"/>
      <c r="E2132" s="183"/>
      <c r="F2132" s="183"/>
      <c r="G2132" s="183"/>
      <c r="H2132" s="485"/>
      <c r="I2132" s="485"/>
      <c r="J2132" s="485"/>
      <c r="K2132" s="485"/>
      <c r="L2132" s="512"/>
    </row>
    <row r="2133" spans="1:12" ht="20.100000000000001" customHeight="1" x14ac:dyDescent="0.25">
      <c r="A2133" s="486" t="s">
        <v>2227</v>
      </c>
      <c r="B2133" s="487"/>
      <c r="C2133" s="487"/>
      <c r="D2133" s="487"/>
      <c r="E2133" s="487"/>
      <c r="F2133" s="487"/>
      <c r="G2133" s="487"/>
      <c r="H2133" s="487"/>
      <c r="I2133" s="487"/>
      <c r="J2133" s="487"/>
      <c r="K2133" s="487"/>
      <c r="L2133" s="513"/>
    </row>
    <row r="2134" spans="1:12" ht="15" customHeight="1" x14ac:dyDescent="0.25">
      <c r="A2134" s="474" t="s">
        <v>1812</v>
      </c>
      <c r="B2134" s="475"/>
      <c r="C2134" s="475"/>
      <c r="D2134" s="476" t="s">
        <v>42</v>
      </c>
      <c r="E2134" s="476"/>
      <c r="F2134" s="476"/>
      <c r="G2134" s="230" t="s">
        <v>44</v>
      </c>
      <c r="H2134" s="476" t="s">
        <v>1813</v>
      </c>
      <c r="I2134" s="476"/>
      <c r="J2134" s="476" t="s">
        <v>1814</v>
      </c>
      <c r="K2134" s="476"/>
      <c r="L2134" s="366" t="s">
        <v>1802</v>
      </c>
    </row>
    <row r="2135" spans="1:12" ht="29.1" customHeight="1" x14ac:dyDescent="0.25">
      <c r="A2135" s="181" t="s">
        <v>2228</v>
      </c>
      <c r="B2135" s="509" t="s">
        <v>2229</v>
      </c>
      <c r="C2135" s="509"/>
      <c r="D2135" s="481" t="s">
        <v>2230</v>
      </c>
      <c r="E2135" s="481"/>
      <c r="F2135" s="481"/>
      <c r="G2135" s="231" t="s">
        <v>226</v>
      </c>
      <c r="H2135" s="510">
        <v>1</v>
      </c>
      <c r="I2135" s="510"/>
      <c r="J2135" s="511">
        <v>866.68</v>
      </c>
      <c r="K2135" s="511"/>
      <c r="L2135" s="367">
        <f>ROUND(ROUND(H2135,8)*J2135,2)</f>
        <v>866.68</v>
      </c>
    </row>
    <row r="2136" spans="1:12" ht="15" customHeight="1" x14ac:dyDescent="0.25">
      <c r="A2136" s="182"/>
      <c r="B2136" s="183"/>
      <c r="C2136" s="183"/>
      <c r="D2136" s="183"/>
      <c r="E2136" s="183"/>
      <c r="F2136" s="183"/>
      <c r="G2136" s="183"/>
      <c r="H2136" s="477" t="s">
        <v>1826</v>
      </c>
      <c r="I2136" s="477"/>
      <c r="J2136" s="477"/>
      <c r="K2136" s="477"/>
      <c r="L2136" s="368">
        <f>SUM(L2135:L2135)</f>
        <v>866.68</v>
      </c>
    </row>
    <row r="2137" spans="1:12" ht="15" customHeight="1" x14ac:dyDescent="0.25">
      <c r="A2137" s="474" t="s">
        <v>1827</v>
      </c>
      <c r="B2137" s="475"/>
      <c r="C2137" s="475"/>
      <c r="D2137" s="476" t="s">
        <v>42</v>
      </c>
      <c r="E2137" s="476"/>
      <c r="F2137" s="476"/>
      <c r="G2137" s="230" t="s">
        <v>44</v>
      </c>
      <c r="H2137" s="476" t="s">
        <v>1813</v>
      </c>
      <c r="I2137" s="476"/>
      <c r="J2137" s="476" t="s">
        <v>1814</v>
      </c>
      <c r="K2137" s="476"/>
      <c r="L2137" s="366" t="s">
        <v>1802</v>
      </c>
    </row>
    <row r="2138" spans="1:12" ht="15" customHeight="1" x14ac:dyDescent="0.25">
      <c r="A2138" s="181" t="s">
        <v>2210</v>
      </c>
      <c r="B2138" s="509" t="s">
        <v>2211</v>
      </c>
      <c r="C2138" s="509"/>
      <c r="D2138" s="481" t="s">
        <v>82</v>
      </c>
      <c r="E2138" s="481"/>
      <c r="F2138" s="481"/>
      <c r="G2138" s="231" t="s">
        <v>1024</v>
      </c>
      <c r="H2138" s="510">
        <v>1</v>
      </c>
      <c r="I2138" s="510"/>
      <c r="J2138" s="511">
        <v>18.940000000000001</v>
      </c>
      <c r="K2138" s="511"/>
      <c r="L2138" s="367">
        <f>ROUND(ROUND(H2138,8)*J2138,2)</f>
        <v>18.940000000000001</v>
      </c>
    </row>
    <row r="2139" spans="1:12" ht="15" customHeight="1" x14ac:dyDescent="0.25">
      <c r="A2139" s="181" t="s">
        <v>2178</v>
      </c>
      <c r="B2139" s="509" t="s">
        <v>2179</v>
      </c>
      <c r="C2139" s="509"/>
      <c r="D2139" s="481" t="s">
        <v>51</v>
      </c>
      <c r="E2139" s="481"/>
      <c r="F2139" s="481"/>
      <c r="G2139" s="231" t="s">
        <v>1024</v>
      </c>
      <c r="H2139" s="510">
        <v>0.3</v>
      </c>
      <c r="I2139" s="510"/>
      <c r="J2139" s="511">
        <v>26.03</v>
      </c>
      <c r="K2139" s="511"/>
      <c r="L2139" s="367">
        <f>ROUND(ROUND(H2139,8)*J2139,2)</f>
        <v>7.81</v>
      </c>
    </row>
    <row r="2140" spans="1:12" ht="15" customHeight="1" x14ac:dyDescent="0.25">
      <c r="A2140" s="182"/>
      <c r="B2140" s="183"/>
      <c r="C2140" s="183"/>
      <c r="D2140" s="183"/>
      <c r="E2140" s="183"/>
      <c r="F2140" s="183"/>
      <c r="G2140" s="183"/>
      <c r="H2140" s="477" t="s">
        <v>1832</v>
      </c>
      <c r="I2140" s="477"/>
      <c r="J2140" s="477"/>
      <c r="K2140" s="477"/>
      <c r="L2140" s="368">
        <f>SUM(L2138:L2139)</f>
        <v>26.75</v>
      </c>
    </row>
    <row r="2141" spans="1:12" ht="15" customHeight="1" x14ac:dyDescent="0.25">
      <c r="A2141" s="483" t="s">
        <v>2231</v>
      </c>
      <c r="B2141" s="484"/>
      <c r="C2141" s="484"/>
      <c r="D2141" s="484"/>
      <c r="E2141" s="183"/>
      <c r="F2141" s="183"/>
      <c r="G2141" s="183"/>
      <c r="H2141" s="482" t="s">
        <v>1834</v>
      </c>
      <c r="I2141" s="482"/>
      <c r="J2141" s="482"/>
      <c r="K2141" s="482"/>
      <c r="L2141" s="369">
        <v>893.43</v>
      </c>
    </row>
    <row r="2142" spans="1:12" ht="2.1" customHeight="1" x14ac:dyDescent="0.25">
      <c r="A2142" s="483"/>
      <c r="B2142" s="484"/>
      <c r="C2142" s="484"/>
      <c r="D2142" s="484"/>
      <c r="E2142" s="183"/>
      <c r="F2142" s="183"/>
      <c r="G2142" s="183"/>
      <c r="H2142" s="183"/>
      <c r="I2142" s="183"/>
      <c r="J2142" s="183"/>
      <c r="K2142" s="183"/>
      <c r="L2142" s="383"/>
    </row>
    <row r="2143" spans="1:12" ht="9.9499999999999993" customHeight="1" x14ac:dyDescent="0.25">
      <c r="A2143" s="182"/>
      <c r="B2143" s="183"/>
      <c r="C2143" s="183"/>
      <c r="D2143" s="183"/>
      <c r="E2143" s="183"/>
      <c r="F2143" s="183"/>
      <c r="G2143" s="183"/>
      <c r="H2143" s="485"/>
      <c r="I2143" s="485"/>
      <c r="J2143" s="485"/>
      <c r="K2143" s="485"/>
      <c r="L2143" s="512"/>
    </row>
    <row r="2144" spans="1:12" ht="20.100000000000001" customHeight="1" x14ac:dyDescent="0.25">
      <c r="A2144" s="486" t="s">
        <v>2232</v>
      </c>
      <c r="B2144" s="487"/>
      <c r="C2144" s="487"/>
      <c r="D2144" s="487"/>
      <c r="E2144" s="487"/>
      <c r="F2144" s="487"/>
      <c r="G2144" s="487"/>
      <c r="H2144" s="487"/>
      <c r="I2144" s="487"/>
      <c r="J2144" s="487"/>
      <c r="K2144" s="487"/>
      <c r="L2144" s="513"/>
    </row>
    <row r="2145" spans="1:12" ht="15" customHeight="1" x14ac:dyDescent="0.25">
      <c r="A2145" s="474" t="s">
        <v>1812</v>
      </c>
      <c r="B2145" s="475"/>
      <c r="C2145" s="475"/>
      <c r="D2145" s="476" t="s">
        <v>42</v>
      </c>
      <c r="E2145" s="476"/>
      <c r="F2145" s="476"/>
      <c r="G2145" s="230" t="s">
        <v>44</v>
      </c>
      <c r="H2145" s="476" t="s">
        <v>1813</v>
      </c>
      <c r="I2145" s="476"/>
      <c r="J2145" s="476" t="s">
        <v>1814</v>
      </c>
      <c r="K2145" s="476"/>
      <c r="L2145" s="366" t="s">
        <v>1802</v>
      </c>
    </row>
    <row r="2146" spans="1:12" ht="15" customHeight="1" x14ac:dyDescent="0.25">
      <c r="A2146" s="181" t="s">
        <v>2233</v>
      </c>
      <c r="B2146" s="509" t="s">
        <v>2234</v>
      </c>
      <c r="C2146" s="509"/>
      <c r="D2146" s="481" t="s">
        <v>51</v>
      </c>
      <c r="E2146" s="481"/>
      <c r="F2146" s="481"/>
      <c r="G2146" s="231" t="s">
        <v>226</v>
      </c>
      <c r="H2146" s="510">
        <v>1</v>
      </c>
      <c r="I2146" s="510"/>
      <c r="J2146" s="511">
        <v>4.18</v>
      </c>
      <c r="K2146" s="511"/>
      <c r="L2146" s="367">
        <f>ROUND(ROUND(H2146,8)*J2146,2)</f>
        <v>4.18</v>
      </c>
    </row>
    <row r="2147" spans="1:12" ht="21" customHeight="1" x14ac:dyDescent="0.25">
      <c r="A2147" s="181" t="s">
        <v>2235</v>
      </c>
      <c r="B2147" s="509" t="s">
        <v>2236</v>
      </c>
      <c r="C2147" s="509"/>
      <c r="D2147" s="481" t="s">
        <v>82</v>
      </c>
      <c r="E2147" s="481"/>
      <c r="F2147" s="481"/>
      <c r="G2147" s="231" t="s">
        <v>226</v>
      </c>
      <c r="H2147" s="510">
        <v>1</v>
      </c>
      <c r="I2147" s="510"/>
      <c r="J2147" s="511">
        <v>6.78</v>
      </c>
      <c r="K2147" s="511"/>
      <c r="L2147" s="367">
        <f>ROUND(ROUND(H2147,8)*J2147,2)</f>
        <v>6.78</v>
      </c>
    </row>
    <row r="2148" spans="1:12" ht="15" customHeight="1" x14ac:dyDescent="0.25">
      <c r="A2148" s="182"/>
      <c r="B2148" s="183"/>
      <c r="C2148" s="183"/>
      <c r="D2148" s="183"/>
      <c r="E2148" s="183"/>
      <c r="F2148" s="183"/>
      <c r="G2148" s="183"/>
      <c r="H2148" s="477" t="s">
        <v>1826</v>
      </c>
      <c r="I2148" s="477"/>
      <c r="J2148" s="477"/>
      <c r="K2148" s="477"/>
      <c r="L2148" s="368">
        <f>SUM(L2146:L2147)</f>
        <v>10.96</v>
      </c>
    </row>
    <row r="2149" spans="1:12" ht="15" customHeight="1" x14ac:dyDescent="0.25">
      <c r="A2149" s="474" t="s">
        <v>1827</v>
      </c>
      <c r="B2149" s="475"/>
      <c r="C2149" s="475"/>
      <c r="D2149" s="476" t="s">
        <v>42</v>
      </c>
      <c r="E2149" s="476"/>
      <c r="F2149" s="476"/>
      <c r="G2149" s="230" t="s">
        <v>44</v>
      </c>
      <c r="H2149" s="476" t="s">
        <v>1813</v>
      </c>
      <c r="I2149" s="476"/>
      <c r="J2149" s="476" t="s">
        <v>1814</v>
      </c>
      <c r="K2149" s="476"/>
      <c r="L2149" s="366" t="s">
        <v>1802</v>
      </c>
    </row>
    <row r="2150" spans="1:12" ht="15" customHeight="1" x14ac:dyDescent="0.25">
      <c r="A2150" s="181" t="s">
        <v>2210</v>
      </c>
      <c r="B2150" s="509" t="s">
        <v>2211</v>
      </c>
      <c r="C2150" s="509"/>
      <c r="D2150" s="481" t="s">
        <v>82</v>
      </c>
      <c r="E2150" s="481"/>
      <c r="F2150" s="481"/>
      <c r="G2150" s="231" t="s">
        <v>1024</v>
      </c>
      <c r="H2150" s="510">
        <v>2.5</v>
      </c>
      <c r="I2150" s="510"/>
      <c r="J2150" s="511">
        <v>18.940000000000001</v>
      </c>
      <c r="K2150" s="511"/>
      <c r="L2150" s="367">
        <f>ROUND(ROUND(H2150,8)*J2150,2)</f>
        <v>47.35</v>
      </c>
    </row>
    <row r="2151" spans="1:12" ht="15" customHeight="1" x14ac:dyDescent="0.25">
      <c r="A2151" s="181" t="s">
        <v>2178</v>
      </c>
      <c r="B2151" s="509" t="s">
        <v>2179</v>
      </c>
      <c r="C2151" s="509"/>
      <c r="D2151" s="481" t="s">
        <v>51</v>
      </c>
      <c r="E2151" s="481"/>
      <c r="F2151" s="481"/>
      <c r="G2151" s="231" t="s">
        <v>1024</v>
      </c>
      <c r="H2151" s="510">
        <v>2.5</v>
      </c>
      <c r="I2151" s="510"/>
      <c r="J2151" s="511">
        <v>26.03</v>
      </c>
      <c r="K2151" s="511"/>
      <c r="L2151" s="367">
        <f>ROUND(ROUND(H2151,8)*J2151,2)</f>
        <v>65.08</v>
      </c>
    </row>
    <row r="2152" spans="1:12" ht="15" customHeight="1" x14ac:dyDescent="0.25">
      <c r="A2152" s="182"/>
      <c r="B2152" s="183"/>
      <c r="C2152" s="183"/>
      <c r="D2152" s="183"/>
      <c r="E2152" s="183"/>
      <c r="F2152" s="183"/>
      <c r="G2152" s="183"/>
      <c r="H2152" s="477" t="s">
        <v>1832</v>
      </c>
      <c r="I2152" s="477"/>
      <c r="J2152" s="477"/>
      <c r="K2152" s="477"/>
      <c r="L2152" s="368">
        <f>SUM(L2150:L2151)</f>
        <v>112.43</v>
      </c>
    </row>
    <row r="2153" spans="1:12" ht="15" customHeight="1" x14ac:dyDescent="0.25">
      <c r="A2153" s="483" t="s">
        <v>2237</v>
      </c>
      <c r="B2153" s="484"/>
      <c r="C2153" s="484"/>
      <c r="D2153" s="484"/>
      <c r="E2153" s="183"/>
      <c r="F2153" s="183"/>
      <c r="G2153" s="183"/>
      <c r="H2153" s="482" t="s">
        <v>1834</v>
      </c>
      <c r="I2153" s="482"/>
      <c r="J2153" s="482"/>
      <c r="K2153" s="482"/>
      <c r="L2153" s="369">
        <v>123.39</v>
      </c>
    </row>
    <row r="2154" spans="1:12" ht="2.1" customHeight="1" x14ac:dyDescent="0.25">
      <c r="A2154" s="483"/>
      <c r="B2154" s="484"/>
      <c r="C2154" s="484"/>
      <c r="D2154" s="484"/>
      <c r="E2154" s="183"/>
      <c r="F2154" s="183"/>
      <c r="G2154" s="183"/>
      <c r="H2154" s="183"/>
      <c r="I2154" s="183"/>
      <c r="J2154" s="183"/>
      <c r="K2154" s="183"/>
      <c r="L2154" s="383"/>
    </row>
    <row r="2155" spans="1:12" ht="9.9499999999999993" customHeight="1" x14ac:dyDescent="0.25">
      <c r="A2155" s="182"/>
      <c r="B2155" s="183"/>
      <c r="C2155" s="183"/>
      <c r="D2155" s="183"/>
      <c r="E2155" s="183"/>
      <c r="F2155" s="183"/>
      <c r="G2155" s="183"/>
      <c r="H2155" s="485"/>
      <c r="I2155" s="485"/>
      <c r="J2155" s="485"/>
      <c r="K2155" s="485"/>
      <c r="L2155" s="512"/>
    </row>
    <row r="2156" spans="1:12" ht="20.100000000000001" customHeight="1" x14ac:dyDescent="0.25">
      <c r="A2156" s="486" t="s">
        <v>3817</v>
      </c>
      <c r="B2156" s="487"/>
      <c r="C2156" s="487"/>
      <c r="D2156" s="487"/>
      <c r="E2156" s="487"/>
      <c r="F2156" s="487"/>
      <c r="G2156" s="487"/>
      <c r="H2156" s="487"/>
      <c r="I2156" s="487"/>
      <c r="J2156" s="487"/>
      <c r="K2156" s="487"/>
      <c r="L2156" s="513"/>
    </row>
    <row r="2157" spans="1:12" ht="15" customHeight="1" x14ac:dyDescent="0.25">
      <c r="A2157" s="474" t="s">
        <v>1812</v>
      </c>
      <c r="B2157" s="475"/>
      <c r="C2157" s="475"/>
      <c r="D2157" s="476" t="s">
        <v>42</v>
      </c>
      <c r="E2157" s="476"/>
      <c r="F2157" s="476"/>
      <c r="G2157" s="230" t="s">
        <v>44</v>
      </c>
      <c r="H2157" s="476" t="s">
        <v>1813</v>
      </c>
      <c r="I2157" s="476"/>
      <c r="J2157" s="476" t="s">
        <v>1814</v>
      </c>
      <c r="K2157" s="476"/>
      <c r="L2157" s="366" t="s">
        <v>1802</v>
      </c>
    </row>
    <row r="2158" spans="1:12" ht="15" customHeight="1" x14ac:dyDescent="0.25">
      <c r="A2158" s="181" t="s">
        <v>647</v>
      </c>
      <c r="B2158" s="509" t="s">
        <v>648</v>
      </c>
      <c r="C2158" s="509"/>
      <c r="D2158" s="481" t="s">
        <v>705</v>
      </c>
      <c r="E2158" s="481"/>
      <c r="F2158" s="481"/>
      <c r="G2158" s="231" t="s">
        <v>226</v>
      </c>
      <c r="H2158" s="510">
        <v>1</v>
      </c>
      <c r="I2158" s="510"/>
      <c r="J2158" s="511">
        <v>40.51</v>
      </c>
      <c r="K2158" s="511"/>
      <c r="L2158" s="367">
        <f>TRUNC(TRUNC(H2158,8)*J2158,2)</f>
        <v>40.51</v>
      </c>
    </row>
    <row r="2159" spans="1:12" ht="15" customHeight="1" x14ac:dyDescent="0.25">
      <c r="A2159" s="182"/>
      <c r="B2159" s="183"/>
      <c r="C2159" s="183"/>
      <c r="D2159" s="183"/>
      <c r="E2159" s="183"/>
      <c r="F2159" s="183"/>
      <c r="G2159" s="183"/>
      <c r="H2159" s="477" t="s">
        <v>1826</v>
      </c>
      <c r="I2159" s="477"/>
      <c r="J2159" s="477"/>
      <c r="K2159" s="477"/>
      <c r="L2159" s="368">
        <f>SUM(L2158:L2158)</f>
        <v>40.51</v>
      </c>
    </row>
    <row r="2160" spans="1:12" ht="15" customHeight="1" x14ac:dyDescent="0.25">
      <c r="A2160" s="182"/>
      <c r="B2160" s="183"/>
      <c r="C2160" s="183"/>
      <c r="D2160" s="183"/>
      <c r="E2160" s="183"/>
      <c r="F2160" s="183"/>
      <c r="G2160" s="183"/>
      <c r="H2160" s="482" t="s">
        <v>1834</v>
      </c>
      <c r="I2160" s="482"/>
      <c r="J2160" s="482"/>
      <c r="K2160" s="482"/>
      <c r="L2160" s="369">
        <f>ROUND(SUM(L2159),2)</f>
        <v>40.51</v>
      </c>
    </row>
    <row r="2161" spans="1:12" ht="9.9499999999999993" customHeight="1" x14ac:dyDescent="0.25">
      <c r="A2161" s="182"/>
      <c r="B2161" s="183"/>
      <c r="C2161" s="183"/>
      <c r="D2161" s="183"/>
      <c r="E2161" s="183"/>
      <c r="F2161" s="183"/>
      <c r="G2161" s="183"/>
      <c r="H2161" s="485"/>
      <c r="I2161" s="485"/>
      <c r="J2161" s="485"/>
      <c r="K2161" s="485"/>
      <c r="L2161" s="512"/>
    </row>
    <row r="2162" spans="1:12" ht="20.100000000000001" customHeight="1" x14ac:dyDescent="0.25">
      <c r="A2162" s="486" t="s">
        <v>2238</v>
      </c>
      <c r="B2162" s="487"/>
      <c r="C2162" s="487"/>
      <c r="D2162" s="487"/>
      <c r="E2162" s="487"/>
      <c r="F2162" s="487"/>
      <c r="G2162" s="487"/>
      <c r="H2162" s="487"/>
      <c r="I2162" s="487"/>
      <c r="J2162" s="487"/>
      <c r="K2162" s="487"/>
      <c r="L2162" s="513"/>
    </row>
    <row r="2163" spans="1:12" ht="15" customHeight="1" x14ac:dyDescent="0.25">
      <c r="A2163" s="474" t="s">
        <v>1812</v>
      </c>
      <c r="B2163" s="475"/>
      <c r="C2163" s="475"/>
      <c r="D2163" s="476" t="s">
        <v>42</v>
      </c>
      <c r="E2163" s="476"/>
      <c r="F2163" s="476"/>
      <c r="G2163" s="230" t="s">
        <v>44</v>
      </c>
      <c r="H2163" s="476" t="s">
        <v>1813</v>
      </c>
      <c r="I2163" s="476"/>
      <c r="J2163" s="476" t="s">
        <v>1814</v>
      </c>
      <c r="K2163" s="476"/>
      <c r="L2163" s="366" t="s">
        <v>1802</v>
      </c>
    </row>
    <row r="2164" spans="1:12" ht="15" customHeight="1" x14ac:dyDescent="0.25">
      <c r="A2164" s="181" t="s">
        <v>1815</v>
      </c>
      <c r="B2164" s="509" t="s">
        <v>1816</v>
      </c>
      <c r="C2164" s="509"/>
      <c r="D2164" s="481" t="s">
        <v>51</v>
      </c>
      <c r="E2164" s="481"/>
      <c r="F2164" s="481"/>
      <c r="G2164" s="231" t="s">
        <v>1817</v>
      </c>
      <c r="H2164" s="510">
        <v>0.1</v>
      </c>
      <c r="I2164" s="510"/>
      <c r="J2164" s="511">
        <v>14.37</v>
      </c>
      <c r="K2164" s="511"/>
      <c r="L2164" s="367">
        <f>ROUND(ROUND(H2164,8)*J2164,2)</f>
        <v>1.44</v>
      </c>
    </row>
    <row r="2165" spans="1:12" ht="15" customHeight="1" x14ac:dyDescent="0.25">
      <c r="A2165" s="181" t="s">
        <v>2239</v>
      </c>
      <c r="B2165" s="509" t="s">
        <v>2240</v>
      </c>
      <c r="C2165" s="509"/>
      <c r="D2165" s="481" t="s">
        <v>51</v>
      </c>
      <c r="E2165" s="481"/>
      <c r="F2165" s="481"/>
      <c r="G2165" s="231" t="s">
        <v>188</v>
      </c>
      <c r="H2165" s="510">
        <v>1.05</v>
      </c>
      <c r="I2165" s="510"/>
      <c r="J2165" s="511">
        <v>5.28</v>
      </c>
      <c r="K2165" s="511"/>
      <c r="L2165" s="367">
        <f>ROUND(ROUND(H2165,8)*J2165,2)</f>
        <v>5.54</v>
      </c>
    </row>
    <row r="2166" spans="1:12" ht="15" customHeight="1" x14ac:dyDescent="0.25">
      <c r="A2166" s="182"/>
      <c r="B2166" s="183"/>
      <c r="C2166" s="183"/>
      <c r="D2166" s="183"/>
      <c r="E2166" s="183"/>
      <c r="F2166" s="183"/>
      <c r="G2166" s="183"/>
      <c r="H2166" s="477" t="s">
        <v>1826</v>
      </c>
      <c r="I2166" s="477"/>
      <c r="J2166" s="477"/>
      <c r="K2166" s="477"/>
      <c r="L2166" s="368">
        <f>SUM(L2164:L2165)</f>
        <v>6.98</v>
      </c>
    </row>
    <row r="2167" spans="1:12" ht="15" customHeight="1" x14ac:dyDescent="0.25">
      <c r="A2167" s="474" t="s">
        <v>1827</v>
      </c>
      <c r="B2167" s="475"/>
      <c r="C2167" s="475"/>
      <c r="D2167" s="476" t="s">
        <v>42</v>
      </c>
      <c r="E2167" s="476"/>
      <c r="F2167" s="476"/>
      <c r="G2167" s="230" t="s">
        <v>44</v>
      </c>
      <c r="H2167" s="476" t="s">
        <v>1813</v>
      </c>
      <c r="I2167" s="476"/>
      <c r="J2167" s="476" t="s">
        <v>1814</v>
      </c>
      <c r="K2167" s="476"/>
      <c r="L2167" s="366" t="s">
        <v>1802</v>
      </c>
    </row>
    <row r="2168" spans="1:12" ht="15" customHeight="1" x14ac:dyDescent="0.25">
      <c r="A2168" s="181" t="s">
        <v>2178</v>
      </c>
      <c r="B2168" s="509" t="s">
        <v>2179</v>
      </c>
      <c r="C2168" s="509"/>
      <c r="D2168" s="481" t="s">
        <v>51</v>
      </c>
      <c r="E2168" s="481"/>
      <c r="F2168" s="481"/>
      <c r="G2168" s="231" t="s">
        <v>1024</v>
      </c>
      <c r="H2168" s="510">
        <v>0.14000000000000001</v>
      </c>
      <c r="I2168" s="510"/>
      <c r="J2168" s="511">
        <v>26.03</v>
      </c>
      <c r="K2168" s="511"/>
      <c r="L2168" s="367">
        <f>ROUND(ROUND(H2168,8)*J2168,2)</f>
        <v>3.64</v>
      </c>
    </row>
    <row r="2169" spans="1:12" ht="15" customHeight="1" x14ac:dyDescent="0.25">
      <c r="A2169" s="181" t="s">
        <v>1830</v>
      </c>
      <c r="B2169" s="509" t="s">
        <v>1831</v>
      </c>
      <c r="C2169" s="509"/>
      <c r="D2169" s="481" t="s">
        <v>51</v>
      </c>
      <c r="E2169" s="481"/>
      <c r="F2169" s="481"/>
      <c r="G2169" s="231" t="s">
        <v>1024</v>
      </c>
      <c r="H2169" s="510">
        <v>0.14000000000000001</v>
      </c>
      <c r="I2169" s="510"/>
      <c r="J2169" s="511">
        <v>19.68</v>
      </c>
      <c r="K2169" s="511"/>
      <c r="L2169" s="367">
        <f>ROUND(ROUND(H2169,8)*J2169,2)</f>
        <v>2.76</v>
      </c>
    </row>
    <row r="2170" spans="1:12" ht="15" customHeight="1" x14ac:dyDescent="0.25">
      <c r="A2170" s="182"/>
      <c r="B2170" s="183"/>
      <c r="C2170" s="183"/>
      <c r="D2170" s="183"/>
      <c r="E2170" s="183"/>
      <c r="F2170" s="183"/>
      <c r="G2170" s="183"/>
      <c r="H2170" s="477" t="s">
        <v>1832</v>
      </c>
      <c r="I2170" s="477"/>
      <c r="J2170" s="477"/>
      <c r="K2170" s="477"/>
      <c r="L2170" s="368">
        <f>SUM(L2168:L2169)</f>
        <v>6.4</v>
      </c>
    </row>
    <row r="2171" spans="1:12" ht="15" customHeight="1" x14ac:dyDescent="0.25">
      <c r="A2171" s="483" t="s">
        <v>2241</v>
      </c>
      <c r="B2171" s="484"/>
      <c r="C2171" s="484"/>
      <c r="D2171" s="484"/>
      <c r="E2171" s="183"/>
      <c r="F2171" s="183"/>
      <c r="G2171" s="183"/>
      <c r="H2171" s="482" t="s">
        <v>1834</v>
      </c>
      <c r="I2171" s="482"/>
      <c r="J2171" s="482"/>
      <c r="K2171" s="482"/>
      <c r="L2171" s="369">
        <v>13.38</v>
      </c>
    </row>
    <row r="2172" spans="1:12" ht="9.9499999999999993" customHeight="1" x14ac:dyDescent="0.25">
      <c r="A2172" s="182"/>
      <c r="B2172" s="183"/>
      <c r="C2172" s="183"/>
      <c r="D2172" s="183"/>
      <c r="E2172" s="183"/>
      <c r="F2172" s="183"/>
      <c r="G2172" s="183"/>
      <c r="H2172" s="485"/>
      <c r="I2172" s="485"/>
      <c r="J2172" s="485"/>
      <c r="K2172" s="485"/>
      <c r="L2172" s="512"/>
    </row>
    <row r="2173" spans="1:12" ht="20.100000000000001" customHeight="1" x14ac:dyDescent="0.25">
      <c r="A2173" s="486" t="s">
        <v>3818</v>
      </c>
      <c r="B2173" s="487"/>
      <c r="C2173" s="487"/>
      <c r="D2173" s="487"/>
      <c r="E2173" s="487"/>
      <c r="F2173" s="487"/>
      <c r="G2173" s="487"/>
      <c r="H2173" s="487"/>
      <c r="I2173" s="487"/>
      <c r="J2173" s="487"/>
      <c r="K2173" s="487"/>
      <c r="L2173" s="513"/>
    </row>
    <row r="2174" spans="1:12" ht="20.100000000000001" customHeight="1" x14ac:dyDescent="0.25">
      <c r="A2174" s="488" t="s">
        <v>1836</v>
      </c>
      <c r="B2174" s="489"/>
      <c r="C2174" s="489"/>
      <c r="D2174" s="489"/>
      <c r="E2174" s="489"/>
      <c r="F2174" s="489"/>
      <c r="G2174" s="233" t="s">
        <v>44</v>
      </c>
      <c r="H2174" s="515" t="s">
        <v>1837</v>
      </c>
      <c r="I2174" s="515"/>
      <c r="J2174" s="515" t="s">
        <v>1838</v>
      </c>
      <c r="K2174" s="515"/>
      <c r="L2174" s="169" t="s">
        <v>1839</v>
      </c>
    </row>
    <row r="2175" spans="1:12" ht="15" customHeight="1" x14ac:dyDescent="0.25">
      <c r="A2175" s="170" t="s">
        <v>1840</v>
      </c>
      <c r="B2175" s="490" t="s">
        <v>1841</v>
      </c>
      <c r="C2175" s="490"/>
      <c r="D2175" s="490"/>
      <c r="E2175" s="490"/>
      <c r="F2175" s="490"/>
      <c r="G2175" s="127" t="s">
        <v>1024</v>
      </c>
      <c r="H2175" s="524">
        <v>0.2</v>
      </c>
      <c r="I2175" s="524"/>
      <c r="J2175" s="517">
        <v>21.94</v>
      </c>
      <c r="K2175" s="517"/>
      <c r="L2175" s="370">
        <f>TRUNC(TRUNC(H2175,8)*J2175,2)</f>
        <v>4.38</v>
      </c>
    </row>
    <row r="2176" spans="1:12" ht="15" customHeight="1" x14ac:dyDescent="0.25">
      <c r="A2176" s="170" t="s">
        <v>2178</v>
      </c>
      <c r="B2176" s="490" t="s">
        <v>2179</v>
      </c>
      <c r="C2176" s="490"/>
      <c r="D2176" s="490"/>
      <c r="E2176" s="490"/>
      <c r="F2176" s="490"/>
      <c r="G2176" s="127" t="s">
        <v>1024</v>
      </c>
      <c r="H2176" s="524">
        <v>0.2</v>
      </c>
      <c r="I2176" s="524"/>
      <c r="J2176" s="517">
        <v>26.03</v>
      </c>
      <c r="K2176" s="517"/>
      <c r="L2176" s="370">
        <f>TRUNC(TRUNC(H2176,8)*J2176,2)</f>
        <v>5.2</v>
      </c>
    </row>
    <row r="2177" spans="1:12" ht="15" customHeight="1" x14ac:dyDescent="0.25">
      <c r="A2177" s="184"/>
      <c r="B2177" s="141"/>
      <c r="C2177" s="141"/>
      <c r="D2177" s="141"/>
      <c r="E2177" s="141"/>
      <c r="F2177" s="141"/>
      <c r="G2177" s="141"/>
      <c r="H2177" s="491" t="s">
        <v>1844</v>
      </c>
      <c r="I2177" s="491"/>
      <c r="J2177" s="491"/>
      <c r="K2177" s="491"/>
      <c r="L2177" s="369">
        <f>SUM(L2175:L2176)</f>
        <v>9.58</v>
      </c>
    </row>
    <row r="2178" spans="1:12" ht="15" customHeight="1" x14ac:dyDescent="0.25">
      <c r="A2178" s="182"/>
      <c r="B2178" s="183"/>
      <c r="C2178" s="183"/>
      <c r="D2178" s="183"/>
      <c r="E2178" s="183"/>
      <c r="F2178" s="183"/>
      <c r="G2178" s="183"/>
      <c r="H2178" s="482" t="s">
        <v>1845</v>
      </c>
      <c r="I2178" s="482"/>
      <c r="J2178" s="482"/>
      <c r="K2178" s="482"/>
      <c r="L2178" s="371">
        <f>SUM(L2177)</f>
        <v>9.58</v>
      </c>
    </row>
    <row r="2179" spans="1:12" ht="15" customHeight="1" x14ac:dyDescent="0.25">
      <c r="A2179" s="182"/>
      <c r="B2179" s="183"/>
      <c r="C2179" s="183"/>
      <c r="D2179" s="183"/>
      <c r="E2179" s="183"/>
      <c r="F2179" s="183"/>
      <c r="G2179" s="183"/>
      <c r="H2179" s="482" t="s">
        <v>1846</v>
      </c>
      <c r="I2179" s="482"/>
      <c r="J2179" s="482"/>
      <c r="K2179" s="482"/>
      <c r="L2179" s="374">
        <v>1</v>
      </c>
    </row>
    <row r="2180" spans="1:12" ht="15" customHeight="1" x14ac:dyDescent="0.25">
      <c r="A2180" s="182"/>
      <c r="B2180" s="183"/>
      <c r="C2180" s="183"/>
      <c r="D2180" s="183"/>
      <c r="E2180" s="183"/>
      <c r="F2180" s="183"/>
      <c r="G2180" s="183"/>
      <c r="H2180" s="482" t="s">
        <v>1847</v>
      </c>
      <c r="I2180" s="482"/>
      <c r="J2180" s="482"/>
      <c r="K2180" s="482"/>
      <c r="L2180" s="371">
        <f>TRUNC(L2178/L2179,4)</f>
        <v>9.58</v>
      </c>
    </row>
    <row r="2181" spans="1:12" ht="20.100000000000001" customHeight="1" x14ac:dyDescent="0.25">
      <c r="A2181" s="488" t="s">
        <v>1880</v>
      </c>
      <c r="B2181" s="489"/>
      <c r="C2181" s="489"/>
      <c r="D2181" s="489"/>
      <c r="E2181" s="489"/>
      <c r="F2181" s="489"/>
      <c r="G2181" s="233" t="s">
        <v>44</v>
      </c>
      <c r="H2181" s="515" t="s">
        <v>1837</v>
      </c>
      <c r="I2181" s="515"/>
      <c r="J2181" s="515" t="s">
        <v>1881</v>
      </c>
      <c r="K2181" s="515"/>
      <c r="L2181" s="169" t="s">
        <v>1882</v>
      </c>
    </row>
    <row r="2182" spans="1:12" ht="15" customHeight="1" x14ac:dyDescent="0.25">
      <c r="A2182" s="170" t="s">
        <v>3805</v>
      </c>
      <c r="B2182" s="492" t="s">
        <v>3806</v>
      </c>
      <c r="C2182" s="492"/>
      <c r="D2182" s="492"/>
      <c r="E2182" s="492"/>
      <c r="F2182" s="492"/>
      <c r="G2182" s="127" t="s">
        <v>226</v>
      </c>
      <c r="H2182" s="524">
        <v>2</v>
      </c>
      <c r="I2182" s="524"/>
      <c r="J2182" s="525">
        <v>3.09</v>
      </c>
      <c r="K2182" s="525"/>
      <c r="L2182" s="171">
        <f>TRUNC(TRUNC(H2182,8)*J2182,2)</f>
        <v>6.18</v>
      </c>
    </row>
    <row r="2183" spans="1:12" ht="15" customHeight="1" x14ac:dyDescent="0.25">
      <c r="A2183" s="170" t="s">
        <v>3276</v>
      </c>
      <c r="B2183" s="492" t="s">
        <v>3277</v>
      </c>
      <c r="C2183" s="492"/>
      <c r="D2183" s="492"/>
      <c r="E2183" s="492"/>
      <c r="F2183" s="492"/>
      <c r="G2183" s="127" t="s">
        <v>226</v>
      </c>
      <c r="H2183" s="524">
        <v>4</v>
      </c>
      <c r="I2183" s="524"/>
      <c r="J2183" s="525">
        <v>0.47</v>
      </c>
      <c r="K2183" s="525"/>
      <c r="L2183" s="171">
        <f>TRUNC(TRUNC(H2183,8)*J2183,2)</f>
        <v>1.88</v>
      </c>
    </row>
    <row r="2184" spans="1:12" ht="15" customHeight="1" x14ac:dyDescent="0.25">
      <c r="A2184" s="170" t="s">
        <v>3819</v>
      </c>
      <c r="B2184" s="492" t="s">
        <v>3820</v>
      </c>
      <c r="C2184" s="492"/>
      <c r="D2184" s="492"/>
      <c r="E2184" s="492"/>
      <c r="F2184" s="492"/>
      <c r="G2184" s="127" t="s">
        <v>188</v>
      </c>
      <c r="H2184" s="524">
        <v>1.1000000000000001</v>
      </c>
      <c r="I2184" s="524"/>
      <c r="J2184" s="525">
        <v>7.69</v>
      </c>
      <c r="K2184" s="525"/>
      <c r="L2184" s="171">
        <f>TRUNC(TRUNC(H2184,8)*J2184,2)</f>
        <v>8.4499999999999993</v>
      </c>
    </row>
    <row r="2185" spans="1:12" ht="15" customHeight="1" x14ac:dyDescent="0.25">
      <c r="A2185" s="184"/>
      <c r="B2185" s="141"/>
      <c r="C2185" s="141"/>
      <c r="D2185" s="141"/>
      <c r="E2185" s="141"/>
      <c r="F2185" s="141"/>
      <c r="G2185" s="141"/>
      <c r="H2185" s="491" t="s">
        <v>1889</v>
      </c>
      <c r="I2185" s="491"/>
      <c r="J2185" s="491"/>
      <c r="K2185" s="491"/>
      <c r="L2185" s="375">
        <f>SUM(L2182:L2184)</f>
        <v>16.509999999999998</v>
      </c>
    </row>
    <row r="2186" spans="1:12" ht="15" customHeight="1" x14ac:dyDescent="0.25">
      <c r="A2186" s="182"/>
      <c r="B2186" s="183"/>
      <c r="C2186" s="183"/>
      <c r="D2186" s="183"/>
      <c r="E2186" s="183"/>
      <c r="F2186" s="183"/>
      <c r="G2186" s="183"/>
      <c r="H2186" s="482" t="s">
        <v>1848</v>
      </c>
      <c r="I2186" s="482"/>
      <c r="J2186" s="482"/>
      <c r="K2186" s="482"/>
      <c r="L2186" s="371">
        <f>SUM(L2180,L2185)</f>
        <v>26.089999999999996</v>
      </c>
    </row>
    <row r="2187" spans="1:12" ht="15" customHeight="1" x14ac:dyDescent="0.25">
      <c r="A2187" s="182"/>
      <c r="B2187" s="183"/>
      <c r="C2187" s="183"/>
      <c r="D2187" s="183"/>
      <c r="E2187" s="183"/>
      <c r="F2187" s="183"/>
      <c r="G2187" s="183"/>
      <c r="H2187" s="482" t="s">
        <v>1834</v>
      </c>
      <c r="I2187" s="482"/>
      <c r="J2187" s="482"/>
      <c r="K2187" s="482"/>
      <c r="L2187" s="369">
        <f>ROUND(SUM(L2186),2)</f>
        <v>26.09</v>
      </c>
    </row>
    <row r="2188" spans="1:12" ht="9.9499999999999993" customHeight="1" x14ac:dyDescent="0.25">
      <c r="A2188" s="182"/>
      <c r="B2188" s="183"/>
      <c r="C2188" s="183"/>
      <c r="D2188" s="183"/>
      <c r="E2188" s="183"/>
      <c r="F2188" s="183"/>
      <c r="G2188" s="183"/>
      <c r="H2188" s="485"/>
      <c r="I2188" s="485"/>
      <c r="J2188" s="485"/>
      <c r="K2188" s="485"/>
      <c r="L2188" s="512"/>
    </row>
    <row r="2189" spans="1:12" ht="20.100000000000001" customHeight="1" x14ac:dyDescent="0.25">
      <c r="A2189" s="486" t="s">
        <v>2242</v>
      </c>
      <c r="B2189" s="487"/>
      <c r="C2189" s="487"/>
      <c r="D2189" s="487"/>
      <c r="E2189" s="487"/>
      <c r="F2189" s="487"/>
      <c r="G2189" s="487"/>
      <c r="H2189" s="487"/>
      <c r="I2189" s="487"/>
      <c r="J2189" s="487"/>
      <c r="K2189" s="487"/>
      <c r="L2189" s="513"/>
    </row>
    <row r="2190" spans="1:12" ht="15" customHeight="1" x14ac:dyDescent="0.25">
      <c r="A2190" s="474" t="s">
        <v>1812</v>
      </c>
      <c r="B2190" s="475"/>
      <c r="C2190" s="475"/>
      <c r="D2190" s="476" t="s">
        <v>42</v>
      </c>
      <c r="E2190" s="476"/>
      <c r="F2190" s="476"/>
      <c r="G2190" s="230" t="s">
        <v>44</v>
      </c>
      <c r="H2190" s="476" t="s">
        <v>1813</v>
      </c>
      <c r="I2190" s="476"/>
      <c r="J2190" s="476" t="s">
        <v>1814</v>
      </c>
      <c r="K2190" s="476"/>
      <c r="L2190" s="366" t="s">
        <v>1802</v>
      </c>
    </row>
    <row r="2191" spans="1:12" ht="21" customHeight="1" x14ac:dyDescent="0.25">
      <c r="A2191" s="181" t="s">
        <v>2243</v>
      </c>
      <c r="B2191" s="509" t="s">
        <v>2244</v>
      </c>
      <c r="C2191" s="509"/>
      <c r="D2191" s="481" t="s">
        <v>82</v>
      </c>
      <c r="E2191" s="481"/>
      <c r="F2191" s="481"/>
      <c r="G2191" s="231" t="s">
        <v>226</v>
      </c>
      <c r="H2191" s="510">
        <v>1</v>
      </c>
      <c r="I2191" s="510"/>
      <c r="J2191" s="511">
        <v>4.5999999999999996</v>
      </c>
      <c r="K2191" s="511"/>
      <c r="L2191" s="367">
        <f>ROUND(ROUND(H2191,8)*J2191,2)</f>
        <v>4.5999999999999996</v>
      </c>
    </row>
    <row r="2192" spans="1:12" ht="15" customHeight="1" x14ac:dyDescent="0.25">
      <c r="A2192" s="182"/>
      <c r="B2192" s="183"/>
      <c r="C2192" s="183"/>
      <c r="D2192" s="183"/>
      <c r="E2192" s="183"/>
      <c r="F2192" s="183"/>
      <c r="G2192" s="183"/>
      <c r="H2192" s="477" t="s">
        <v>1826</v>
      </c>
      <c r="I2192" s="477"/>
      <c r="J2192" s="477"/>
      <c r="K2192" s="477"/>
      <c r="L2192" s="368">
        <f>SUM(L2191:L2191)</f>
        <v>4.5999999999999996</v>
      </c>
    </row>
    <row r="2193" spans="1:12" ht="15" customHeight="1" x14ac:dyDescent="0.25">
      <c r="A2193" s="474" t="s">
        <v>2190</v>
      </c>
      <c r="B2193" s="475"/>
      <c r="C2193" s="475"/>
      <c r="D2193" s="476" t="s">
        <v>42</v>
      </c>
      <c r="E2193" s="476"/>
      <c r="F2193" s="476"/>
      <c r="G2193" s="230" t="s">
        <v>44</v>
      </c>
      <c r="H2193" s="476" t="s">
        <v>1813</v>
      </c>
      <c r="I2193" s="476"/>
      <c r="J2193" s="476" t="s">
        <v>1814</v>
      </c>
      <c r="K2193" s="476"/>
      <c r="L2193" s="366" t="s">
        <v>1802</v>
      </c>
    </row>
    <row r="2194" spans="1:12" ht="21" customHeight="1" x14ac:dyDescent="0.25">
      <c r="A2194" s="181" t="s">
        <v>2191</v>
      </c>
      <c r="B2194" s="509" t="s">
        <v>2192</v>
      </c>
      <c r="C2194" s="509"/>
      <c r="D2194" s="481" t="s">
        <v>82</v>
      </c>
      <c r="E2194" s="481"/>
      <c r="F2194" s="481"/>
      <c r="G2194" s="231" t="s">
        <v>1024</v>
      </c>
      <c r="H2194" s="510">
        <v>0.24</v>
      </c>
      <c r="I2194" s="510"/>
      <c r="J2194" s="511">
        <v>31.67</v>
      </c>
      <c r="K2194" s="511"/>
      <c r="L2194" s="367">
        <f>ROUND(ROUND(H2194,8)*J2194,2)</f>
        <v>7.6</v>
      </c>
    </row>
    <row r="2195" spans="1:12" ht="15" customHeight="1" x14ac:dyDescent="0.25">
      <c r="A2195" s="181" t="s">
        <v>2193</v>
      </c>
      <c r="B2195" s="509" t="s">
        <v>2194</v>
      </c>
      <c r="C2195" s="509"/>
      <c r="D2195" s="481" t="s">
        <v>82</v>
      </c>
      <c r="E2195" s="481"/>
      <c r="F2195" s="481"/>
      <c r="G2195" s="231" t="s">
        <v>1024</v>
      </c>
      <c r="H2195" s="510">
        <v>0.24</v>
      </c>
      <c r="I2195" s="510"/>
      <c r="J2195" s="511">
        <v>44.2</v>
      </c>
      <c r="K2195" s="511"/>
      <c r="L2195" s="367">
        <f>ROUND(ROUND(H2195,8)*J2195,2)</f>
        <v>10.61</v>
      </c>
    </row>
    <row r="2196" spans="1:12" ht="18" customHeight="1" x14ac:dyDescent="0.25">
      <c r="A2196" s="182"/>
      <c r="B2196" s="183"/>
      <c r="C2196" s="183"/>
      <c r="D2196" s="183"/>
      <c r="E2196" s="183"/>
      <c r="F2196" s="183"/>
      <c r="G2196" s="183"/>
      <c r="H2196" s="477" t="s">
        <v>2195</v>
      </c>
      <c r="I2196" s="477"/>
      <c r="J2196" s="477"/>
      <c r="K2196" s="477"/>
      <c r="L2196" s="368">
        <f>SUM(L2194:L2195)</f>
        <v>18.21</v>
      </c>
    </row>
    <row r="2197" spans="1:12" ht="15" customHeight="1" x14ac:dyDescent="0.25">
      <c r="A2197" s="483" t="s">
        <v>2245</v>
      </c>
      <c r="B2197" s="484"/>
      <c r="C2197" s="484"/>
      <c r="D2197" s="484"/>
      <c r="E2197" s="183"/>
      <c r="F2197" s="183"/>
      <c r="G2197" s="183"/>
      <c r="H2197" s="482" t="s">
        <v>1834</v>
      </c>
      <c r="I2197" s="482"/>
      <c r="J2197" s="482"/>
      <c r="K2197" s="482"/>
      <c r="L2197" s="369">
        <v>22.81</v>
      </c>
    </row>
    <row r="2198" spans="1:12" ht="9.9499999999999993" customHeight="1" x14ac:dyDescent="0.25">
      <c r="A2198" s="182"/>
      <c r="B2198" s="183"/>
      <c r="C2198" s="183"/>
      <c r="D2198" s="183"/>
      <c r="E2198" s="183"/>
      <c r="F2198" s="183"/>
      <c r="G2198" s="183"/>
      <c r="H2198" s="485"/>
      <c r="I2198" s="485"/>
      <c r="J2198" s="485"/>
      <c r="K2198" s="485"/>
      <c r="L2198" s="512"/>
    </row>
    <row r="2199" spans="1:12" ht="20.100000000000001" customHeight="1" x14ac:dyDescent="0.25">
      <c r="A2199" s="486" t="s">
        <v>3821</v>
      </c>
      <c r="B2199" s="487"/>
      <c r="C2199" s="487"/>
      <c r="D2199" s="487"/>
      <c r="E2199" s="487"/>
      <c r="F2199" s="487"/>
      <c r="G2199" s="487"/>
      <c r="H2199" s="487"/>
      <c r="I2199" s="487"/>
      <c r="J2199" s="487"/>
      <c r="K2199" s="487"/>
      <c r="L2199" s="513"/>
    </row>
    <row r="2200" spans="1:12" ht="15" customHeight="1" x14ac:dyDescent="0.25">
      <c r="A2200" s="474" t="s">
        <v>1812</v>
      </c>
      <c r="B2200" s="475"/>
      <c r="C2200" s="475"/>
      <c r="D2200" s="476" t="s">
        <v>42</v>
      </c>
      <c r="E2200" s="476"/>
      <c r="F2200" s="476"/>
      <c r="G2200" s="230" t="s">
        <v>44</v>
      </c>
      <c r="H2200" s="476" t="s">
        <v>1813</v>
      </c>
      <c r="I2200" s="476"/>
      <c r="J2200" s="476" t="s">
        <v>1814</v>
      </c>
      <c r="K2200" s="476"/>
      <c r="L2200" s="366" t="s">
        <v>1802</v>
      </c>
    </row>
    <row r="2201" spans="1:12" ht="29.1" customHeight="1" x14ac:dyDescent="0.25">
      <c r="A2201" s="181" t="s">
        <v>3822</v>
      </c>
      <c r="B2201" s="509" t="s">
        <v>3823</v>
      </c>
      <c r="C2201" s="509"/>
      <c r="D2201" s="481" t="s">
        <v>82</v>
      </c>
      <c r="E2201" s="481"/>
      <c r="F2201" s="481"/>
      <c r="G2201" s="231" t="s">
        <v>226</v>
      </c>
      <c r="H2201" s="510">
        <v>2</v>
      </c>
      <c r="I2201" s="510"/>
      <c r="J2201" s="511">
        <v>0.2</v>
      </c>
      <c r="K2201" s="511"/>
      <c r="L2201" s="367">
        <f>TRUNC(TRUNC(H2201,8)*J2201,2)</f>
        <v>0.4</v>
      </c>
    </row>
    <row r="2202" spans="1:12" ht="21" customHeight="1" x14ac:dyDescent="0.25">
      <c r="A2202" s="181" t="s">
        <v>3824</v>
      </c>
      <c r="B2202" s="509" t="s">
        <v>3825</v>
      </c>
      <c r="C2202" s="509"/>
      <c r="D2202" s="481" t="s">
        <v>82</v>
      </c>
      <c r="E2202" s="481"/>
      <c r="F2202" s="481"/>
      <c r="G2202" s="231" t="s">
        <v>226</v>
      </c>
      <c r="H2202" s="510">
        <v>1</v>
      </c>
      <c r="I2202" s="510"/>
      <c r="J2202" s="511">
        <v>21.57</v>
      </c>
      <c r="K2202" s="511"/>
      <c r="L2202" s="367">
        <f>TRUNC(TRUNC(H2202,8)*J2202,2)</f>
        <v>21.57</v>
      </c>
    </row>
    <row r="2203" spans="1:12" ht="15" customHeight="1" x14ac:dyDescent="0.25">
      <c r="A2203" s="182"/>
      <c r="B2203" s="183"/>
      <c r="C2203" s="183"/>
      <c r="D2203" s="183"/>
      <c r="E2203" s="183"/>
      <c r="F2203" s="183"/>
      <c r="G2203" s="183"/>
      <c r="H2203" s="477" t="s">
        <v>1826</v>
      </c>
      <c r="I2203" s="477"/>
      <c r="J2203" s="477"/>
      <c r="K2203" s="477"/>
      <c r="L2203" s="368">
        <f>SUM(L2201:L2202)</f>
        <v>21.97</v>
      </c>
    </row>
    <row r="2204" spans="1:12" ht="15" customHeight="1" x14ac:dyDescent="0.25">
      <c r="A2204" s="474" t="s">
        <v>2190</v>
      </c>
      <c r="B2204" s="475"/>
      <c r="C2204" s="475"/>
      <c r="D2204" s="476" t="s">
        <v>42</v>
      </c>
      <c r="E2204" s="476"/>
      <c r="F2204" s="476"/>
      <c r="G2204" s="230" t="s">
        <v>44</v>
      </c>
      <c r="H2204" s="476" t="s">
        <v>1813</v>
      </c>
      <c r="I2204" s="476"/>
      <c r="J2204" s="476" t="s">
        <v>1814</v>
      </c>
      <c r="K2204" s="476"/>
      <c r="L2204" s="366" t="s">
        <v>1802</v>
      </c>
    </row>
    <row r="2205" spans="1:12" ht="21" customHeight="1" x14ac:dyDescent="0.25">
      <c r="A2205" s="181" t="s">
        <v>2191</v>
      </c>
      <c r="B2205" s="509" t="s">
        <v>2192</v>
      </c>
      <c r="C2205" s="509"/>
      <c r="D2205" s="481" t="s">
        <v>82</v>
      </c>
      <c r="E2205" s="481"/>
      <c r="F2205" s="481"/>
      <c r="G2205" s="231" t="s">
        <v>1024</v>
      </c>
      <c r="H2205" s="510">
        <v>0.13167419999999999</v>
      </c>
      <c r="I2205" s="510"/>
      <c r="J2205" s="511">
        <v>31.67</v>
      </c>
      <c r="K2205" s="511"/>
      <c r="L2205" s="367">
        <f>TRUNC(TRUNC(H2205,8)*J2205,2)</f>
        <v>4.17</v>
      </c>
    </row>
    <row r="2206" spans="1:12" ht="15" customHeight="1" x14ac:dyDescent="0.25">
      <c r="A2206" s="181" t="s">
        <v>2193</v>
      </c>
      <c r="B2206" s="509" t="s">
        <v>2194</v>
      </c>
      <c r="C2206" s="509"/>
      <c r="D2206" s="481" t="s">
        <v>82</v>
      </c>
      <c r="E2206" s="481"/>
      <c r="F2206" s="481"/>
      <c r="G2206" s="231" t="s">
        <v>1024</v>
      </c>
      <c r="H2206" s="510">
        <v>0.26334839999999998</v>
      </c>
      <c r="I2206" s="510"/>
      <c r="J2206" s="511">
        <v>44.2</v>
      </c>
      <c r="K2206" s="511"/>
      <c r="L2206" s="367">
        <f>TRUNC(TRUNC(H2206,8)*J2206,2)</f>
        <v>11.63</v>
      </c>
    </row>
    <row r="2207" spans="1:12" ht="18" customHeight="1" x14ac:dyDescent="0.25">
      <c r="A2207" s="182"/>
      <c r="B2207" s="183"/>
      <c r="C2207" s="183"/>
      <c r="D2207" s="183"/>
      <c r="E2207" s="183"/>
      <c r="F2207" s="183"/>
      <c r="G2207" s="183"/>
      <c r="H2207" s="477" t="s">
        <v>2195</v>
      </c>
      <c r="I2207" s="477"/>
      <c r="J2207" s="477"/>
      <c r="K2207" s="477"/>
      <c r="L2207" s="368">
        <f>SUM(L2205:L2206)</f>
        <v>15.8</v>
      </c>
    </row>
    <row r="2208" spans="1:12" ht="15" customHeight="1" x14ac:dyDescent="0.25">
      <c r="A2208" s="182"/>
      <c r="B2208" s="183"/>
      <c r="C2208" s="183"/>
      <c r="D2208" s="183"/>
      <c r="E2208" s="183"/>
      <c r="F2208" s="183"/>
      <c r="G2208" s="183"/>
      <c r="H2208" s="482" t="s">
        <v>1834</v>
      </c>
      <c r="I2208" s="482"/>
      <c r="J2208" s="482"/>
      <c r="K2208" s="482"/>
      <c r="L2208" s="369">
        <f>ROUND(SUM(L2203,L2207),2)</f>
        <v>37.770000000000003</v>
      </c>
    </row>
    <row r="2209" spans="1:12" ht="9.9499999999999993" customHeight="1" x14ac:dyDescent="0.25">
      <c r="A2209" s="182"/>
      <c r="B2209" s="183"/>
      <c r="C2209" s="183"/>
      <c r="D2209" s="183"/>
      <c r="E2209" s="183"/>
      <c r="F2209" s="183"/>
      <c r="G2209" s="183"/>
      <c r="H2209" s="485"/>
      <c r="I2209" s="485"/>
      <c r="J2209" s="485"/>
      <c r="K2209" s="485"/>
      <c r="L2209" s="512"/>
    </row>
    <row r="2210" spans="1:12" ht="20.100000000000001" customHeight="1" x14ac:dyDescent="0.25">
      <c r="A2210" s="486" t="s">
        <v>2246</v>
      </c>
      <c r="B2210" s="487"/>
      <c r="C2210" s="487"/>
      <c r="D2210" s="487"/>
      <c r="E2210" s="487"/>
      <c r="F2210" s="487"/>
      <c r="G2210" s="487"/>
      <c r="H2210" s="487"/>
      <c r="I2210" s="487"/>
      <c r="J2210" s="487"/>
      <c r="K2210" s="487"/>
      <c r="L2210" s="513"/>
    </row>
    <row r="2211" spans="1:12" ht="15" customHeight="1" x14ac:dyDescent="0.25">
      <c r="A2211" s="474" t="s">
        <v>1812</v>
      </c>
      <c r="B2211" s="475"/>
      <c r="C2211" s="475"/>
      <c r="D2211" s="476" t="s">
        <v>42</v>
      </c>
      <c r="E2211" s="476"/>
      <c r="F2211" s="476"/>
      <c r="G2211" s="230" t="s">
        <v>44</v>
      </c>
      <c r="H2211" s="476" t="s">
        <v>1813</v>
      </c>
      <c r="I2211" s="476"/>
      <c r="J2211" s="476" t="s">
        <v>1814</v>
      </c>
      <c r="K2211" s="476"/>
      <c r="L2211" s="366" t="s">
        <v>1802</v>
      </c>
    </row>
    <row r="2212" spans="1:12" ht="21" customHeight="1" x14ac:dyDescent="0.25">
      <c r="A2212" s="181" t="s">
        <v>2247</v>
      </c>
      <c r="B2212" s="509" t="s">
        <v>2248</v>
      </c>
      <c r="C2212" s="509"/>
      <c r="D2212" s="481" t="s">
        <v>1927</v>
      </c>
      <c r="E2212" s="481"/>
      <c r="F2212" s="481"/>
      <c r="G2212" s="231" t="s">
        <v>579</v>
      </c>
      <c r="H2212" s="510">
        <v>1</v>
      </c>
      <c r="I2212" s="510"/>
      <c r="J2212" s="511">
        <v>130.88999999999999</v>
      </c>
      <c r="K2212" s="511"/>
      <c r="L2212" s="367">
        <f>ROUND(ROUND(H2212,8)*J2212,2)</f>
        <v>130.88999999999999</v>
      </c>
    </row>
    <row r="2213" spans="1:12" ht="21" customHeight="1" x14ac:dyDescent="0.25">
      <c r="A2213" s="181" t="s">
        <v>2249</v>
      </c>
      <c r="B2213" s="509" t="s">
        <v>2250</v>
      </c>
      <c r="C2213" s="509"/>
      <c r="D2213" s="481" t="s">
        <v>1927</v>
      </c>
      <c r="E2213" s="481"/>
      <c r="F2213" s="481"/>
      <c r="G2213" s="231" t="s">
        <v>579</v>
      </c>
      <c r="H2213" s="510">
        <v>1</v>
      </c>
      <c r="I2213" s="510"/>
      <c r="J2213" s="511">
        <v>269.3</v>
      </c>
      <c r="K2213" s="511"/>
      <c r="L2213" s="367">
        <f>ROUND(ROUND(H2213,8)*J2213,2)</f>
        <v>269.3</v>
      </c>
    </row>
    <row r="2214" spans="1:12" ht="15" customHeight="1" x14ac:dyDescent="0.25">
      <c r="A2214" s="182"/>
      <c r="B2214" s="183"/>
      <c r="C2214" s="183"/>
      <c r="D2214" s="183"/>
      <c r="E2214" s="183"/>
      <c r="F2214" s="183"/>
      <c r="G2214" s="183"/>
      <c r="H2214" s="477" t="s">
        <v>1826</v>
      </c>
      <c r="I2214" s="477"/>
      <c r="J2214" s="477"/>
      <c r="K2214" s="477"/>
      <c r="L2214" s="368">
        <f>SUM(L2212:L2213)</f>
        <v>400.19</v>
      </c>
    </row>
    <row r="2215" spans="1:12" ht="15" customHeight="1" x14ac:dyDescent="0.25">
      <c r="A2215" s="474" t="s">
        <v>1827</v>
      </c>
      <c r="B2215" s="475"/>
      <c r="C2215" s="475"/>
      <c r="D2215" s="476" t="s">
        <v>42</v>
      </c>
      <c r="E2215" s="476"/>
      <c r="F2215" s="476"/>
      <c r="G2215" s="230" t="s">
        <v>44</v>
      </c>
      <c r="H2215" s="476" t="s">
        <v>1813</v>
      </c>
      <c r="I2215" s="476"/>
      <c r="J2215" s="476" t="s">
        <v>1814</v>
      </c>
      <c r="K2215" s="476"/>
      <c r="L2215" s="366" t="s">
        <v>1802</v>
      </c>
    </row>
    <row r="2216" spans="1:12" ht="15" customHeight="1" x14ac:dyDescent="0.25">
      <c r="A2216" s="181" t="s">
        <v>2210</v>
      </c>
      <c r="B2216" s="509" t="s">
        <v>2211</v>
      </c>
      <c r="C2216" s="509"/>
      <c r="D2216" s="481" t="s">
        <v>82</v>
      </c>
      <c r="E2216" s="481"/>
      <c r="F2216" s="481"/>
      <c r="G2216" s="231" t="s">
        <v>1024</v>
      </c>
      <c r="H2216" s="510">
        <v>0.28460000000000002</v>
      </c>
      <c r="I2216" s="510"/>
      <c r="J2216" s="511">
        <v>18.940000000000001</v>
      </c>
      <c r="K2216" s="511"/>
      <c r="L2216" s="367">
        <f>ROUND(ROUND(H2216,8)*J2216,2)</f>
        <v>5.39</v>
      </c>
    </row>
    <row r="2217" spans="1:12" ht="15" customHeight="1" x14ac:dyDescent="0.25">
      <c r="A2217" s="181" t="s">
        <v>2178</v>
      </c>
      <c r="B2217" s="509" t="s">
        <v>2179</v>
      </c>
      <c r="C2217" s="509"/>
      <c r="D2217" s="481" t="s">
        <v>51</v>
      </c>
      <c r="E2217" s="481"/>
      <c r="F2217" s="481"/>
      <c r="G2217" s="231" t="s">
        <v>1024</v>
      </c>
      <c r="H2217" s="510">
        <v>0.28460000000000002</v>
      </c>
      <c r="I2217" s="510"/>
      <c r="J2217" s="511">
        <v>26.03</v>
      </c>
      <c r="K2217" s="511"/>
      <c r="L2217" s="367">
        <f>ROUND(ROUND(H2217,8)*J2217,2)</f>
        <v>7.41</v>
      </c>
    </row>
    <row r="2218" spans="1:12" ht="15" customHeight="1" x14ac:dyDescent="0.25">
      <c r="A2218" s="182"/>
      <c r="B2218" s="183"/>
      <c r="C2218" s="183"/>
      <c r="D2218" s="183"/>
      <c r="E2218" s="183"/>
      <c r="F2218" s="183"/>
      <c r="G2218" s="183"/>
      <c r="H2218" s="477" t="s">
        <v>1832</v>
      </c>
      <c r="I2218" s="477"/>
      <c r="J2218" s="477"/>
      <c r="K2218" s="477"/>
      <c r="L2218" s="368">
        <f>SUM(L2216:L2217)</f>
        <v>12.8</v>
      </c>
    </row>
    <row r="2219" spans="1:12" ht="15" customHeight="1" x14ac:dyDescent="0.25">
      <c r="A2219" s="483" t="s">
        <v>2251</v>
      </c>
      <c r="B2219" s="484"/>
      <c r="C2219" s="484"/>
      <c r="D2219" s="484"/>
      <c r="E2219" s="183"/>
      <c r="F2219" s="183"/>
      <c r="G2219" s="183"/>
      <c r="H2219" s="482" t="s">
        <v>1834</v>
      </c>
      <c r="I2219" s="482"/>
      <c r="J2219" s="482"/>
      <c r="K2219" s="482"/>
      <c r="L2219" s="369">
        <v>412.99</v>
      </c>
    </row>
    <row r="2220" spans="1:12" ht="9.9499999999999993" customHeight="1" x14ac:dyDescent="0.25">
      <c r="A2220" s="182"/>
      <c r="B2220" s="183"/>
      <c r="C2220" s="183"/>
      <c r="D2220" s="183"/>
      <c r="E2220" s="183"/>
      <c r="F2220" s="183"/>
      <c r="G2220" s="183"/>
      <c r="H2220" s="485"/>
      <c r="I2220" s="485"/>
      <c r="J2220" s="485"/>
      <c r="K2220" s="485"/>
      <c r="L2220" s="512"/>
    </row>
    <row r="2221" spans="1:12" ht="20.100000000000001" customHeight="1" x14ac:dyDescent="0.25">
      <c r="A2221" s="486" t="s">
        <v>2252</v>
      </c>
      <c r="B2221" s="487"/>
      <c r="C2221" s="487"/>
      <c r="D2221" s="487"/>
      <c r="E2221" s="487"/>
      <c r="F2221" s="487"/>
      <c r="G2221" s="487"/>
      <c r="H2221" s="487"/>
      <c r="I2221" s="487"/>
      <c r="J2221" s="487"/>
      <c r="K2221" s="487"/>
      <c r="L2221" s="513"/>
    </row>
    <row r="2222" spans="1:12" ht="15" customHeight="1" x14ac:dyDescent="0.25">
      <c r="A2222" s="474" t="s">
        <v>1812</v>
      </c>
      <c r="B2222" s="475"/>
      <c r="C2222" s="475"/>
      <c r="D2222" s="476" t="s">
        <v>42</v>
      </c>
      <c r="E2222" s="476"/>
      <c r="F2222" s="476"/>
      <c r="G2222" s="230" t="s">
        <v>44</v>
      </c>
      <c r="H2222" s="476" t="s">
        <v>1813</v>
      </c>
      <c r="I2222" s="476"/>
      <c r="J2222" s="476" t="s">
        <v>1814</v>
      </c>
      <c r="K2222" s="476"/>
      <c r="L2222" s="366" t="s">
        <v>1802</v>
      </c>
    </row>
    <row r="2223" spans="1:12" ht="15" customHeight="1" x14ac:dyDescent="0.25">
      <c r="A2223" s="181" t="s">
        <v>2253</v>
      </c>
      <c r="B2223" s="509" t="s">
        <v>2254</v>
      </c>
      <c r="C2223" s="509"/>
      <c r="D2223" s="481" t="s">
        <v>341</v>
      </c>
      <c r="E2223" s="481"/>
      <c r="F2223" s="481"/>
      <c r="G2223" s="231" t="s">
        <v>579</v>
      </c>
      <c r="H2223" s="510">
        <v>1</v>
      </c>
      <c r="I2223" s="510"/>
      <c r="J2223" s="511">
        <v>8</v>
      </c>
      <c r="K2223" s="511"/>
      <c r="L2223" s="367">
        <f>ROUND(ROUND(H2223,8)*J2223,2)</f>
        <v>8</v>
      </c>
    </row>
    <row r="2224" spans="1:12" ht="15" customHeight="1" x14ac:dyDescent="0.25">
      <c r="A2224" s="182"/>
      <c r="B2224" s="183"/>
      <c r="C2224" s="183"/>
      <c r="D2224" s="183"/>
      <c r="E2224" s="183"/>
      <c r="F2224" s="183"/>
      <c r="G2224" s="183"/>
      <c r="H2224" s="477" t="s">
        <v>1826</v>
      </c>
      <c r="I2224" s="477"/>
      <c r="J2224" s="477"/>
      <c r="K2224" s="477"/>
      <c r="L2224" s="368">
        <f>SUM(L2223:L2223)</f>
        <v>8</v>
      </c>
    </row>
    <row r="2225" spans="1:12" ht="15" customHeight="1" x14ac:dyDescent="0.25">
      <c r="A2225" s="474" t="s">
        <v>1827</v>
      </c>
      <c r="B2225" s="475"/>
      <c r="C2225" s="475"/>
      <c r="D2225" s="476" t="s">
        <v>42</v>
      </c>
      <c r="E2225" s="476"/>
      <c r="F2225" s="476"/>
      <c r="G2225" s="230" t="s">
        <v>44</v>
      </c>
      <c r="H2225" s="476" t="s">
        <v>1813</v>
      </c>
      <c r="I2225" s="476"/>
      <c r="J2225" s="476" t="s">
        <v>1814</v>
      </c>
      <c r="K2225" s="476"/>
      <c r="L2225" s="366" t="s">
        <v>1802</v>
      </c>
    </row>
    <row r="2226" spans="1:12" ht="15" customHeight="1" x14ac:dyDescent="0.25">
      <c r="A2226" s="181" t="s">
        <v>2178</v>
      </c>
      <c r="B2226" s="509" t="s">
        <v>2179</v>
      </c>
      <c r="C2226" s="509"/>
      <c r="D2226" s="481" t="s">
        <v>51</v>
      </c>
      <c r="E2226" s="481"/>
      <c r="F2226" s="481"/>
      <c r="G2226" s="231" t="s">
        <v>1024</v>
      </c>
      <c r="H2226" s="510">
        <v>0.5</v>
      </c>
      <c r="I2226" s="510"/>
      <c r="J2226" s="511">
        <v>26.03</v>
      </c>
      <c r="K2226" s="511"/>
      <c r="L2226" s="367">
        <f>ROUND(ROUND(H2226,8)*J2226,2)</f>
        <v>13.02</v>
      </c>
    </row>
    <row r="2227" spans="1:12" ht="15" customHeight="1" x14ac:dyDescent="0.25">
      <c r="A2227" s="181" t="s">
        <v>1830</v>
      </c>
      <c r="B2227" s="509" t="s">
        <v>1831</v>
      </c>
      <c r="C2227" s="509"/>
      <c r="D2227" s="481" t="s">
        <v>51</v>
      </c>
      <c r="E2227" s="481"/>
      <c r="F2227" s="481"/>
      <c r="G2227" s="231" t="s">
        <v>1024</v>
      </c>
      <c r="H2227" s="510">
        <v>0.5</v>
      </c>
      <c r="I2227" s="510"/>
      <c r="J2227" s="511">
        <v>19.68</v>
      </c>
      <c r="K2227" s="511"/>
      <c r="L2227" s="367">
        <f>ROUND(ROUND(H2227,8)*J2227,2)</f>
        <v>9.84</v>
      </c>
    </row>
    <row r="2228" spans="1:12" ht="15" customHeight="1" x14ac:dyDescent="0.25">
      <c r="A2228" s="182"/>
      <c r="B2228" s="183"/>
      <c r="C2228" s="183"/>
      <c r="D2228" s="183"/>
      <c r="E2228" s="183"/>
      <c r="F2228" s="183"/>
      <c r="G2228" s="183"/>
      <c r="H2228" s="477" t="s">
        <v>1832</v>
      </c>
      <c r="I2228" s="477"/>
      <c r="J2228" s="477"/>
      <c r="K2228" s="477"/>
      <c r="L2228" s="368">
        <f>SUM(L2226:L2227)</f>
        <v>22.86</v>
      </c>
    </row>
    <row r="2229" spans="1:12" ht="15" customHeight="1" x14ac:dyDescent="0.25">
      <c r="A2229" s="483" t="s">
        <v>2255</v>
      </c>
      <c r="B2229" s="484"/>
      <c r="C2229" s="484"/>
      <c r="D2229" s="484"/>
      <c r="E2229" s="183"/>
      <c r="F2229" s="183"/>
      <c r="G2229" s="183"/>
      <c r="H2229" s="482" t="s">
        <v>1834</v>
      </c>
      <c r="I2229" s="482"/>
      <c r="J2229" s="482"/>
      <c r="K2229" s="482"/>
      <c r="L2229" s="369">
        <v>30.86</v>
      </c>
    </row>
    <row r="2230" spans="1:12" ht="9.9499999999999993" customHeight="1" x14ac:dyDescent="0.25">
      <c r="A2230" s="182"/>
      <c r="B2230" s="183"/>
      <c r="C2230" s="183"/>
      <c r="D2230" s="183"/>
      <c r="E2230" s="183"/>
      <c r="F2230" s="183"/>
      <c r="G2230" s="183"/>
      <c r="H2230" s="485"/>
      <c r="I2230" s="485"/>
      <c r="J2230" s="485"/>
      <c r="K2230" s="485"/>
      <c r="L2230" s="512"/>
    </row>
    <row r="2231" spans="1:12" ht="20.100000000000001" customHeight="1" x14ac:dyDescent="0.25">
      <c r="A2231" s="486" t="s">
        <v>3826</v>
      </c>
      <c r="B2231" s="487"/>
      <c r="C2231" s="487"/>
      <c r="D2231" s="487"/>
      <c r="E2231" s="487"/>
      <c r="F2231" s="487"/>
      <c r="G2231" s="487"/>
      <c r="H2231" s="487"/>
      <c r="I2231" s="487"/>
      <c r="J2231" s="487"/>
      <c r="K2231" s="487"/>
      <c r="L2231" s="513"/>
    </row>
    <row r="2232" spans="1:12" ht="20.100000000000001" customHeight="1" x14ac:dyDescent="0.25">
      <c r="A2232" s="488" t="s">
        <v>1836</v>
      </c>
      <c r="B2232" s="489"/>
      <c r="C2232" s="489"/>
      <c r="D2232" s="489"/>
      <c r="E2232" s="489"/>
      <c r="F2232" s="489"/>
      <c r="G2232" s="233" t="s">
        <v>44</v>
      </c>
      <c r="H2232" s="515" t="s">
        <v>1837</v>
      </c>
      <c r="I2232" s="515"/>
      <c r="J2232" s="515" t="s">
        <v>1838</v>
      </c>
      <c r="K2232" s="515"/>
      <c r="L2232" s="169" t="s">
        <v>1839</v>
      </c>
    </row>
    <row r="2233" spans="1:12" ht="15" customHeight="1" x14ac:dyDescent="0.25">
      <c r="A2233" s="170" t="s">
        <v>1840</v>
      </c>
      <c r="B2233" s="490" t="s">
        <v>1841</v>
      </c>
      <c r="C2233" s="490"/>
      <c r="D2233" s="490"/>
      <c r="E2233" s="490"/>
      <c r="F2233" s="490"/>
      <c r="G2233" s="127" t="s">
        <v>1024</v>
      </c>
      <c r="H2233" s="524">
        <v>0.21</v>
      </c>
      <c r="I2233" s="524"/>
      <c r="J2233" s="517">
        <v>21.94</v>
      </c>
      <c r="K2233" s="517"/>
      <c r="L2233" s="370">
        <f>TRUNC(TRUNC(H2233,8)*J2233,2)</f>
        <v>4.5999999999999996</v>
      </c>
    </row>
    <row r="2234" spans="1:12" ht="15" customHeight="1" x14ac:dyDescent="0.25">
      <c r="A2234" s="170" t="s">
        <v>2178</v>
      </c>
      <c r="B2234" s="490" t="s">
        <v>2179</v>
      </c>
      <c r="C2234" s="490"/>
      <c r="D2234" s="490"/>
      <c r="E2234" s="490"/>
      <c r="F2234" s="490"/>
      <c r="G2234" s="127" t="s">
        <v>1024</v>
      </c>
      <c r="H2234" s="524">
        <v>0.21</v>
      </c>
      <c r="I2234" s="524"/>
      <c r="J2234" s="517">
        <v>26.03</v>
      </c>
      <c r="K2234" s="517"/>
      <c r="L2234" s="370">
        <f>TRUNC(TRUNC(H2234,8)*J2234,2)</f>
        <v>5.46</v>
      </c>
    </row>
    <row r="2235" spans="1:12" ht="15" customHeight="1" x14ac:dyDescent="0.25">
      <c r="A2235" s="184"/>
      <c r="B2235" s="141"/>
      <c r="C2235" s="141"/>
      <c r="D2235" s="141"/>
      <c r="E2235" s="141"/>
      <c r="F2235" s="141"/>
      <c r="G2235" s="141"/>
      <c r="H2235" s="491" t="s">
        <v>1844</v>
      </c>
      <c r="I2235" s="491"/>
      <c r="J2235" s="491"/>
      <c r="K2235" s="491"/>
      <c r="L2235" s="369">
        <f>SUM(L2233:L2234)</f>
        <v>10.059999999999999</v>
      </c>
    </row>
    <row r="2236" spans="1:12" ht="15" customHeight="1" x14ac:dyDescent="0.25">
      <c r="A2236" s="182"/>
      <c r="B2236" s="183"/>
      <c r="C2236" s="183"/>
      <c r="D2236" s="183"/>
      <c r="E2236" s="183"/>
      <c r="F2236" s="183"/>
      <c r="G2236" s="183"/>
      <c r="H2236" s="482" t="s">
        <v>1845</v>
      </c>
      <c r="I2236" s="482"/>
      <c r="J2236" s="482"/>
      <c r="K2236" s="482"/>
      <c r="L2236" s="371">
        <f>SUM(L2235)</f>
        <v>10.059999999999999</v>
      </c>
    </row>
    <row r="2237" spans="1:12" ht="15" customHeight="1" x14ac:dyDescent="0.25">
      <c r="A2237" s="182"/>
      <c r="B2237" s="183"/>
      <c r="C2237" s="183"/>
      <c r="D2237" s="183"/>
      <c r="E2237" s="183"/>
      <c r="F2237" s="183"/>
      <c r="G2237" s="183"/>
      <c r="H2237" s="482" t="s">
        <v>1846</v>
      </c>
      <c r="I2237" s="482"/>
      <c r="J2237" s="482"/>
      <c r="K2237" s="482"/>
      <c r="L2237" s="374">
        <v>1</v>
      </c>
    </row>
    <row r="2238" spans="1:12" ht="15" customHeight="1" x14ac:dyDescent="0.25">
      <c r="A2238" s="182"/>
      <c r="B2238" s="183"/>
      <c r="C2238" s="183"/>
      <c r="D2238" s="183"/>
      <c r="E2238" s="183"/>
      <c r="F2238" s="183"/>
      <c r="G2238" s="183"/>
      <c r="H2238" s="482" t="s">
        <v>1847</v>
      </c>
      <c r="I2238" s="482"/>
      <c r="J2238" s="482"/>
      <c r="K2238" s="482"/>
      <c r="L2238" s="371">
        <f>TRUNC(L2236/L2237,4)</f>
        <v>10.06</v>
      </c>
    </row>
    <row r="2239" spans="1:12" ht="20.100000000000001" customHeight="1" x14ac:dyDescent="0.25">
      <c r="A2239" s="488" t="s">
        <v>1880</v>
      </c>
      <c r="B2239" s="489"/>
      <c r="C2239" s="489"/>
      <c r="D2239" s="489"/>
      <c r="E2239" s="489"/>
      <c r="F2239" s="489"/>
      <c r="G2239" s="233" t="s">
        <v>44</v>
      </c>
      <c r="H2239" s="515" t="s">
        <v>1837</v>
      </c>
      <c r="I2239" s="515"/>
      <c r="J2239" s="515" t="s">
        <v>1881</v>
      </c>
      <c r="K2239" s="515"/>
      <c r="L2239" s="169" t="s">
        <v>1882</v>
      </c>
    </row>
    <row r="2240" spans="1:12" ht="15" customHeight="1" x14ac:dyDescent="0.25">
      <c r="A2240" s="170" t="s">
        <v>3827</v>
      </c>
      <c r="B2240" s="492" t="s">
        <v>3828</v>
      </c>
      <c r="C2240" s="492"/>
      <c r="D2240" s="492"/>
      <c r="E2240" s="492"/>
      <c r="F2240" s="492"/>
      <c r="G2240" s="127" t="s">
        <v>188</v>
      </c>
      <c r="H2240" s="524">
        <v>1.02</v>
      </c>
      <c r="I2240" s="524"/>
      <c r="J2240" s="525">
        <v>42.67</v>
      </c>
      <c r="K2240" s="525"/>
      <c r="L2240" s="171">
        <f>TRUNC(TRUNC(H2240,8)*J2240,2)</f>
        <v>43.52</v>
      </c>
    </row>
    <row r="2241" spans="1:12" ht="15" customHeight="1" x14ac:dyDescent="0.25">
      <c r="A2241" s="184"/>
      <c r="B2241" s="141"/>
      <c r="C2241" s="141"/>
      <c r="D2241" s="141"/>
      <c r="E2241" s="141"/>
      <c r="F2241" s="141"/>
      <c r="G2241" s="141"/>
      <c r="H2241" s="491" t="s">
        <v>1889</v>
      </c>
      <c r="I2241" s="491"/>
      <c r="J2241" s="491"/>
      <c r="K2241" s="491"/>
      <c r="L2241" s="375">
        <f>SUM(L2240:L2240)</f>
        <v>43.52</v>
      </c>
    </row>
    <row r="2242" spans="1:12" ht="15" customHeight="1" x14ac:dyDescent="0.25">
      <c r="A2242" s="182"/>
      <c r="B2242" s="183"/>
      <c r="C2242" s="183"/>
      <c r="D2242" s="183"/>
      <c r="E2242" s="183"/>
      <c r="F2242" s="183"/>
      <c r="G2242" s="183"/>
      <c r="H2242" s="482" t="s">
        <v>1848</v>
      </c>
      <c r="I2242" s="482"/>
      <c r="J2242" s="482"/>
      <c r="K2242" s="482"/>
      <c r="L2242" s="371">
        <f>SUM(L2238,L2241)</f>
        <v>53.580000000000005</v>
      </c>
    </row>
    <row r="2243" spans="1:12" ht="15" customHeight="1" x14ac:dyDescent="0.25">
      <c r="A2243" s="182"/>
      <c r="B2243" s="183"/>
      <c r="C2243" s="183"/>
      <c r="D2243" s="183"/>
      <c r="E2243" s="183"/>
      <c r="F2243" s="183"/>
      <c r="G2243" s="183"/>
      <c r="H2243" s="482" t="s">
        <v>1834</v>
      </c>
      <c r="I2243" s="482"/>
      <c r="J2243" s="482"/>
      <c r="K2243" s="482"/>
      <c r="L2243" s="369">
        <f>ROUND(SUM(L2242),2)</f>
        <v>53.58</v>
      </c>
    </row>
    <row r="2244" spans="1:12" ht="9.9499999999999993" customHeight="1" x14ac:dyDescent="0.25">
      <c r="A2244" s="182"/>
      <c r="B2244" s="183"/>
      <c r="C2244" s="183"/>
      <c r="D2244" s="183"/>
      <c r="E2244" s="183"/>
      <c r="F2244" s="183"/>
      <c r="G2244" s="183"/>
      <c r="H2244" s="485"/>
      <c r="I2244" s="485"/>
      <c r="J2244" s="485"/>
      <c r="K2244" s="485"/>
      <c r="L2244" s="512"/>
    </row>
    <row r="2245" spans="1:12" ht="20.100000000000001" customHeight="1" x14ac:dyDescent="0.25">
      <c r="A2245" s="486" t="s">
        <v>3829</v>
      </c>
      <c r="B2245" s="487"/>
      <c r="C2245" s="487"/>
      <c r="D2245" s="487"/>
      <c r="E2245" s="487"/>
      <c r="F2245" s="487"/>
      <c r="G2245" s="487"/>
      <c r="H2245" s="487"/>
      <c r="I2245" s="487"/>
      <c r="J2245" s="487"/>
      <c r="K2245" s="487"/>
      <c r="L2245" s="513"/>
    </row>
    <row r="2246" spans="1:12" ht="20.100000000000001" customHeight="1" x14ac:dyDescent="0.25">
      <c r="A2246" s="488" t="s">
        <v>1836</v>
      </c>
      <c r="B2246" s="489"/>
      <c r="C2246" s="489"/>
      <c r="D2246" s="489"/>
      <c r="E2246" s="489"/>
      <c r="F2246" s="489"/>
      <c r="G2246" s="233" t="s">
        <v>44</v>
      </c>
      <c r="H2246" s="515" t="s">
        <v>1837</v>
      </c>
      <c r="I2246" s="515"/>
      <c r="J2246" s="515" t="s">
        <v>1838</v>
      </c>
      <c r="K2246" s="515"/>
      <c r="L2246" s="169" t="s">
        <v>1839</v>
      </c>
    </row>
    <row r="2247" spans="1:12" ht="15" customHeight="1" x14ac:dyDescent="0.25">
      <c r="A2247" s="170" t="s">
        <v>1840</v>
      </c>
      <c r="B2247" s="490" t="s">
        <v>1841</v>
      </c>
      <c r="C2247" s="490"/>
      <c r="D2247" s="490"/>
      <c r="E2247" s="490"/>
      <c r="F2247" s="490"/>
      <c r="G2247" s="127" t="s">
        <v>1024</v>
      </c>
      <c r="H2247" s="524">
        <v>0.31</v>
      </c>
      <c r="I2247" s="524"/>
      <c r="J2247" s="517">
        <v>21.94</v>
      </c>
      <c r="K2247" s="517"/>
      <c r="L2247" s="370">
        <f>TRUNC(TRUNC(H2247,8)*J2247,2)</f>
        <v>6.8</v>
      </c>
    </row>
    <row r="2248" spans="1:12" ht="15" customHeight="1" x14ac:dyDescent="0.25">
      <c r="A2248" s="170" t="s">
        <v>2178</v>
      </c>
      <c r="B2248" s="490" t="s">
        <v>2179</v>
      </c>
      <c r="C2248" s="490"/>
      <c r="D2248" s="490"/>
      <c r="E2248" s="490"/>
      <c r="F2248" s="490"/>
      <c r="G2248" s="127" t="s">
        <v>1024</v>
      </c>
      <c r="H2248" s="524">
        <v>0.31</v>
      </c>
      <c r="I2248" s="524"/>
      <c r="J2248" s="517">
        <v>26.03</v>
      </c>
      <c r="K2248" s="517"/>
      <c r="L2248" s="370">
        <f>TRUNC(TRUNC(H2248,8)*J2248,2)</f>
        <v>8.06</v>
      </c>
    </row>
    <row r="2249" spans="1:12" ht="15" customHeight="1" x14ac:dyDescent="0.25">
      <c r="A2249" s="184"/>
      <c r="B2249" s="141"/>
      <c r="C2249" s="141"/>
      <c r="D2249" s="141"/>
      <c r="E2249" s="141"/>
      <c r="F2249" s="141"/>
      <c r="G2249" s="141"/>
      <c r="H2249" s="491" t="s">
        <v>1844</v>
      </c>
      <c r="I2249" s="491"/>
      <c r="J2249" s="491"/>
      <c r="K2249" s="491"/>
      <c r="L2249" s="369">
        <f>SUM(L2247:L2248)</f>
        <v>14.86</v>
      </c>
    </row>
    <row r="2250" spans="1:12" ht="15" customHeight="1" x14ac:dyDescent="0.25">
      <c r="A2250" s="182"/>
      <c r="B2250" s="183"/>
      <c r="C2250" s="183"/>
      <c r="D2250" s="183"/>
      <c r="E2250" s="183"/>
      <c r="F2250" s="183"/>
      <c r="G2250" s="183"/>
      <c r="H2250" s="482" t="s">
        <v>1845</v>
      </c>
      <c r="I2250" s="482"/>
      <c r="J2250" s="482"/>
      <c r="K2250" s="482"/>
      <c r="L2250" s="371">
        <f>SUM(L2249)</f>
        <v>14.86</v>
      </c>
    </row>
    <row r="2251" spans="1:12" ht="15" customHeight="1" x14ac:dyDescent="0.25">
      <c r="A2251" s="182"/>
      <c r="B2251" s="183"/>
      <c r="C2251" s="183"/>
      <c r="D2251" s="183"/>
      <c r="E2251" s="183"/>
      <c r="F2251" s="183"/>
      <c r="G2251" s="183"/>
      <c r="H2251" s="482" t="s">
        <v>1846</v>
      </c>
      <c r="I2251" s="482"/>
      <c r="J2251" s="482"/>
      <c r="K2251" s="482"/>
      <c r="L2251" s="374">
        <v>1</v>
      </c>
    </row>
    <row r="2252" spans="1:12" ht="15" customHeight="1" x14ac:dyDescent="0.25">
      <c r="A2252" s="182"/>
      <c r="B2252" s="183"/>
      <c r="C2252" s="183"/>
      <c r="D2252" s="183"/>
      <c r="E2252" s="183"/>
      <c r="F2252" s="183"/>
      <c r="G2252" s="183"/>
      <c r="H2252" s="482" t="s">
        <v>1847</v>
      </c>
      <c r="I2252" s="482"/>
      <c r="J2252" s="482"/>
      <c r="K2252" s="482"/>
      <c r="L2252" s="371">
        <f>TRUNC(L2250/L2251,4)</f>
        <v>14.86</v>
      </c>
    </row>
    <row r="2253" spans="1:12" ht="20.100000000000001" customHeight="1" x14ac:dyDescent="0.25">
      <c r="A2253" s="488" t="s">
        <v>1880</v>
      </c>
      <c r="B2253" s="489"/>
      <c r="C2253" s="489"/>
      <c r="D2253" s="489"/>
      <c r="E2253" s="489"/>
      <c r="F2253" s="489"/>
      <c r="G2253" s="233" t="s">
        <v>44</v>
      </c>
      <c r="H2253" s="515" t="s">
        <v>1837</v>
      </c>
      <c r="I2253" s="515"/>
      <c r="J2253" s="515" t="s">
        <v>1881</v>
      </c>
      <c r="K2253" s="515"/>
      <c r="L2253" s="169" t="s">
        <v>1882</v>
      </c>
    </row>
    <row r="2254" spans="1:12" ht="15" customHeight="1" x14ac:dyDescent="0.25">
      <c r="A2254" s="170" t="s">
        <v>3830</v>
      </c>
      <c r="B2254" s="492" t="s">
        <v>3831</v>
      </c>
      <c r="C2254" s="492"/>
      <c r="D2254" s="492"/>
      <c r="E2254" s="492"/>
      <c r="F2254" s="492"/>
      <c r="G2254" s="127" t="s">
        <v>188</v>
      </c>
      <c r="H2254" s="524">
        <v>1.02</v>
      </c>
      <c r="I2254" s="524"/>
      <c r="J2254" s="525">
        <v>53.33</v>
      </c>
      <c r="K2254" s="525"/>
      <c r="L2254" s="171">
        <f>TRUNC(TRUNC(H2254,8)*J2254,2)</f>
        <v>54.39</v>
      </c>
    </row>
    <row r="2255" spans="1:12" ht="15" customHeight="1" x14ac:dyDescent="0.25">
      <c r="A2255" s="184"/>
      <c r="B2255" s="141"/>
      <c r="C2255" s="141"/>
      <c r="D2255" s="141"/>
      <c r="E2255" s="141"/>
      <c r="F2255" s="141"/>
      <c r="G2255" s="141"/>
      <c r="H2255" s="491" t="s">
        <v>1889</v>
      </c>
      <c r="I2255" s="491"/>
      <c r="J2255" s="491"/>
      <c r="K2255" s="491"/>
      <c r="L2255" s="375">
        <f>SUM(L2254:L2254)</f>
        <v>54.39</v>
      </c>
    </row>
    <row r="2256" spans="1:12" ht="15" customHeight="1" x14ac:dyDescent="0.25">
      <c r="A2256" s="182"/>
      <c r="B2256" s="183"/>
      <c r="C2256" s="183"/>
      <c r="D2256" s="183"/>
      <c r="E2256" s="183"/>
      <c r="F2256" s="183"/>
      <c r="G2256" s="183"/>
      <c r="H2256" s="482" t="s">
        <v>1848</v>
      </c>
      <c r="I2256" s="482"/>
      <c r="J2256" s="482"/>
      <c r="K2256" s="482"/>
      <c r="L2256" s="371">
        <f>SUM(L2252,L2255)</f>
        <v>69.25</v>
      </c>
    </row>
    <row r="2257" spans="1:12" ht="15" customHeight="1" x14ac:dyDescent="0.25">
      <c r="A2257" s="182"/>
      <c r="B2257" s="183"/>
      <c r="C2257" s="183"/>
      <c r="D2257" s="183"/>
      <c r="E2257" s="183"/>
      <c r="F2257" s="183"/>
      <c r="G2257" s="183"/>
      <c r="H2257" s="482" t="s">
        <v>1834</v>
      </c>
      <c r="I2257" s="482"/>
      <c r="J2257" s="482"/>
      <c r="K2257" s="482"/>
      <c r="L2257" s="369">
        <f>ROUND(SUM(L2256),2)</f>
        <v>69.25</v>
      </c>
    </row>
    <row r="2258" spans="1:12" ht="9.9499999999999993" customHeight="1" x14ac:dyDescent="0.25">
      <c r="A2258" s="182"/>
      <c r="B2258" s="183"/>
      <c r="C2258" s="183"/>
      <c r="D2258" s="183"/>
      <c r="E2258" s="183"/>
      <c r="F2258" s="183"/>
      <c r="G2258" s="183"/>
      <c r="H2258" s="485"/>
      <c r="I2258" s="485"/>
      <c r="J2258" s="485"/>
      <c r="K2258" s="485"/>
      <c r="L2258" s="512"/>
    </row>
    <row r="2259" spans="1:12" ht="20.100000000000001" customHeight="1" x14ac:dyDescent="0.25">
      <c r="A2259" s="486" t="s">
        <v>3832</v>
      </c>
      <c r="B2259" s="487"/>
      <c r="C2259" s="487"/>
      <c r="D2259" s="487"/>
      <c r="E2259" s="487"/>
      <c r="F2259" s="487"/>
      <c r="G2259" s="487"/>
      <c r="H2259" s="487"/>
      <c r="I2259" s="487"/>
      <c r="J2259" s="487"/>
      <c r="K2259" s="487"/>
      <c r="L2259" s="513"/>
    </row>
    <row r="2260" spans="1:12" ht="20.100000000000001" customHeight="1" x14ac:dyDescent="0.25">
      <c r="A2260" s="488" t="s">
        <v>1836</v>
      </c>
      <c r="B2260" s="489"/>
      <c r="C2260" s="489"/>
      <c r="D2260" s="489"/>
      <c r="E2260" s="489"/>
      <c r="F2260" s="489"/>
      <c r="G2260" s="233" t="s">
        <v>44</v>
      </c>
      <c r="H2260" s="515" t="s">
        <v>1837</v>
      </c>
      <c r="I2260" s="515"/>
      <c r="J2260" s="515" t="s">
        <v>1838</v>
      </c>
      <c r="K2260" s="515"/>
      <c r="L2260" s="169" t="s">
        <v>1839</v>
      </c>
    </row>
    <row r="2261" spans="1:12" ht="15" customHeight="1" x14ac:dyDescent="0.25">
      <c r="A2261" s="170" t="s">
        <v>1840</v>
      </c>
      <c r="B2261" s="490" t="s">
        <v>1841</v>
      </c>
      <c r="C2261" s="490"/>
      <c r="D2261" s="490"/>
      <c r="E2261" s="490"/>
      <c r="F2261" s="490"/>
      <c r="G2261" s="127" t="s">
        <v>1024</v>
      </c>
      <c r="H2261" s="524">
        <v>2.17</v>
      </c>
      <c r="I2261" s="524"/>
      <c r="J2261" s="517">
        <v>21.94</v>
      </c>
      <c r="K2261" s="517"/>
      <c r="L2261" s="370">
        <f>TRUNC(TRUNC(H2261,8)*J2261,2)</f>
        <v>47.6</v>
      </c>
    </row>
    <row r="2262" spans="1:12" ht="15" customHeight="1" x14ac:dyDescent="0.25">
      <c r="A2262" s="170" t="s">
        <v>2178</v>
      </c>
      <c r="B2262" s="490" t="s">
        <v>2179</v>
      </c>
      <c r="C2262" s="490"/>
      <c r="D2262" s="490"/>
      <c r="E2262" s="490"/>
      <c r="F2262" s="490"/>
      <c r="G2262" s="127" t="s">
        <v>1024</v>
      </c>
      <c r="H2262" s="524">
        <v>2.17</v>
      </c>
      <c r="I2262" s="524"/>
      <c r="J2262" s="517">
        <v>26.03</v>
      </c>
      <c r="K2262" s="517"/>
      <c r="L2262" s="370">
        <f>TRUNC(TRUNC(H2262,8)*J2262,2)</f>
        <v>56.48</v>
      </c>
    </row>
    <row r="2263" spans="1:12" ht="15" customHeight="1" x14ac:dyDescent="0.25">
      <c r="A2263" s="184"/>
      <c r="B2263" s="141"/>
      <c r="C2263" s="141"/>
      <c r="D2263" s="141"/>
      <c r="E2263" s="141"/>
      <c r="F2263" s="141"/>
      <c r="G2263" s="141"/>
      <c r="H2263" s="491" t="s">
        <v>1844</v>
      </c>
      <c r="I2263" s="491"/>
      <c r="J2263" s="491"/>
      <c r="K2263" s="491"/>
      <c r="L2263" s="369">
        <f>SUM(L2261:L2262)</f>
        <v>104.08</v>
      </c>
    </row>
    <row r="2264" spans="1:12" ht="15" customHeight="1" x14ac:dyDescent="0.25">
      <c r="A2264" s="182"/>
      <c r="B2264" s="183"/>
      <c r="C2264" s="183"/>
      <c r="D2264" s="183"/>
      <c r="E2264" s="183"/>
      <c r="F2264" s="183"/>
      <c r="G2264" s="183"/>
      <c r="H2264" s="482" t="s">
        <v>1845</v>
      </c>
      <c r="I2264" s="482"/>
      <c r="J2264" s="482"/>
      <c r="K2264" s="482"/>
      <c r="L2264" s="371">
        <f>SUM(L2263)</f>
        <v>104.08</v>
      </c>
    </row>
    <row r="2265" spans="1:12" ht="15" customHeight="1" x14ac:dyDescent="0.25">
      <c r="A2265" s="182"/>
      <c r="B2265" s="183"/>
      <c r="C2265" s="183"/>
      <c r="D2265" s="183"/>
      <c r="E2265" s="183"/>
      <c r="F2265" s="183"/>
      <c r="G2265" s="183"/>
      <c r="H2265" s="482" t="s">
        <v>1846</v>
      </c>
      <c r="I2265" s="482"/>
      <c r="J2265" s="482"/>
      <c r="K2265" s="482"/>
      <c r="L2265" s="374">
        <v>1</v>
      </c>
    </row>
    <row r="2266" spans="1:12" ht="15" customHeight="1" x14ac:dyDescent="0.25">
      <c r="A2266" s="182"/>
      <c r="B2266" s="183"/>
      <c r="C2266" s="183"/>
      <c r="D2266" s="183"/>
      <c r="E2266" s="183"/>
      <c r="F2266" s="183"/>
      <c r="G2266" s="183"/>
      <c r="H2266" s="482" t="s">
        <v>1847</v>
      </c>
      <c r="I2266" s="482"/>
      <c r="J2266" s="482"/>
      <c r="K2266" s="482"/>
      <c r="L2266" s="371">
        <f>TRUNC(L2264/L2265,4)</f>
        <v>104.08</v>
      </c>
    </row>
    <row r="2267" spans="1:12" ht="20.100000000000001" customHeight="1" x14ac:dyDescent="0.25">
      <c r="A2267" s="488" t="s">
        <v>1880</v>
      </c>
      <c r="B2267" s="489"/>
      <c r="C2267" s="489"/>
      <c r="D2267" s="489"/>
      <c r="E2267" s="489"/>
      <c r="F2267" s="489"/>
      <c r="G2267" s="233" t="s">
        <v>44</v>
      </c>
      <c r="H2267" s="515" t="s">
        <v>1837</v>
      </c>
      <c r="I2267" s="515"/>
      <c r="J2267" s="515" t="s">
        <v>1881</v>
      </c>
      <c r="K2267" s="515"/>
      <c r="L2267" s="169" t="s">
        <v>1882</v>
      </c>
    </row>
    <row r="2268" spans="1:12" ht="15" customHeight="1" x14ac:dyDescent="0.25">
      <c r="A2268" s="170" t="s">
        <v>3833</v>
      </c>
      <c r="B2268" s="492" t="s">
        <v>3834</v>
      </c>
      <c r="C2268" s="492"/>
      <c r="D2268" s="492"/>
      <c r="E2268" s="492"/>
      <c r="F2268" s="492"/>
      <c r="G2268" s="127" t="s">
        <v>226</v>
      </c>
      <c r="H2268" s="524">
        <v>1</v>
      </c>
      <c r="I2268" s="524"/>
      <c r="J2268" s="525">
        <v>150.78</v>
      </c>
      <c r="K2268" s="525"/>
      <c r="L2268" s="171">
        <f>TRUNC(TRUNC(H2268,8)*J2268,2)</f>
        <v>150.78</v>
      </c>
    </row>
    <row r="2269" spans="1:12" ht="15" customHeight="1" x14ac:dyDescent="0.25">
      <c r="A2269" s="184"/>
      <c r="B2269" s="141"/>
      <c r="C2269" s="141"/>
      <c r="D2269" s="141"/>
      <c r="E2269" s="141"/>
      <c r="F2269" s="141"/>
      <c r="G2269" s="141"/>
      <c r="H2269" s="491" t="s">
        <v>1889</v>
      </c>
      <c r="I2269" s="491"/>
      <c r="J2269" s="491"/>
      <c r="K2269" s="491"/>
      <c r="L2269" s="375">
        <f>SUM(L2268:L2268)</f>
        <v>150.78</v>
      </c>
    </row>
    <row r="2270" spans="1:12" ht="15" customHeight="1" x14ac:dyDescent="0.25">
      <c r="A2270" s="182"/>
      <c r="B2270" s="183"/>
      <c r="C2270" s="183"/>
      <c r="D2270" s="183"/>
      <c r="E2270" s="183"/>
      <c r="F2270" s="183"/>
      <c r="G2270" s="183"/>
      <c r="H2270" s="482" t="s">
        <v>1848</v>
      </c>
      <c r="I2270" s="482"/>
      <c r="J2270" s="482"/>
      <c r="K2270" s="482"/>
      <c r="L2270" s="371">
        <f>SUM(L2266,L2269)</f>
        <v>254.86</v>
      </c>
    </row>
    <row r="2271" spans="1:12" ht="15" customHeight="1" x14ac:dyDescent="0.25">
      <c r="A2271" s="182"/>
      <c r="B2271" s="183"/>
      <c r="C2271" s="183"/>
      <c r="D2271" s="183"/>
      <c r="E2271" s="183"/>
      <c r="F2271" s="183"/>
      <c r="G2271" s="183"/>
      <c r="H2271" s="482" t="s">
        <v>1834</v>
      </c>
      <c r="I2271" s="482"/>
      <c r="J2271" s="482"/>
      <c r="K2271" s="482"/>
      <c r="L2271" s="369">
        <f>ROUND(SUM(L2270),2)</f>
        <v>254.86</v>
      </c>
    </row>
    <row r="2272" spans="1:12" ht="9.9499999999999993" customHeight="1" x14ac:dyDescent="0.25">
      <c r="A2272" s="182"/>
      <c r="B2272" s="183"/>
      <c r="C2272" s="183"/>
      <c r="D2272" s="183"/>
      <c r="E2272" s="183"/>
      <c r="F2272" s="183"/>
      <c r="G2272" s="183"/>
      <c r="H2272" s="485"/>
      <c r="I2272" s="485"/>
      <c r="J2272" s="485"/>
      <c r="K2272" s="485"/>
      <c r="L2272" s="512"/>
    </row>
    <row r="2273" spans="1:12" ht="20.100000000000001" customHeight="1" x14ac:dyDescent="0.25">
      <c r="A2273" s="486" t="s">
        <v>3835</v>
      </c>
      <c r="B2273" s="487"/>
      <c r="C2273" s="487"/>
      <c r="D2273" s="487"/>
      <c r="E2273" s="487"/>
      <c r="F2273" s="487"/>
      <c r="G2273" s="487"/>
      <c r="H2273" s="487"/>
      <c r="I2273" s="487"/>
      <c r="J2273" s="487"/>
      <c r="K2273" s="487"/>
      <c r="L2273" s="513"/>
    </row>
    <row r="2274" spans="1:12" ht="20.100000000000001" customHeight="1" x14ac:dyDescent="0.25">
      <c r="A2274" s="488" t="s">
        <v>1836</v>
      </c>
      <c r="B2274" s="489"/>
      <c r="C2274" s="489"/>
      <c r="D2274" s="489"/>
      <c r="E2274" s="489"/>
      <c r="F2274" s="489"/>
      <c r="G2274" s="233" t="s">
        <v>44</v>
      </c>
      <c r="H2274" s="515" t="s">
        <v>1837</v>
      </c>
      <c r="I2274" s="515"/>
      <c r="J2274" s="515" t="s">
        <v>1838</v>
      </c>
      <c r="K2274" s="515"/>
      <c r="L2274" s="169" t="s">
        <v>1839</v>
      </c>
    </row>
    <row r="2275" spans="1:12" ht="15" customHeight="1" x14ac:dyDescent="0.25">
      <c r="A2275" s="170" t="s">
        <v>1851</v>
      </c>
      <c r="B2275" s="490" t="s">
        <v>1852</v>
      </c>
      <c r="C2275" s="490"/>
      <c r="D2275" s="490"/>
      <c r="E2275" s="490"/>
      <c r="F2275" s="490"/>
      <c r="G2275" s="127" t="s">
        <v>1024</v>
      </c>
      <c r="H2275" s="524">
        <v>0.4</v>
      </c>
      <c r="I2275" s="524"/>
      <c r="J2275" s="517">
        <v>26.03</v>
      </c>
      <c r="K2275" s="517"/>
      <c r="L2275" s="370">
        <f>TRUNC(TRUNC(H2275,8)*J2275,2)</f>
        <v>10.41</v>
      </c>
    </row>
    <row r="2276" spans="1:12" ht="15" customHeight="1" x14ac:dyDescent="0.25">
      <c r="A2276" s="170" t="s">
        <v>1830</v>
      </c>
      <c r="B2276" s="490" t="s">
        <v>1831</v>
      </c>
      <c r="C2276" s="490"/>
      <c r="D2276" s="490"/>
      <c r="E2276" s="490"/>
      <c r="F2276" s="490"/>
      <c r="G2276" s="127" t="s">
        <v>1024</v>
      </c>
      <c r="H2276" s="524">
        <v>0.4</v>
      </c>
      <c r="I2276" s="524"/>
      <c r="J2276" s="517">
        <v>19.68</v>
      </c>
      <c r="K2276" s="517"/>
      <c r="L2276" s="370">
        <f>TRUNC(TRUNC(H2276,8)*J2276,2)</f>
        <v>7.87</v>
      </c>
    </row>
    <row r="2277" spans="1:12" ht="15" customHeight="1" x14ac:dyDescent="0.25">
      <c r="A2277" s="184"/>
      <c r="B2277" s="141"/>
      <c r="C2277" s="141"/>
      <c r="D2277" s="141"/>
      <c r="E2277" s="141"/>
      <c r="F2277" s="141"/>
      <c r="G2277" s="141"/>
      <c r="H2277" s="491" t="s">
        <v>1844</v>
      </c>
      <c r="I2277" s="491"/>
      <c r="J2277" s="491"/>
      <c r="K2277" s="491"/>
      <c r="L2277" s="369">
        <f>SUM(L2275:L2276)</f>
        <v>18.28</v>
      </c>
    </row>
    <row r="2278" spans="1:12" ht="15" customHeight="1" x14ac:dyDescent="0.25">
      <c r="A2278" s="182"/>
      <c r="B2278" s="183"/>
      <c r="C2278" s="183"/>
      <c r="D2278" s="183"/>
      <c r="E2278" s="183"/>
      <c r="F2278" s="183"/>
      <c r="G2278" s="183"/>
      <c r="H2278" s="482" t="s">
        <v>1845</v>
      </c>
      <c r="I2278" s="482"/>
      <c r="J2278" s="482"/>
      <c r="K2278" s="482"/>
      <c r="L2278" s="371">
        <f>SUM(L2277)</f>
        <v>18.28</v>
      </c>
    </row>
    <row r="2279" spans="1:12" ht="15" customHeight="1" x14ac:dyDescent="0.25">
      <c r="A2279" s="182"/>
      <c r="B2279" s="183"/>
      <c r="C2279" s="183"/>
      <c r="D2279" s="183"/>
      <c r="E2279" s="183"/>
      <c r="F2279" s="183"/>
      <c r="G2279" s="183"/>
      <c r="H2279" s="482" t="s">
        <v>1846</v>
      </c>
      <c r="I2279" s="482"/>
      <c r="J2279" s="482"/>
      <c r="K2279" s="482"/>
      <c r="L2279" s="374">
        <v>1</v>
      </c>
    </row>
    <row r="2280" spans="1:12" ht="15" customHeight="1" x14ac:dyDescent="0.25">
      <c r="A2280" s="182"/>
      <c r="B2280" s="183"/>
      <c r="C2280" s="183"/>
      <c r="D2280" s="183"/>
      <c r="E2280" s="183"/>
      <c r="F2280" s="183"/>
      <c r="G2280" s="183"/>
      <c r="H2280" s="482" t="s">
        <v>1847</v>
      </c>
      <c r="I2280" s="482"/>
      <c r="J2280" s="482"/>
      <c r="K2280" s="482"/>
      <c r="L2280" s="371">
        <f>TRUNC(L2278/L2279,4)</f>
        <v>18.28</v>
      </c>
    </row>
    <row r="2281" spans="1:12" ht="20.100000000000001" customHeight="1" x14ac:dyDescent="0.25">
      <c r="A2281" s="488" t="s">
        <v>1880</v>
      </c>
      <c r="B2281" s="489"/>
      <c r="C2281" s="489"/>
      <c r="D2281" s="489"/>
      <c r="E2281" s="489"/>
      <c r="F2281" s="489"/>
      <c r="G2281" s="233" t="s">
        <v>44</v>
      </c>
      <c r="H2281" s="515" t="s">
        <v>1837</v>
      </c>
      <c r="I2281" s="515"/>
      <c r="J2281" s="515" t="s">
        <v>1881</v>
      </c>
      <c r="K2281" s="515"/>
      <c r="L2281" s="169" t="s">
        <v>1882</v>
      </c>
    </row>
    <row r="2282" spans="1:12" ht="15" customHeight="1" x14ac:dyDescent="0.25">
      <c r="A2282" s="170" t="s">
        <v>3276</v>
      </c>
      <c r="B2282" s="492" t="s">
        <v>3277</v>
      </c>
      <c r="C2282" s="492"/>
      <c r="D2282" s="492"/>
      <c r="E2282" s="492"/>
      <c r="F2282" s="492"/>
      <c r="G2282" s="127" t="s">
        <v>226</v>
      </c>
      <c r="H2282" s="524">
        <v>2</v>
      </c>
      <c r="I2282" s="524"/>
      <c r="J2282" s="525">
        <v>0.47</v>
      </c>
      <c r="K2282" s="525"/>
      <c r="L2282" s="171">
        <f>TRUNC(TRUNC(H2282,8)*J2282,2)</f>
        <v>0.94</v>
      </c>
    </row>
    <row r="2283" spans="1:12" ht="15" customHeight="1" x14ac:dyDescent="0.25">
      <c r="A2283" s="170" t="s">
        <v>3836</v>
      </c>
      <c r="B2283" s="492" t="s">
        <v>3837</v>
      </c>
      <c r="C2283" s="492"/>
      <c r="D2283" s="492"/>
      <c r="E2283" s="492"/>
      <c r="F2283" s="492"/>
      <c r="G2283" s="127" t="s">
        <v>226</v>
      </c>
      <c r="H2283" s="524">
        <v>1</v>
      </c>
      <c r="I2283" s="524"/>
      <c r="J2283" s="525">
        <v>149.93</v>
      </c>
      <c r="K2283" s="525"/>
      <c r="L2283" s="171">
        <f>TRUNC(TRUNC(H2283,8)*J2283,2)</f>
        <v>149.93</v>
      </c>
    </row>
    <row r="2284" spans="1:12" ht="15" customHeight="1" x14ac:dyDescent="0.25">
      <c r="A2284" s="170" t="s">
        <v>3838</v>
      </c>
      <c r="B2284" s="492" t="s">
        <v>3839</v>
      </c>
      <c r="C2284" s="492"/>
      <c r="D2284" s="492"/>
      <c r="E2284" s="492"/>
      <c r="F2284" s="492"/>
      <c r="G2284" s="127" t="s">
        <v>226</v>
      </c>
      <c r="H2284" s="524">
        <v>1</v>
      </c>
      <c r="I2284" s="524"/>
      <c r="J2284" s="525">
        <v>10.23</v>
      </c>
      <c r="K2284" s="525"/>
      <c r="L2284" s="171">
        <f>TRUNC(TRUNC(H2284,8)*J2284,2)</f>
        <v>10.23</v>
      </c>
    </row>
    <row r="2285" spans="1:12" ht="15" customHeight="1" x14ac:dyDescent="0.25">
      <c r="A2285" s="184"/>
      <c r="B2285" s="141"/>
      <c r="C2285" s="141"/>
      <c r="D2285" s="141"/>
      <c r="E2285" s="141"/>
      <c r="F2285" s="141"/>
      <c r="G2285" s="141"/>
      <c r="H2285" s="491" t="s">
        <v>1889</v>
      </c>
      <c r="I2285" s="491"/>
      <c r="J2285" s="491"/>
      <c r="K2285" s="491"/>
      <c r="L2285" s="375">
        <f>SUM(L2282:L2284)</f>
        <v>161.1</v>
      </c>
    </row>
    <row r="2286" spans="1:12" ht="15" customHeight="1" x14ac:dyDescent="0.25">
      <c r="A2286" s="182"/>
      <c r="B2286" s="183"/>
      <c r="C2286" s="183"/>
      <c r="D2286" s="183"/>
      <c r="E2286" s="183"/>
      <c r="F2286" s="183"/>
      <c r="G2286" s="183"/>
      <c r="H2286" s="482" t="s">
        <v>1848</v>
      </c>
      <c r="I2286" s="482"/>
      <c r="J2286" s="482"/>
      <c r="K2286" s="482"/>
      <c r="L2286" s="371">
        <f>SUM(L2280,L2285)</f>
        <v>179.38</v>
      </c>
    </row>
    <row r="2287" spans="1:12" ht="15" customHeight="1" x14ac:dyDescent="0.25">
      <c r="A2287" s="182"/>
      <c r="B2287" s="183"/>
      <c r="C2287" s="183"/>
      <c r="D2287" s="183"/>
      <c r="E2287" s="183"/>
      <c r="F2287" s="183"/>
      <c r="G2287" s="183"/>
      <c r="H2287" s="482" t="s">
        <v>1834</v>
      </c>
      <c r="I2287" s="482"/>
      <c r="J2287" s="482"/>
      <c r="K2287" s="482"/>
      <c r="L2287" s="369">
        <f>ROUND(SUM(L2286),2)</f>
        <v>179.38</v>
      </c>
    </row>
    <row r="2288" spans="1:12" ht="9.9499999999999993" customHeight="1" x14ac:dyDescent="0.25">
      <c r="A2288" s="182"/>
      <c r="B2288" s="183"/>
      <c r="C2288" s="183"/>
      <c r="D2288" s="183"/>
      <c r="E2288" s="183"/>
      <c r="F2288" s="183"/>
      <c r="G2288" s="183"/>
      <c r="H2288" s="485"/>
      <c r="I2288" s="485"/>
      <c r="J2288" s="485"/>
      <c r="K2288" s="485"/>
      <c r="L2288" s="512"/>
    </row>
    <row r="2289" spans="1:12" ht="20.100000000000001" customHeight="1" x14ac:dyDescent="0.25">
      <c r="A2289" s="486" t="s">
        <v>3840</v>
      </c>
      <c r="B2289" s="487"/>
      <c r="C2289" s="487"/>
      <c r="D2289" s="487"/>
      <c r="E2289" s="487"/>
      <c r="F2289" s="487"/>
      <c r="G2289" s="487"/>
      <c r="H2289" s="487"/>
      <c r="I2289" s="487"/>
      <c r="J2289" s="487"/>
      <c r="K2289" s="487"/>
      <c r="L2289" s="513"/>
    </row>
    <row r="2290" spans="1:12" ht="15" customHeight="1" x14ac:dyDescent="0.25">
      <c r="A2290" s="474" t="s">
        <v>1812</v>
      </c>
      <c r="B2290" s="475"/>
      <c r="C2290" s="475"/>
      <c r="D2290" s="476" t="s">
        <v>42</v>
      </c>
      <c r="E2290" s="476"/>
      <c r="F2290" s="476"/>
      <c r="G2290" s="230" t="s">
        <v>44</v>
      </c>
      <c r="H2290" s="476" t="s">
        <v>1813</v>
      </c>
      <c r="I2290" s="476"/>
      <c r="J2290" s="476" t="s">
        <v>1814</v>
      </c>
      <c r="K2290" s="476"/>
      <c r="L2290" s="366" t="s">
        <v>1802</v>
      </c>
    </row>
    <row r="2291" spans="1:12" ht="29.1" customHeight="1" x14ac:dyDescent="0.25">
      <c r="A2291" s="181" t="s">
        <v>3841</v>
      </c>
      <c r="B2291" s="509" t="s">
        <v>3842</v>
      </c>
      <c r="C2291" s="509"/>
      <c r="D2291" s="481" t="s">
        <v>82</v>
      </c>
      <c r="E2291" s="481"/>
      <c r="F2291" s="481"/>
      <c r="G2291" s="231" t="s">
        <v>226</v>
      </c>
      <c r="H2291" s="510">
        <v>2</v>
      </c>
      <c r="I2291" s="510"/>
      <c r="J2291" s="511">
        <v>0.59</v>
      </c>
      <c r="K2291" s="511"/>
      <c r="L2291" s="367">
        <f>TRUNC(TRUNC(H2291,8)*J2291,2)</f>
        <v>1.18</v>
      </c>
    </row>
    <row r="2292" spans="1:12" ht="21" customHeight="1" x14ac:dyDescent="0.25">
      <c r="A2292" s="181" t="s">
        <v>3843</v>
      </c>
      <c r="B2292" s="509" t="s">
        <v>3844</v>
      </c>
      <c r="C2292" s="509"/>
      <c r="D2292" s="481" t="s">
        <v>82</v>
      </c>
      <c r="E2292" s="481"/>
      <c r="F2292" s="481"/>
      <c r="G2292" s="231" t="s">
        <v>226</v>
      </c>
      <c r="H2292" s="510">
        <v>1</v>
      </c>
      <c r="I2292" s="510"/>
      <c r="J2292" s="511">
        <v>723</v>
      </c>
      <c r="K2292" s="511"/>
      <c r="L2292" s="367">
        <f>TRUNC(TRUNC(H2292,8)*J2292,2)</f>
        <v>723</v>
      </c>
    </row>
    <row r="2293" spans="1:12" ht="15" customHeight="1" x14ac:dyDescent="0.25">
      <c r="A2293" s="182"/>
      <c r="B2293" s="183"/>
      <c r="C2293" s="183"/>
      <c r="D2293" s="183"/>
      <c r="E2293" s="183"/>
      <c r="F2293" s="183"/>
      <c r="G2293" s="183"/>
      <c r="H2293" s="477" t="s">
        <v>1826</v>
      </c>
      <c r="I2293" s="477"/>
      <c r="J2293" s="477"/>
      <c r="K2293" s="477"/>
      <c r="L2293" s="368">
        <f>SUM(L2291:L2292)</f>
        <v>724.18</v>
      </c>
    </row>
    <row r="2294" spans="1:12" ht="15" customHeight="1" x14ac:dyDescent="0.25">
      <c r="A2294" s="474" t="s">
        <v>2190</v>
      </c>
      <c r="B2294" s="475"/>
      <c r="C2294" s="475"/>
      <c r="D2294" s="476" t="s">
        <v>42</v>
      </c>
      <c r="E2294" s="476"/>
      <c r="F2294" s="476"/>
      <c r="G2294" s="230" t="s">
        <v>44</v>
      </c>
      <c r="H2294" s="476" t="s">
        <v>1813</v>
      </c>
      <c r="I2294" s="476"/>
      <c r="J2294" s="476" t="s">
        <v>1814</v>
      </c>
      <c r="K2294" s="476"/>
      <c r="L2294" s="366" t="s">
        <v>1802</v>
      </c>
    </row>
    <row r="2295" spans="1:12" ht="21" customHeight="1" x14ac:dyDescent="0.25">
      <c r="A2295" s="181" t="s">
        <v>2813</v>
      </c>
      <c r="B2295" s="509" t="s">
        <v>2814</v>
      </c>
      <c r="C2295" s="509"/>
      <c r="D2295" s="481" t="s">
        <v>82</v>
      </c>
      <c r="E2295" s="481"/>
      <c r="F2295" s="481"/>
      <c r="G2295" s="231" t="s">
        <v>1024</v>
      </c>
      <c r="H2295" s="510">
        <v>0.43105599999999999</v>
      </c>
      <c r="I2295" s="510"/>
      <c r="J2295" s="511">
        <v>30.78</v>
      </c>
      <c r="K2295" s="511"/>
      <c r="L2295" s="367">
        <f>TRUNC(TRUNC(H2295,8)*J2295,2)</f>
        <v>13.26</v>
      </c>
    </row>
    <row r="2296" spans="1:12" ht="21" customHeight="1" x14ac:dyDescent="0.25">
      <c r="A2296" s="181" t="s">
        <v>2815</v>
      </c>
      <c r="B2296" s="509" t="s">
        <v>2816</v>
      </c>
      <c r="C2296" s="509"/>
      <c r="D2296" s="481" t="s">
        <v>82</v>
      </c>
      <c r="E2296" s="481"/>
      <c r="F2296" s="481"/>
      <c r="G2296" s="231" t="s">
        <v>1024</v>
      </c>
      <c r="H2296" s="510">
        <v>0.43105599999999999</v>
      </c>
      <c r="I2296" s="510"/>
      <c r="J2296" s="511">
        <v>33.270000000000003</v>
      </c>
      <c r="K2296" s="511"/>
      <c r="L2296" s="367">
        <f>TRUNC(TRUNC(H2296,8)*J2296,2)</f>
        <v>14.34</v>
      </c>
    </row>
    <row r="2297" spans="1:12" ht="18" customHeight="1" x14ac:dyDescent="0.25">
      <c r="A2297" s="182"/>
      <c r="B2297" s="183"/>
      <c r="C2297" s="183"/>
      <c r="D2297" s="183"/>
      <c r="E2297" s="183"/>
      <c r="F2297" s="183"/>
      <c r="G2297" s="183"/>
      <c r="H2297" s="477" t="s">
        <v>2195</v>
      </c>
      <c r="I2297" s="477"/>
      <c r="J2297" s="477"/>
      <c r="K2297" s="477"/>
      <c r="L2297" s="368">
        <f>SUM(L2295:L2296)</f>
        <v>27.6</v>
      </c>
    </row>
    <row r="2298" spans="1:12" ht="15" customHeight="1" x14ac:dyDescent="0.25">
      <c r="A2298" s="182"/>
      <c r="B2298" s="183"/>
      <c r="C2298" s="183"/>
      <c r="D2298" s="183"/>
      <c r="E2298" s="183"/>
      <c r="F2298" s="183"/>
      <c r="G2298" s="183"/>
      <c r="H2298" s="482" t="s">
        <v>1834</v>
      </c>
      <c r="I2298" s="482"/>
      <c r="J2298" s="482"/>
      <c r="K2298" s="482"/>
      <c r="L2298" s="369">
        <f>ROUND(SUM(L2293,L2297),2)</f>
        <v>751.78</v>
      </c>
    </row>
    <row r="2299" spans="1:12" ht="9.9499999999999993" customHeight="1" x14ac:dyDescent="0.25">
      <c r="A2299" s="182"/>
      <c r="B2299" s="183"/>
      <c r="C2299" s="183"/>
      <c r="D2299" s="183"/>
      <c r="E2299" s="183"/>
      <c r="F2299" s="183"/>
      <c r="G2299" s="183"/>
      <c r="H2299" s="485"/>
      <c r="I2299" s="485"/>
      <c r="J2299" s="485"/>
      <c r="K2299" s="485"/>
      <c r="L2299" s="512"/>
    </row>
    <row r="2300" spans="1:12" ht="20.100000000000001" customHeight="1" x14ac:dyDescent="0.25">
      <c r="A2300" s="486" t="s">
        <v>2256</v>
      </c>
      <c r="B2300" s="487"/>
      <c r="C2300" s="487"/>
      <c r="D2300" s="487"/>
      <c r="E2300" s="487"/>
      <c r="F2300" s="487"/>
      <c r="G2300" s="487"/>
      <c r="H2300" s="487"/>
      <c r="I2300" s="487"/>
      <c r="J2300" s="487"/>
      <c r="K2300" s="487"/>
      <c r="L2300" s="513"/>
    </row>
    <row r="2301" spans="1:12" ht="15" customHeight="1" x14ac:dyDescent="0.25">
      <c r="A2301" s="474" t="s">
        <v>1812</v>
      </c>
      <c r="B2301" s="475"/>
      <c r="C2301" s="475"/>
      <c r="D2301" s="476" t="s">
        <v>42</v>
      </c>
      <c r="E2301" s="476"/>
      <c r="F2301" s="476"/>
      <c r="G2301" s="230" t="s">
        <v>44</v>
      </c>
      <c r="H2301" s="476" t="s">
        <v>1813</v>
      </c>
      <c r="I2301" s="476"/>
      <c r="J2301" s="476" t="s">
        <v>1814</v>
      </c>
      <c r="K2301" s="476"/>
      <c r="L2301" s="366" t="s">
        <v>1802</v>
      </c>
    </row>
    <row r="2302" spans="1:12" ht="21" customHeight="1" x14ac:dyDescent="0.25">
      <c r="A2302" s="181" t="s">
        <v>2257</v>
      </c>
      <c r="B2302" s="509" t="s">
        <v>2258</v>
      </c>
      <c r="C2302" s="509"/>
      <c r="D2302" s="481" t="s">
        <v>341</v>
      </c>
      <c r="E2302" s="481"/>
      <c r="F2302" s="481"/>
      <c r="G2302" s="231" t="s">
        <v>579</v>
      </c>
      <c r="H2302" s="510">
        <v>1</v>
      </c>
      <c r="I2302" s="510"/>
      <c r="J2302" s="511">
        <v>259.8</v>
      </c>
      <c r="K2302" s="511"/>
      <c r="L2302" s="367">
        <f>ROUND(ROUND(H2302,8)*J2302,2)</f>
        <v>259.8</v>
      </c>
    </row>
    <row r="2303" spans="1:12" ht="15" customHeight="1" x14ac:dyDescent="0.25">
      <c r="A2303" s="182"/>
      <c r="B2303" s="183"/>
      <c r="C2303" s="183"/>
      <c r="D2303" s="183"/>
      <c r="E2303" s="183"/>
      <c r="F2303" s="183"/>
      <c r="G2303" s="183"/>
      <c r="H2303" s="477" t="s">
        <v>1826</v>
      </c>
      <c r="I2303" s="477"/>
      <c r="J2303" s="477"/>
      <c r="K2303" s="477"/>
      <c r="L2303" s="368">
        <f>SUM(L2302:L2302)</f>
        <v>259.8</v>
      </c>
    </row>
    <row r="2304" spans="1:12" ht="15" customHeight="1" x14ac:dyDescent="0.25">
      <c r="A2304" s="474" t="s">
        <v>1827</v>
      </c>
      <c r="B2304" s="475"/>
      <c r="C2304" s="475"/>
      <c r="D2304" s="476" t="s">
        <v>42</v>
      </c>
      <c r="E2304" s="476"/>
      <c r="F2304" s="476"/>
      <c r="G2304" s="230" t="s">
        <v>44</v>
      </c>
      <c r="H2304" s="476" t="s">
        <v>1813</v>
      </c>
      <c r="I2304" s="476"/>
      <c r="J2304" s="476" t="s">
        <v>1814</v>
      </c>
      <c r="K2304" s="476"/>
      <c r="L2304" s="366" t="s">
        <v>1802</v>
      </c>
    </row>
    <row r="2305" spans="1:12" ht="15" customHeight="1" x14ac:dyDescent="0.25">
      <c r="A2305" s="181" t="s">
        <v>2178</v>
      </c>
      <c r="B2305" s="509" t="s">
        <v>2179</v>
      </c>
      <c r="C2305" s="509"/>
      <c r="D2305" s="481" t="s">
        <v>51</v>
      </c>
      <c r="E2305" s="481"/>
      <c r="F2305" s="481"/>
      <c r="G2305" s="231" t="s">
        <v>1024</v>
      </c>
      <c r="H2305" s="510">
        <v>0.20880000000000001</v>
      </c>
      <c r="I2305" s="510"/>
      <c r="J2305" s="511">
        <v>26.03</v>
      </c>
      <c r="K2305" s="511"/>
      <c r="L2305" s="367">
        <f>ROUND(ROUND(H2305,8)*J2305,2)</f>
        <v>5.44</v>
      </c>
    </row>
    <row r="2306" spans="1:12" ht="15" customHeight="1" x14ac:dyDescent="0.25">
      <c r="A2306" s="182"/>
      <c r="B2306" s="183"/>
      <c r="C2306" s="183"/>
      <c r="D2306" s="183"/>
      <c r="E2306" s="183"/>
      <c r="F2306" s="183"/>
      <c r="G2306" s="183"/>
      <c r="H2306" s="477" t="s">
        <v>1832</v>
      </c>
      <c r="I2306" s="477"/>
      <c r="J2306" s="477"/>
      <c r="K2306" s="477"/>
      <c r="L2306" s="368">
        <f>SUM(L2305:L2305)</f>
        <v>5.44</v>
      </c>
    </row>
    <row r="2307" spans="1:12" ht="15" customHeight="1" x14ac:dyDescent="0.25">
      <c r="A2307" s="474" t="s">
        <v>2190</v>
      </c>
      <c r="B2307" s="475"/>
      <c r="C2307" s="475"/>
      <c r="D2307" s="476" t="s">
        <v>42</v>
      </c>
      <c r="E2307" s="476"/>
      <c r="F2307" s="476"/>
      <c r="G2307" s="230" t="s">
        <v>44</v>
      </c>
      <c r="H2307" s="476" t="s">
        <v>1813</v>
      </c>
      <c r="I2307" s="476"/>
      <c r="J2307" s="476" t="s">
        <v>1814</v>
      </c>
      <c r="K2307" s="476"/>
      <c r="L2307" s="366" t="s">
        <v>1802</v>
      </c>
    </row>
    <row r="2308" spans="1:12" ht="21" customHeight="1" x14ac:dyDescent="0.25">
      <c r="A2308" s="181" t="s">
        <v>2191</v>
      </c>
      <c r="B2308" s="509" t="s">
        <v>2192</v>
      </c>
      <c r="C2308" s="509"/>
      <c r="D2308" s="481" t="s">
        <v>82</v>
      </c>
      <c r="E2308" s="481"/>
      <c r="F2308" s="481"/>
      <c r="G2308" s="231" t="s">
        <v>1024</v>
      </c>
      <c r="H2308" s="510">
        <v>6.5250000000000002E-2</v>
      </c>
      <c r="I2308" s="510"/>
      <c r="J2308" s="511">
        <v>31.67</v>
      </c>
      <c r="K2308" s="511"/>
      <c r="L2308" s="367">
        <f>ROUND(ROUND(H2308,8)*J2308,2)</f>
        <v>2.0699999999999998</v>
      </c>
    </row>
    <row r="2309" spans="1:12" ht="18" customHeight="1" x14ac:dyDescent="0.25">
      <c r="A2309" s="182"/>
      <c r="B2309" s="183"/>
      <c r="C2309" s="183"/>
      <c r="D2309" s="183"/>
      <c r="E2309" s="183"/>
      <c r="F2309" s="183"/>
      <c r="G2309" s="183"/>
      <c r="H2309" s="477" t="s">
        <v>2195</v>
      </c>
      <c r="I2309" s="477"/>
      <c r="J2309" s="477"/>
      <c r="K2309" s="477"/>
      <c r="L2309" s="368">
        <f>SUM(L2308:L2308)</f>
        <v>2.0699999999999998</v>
      </c>
    </row>
    <row r="2310" spans="1:12" ht="15" customHeight="1" x14ac:dyDescent="0.25">
      <c r="A2310" s="483" t="s">
        <v>2259</v>
      </c>
      <c r="B2310" s="484"/>
      <c r="C2310" s="484"/>
      <c r="D2310" s="484"/>
      <c r="E2310" s="183"/>
      <c r="F2310" s="183"/>
      <c r="G2310" s="183"/>
      <c r="H2310" s="482" t="s">
        <v>1834</v>
      </c>
      <c r="I2310" s="482"/>
      <c r="J2310" s="482"/>
      <c r="K2310" s="482"/>
      <c r="L2310" s="369">
        <v>267.31</v>
      </c>
    </row>
    <row r="2311" spans="1:12" ht="9.9499999999999993" customHeight="1" x14ac:dyDescent="0.25">
      <c r="A2311" s="182"/>
      <c r="B2311" s="183"/>
      <c r="C2311" s="183"/>
      <c r="D2311" s="183"/>
      <c r="E2311" s="183"/>
      <c r="F2311" s="183"/>
      <c r="G2311" s="183"/>
      <c r="H2311" s="485"/>
      <c r="I2311" s="485"/>
      <c r="J2311" s="485"/>
      <c r="K2311" s="485"/>
      <c r="L2311" s="512"/>
    </row>
    <row r="2312" spans="1:12" ht="20.100000000000001" customHeight="1" x14ac:dyDescent="0.25">
      <c r="A2312" s="486" t="s">
        <v>3845</v>
      </c>
      <c r="B2312" s="487"/>
      <c r="C2312" s="487"/>
      <c r="D2312" s="487"/>
      <c r="E2312" s="487"/>
      <c r="F2312" s="487"/>
      <c r="G2312" s="487"/>
      <c r="H2312" s="487"/>
      <c r="I2312" s="487"/>
      <c r="J2312" s="487"/>
      <c r="K2312" s="487"/>
      <c r="L2312" s="513"/>
    </row>
    <row r="2313" spans="1:12" ht="20.100000000000001" customHeight="1" x14ac:dyDescent="0.25">
      <c r="A2313" s="488" t="s">
        <v>1836</v>
      </c>
      <c r="B2313" s="489"/>
      <c r="C2313" s="489"/>
      <c r="D2313" s="489"/>
      <c r="E2313" s="489"/>
      <c r="F2313" s="489"/>
      <c r="G2313" s="233" t="s">
        <v>44</v>
      </c>
      <c r="H2313" s="515" t="s">
        <v>1837</v>
      </c>
      <c r="I2313" s="515"/>
      <c r="J2313" s="515" t="s">
        <v>1838</v>
      </c>
      <c r="K2313" s="515"/>
      <c r="L2313" s="169" t="s">
        <v>1839</v>
      </c>
    </row>
    <row r="2314" spans="1:12" ht="15" customHeight="1" x14ac:dyDescent="0.25">
      <c r="A2314" s="170" t="s">
        <v>1840</v>
      </c>
      <c r="B2314" s="490" t="s">
        <v>1841</v>
      </c>
      <c r="C2314" s="490"/>
      <c r="D2314" s="490"/>
      <c r="E2314" s="490"/>
      <c r="F2314" s="490"/>
      <c r="G2314" s="127" t="s">
        <v>1024</v>
      </c>
      <c r="H2314" s="524">
        <v>0.3</v>
      </c>
      <c r="I2314" s="524"/>
      <c r="J2314" s="517">
        <v>21.94</v>
      </c>
      <c r="K2314" s="517"/>
      <c r="L2314" s="370">
        <f>TRUNC(TRUNC(H2314,8)*J2314,2)</f>
        <v>6.58</v>
      </c>
    </row>
    <row r="2315" spans="1:12" ht="15" customHeight="1" x14ac:dyDescent="0.25">
      <c r="A2315" s="170" t="s">
        <v>1851</v>
      </c>
      <c r="B2315" s="490" t="s">
        <v>1852</v>
      </c>
      <c r="C2315" s="490"/>
      <c r="D2315" s="490"/>
      <c r="E2315" s="490"/>
      <c r="F2315" s="490"/>
      <c r="G2315" s="127" t="s">
        <v>1024</v>
      </c>
      <c r="H2315" s="524">
        <v>0.3</v>
      </c>
      <c r="I2315" s="524"/>
      <c r="J2315" s="517">
        <v>26.03</v>
      </c>
      <c r="K2315" s="517"/>
      <c r="L2315" s="370">
        <f>TRUNC(TRUNC(H2315,8)*J2315,2)</f>
        <v>7.8</v>
      </c>
    </row>
    <row r="2316" spans="1:12" ht="15" customHeight="1" x14ac:dyDescent="0.25">
      <c r="A2316" s="184"/>
      <c r="B2316" s="141"/>
      <c r="C2316" s="141"/>
      <c r="D2316" s="141"/>
      <c r="E2316" s="141"/>
      <c r="F2316" s="141"/>
      <c r="G2316" s="141"/>
      <c r="H2316" s="491" t="s">
        <v>1844</v>
      </c>
      <c r="I2316" s="491"/>
      <c r="J2316" s="491"/>
      <c r="K2316" s="491"/>
      <c r="L2316" s="369">
        <f>SUM(L2314:L2315)</f>
        <v>14.379999999999999</v>
      </c>
    </row>
    <row r="2317" spans="1:12" ht="15" customHeight="1" x14ac:dyDescent="0.25">
      <c r="A2317" s="182"/>
      <c r="B2317" s="183"/>
      <c r="C2317" s="183"/>
      <c r="D2317" s="183"/>
      <c r="E2317" s="183"/>
      <c r="F2317" s="183"/>
      <c r="G2317" s="183"/>
      <c r="H2317" s="482" t="s">
        <v>1845</v>
      </c>
      <c r="I2317" s="482"/>
      <c r="J2317" s="482"/>
      <c r="K2317" s="482"/>
      <c r="L2317" s="371">
        <f>SUM(L2316)</f>
        <v>14.379999999999999</v>
      </c>
    </row>
    <row r="2318" spans="1:12" ht="15" customHeight="1" x14ac:dyDescent="0.25">
      <c r="A2318" s="182"/>
      <c r="B2318" s="183"/>
      <c r="C2318" s="183"/>
      <c r="D2318" s="183"/>
      <c r="E2318" s="183"/>
      <c r="F2318" s="183"/>
      <c r="G2318" s="183"/>
      <c r="H2318" s="482" t="s">
        <v>1846</v>
      </c>
      <c r="I2318" s="482"/>
      <c r="J2318" s="482"/>
      <c r="K2318" s="482"/>
      <c r="L2318" s="374">
        <v>1</v>
      </c>
    </row>
    <row r="2319" spans="1:12" ht="15" customHeight="1" x14ac:dyDescent="0.25">
      <c r="A2319" s="182"/>
      <c r="B2319" s="183"/>
      <c r="C2319" s="183"/>
      <c r="D2319" s="183"/>
      <c r="E2319" s="183"/>
      <c r="F2319" s="183"/>
      <c r="G2319" s="183"/>
      <c r="H2319" s="482" t="s">
        <v>1847</v>
      </c>
      <c r="I2319" s="482"/>
      <c r="J2319" s="482"/>
      <c r="K2319" s="482"/>
      <c r="L2319" s="371">
        <f>TRUNC(L2317/L2318,4)</f>
        <v>14.38</v>
      </c>
    </row>
    <row r="2320" spans="1:12" ht="20.100000000000001" customHeight="1" x14ac:dyDescent="0.25">
      <c r="A2320" s="488" t="s">
        <v>1880</v>
      </c>
      <c r="B2320" s="489"/>
      <c r="C2320" s="489"/>
      <c r="D2320" s="489"/>
      <c r="E2320" s="489"/>
      <c r="F2320" s="489"/>
      <c r="G2320" s="233" t="s">
        <v>44</v>
      </c>
      <c r="H2320" s="515" t="s">
        <v>1837</v>
      </c>
      <c r="I2320" s="515"/>
      <c r="J2320" s="515" t="s">
        <v>1881</v>
      </c>
      <c r="K2320" s="515"/>
      <c r="L2320" s="169" t="s">
        <v>1882</v>
      </c>
    </row>
    <row r="2321" spans="1:12" ht="15" customHeight="1" x14ac:dyDescent="0.25">
      <c r="A2321" s="170" t="s">
        <v>3846</v>
      </c>
      <c r="B2321" s="492" t="s">
        <v>3847</v>
      </c>
      <c r="C2321" s="492"/>
      <c r="D2321" s="492"/>
      <c r="E2321" s="492"/>
      <c r="F2321" s="492"/>
      <c r="G2321" s="127" t="s">
        <v>226</v>
      </c>
      <c r="H2321" s="524">
        <v>2</v>
      </c>
      <c r="I2321" s="524"/>
      <c r="J2321" s="525">
        <v>0.33</v>
      </c>
      <c r="K2321" s="525"/>
      <c r="L2321" s="171">
        <f>TRUNC(TRUNC(H2321,8)*J2321,2)</f>
        <v>0.66</v>
      </c>
    </row>
    <row r="2322" spans="1:12" ht="15.95" customHeight="1" x14ac:dyDescent="0.25">
      <c r="A2322" s="170" t="s">
        <v>3848</v>
      </c>
      <c r="B2322" s="492" t="s">
        <v>3849</v>
      </c>
      <c r="C2322" s="492"/>
      <c r="D2322" s="492"/>
      <c r="E2322" s="492"/>
      <c r="F2322" s="492"/>
      <c r="G2322" s="127" t="s">
        <v>226</v>
      </c>
      <c r="H2322" s="524">
        <v>1</v>
      </c>
      <c r="I2322" s="524"/>
      <c r="J2322" s="525">
        <v>15.2</v>
      </c>
      <c r="K2322" s="525"/>
      <c r="L2322" s="171">
        <f>TRUNC(TRUNC(H2322,8)*J2322,2)</f>
        <v>15.2</v>
      </c>
    </row>
    <row r="2323" spans="1:12" ht="15" customHeight="1" x14ac:dyDescent="0.25">
      <c r="A2323" s="184"/>
      <c r="B2323" s="141"/>
      <c r="C2323" s="141"/>
      <c r="D2323" s="141"/>
      <c r="E2323" s="141"/>
      <c r="F2323" s="141"/>
      <c r="G2323" s="141"/>
      <c r="H2323" s="491" t="s">
        <v>1889</v>
      </c>
      <c r="I2323" s="491"/>
      <c r="J2323" s="491"/>
      <c r="K2323" s="491"/>
      <c r="L2323" s="375">
        <f>SUM(L2321:L2322)</f>
        <v>15.86</v>
      </c>
    </row>
    <row r="2324" spans="1:12" ht="15" customHeight="1" x14ac:dyDescent="0.25">
      <c r="A2324" s="182"/>
      <c r="B2324" s="183"/>
      <c r="C2324" s="183"/>
      <c r="D2324" s="183"/>
      <c r="E2324" s="183"/>
      <c r="F2324" s="183"/>
      <c r="G2324" s="183"/>
      <c r="H2324" s="482" t="s">
        <v>1848</v>
      </c>
      <c r="I2324" s="482"/>
      <c r="J2324" s="482"/>
      <c r="K2324" s="482"/>
      <c r="L2324" s="371">
        <f>SUM(L2319,L2323)</f>
        <v>30.240000000000002</v>
      </c>
    </row>
    <row r="2325" spans="1:12" ht="15" customHeight="1" x14ac:dyDescent="0.25">
      <c r="A2325" s="182"/>
      <c r="B2325" s="183"/>
      <c r="C2325" s="183"/>
      <c r="D2325" s="183"/>
      <c r="E2325" s="183"/>
      <c r="F2325" s="183"/>
      <c r="G2325" s="183"/>
      <c r="H2325" s="482" t="s">
        <v>1834</v>
      </c>
      <c r="I2325" s="482"/>
      <c r="J2325" s="482"/>
      <c r="K2325" s="482"/>
      <c r="L2325" s="369">
        <f>ROUND(SUM(L2324),2)</f>
        <v>30.24</v>
      </c>
    </row>
    <row r="2326" spans="1:12" ht="9.9499999999999993" customHeight="1" x14ac:dyDescent="0.25">
      <c r="A2326" s="182"/>
      <c r="B2326" s="183"/>
      <c r="C2326" s="183"/>
      <c r="D2326" s="183"/>
      <c r="E2326" s="183"/>
      <c r="F2326" s="183"/>
      <c r="G2326" s="183"/>
      <c r="H2326" s="485"/>
      <c r="I2326" s="485"/>
      <c r="J2326" s="485"/>
      <c r="K2326" s="485"/>
      <c r="L2326" s="512"/>
    </row>
    <row r="2327" spans="1:12" ht="20.100000000000001" customHeight="1" x14ac:dyDescent="0.25">
      <c r="A2327" s="486" t="s">
        <v>3850</v>
      </c>
      <c r="B2327" s="487"/>
      <c r="C2327" s="487"/>
      <c r="D2327" s="487"/>
      <c r="E2327" s="487"/>
      <c r="F2327" s="487"/>
      <c r="G2327" s="487"/>
      <c r="H2327" s="487"/>
      <c r="I2327" s="487"/>
      <c r="J2327" s="487"/>
      <c r="K2327" s="487"/>
      <c r="L2327" s="513"/>
    </row>
    <row r="2328" spans="1:12" ht="12.95" customHeight="1" x14ac:dyDescent="0.25">
      <c r="A2328" s="518" t="s">
        <v>2641</v>
      </c>
      <c r="B2328" s="519"/>
      <c r="C2328" s="519"/>
      <c r="D2328" s="520" t="s">
        <v>2642</v>
      </c>
      <c r="E2328" s="520"/>
      <c r="F2328" s="515" t="s">
        <v>2643</v>
      </c>
      <c r="G2328" s="515"/>
      <c r="H2328" s="515" t="s">
        <v>2644</v>
      </c>
      <c r="I2328" s="515"/>
      <c r="J2328" s="515"/>
      <c r="K2328" s="515"/>
      <c r="L2328" s="521" t="s">
        <v>1839</v>
      </c>
    </row>
    <row r="2329" spans="1:12" ht="12" customHeight="1" x14ac:dyDescent="0.25">
      <c r="A2329" s="518"/>
      <c r="B2329" s="519"/>
      <c r="C2329" s="519"/>
      <c r="D2329" s="520"/>
      <c r="E2329" s="520"/>
      <c r="F2329" s="230" t="s">
        <v>2645</v>
      </c>
      <c r="G2329" s="230" t="s">
        <v>2646</v>
      </c>
      <c r="H2329" s="476" t="s">
        <v>2645</v>
      </c>
      <c r="I2329" s="476"/>
      <c r="J2329" s="476" t="s">
        <v>2646</v>
      </c>
      <c r="K2329" s="476"/>
      <c r="L2329" s="521"/>
    </row>
    <row r="2330" spans="1:12" ht="15" customHeight="1" x14ac:dyDescent="0.25">
      <c r="A2330" s="170" t="s">
        <v>3506</v>
      </c>
      <c r="B2330" s="492" t="s">
        <v>3507</v>
      </c>
      <c r="C2330" s="492"/>
      <c r="D2330" s="522">
        <v>1</v>
      </c>
      <c r="E2330" s="522"/>
      <c r="F2330" s="244">
        <v>0.34</v>
      </c>
      <c r="G2330" s="244">
        <v>0.66</v>
      </c>
      <c r="H2330" s="523">
        <v>356.63529999999997</v>
      </c>
      <c r="I2330" s="523"/>
      <c r="J2330" s="523">
        <v>97.716399999999993</v>
      </c>
      <c r="K2330" s="523"/>
      <c r="L2330" s="371">
        <f>ROUND(D2330*(ROUND(F2330*H2330,4)+ROUND(G2330*J2330,4)),4)</f>
        <v>185.74879999999999</v>
      </c>
    </row>
    <row r="2331" spans="1:12" ht="15" customHeight="1" x14ac:dyDescent="0.25">
      <c r="A2331" s="170" t="s">
        <v>3851</v>
      </c>
      <c r="B2331" s="492" t="s">
        <v>3852</v>
      </c>
      <c r="C2331" s="492"/>
      <c r="D2331" s="522">
        <v>1</v>
      </c>
      <c r="E2331" s="522"/>
      <c r="F2331" s="244">
        <v>1</v>
      </c>
      <c r="G2331" s="244">
        <v>0</v>
      </c>
      <c r="H2331" s="523">
        <v>373.0265</v>
      </c>
      <c r="I2331" s="523"/>
      <c r="J2331" s="523">
        <v>154.3407</v>
      </c>
      <c r="K2331" s="523"/>
      <c r="L2331" s="371">
        <f>ROUND(D2331*(ROUND(F2331*H2331,4)+ROUND(G2331*J2331,4)),4)</f>
        <v>373.0265</v>
      </c>
    </row>
    <row r="2332" spans="1:12" ht="15" customHeight="1" x14ac:dyDescent="0.25">
      <c r="A2332" s="170" t="s">
        <v>3512</v>
      </c>
      <c r="B2332" s="492" t="s">
        <v>3513</v>
      </c>
      <c r="C2332" s="492"/>
      <c r="D2332" s="522">
        <v>1</v>
      </c>
      <c r="E2332" s="522"/>
      <c r="F2332" s="244">
        <v>0.97</v>
      </c>
      <c r="G2332" s="244">
        <v>0.03</v>
      </c>
      <c r="H2332" s="523">
        <v>305.59570000000002</v>
      </c>
      <c r="I2332" s="523"/>
      <c r="J2332" s="523">
        <v>150.94229999999999</v>
      </c>
      <c r="K2332" s="523"/>
      <c r="L2332" s="371">
        <f>ROUND(D2332*(ROUND(F2332*H2332,4)+ROUND(G2332*J2332,4)),4)</f>
        <v>300.95609999999999</v>
      </c>
    </row>
    <row r="2333" spans="1:12" ht="15.95" customHeight="1" x14ac:dyDescent="0.25">
      <c r="A2333" s="170" t="s">
        <v>3853</v>
      </c>
      <c r="B2333" s="492" t="s">
        <v>3854</v>
      </c>
      <c r="C2333" s="492"/>
      <c r="D2333" s="522">
        <v>1</v>
      </c>
      <c r="E2333" s="522"/>
      <c r="F2333" s="244">
        <v>0.79</v>
      </c>
      <c r="G2333" s="244">
        <v>0.21</v>
      </c>
      <c r="H2333" s="523">
        <v>265.35770000000002</v>
      </c>
      <c r="I2333" s="523"/>
      <c r="J2333" s="523">
        <v>117.1108</v>
      </c>
      <c r="K2333" s="523"/>
      <c r="L2333" s="371">
        <f>ROUND(D2333*(ROUND(F2333*H2333,4)+ROUND(G2333*J2333,4)),4)</f>
        <v>234.2259</v>
      </c>
    </row>
    <row r="2334" spans="1:12" ht="15" customHeight="1" x14ac:dyDescent="0.25">
      <c r="A2334" s="184"/>
      <c r="B2334" s="141"/>
      <c r="C2334" s="141"/>
      <c r="D2334" s="141"/>
      <c r="E2334" s="141"/>
      <c r="F2334" s="141"/>
      <c r="G2334" s="141"/>
      <c r="H2334" s="491" t="s">
        <v>2649</v>
      </c>
      <c r="I2334" s="491"/>
      <c r="J2334" s="491"/>
      <c r="K2334" s="491"/>
      <c r="L2334" s="373">
        <f>SUM(L2329:L2333)</f>
        <v>1093.9573</v>
      </c>
    </row>
    <row r="2335" spans="1:12" ht="20.100000000000001" customHeight="1" x14ac:dyDescent="0.25">
      <c r="A2335" s="488" t="s">
        <v>1836</v>
      </c>
      <c r="B2335" s="489"/>
      <c r="C2335" s="489"/>
      <c r="D2335" s="489"/>
      <c r="E2335" s="489"/>
      <c r="F2335" s="489"/>
      <c r="G2335" s="233" t="s">
        <v>44</v>
      </c>
      <c r="H2335" s="515" t="s">
        <v>1837</v>
      </c>
      <c r="I2335" s="515"/>
      <c r="J2335" s="515" t="s">
        <v>1838</v>
      </c>
      <c r="K2335" s="515"/>
      <c r="L2335" s="169" t="s">
        <v>1839</v>
      </c>
    </row>
    <row r="2336" spans="1:12" ht="15" customHeight="1" x14ac:dyDescent="0.25">
      <c r="A2336" s="170" t="s">
        <v>3084</v>
      </c>
      <c r="B2336" s="490" t="s">
        <v>3085</v>
      </c>
      <c r="C2336" s="490"/>
      <c r="D2336" s="490"/>
      <c r="E2336" s="490"/>
      <c r="F2336" s="490"/>
      <c r="G2336" s="127" t="s">
        <v>1935</v>
      </c>
      <c r="H2336" s="522">
        <v>1</v>
      </c>
      <c r="I2336" s="522"/>
      <c r="J2336" s="531">
        <v>23.171399999999998</v>
      </c>
      <c r="K2336" s="531"/>
      <c r="L2336" s="374">
        <f>ROUND(ROUND(H2336,5)*J2336,4)</f>
        <v>23.171399999999998</v>
      </c>
    </row>
    <row r="2337" spans="1:12" ht="15" customHeight="1" x14ac:dyDescent="0.25">
      <c r="A2337" s="184"/>
      <c r="B2337" s="141"/>
      <c r="C2337" s="141"/>
      <c r="D2337" s="141"/>
      <c r="E2337" s="141"/>
      <c r="F2337" s="141"/>
      <c r="G2337" s="141"/>
      <c r="H2337" s="491" t="s">
        <v>1844</v>
      </c>
      <c r="I2337" s="491"/>
      <c r="J2337" s="491"/>
      <c r="K2337" s="491"/>
      <c r="L2337" s="378">
        <f>SUM(L2336:L2336)</f>
        <v>23.171399999999998</v>
      </c>
    </row>
    <row r="2338" spans="1:12" ht="15" customHeight="1" x14ac:dyDescent="0.25">
      <c r="A2338" s="182"/>
      <c r="B2338" s="183"/>
      <c r="C2338" s="183"/>
      <c r="D2338" s="183"/>
      <c r="E2338" s="183"/>
      <c r="F2338" s="183"/>
      <c r="G2338" s="183"/>
      <c r="H2338" s="482" t="s">
        <v>1845</v>
      </c>
      <c r="I2338" s="482"/>
      <c r="J2338" s="482"/>
      <c r="K2338" s="482"/>
      <c r="L2338" s="371">
        <f>SUM(L2334,L2337)</f>
        <v>1117.1287</v>
      </c>
    </row>
    <row r="2339" spans="1:12" ht="15" customHeight="1" x14ac:dyDescent="0.25">
      <c r="A2339" s="182"/>
      <c r="B2339" s="183"/>
      <c r="C2339" s="183"/>
      <c r="D2339" s="183"/>
      <c r="E2339" s="183"/>
      <c r="F2339" s="183"/>
      <c r="G2339" s="183"/>
      <c r="H2339" s="482" t="s">
        <v>1846</v>
      </c>
      <c r="I2339" s="482"/>
      <c r="J2339" s="482"/>
      <c r="K2339" s="482"/>
      <c r="L2339" s="372">
        <v>113.18</v>
      </c>
    </row>
    <row r="2340" spans="1:12" ht="15" customHeight="1" x14ac:dyDescent="0.25">
      <c r="A2340" s="182"/>
      <c r="B2340" s="183"/>
      <c r="C2340" s="183"/>
      <c r="D2340" s="183"/>
      <c r="E2340" s="183"/>
      <c r="F2340" s="183"/>
      <c r="G2340" s="183"/>
      <c r="H2340" s="482" t="s">
        <v>1847</v>
      </c>
      <c r="I2340" s="482"/>
      <c r="J2340" s="482"/>
      <c r="K2340" s="482"/>
      <c r="L2340" s="371">
        <f>ROUND(L2338/L2339,4)</f>
        <v>9.8704000000000001</v>
      </c>
    </row>
    <row r="2341" spans="1:12" ht="15" customHeight="1" x14ac:dyDescent="0.25">
      <c r="A2341" s="182"/>
      <c r="B2341" s="183"/>
      <c r="C2341" s="183"/>
      <c r="D2341" s="183"/>
      <c r="E2341" s="183"/>
      <c r="F2341" s="183"/>
      <c r="G2341" s="183"/>
      <c r="H2341" s="482" t="s">
        <v>3086</v>
      </c>
      <c r="I2341" s="482"/>
      <c r="J2341" s="482"/>
      <c r="K2341" s="482"/>
      <c r="L2341" s="371">
        <f>ROUND((((D2330*J2330)+(D2331*J2331)+(D2332*J2332)+(D2333*J2333)+L2337)/L2339)*0.11114,4)</f>
        <v>0.53349999999999997</v>
      </c>
    </row>
    <row r="2342" spans="1:12" ht="20.100000000000001" customHeight="1" x14ac:dyDescent="0.25">
      <c r="A2342" s="488" t="s">
        <v>2009</v>
      </c>
      <c r="B2342" s="489"/>
      <c r="C2342" s="489"/>
      <c r="D2342" s="489"/>
      <c r="E2342" s="489"/>
      <c r="F2342" s="489"/>
      <c r="G2342" s="233" t="s">
        <v>44</v>
      </c>
      <c r="H2342" s="515" t="s">
        <v>1837</v>
      </c>
      <c r="I2342" s="515"/>
      <c r="J2342" s="515" t="s">
        <v>1814</v>
      </c>
      <c r="K2342" s="515"/>
      <c r="L2342" s="169" t="s">
        <v>1882</v>
      </c>
    </row>
    <row r="2343" spans="1:12" ht="15" customHeight="1" x14ac:dyDescent="0.25">
      <c r="A2343" s="170" t="s">
        <v>3855</v>
      </c>
      <c r="B2343" s="492" t="s">
        <v>3856</v>
      </c>
      <c r="C2343" s="492"/>
      <c r="D2343" s="492"/>
      <c r="E2343" s="492"/>
      <c r="F2343" s="492"/>
      <c r="G2343" s="127" t="s">
        <v>694</v>
      </c>
      <c r="H2343" s="545">
        <v>1</v>
      </c>
      <c r="I2343" s="545"/>
      <c r="J2343" s="523">
        <v>244.03</v>
      </c>
      <c r="K2343" s="523"/>
      <c r="L2343" s="371">
        <f>ROUND(ROUND(H2343,5)*J2343,4)</f>
        <v>244.03</v>
      </c>
    </row>
    <row r="2344" spans="1:12" ht="15" customHeight="1" x14ac:dyDescent="0.25">
      <c r="A2344" s="184"/>
      <c r="B2344" s="141"/>
      <c r="C2344" s="141"/>
      <c r="D2344" s="141"/>
      <c r="E2344" s="141"/>
      <c r="F2344" s="141"/>
      <c r="G2344" s="141"/>
      <c r="H2344" s="491" t="s">
        <v>2014</v>
      </c>
      <c r="I2344" s="491"/>
      <c r="J2344" s="491"/>
      <c r="K2344" s="491"/>
      <c r="L2344" s="373">
        <f>SUM(L2343:L2343)</f>
        <v>244.03</v>
      </c>
    </row>
    <row r="2345" spans="1:12" ht="15" customHeight="1" x14ac:dyDescent="0.25">
      <c r="A2345" s="488" t="s">
        <v>3095</v>
      </c>
      <c r="B2345" s="489"/>
      <c r="C2345" s="489"/>
      <c r="D2345" s="476" t="s">
        <v>1691</v>
      </c>
      <c r="E2345" s="476"/>
      <c r="F2345" s="476" t="s">
        <v>3096</v>
      </c>
      <c r="G2345" s="476"/>
      <c r="H2345" s="476" t="s">
        <v>1837</v>
      </c>
      <c r="I2345" s="476"/>
      <c r="J2345" s="476" t="s">
        <v>1814</v>
      </c>
      <c r="K2345" s="476"/>
      <c r="L2345" s="366" t="s">
        <v>1882</v>
      </c>
    </row>
    <row r="2346" spans="1:12" ht="20.100000000000001" customHeight="1" x14ac:dyDescent="0.25">
      <c r="A2346" s="379" t="s">
        <v>3855</v>
      </c>
      <c r="B2346" s="532" t="s">
        <v>3857</v>
      </c>
      <c r="C2346" s="532"/>
      <c r="D2346" s="533" t="s">
        <v>3098</v>
      </c>
      <c r="E2346" s="533"/>
      <c r="F2346" s="533" t="s">
        <v>3858</v>
      </c>
      <c r="G2346" s="533"/>
      <c r="H2346" s="534">
        <v>2.2000000000000002</v>
      </c>
      <c r="I2346" s="534"/>
      <c r="J2346" s="535">
        <v>3.55</v>
      </c>
      <c r="K2346" s="535"/>
      <c r="L2346" s="380">
        <f>ROUND(ROUND(H2346,5)*J2346,4)</f>
        <v>7.81</v>
      </c>
    </row>
    <row r="2347" spans="1:12" ht="15" customHeight="1" x14ac:dyDescent="0.25">
      <c r="A2347" s="184"/>
      <c r="B2347" s="141"/>
      <c r="C2347" s="141"/>
      <c r="D2347" s="141"/>
      <c r="E2347" s="141"/>
      <c r="F2347" s="141"/>
      <c r="G2347" s="141"/>
      <c r="H2347" s="491" t="s">
        <v>3103</v>
      </c>
      <c r="I2347" s="491"/>
      <c r="J2347" s="491"/>
      <c r="K2347" s="491"/>
      <c r="L2347" s="371">
        <f>SUM(L2346:L2346)</f>
        <v>7.81</v>
      </c>
    </row>
    <row r="2348" spans="1:12" ht="12.95" customHeight="1" x14ac:dyDescent="0.25">
      <c r="A2348" s="488" t="s">
        <v>3104</v>
      </c>
      <c r="B2348" s="489"/>
      <c r="C2348" s="476" t="s">
        <v>251</v>
      </c>
      <c r="D2348" s="476" t="s">
        <v>45</v>
      </c>
      <c r="E2348" s="476"/>
      <c r="F2348" s="476" t="s">
        <v>3105</v>
      </c>
      <c r="G2348" s="476"/>
      <c r="H2348" s="476" t="s">
        <v>3106</v>
      </c>
      <c r="I2348" s="476"/>
      <c r="J2348" s="476" t="s">
        <v>997</v>
      </c>
      <c r="K2348" s="476"/>
      <c r="L2348" s="536" t="s">
        <v>1882</v>
      </c>
    </row>
    <row r="2349" spans="1:12" ht="12" customHeight="1" x14ac:dyDescent="0.25">
      <c r="A2349" s="488"/>
      <c r="B2349" s="489"/>
      <c r="C2349" s="476"/>
      <c r="D2349" s="476"/>
      <c r="E2349" s="476"/>
      <c r="F2349" s="230" t="s">
        <v>3107</v>
      </c>
      <c r="G2349" s="230" t="s">
        <v>3108</v>
      </c>
      <c r="H2349" s="230" t="s">
        <v>3107</v>
      </c>
      <c r="I2349" s="230" t="s">
        <v>3108</v>
      </c>
      <c r="J2349" s="230" t="s">
        <v>3107</v>
      </c>
      <c r="K2349" s="230" t="s">
        <v>3108</v>
      </c>
      <c r="L2349" s="536"/>
    </row>
    <row r="2350" spans="1:12" ht="27.95" customHeight="1" x14ac:dyDescent="0.25">
      <c r="A2350" s="379" t="s">
        <v>3855</v>
      </c>
      <c r="B2350" s="242" t="s">
        <v>3857</v>
      </c>
      <c r="C2350" s="243" t="s">
        <v>3109</v>
      </c>
      <c r="D2350" s="534">
        <v>2.2000000000000002</v>
      </c>
      <c r="E2350" s="534"/>
      <c r="F2350" s="145">
        <v>0</v>
      </c>
      <c r="G2350" s="146">
        <v>1.25</v>
      </c>
      <c r="H2350" s="145">
        <v>0</v>
      </c>
      <c r="I2350" s="146">
        <v>1</v>
      </c>
      <c r="J2350" s="145">
        <v>0</v>
      </c>
      <c r="K2350" s="146">
        <v>0.83</v>
      </c>
      <c r="L2350" s="380">
        <f>ROUND(D2350*((ROUND(F2350*G2350,4)+ROUND(H2350*I2350,4)+ROUND(J2350*K2350,4))),4)</f>
        <v>0</v>
      </c>
    </row>
    <row r="2351" spans="1:12" ht="15" customHeight="1" x14ac:dyDescent="0.25">
      <c r="A2351" s="184"/>
      <c r="B2351" s="141"/>
      <c r="C2351" s="141"/>
      <c r="D2351" s="141"/>
      <c r="E2351" s="141"/>
      <c r="F2351" s="141"/>
      <c r="G2351" s="141"/>
      <c r="H2351" s="491" t="s">
        <v>3110</v>
      </c>
      <c r="I2351" s="491"/>
      <c r="J2351" s="491"/>
      <c r="K2351" s="491"/>
      <c r="L2351" s="371">
        <f>SUM(L2349:L2350)</f>
        <v>0</v>
      </c>
    </row>
    <row r="2352" spans="1:12" ht="15" customHeight="1" x14ac:dyDescent="0.25">
      <c r="A2352" s="182"/>
      <c r="B2352" s="183"/>
      <c r="C2352" s="183"/>
      <c r="D2352" s="183"/>
      <c r="E2352" s="183"/>
      <c r="F2352" s="183"/>
      <c r="G2352" s="183"/>
      <c r="H2352" s="482" t="s">
        <v>1848</v>
      </c>
      <c r="I2352" s="482"/>
      <c r="J2352" s="482"/>
      <c r="K2352" s="482"/>
      <c r="L2352" s="371">
        <f>SUM(L2340,L2341,L2344,L2347,L2351)</f>
        <v>262.2439</v>
      </c>
    </row>
    <row r="2353" spans="1:12" ht="15" customHeight="1" x14ac:dyDescent="0.25">
      <c r="A2353" s="182"/>
      <c r="B2353" s="183"/>
      <c r="C2353" s="183"/>
      <c r="D2353" s="183"/>
      <c r="E2353" s="183"/>
      <c r="F2353" s="183"/>
      <c r="G2353" s="183"/>
      <c r="H2353" s="482" t="s">
        <v>1834</v>
      </c>
      <c r="I2353" s="482"/>
      <c r="J2353" s="482"/>
      <c r="K2353" s="482"/>
      <c r="L2353" s="369">
        <f>ROUND(SUM(L2352),2)</f>
        <v>262.24</v>
      </c>
    </row>
    <row r="2354" spans="1:12" ht="9.9499999999999993" customHeight="1" x14ac:dyDescent="0.25">
      <c r="A2354" s="182"/>
      <c r="B2354" s="183"/>
      <c r="C2354" s="183"/>
      <c r="D2354" s="183"/>
      <c r="E2354" s="183"/>
      <c r="F2354" s="183"/>
      <c r="G2354" s="183"/>
      <c r="H2354" s="485"/>
      <c r="I2354" s="485"/>
      <c r="J2354" s="485"/>
      <c r="K2354" s="485"/>
      <c r="L2354" s="512"/>
    </row>
    <row r="2355" spans="1:12" ht="20.100000000000001" customHeight="1" x14ac:dyDescent="0.25">
      <c r="A2355" s="486" t="s">
        <v>3859</v>
      </c>
      <c r="B2355" s="487"/>
      <c r="C2355" s="487"/>
      <c r="D2355" s="487"/>
      <c r="E2355" s="487"/>
      <c r="F2355" s="487"/>
      <c r="G2355" s="487"/>
      <c r="H2355" s="487"/>
      <c r="I2355" s="487"/>
      <c r="J2355" s="487"/>
      <c r="K2355" s="487"/>
      <c r="L2355" s="513"/>
    </row>
    <row r="2356" spans="1:12" ht="20.100000000000001" customHeight="1" x14ac:dyDescent="0.25">
      <c r="A2356" s="488" t="s">
        <v>1836</v>
      </c>
      <c r="B2356" s="489"/>
      <c r="C2356" s="489"/>
      <c r="D2356" s="489"/>
      <c r="E2356" s="489"/>
      <c r="F2356" s="489"/>
      <c r="G2356" s="233" t="s">
        <v>44</v>
      </c>
      <c r="H2356" s="515" t="s">
        <v>1837</v>
      </c>
      <c r="I2356" s="515"/>
      <c r="J2356" s="515" t="s">
        <v>1838</v>
      </c>
      <c r="K2356" s="515"/>
      <c r="L2356" s="169" t="s">
        <v>1839</v>
      </c>
    </row>
    <row r="2357" spans="1:12" ht="15" customHeight="1" x14ac:dyDescent="0.25">
      <c r="A2357" s="170" t="s">
        <v>3520</v>
      </c>
      <c r="B2357" s="490" t="s">
        <v>3521</v>
      </c>
      <c r="C2357" s="490"/>
      <c r="D2357" s="490"/>
      <c r="E2357" s="490"/>
      <c r="F2357" s="490"/>
      <c r="G2357" s="127" t="s">
        <v>1024</v>
      </c>
      <c r="H2357" s="524">
        <v>0.5</v>
      </c>
      <c r="I2357" s="524"/>
      <c r="J2357" s="517">
        <v>26.03</v>
      </c>
      <c r="K2357" s="517"/>
      <c r="L2357" s="370">
        <f>TRUNC(TRUNC(H2357,8)*J2357,2)</f>
        <v>13.01</v>
      </c>
    </row>
    <row r="2358" spans="1:12" ht="15" customHeight="1" x14ac:dyDescent="0.25">
      <c r="A2358" s="170" t="s">
        <v>1830</v>
      </c>
      <c r="B2358" s="490" t="s">
        <v>1831</v>
      </c>
      <c r="C2358" s="490"/>
      <c r="D2358" s="490"/>
      <c r="E2358" s="490"/>
      <c r="F2358" s="490"/>
      <c r="G2358" s="127" t="s">
        <v>1024</v>
      </c>
      <c r="H2358" s="524">
        <v>1.0041</v>
      </c>
      <c r="I2358" s="524"/>
      <c r="J2358" s="517">
        <v>19.68</v>
      </c>
      <c r="K2358" s="517"/>
      <c r="L2358" s="370">
        <f>TRUNC(TRUNC(H2358,8)*J2358,2)</f>
        <v>19.760000000000002</v>
      </c>
    </row>
    <row r="2359" spans="1:12" ht="15" customHeight="1" x14ac:dyDescent="0.25">
      <c r="A2359" s="184"/>
      <c r="B2359" s="141"/>
      <c r="C2359" s="141"/>
      <c r="D2359" s="141"/>
      <c r="E2359" s="141"/>
      <c r="F2359" s="141"/>
      <c r="G2359" s="141"/>
      <c r="H2359" s="491" t="s">
        <v>1844</v>
      </c>
      <c r="I2359" s="491"/>
      <c r="J2359" s="491"/>
      <c r="K2359" s="491"/>
      <c r="L2359" s="369">
        <f>SUM(L2357:L2358)</f>
        <v>32.770000000000003</v>
      </c>
    </row>
    <row r="2360" spans="1:12" ht="15" customHeight="1" x14ac:dyDescent="0.25">
      <c r="A2360" s="182"/>
      <c r="B2360" s="183"/>
      <c r="C2360" s="183"/>
      <c r="D2360" s="183"/>
      <c r="E2360" s="183"/>
      <c r="F2360" s="183"/>
      <c r="G2360" s="183"/>
      <c r="H2360" s="482" t="s">
        <v>1845</v>
      </c>
      <c r="I2360" s="482"/>
      <c r="J2360" s="482"/>
      <c r="K2360" s="482"/>
      <c r="L2360" s="371">
        <f>SUM(L2359)</f>
        <v>32.770000000000003</v>
      </c>
    </row>
    <row r="2361" spans="1:12" ht="15" customHeight="1" x14ac:dyDescent="0.25">
      <c r="A2361" s="182"/>
      <c r="B2361" s="183"/>
      <c r="C2361" s="183"/>
      <c r="D2361" s="183"/>
      <c r="E2361" s="183"/>
      <c r="F2361" s="183"/>
      <c r="G2361" s="183"/>
      <c r="H2361" s="482" t="s">
        <v>1846</v>
      </c>
      <c r="I2361" s="482"/>
      <c r="J2361" s="482"/>
      <c r="K2361" s="482"/>
      <c r="L2361" s="374">
        <v>1</v>
      </c>
    </row>
    <row r="2362" spans="1:12" ht="15" customHeight="1" x14ac:dyDescent="0.25">
      <c r="A2362" s="182"/>
      <c r="B2362" s="183"/>
      <c r="C2362" s="183"/>
      <c r="D2362" s="183"/>
      <c r="E2362" s="183"/>
      <c r="F2362" s="183"/>
      <c r="G2362" s="183"/>
      <c r="H2362" s="482" t="s">
        <v>1847</v>
      </c>
      <c r="I2362" s="482"/>
      <c r="J2362" s="482"/>
      <c r="K2362" s="482"/>
      <c r="L2362" s="371">
        <f>TRUNC(L2360/L2361,4)</f>
        <v>32.770000000000003</v>
      </c>
    </row>
    <row r="2363" spans="1:12" ht="20.100000000000001" customHeight="1" x14ac:dyDescent="0.25">
      <c r="A2363" s="488" t="s">
        <v>1880</v>
      </c>
      <c r="B2363" s="489"/>
      <c r="C2363" s="489"/>
      <c r="D2363" s="489"/>
      <c r="E2363" s="489"/>
      <c r="F2363" s="489"/>
      <c r="G2363" s="233" t="s">
        <v>44</v>
      </c>
      <c r="H2363" s="515" t="s">
        <v>1837</v>
      </c>
      <c r="I2363" s="515"/>
      <c r="J2363" s="515" t="s">
        <v>1881</v>
      </c>
      <c r="K2363" s="515"/>
      <c r="L2363" s="169" t="s">
        <v>1882</v>
      </c>
    </row>
    <row r="2364" spans="1:12" ht="15" customHeight="1" x14ac:dyDescent="0.25">
      <c r="A2364" s="170" t="s">
        <v>2170</v>
      </c>
      <c r="B2364" s="492" t="s">
        <v>2171</v>
      </c>
      <c r="C2364" s="492"/>
      <c r="D2364" s="492"/>
      <c r="E2364" s="492"/>
      <c r="F2364" s="492"/>
      <c r="G2364" s="127" t="s">
        <v>85</v>
      </c>
      <c r="H2364" s="524">
        <v>7.7999999999999996E-3</v>
      </c>
      <c r="I2364" s="524"/>
      <c r="J2364" s="525">
        <v>152</v>
      </c>
      <c r="K2364" s="525"/>
      <c r="L2364" s="171">
        <f>TRUNC(TRUNC(H2364,8)*J2364,2)</f>
        <v>1.18</v>
      </c>
    </row>
    <row r="2365" spans="1:12" ht="15" customHeight="1" x14ac:dyDescent="0.25">
      <c r="A2365" s="170" t="s">
        <v>2263</v>
      </c>
      <c r="B2365" s="492" t="s">
        <v>2264</v>
      </c>
      <c r="C2365" s="492"/>
      <c r="D2365" s="492"/>
      <c r="E2365" s="492"/>
      <c r="F2365" s="492"/>
      <c r="G2365" s="127" t="s">
        <v>1817</v>
      </c>
      <c r="H2365" s="524">
        <v>2.3887</v>
      </c>
      <c r="I2365" s="524"/>
      <c r="J2365" s="525">
        <v>0.56999999999999995</v>
      </c>
      <c r="K2365" s="525"/>
      <c r="L2365" s="171">
        <f>TRUNC(TRUNC(H2365,8)*J2365,2)</f>
        <v>1.36</v>
      </c>
    </row>
    <row r="2366" spans="1:12" ht="15" customHeight="1" x14ac:dyDescent="0.25">
      <c r="A2366" s="170" t="s">
        <v>3860</v>
      </c>
      <c r="B2366" s="492" t="s">
        <v>3861</v>
      </c>
      <c r="C2366" s="492"/>
      <c r="D2366" s="492"/>
      <c r="E2366" s="492"/>
      <c r="F2366" s="492"/>
      <c r="G2366" s="127" t="s">
        <v>188</v>
      </c>
      <c r="H2366" s="524">
        <v>1</v>
      </c>
      <c r="I2366" s="524"/>
      <c r="J2366" s="525">
        <v>36.880000000000003</v>
      </c>
      <c r="K2366" s="525"/>
      <c r="L2366" s="171">
        <f>TRUNC(TRUNC(H2366,8)*J2366,2)</f>
        <v>36.880000000000003</v>
      </c>
    </row>
    <row r="2367" spans="1:12" ht="15" customHeight="1" x14ac:dyDescent="0.25">
      <c r="A2367" s="184"/>
      <c r="B2367" s="141"/>
      <c r="C2367" s="141"/>
      <c r="D2367" s="141"/>
      <c r="E2367" s="141"/>
      <c r="F2367" s="141"/>
      <c r="G2367" s="141"/>
      <c r="H2367" s="491" t="s">
        <v>1889</v>
      </c>
      <c r="I2367" s="491"/>
      <c r="J2367" s="491"/>
      <c r="K2367" s="491"/>
      <c r="L2367" s="375">
        <f>SUM(L2364:L2366)</f>
        <v>39.42</v>
      </c>
    </row>
    <row r="2368" spans="1:12" ht="15" customHeight="1" x14ac:dyDescent="0.25">
      <c r="A2368" s="182"/>
      <c r="B2368" s="183"/>
      <c r="C2368" s="183"/>
      <c r="D2368" s="183"/>
      <c r="E2368" s="183"/>
      <c r="F2368" s="183"/>
      <c r="G2368" s="183"/>
      <c r="H2368" s="482" t="s">
        <v>1848</v>
      </c>
      <c r="I2368" s="482"/>
      <c r="J2368" s="482"/>
      <c r="K2368" s="482"/>
      <c r="L2368" s="371">
        <f>SUM(L2362,L2367)</f>
        <v>72.19</v>
      </c>
    </row>
    <row r="2369" spans="1:12" ht="15" customHeight="1" x14ac:dyDescent="0.25">
      <c r="A2369" s="182"/>
      <c r="B2369" s="183"/>
      <c r="C2369" s="183"/>
      <c r="D2369" s="183"/>
      <c r="E2369" s="183"/>
      <c r="F2369" s="183"/>
      <c r="G2369" s="183"/>
      <c r="H2369" s="482" t="s">
        <v>1834</v>
      </c>
      <c r="I2369" s="482"/>
      <c r="J2369" s="482"/>
      <c r="K2369" s="482"/>
      <c r="L2369" s="369">
        <f>ROUND(SUM(L2368),2)</f>
        <v>72.19</v>
      </c>
    </row>
    <row r="2370" spans="1:12" ht="9.9499999999999993" customHeight="1" x14ac:dyDescent="0.25">
      <c r="A2370" s="182"/>
      <c r="B2370" s="183"/>
      <c r="C2370" s="183"/>
      <c r="D2370" s="183"/>
      <c r="E2370" s="183"/>
      <c r="F2370" s="183"/>
      <c r="G2370" s="183"/>
      <c r="H2370" s="485"/>
      <c r="I2370" s="485"/>
      <c r="J2370" s="485"/>
      <c r="K2370" s="485"/>
      <c r="L2370" s="512"/>
    </row>
    <row r="2371" spans="1:12" ht="20.100000000000001" customHeight="1" x14ac:dyDescent="0.25">
      <c r="A2371" s="486" t="s">
        <v>3862</v>
      </c>
      <c r="B2371" s="487"/>
      <c r="C2371" s="487"/>
      <c r="D2371" s="487"/>
      <c r="E2371" s="487"/>
      <c r="F2371" s="487"/>
      <c r="G2371" s="487"/>
      <c r="H2371" s="487"/>
      <c r="I2371" s="487"/>
      <c r="J2371" s="487"/>
      <c r="K2371" s="487"/>
      <c r="L2371" s="513"/>
    </row>
    <row r="2372" spans="1:12" ht="20.100000000000001" customHeight="1" x14ac:dyDescent="0.25">
      <c r="A2372" s="488" t="s">
        <v>1836</v>
      </c>
      <c r="B2372" s="489"/>
      <c r="C2372" s="489"/>
      <c r="D2372" s="489"/>
      <c r="E2372" s="489"/>
      <c r="F2372" s="489"/>
      <c r="G2372" s="233" t="s">
        <v>44</v>
      </c>
      <c r="H2372" s="515" t="s">
        <v>1837</v>
      </c>
      <c r="I2372" s="515"/>
      <c r="J2372" s="515" t="s">
        <v>1838</v>
      </c>
      <c r="K2372" s="515"/>
      <c r="L2372" s="169" t="s">
        <v>1839</v>
      </c>
    </row>
    <row r="2373" spans="1:12" ht="15" customHeight="1" x14ac:dyDescent="0.25">
      <c r="A2373" s="170" t="s">
        <v>1983</v>
      </c>
      <c r="B2373" s="490" t="s">
        <v>1984</v>
      </c>
      <c r="C2373" s="490"/>
      <c r="D2373" s="490"/>
      <c r="E2373" s="490"/>
      <c r="F2373" s="490"/>
      <c r="G2373" s="127" t="s">
        <v>1024</v>
      </c>
      <c r="H2373" s="524">
        <v>0.4</v>
      </c>
      <c r="I2373" s="524"/>
      <c r="J2373" s="517">
        <v>26.03</v>
      </c>
      <c r="K2373" s="517"/>
      <c r="L2373" s="370">
        <f>TRUNC(TRUNC(H2373,8)*J2373,2)</f>
        <v>10.41</v>
      </c>
    </row>
    <row r="2374" spans="1:12" ht="15" customHeight="1" x14ac:dyDescent="0.25">
      <c r="A2374" s="184"/>
      <c r="B2374" s="141"/>
      <c r="C2374" s="141"/>
      <c r="D2374" s="141"/>
      <c r="E2374" s="141"/>
      <c r="F2374" s="141"/>
      <c r="G2374" s="141"/>
      <c r="H2374" s="491" t="s">
        <v>1844</v>
      </c>
      <c r="I2374" s="491"/>
      <c r="J2374" s="491"/>
      <c r="K2374" s="491"/>
      <c r="L2374" s="369">
        <f>SUM(L2373:L2373)</f>
        <v>10.41</v>
      </c>
    </row>
    <row r="2375" spans="1:12" ht="15" customHeight="1" x14ac:dyDescent="0.25">
      <c r="A2375" s="182"/>
      <c r="B2375" s="183"/>
      <c r="C2375" s="183"/>
      <c r="D2375" s="183"/>
      <c r="E2375" s="183"/>
      <c r="F2375" s="183"/>
      <c r="G2375" s="183"/>
      <c r="H2375" s="482" t="s">
        <v>1845</v>
      </c>
      <c r="I2375" s="482"/>
      <c r="J2375" s="482"/>
      <c r="K2375" s="482"/>
      <c r="L2375" s="371">
        <f>SUM(L2374)</f>
        <v>10.41</v>
      </c>
    </row>
    <row r="2376" spans="1:12" ht="15" customHeight="1" x14ac:dyDescent="0.25">
      <c r="A2376" s="182"/>
      <c r="B2376" s="183"/>
      <c r="C2376" s="183"/>
      <c r="D2376" s="183"/>
      <c r="E2376" s="183"/>
      <c r="F2376" s="183"/>
      <c r="G2376" s="183"/>
      <c r="H2376" s="482" t="s">
        <v>1846</v>
      </c>
      <c r="I2376" s="482"/>
      <c r="J2376" s="482"/>
      <c r="K2376" s="482"/>
      <c r="L2376" s="374">
        <v>1</v>
      </c>
    </row>
    <row r="2377" spans="1:12" ht="15" customHeight="1" x14ac:dyDescent="0.25">
      <c r="A2377" s="182"/>
      <c r="B2377" s="183"/>
      <c r="C2377" s="183"/>
      <c r="D2377" s="183"/>
      <c r="E2377" s="183"/>
      <c r="F2377" s="183"/>
      <c r="G2377" s="183"/>
      <c r="H2377" s="482" t="s">
        <v>1847</v>
      </c>
      <c r="I2377" s="482"/>
      <c r="J2377" s="482"/>
      <c r="K2377" s="482"/>
      <c r="L2377" s="371">
        <f>TRUNC(L2375/L2376,4)</f>
        <v>10.41</v>
      </c>
    </row>
    <row r="2378" spans="1:12" ht="20.100000000000001" customHeight="1" x14ac:dyDescent="0.25">
      <c r="A2378" s="488" t="s">
        <v>1880</v>
      </c>
      <c r="B2378" s="489"/>
      <c r="C2378" s="489"/>
      <c r="D2378" s="489"/>
      <c r="E2378" s="489"/>
      <c r="F2378" s="489"/>
      <c r="G2378" s="233" t="s">
        <v>44</v>
      </c>
      <c r="H2378" s="515" t="s">
        <v>1837</v>
      </c>
      <c r="I2378" s="515"/>
      <c r="J2378" s="515" t="s">
        <v>1881</v>
      </c>
      <c r="K2378" s="515"/>
      <c r="L2378" s="169" t="s">
        <v>1882</v>
      </c>
    </row>
    <row r="2379" spans="1:12" ht="15" customHeight="1" x14ac:dyDescent="0.25">
      <c r="A2379" s="170" t="s">
        <v>3863</v>
      </c>
      <c r="B2379" s="492" t="s">
        <v>3864</v>
      </c>
      <c r="C2379" s="492"/>
      <c r="D2379" s="492"/>
      <c r="E2379" s="492"/>
      <c r="F2379" s="492"/>
      <c r="G2379" s="127" t="s">
        <v>1817</v>
      </c>
      <c r="H2379" s="524">
        <v>0.8</v>
      </c>
      <c r="I2379" s="524"/>
      <c r="J2379" s="525">
        <v>1.69</v>
      </c>
      <c r="K2379" s="525"/>
      <c r="L2379" s="171">
        <f>TRUNC(TRUNC(H2379,8)*J2379,2)</f>
        <v>1.35</v>
      </c>
    </row>
    <row r="2380" spans="1:12" ht="15" customHeight="1" x14ac:dyDescent="0.25">
      <c r="A2380" s="170" t="s">
        <v>3865</v>
      </c>
      <c r="B2380" s="492" t="s">
        <v>3866</v>
      </c>
      <c r="C2380" s="492"/>
      <c r="D2380" s="492"/>
      <c r="E2380" s="492"/>
      <c r="F2380" s="492"/>
      <c r="G2380" s="127" t="s">
        <v>1817</v>
      </c>
      <c r="H2380" s="524">
        <v>2.2499999999999999E-2</v>
      </c>
      <c r="I2380" s="524"/>
      <c r="J2380" s="525">
        <v>31.52</v>
      </c>
      <c r="K2380" s="525"/>
      <c r="L2380" s="171">
        <f>TRUNC(TRUNC(H2380,8)*J2380,2)</f>
        <v>0.7</v>
      </c>
    </row>
    <row r="2381" spans="1:12" ht="15" customHeight="1" x14ac:dyDescent="0.25">
      <c r="A2381" s="184"/>
      <c r="B2381" s="141"/>
      <c r="C2381" s="141"/>
      <c r="D2381" s="141"/>
      <c r="E2381" s="141"/>
      <c r="F2381" s="141"/>
      <c r="G2381" s="141"/>
      <c r="H2381" s="491" t="s">
        <v>1889</v>
      </c>
      <c r="I2381" s="491"/>
      <c r="J2381" s="491"/>
      <c r="K2381" s="491"/>
      <c r="L2381" s="375">
        <f>SUM(L2379:L2380)</f>
        <v>2.0499999999999998</v>
      </c>
    </row>
    <row r="2382" spans="1:12" ht="15" customHeight="1" x14ac:dyDescent="0.25">
      <c r="A2382" s="182"/>
      <c r="B2382" s="183"/>
      <c r="C2382" s="183"/>
      <c r="D2382" s="183"/>
      <c r="E2382" s="183"/>
      <c r="F2382" s="183"/>
      <c r="G2382" s="183"/>
      <c r="H2382" s="482" t="s">
        <v>1848</v>
      </c>
      <c r="I2382" s="482"/>
      <c r="J2382" s="482"/>
      <c r="K2382" s="482"/>
      <c r="L2382" s="371">
        <f>SUM(L2377,L2381)</f>
        <v>12.46</v>
      </c>
    </row>
    <row r="2383" spans="1:12" ht="15" customHeight="1" x14ac:dyDescent="0.25">
      <c r="A2383" s="182"/>
      <c r="B2383" s="183"/>
      <c r="C2383" s="183"/>
      <c r="D2383" s="183"/>
      <c r="E2383" s="183"/>
      <c r="F2383" s="183"/>
      <c r="G2383" s="183"/>
      <c r="H2383" s="482" t="s">
        <v>1834</v>
      </c>
      <c r="I2383" s="482"/>
      <c r="J2383" s="482"/>
      <c r="K2383" s="482"/>
      <c r="L2383" s="369">
        <f>ROUND(SUM(L2382),2)</f>
        <v>12.46</v>
      </c>
    </row>
    <row r="2384" spans="1:12" ht="9.9499999999999993" customHeight="1" x14ac:dyDescent="0.25">
      <c r="A2384" s="182"/>
      <c r="B2384" s="183"/>
      <c r="C2384" s="183"/>
      <c r="D2384" s="183"/>
      <c r="E2384" s="183"/>
      <c r="F2384" s="183"/>
      <c r="G2384" s="183"/>
      <c r="H2384" s="485"/>
      <c r="I2384" s="485"/>
      <c r="J2384" s="485"/>
      <c r="K2384" s="485"/>
      <c r="L2384" s="512"/>
    </row>
    <row r="2385" spans="1:12" ht="20.100000000000001" customHeight="1" x14ac:dyDescent="0.25">
      <c r="A2385" s="486" t="s">
        <v>3867</v>
      </c>
      <c r="B2385" s="487"/>
      <c r="C2385" s="487"/>
      <c r="D2385" s="487"/>
      <c r="E2385" s="487"/>
      <c r="F2385" s="487"/>
      <c r="G2385" s="487"/>
      <c r="H2385" s="487"/>
      <c r="I2385" s="487"/>
      <c r="J2385" s="487"/>
      <c r="K2385" s="487"/>
      <c r="L2385" s="513"/>
    </row>
    <row r="2386" spans="1:12" ht="15" customHeight="1" x14ac:dyDescent="0.25">
      <c r="A2386" s="474" t="s">
        <v>1812</v>
      </c>
      <c r="B2386" s="475"/>
      <c r="C2386" s="475"/>
      <c r="D2386" s="476" t="s">
        <v>42</v>
      </c>
      <c r="E2386" s="476"/>
      <c r="F2386" s="476"/>
      <c r="G2386" s="230" t="s">
        <v>44</v>
      </c>
      <c r="H2386" s="476" t="s">
        <v>1813</v>
      </c>
      <c r="I2386" s="476"/>
      <c r="J2386" s="476" t="s">
        <v>1814</v>
      </c>
      <c r="K2386" s="476"/>
      <c r="L2386" s="366" t="s">
        <v>1802</v>
      </c>
    </row>
    <row r="2387" spans="1:12" ht="29.1" customHeight="1" x14ac:dyDescent="0.25">
      <c r="A2387" s="181" t="s">
        <v>3868</v>
      </c>
      <c r="B2387" s="509" t="s">
        <v>3869</v>
      </c>
      <c r="C2387" s="509"/>
      <c r="D2387" s="481" t="s">
        <v>82</v>
      </c>
      <c r="E2387" s="481"/>
      <c r="F2387" s="481"/>
      <c r="G2387" s="231" t="s">
        <v>85</v>
      </c>
      <c r="H2387" s="510">
        <v>7.3899999999999993E-2</v>
      </c>
      <c r="I2387" s="510"/>
      <c r="J2387" s="511">
        <v>587.5</v>
      </c>
      <c r="K2387" s="511"/>
      <c r="L2387" s="367">
        <f>TRUNC(TRUNC(H2387,8)*J2387,2)</f>
        <v>43.41</v>
      </c>
    </row>
    <row r="2388" spans="1:12" ht="15" customHeight="1" x14ac:dyDescent="0.25">
      <c r="A2388" s="181" t="s">
        <v>3870</v>
      </c>
      <c r="B2388" s="509" t="s">
        <v>3871</v>
      </c>
      <c r="C2388" s="509"/>
      <c r="D2388" s="481" t="s">
        <v>82</v>
      </c>
      <c r="E2388" s="481"/>
      <c r="F2388" s="481"/>
      <c r="G2388" s="231" t="s">
        <v>1817</v>
      </c>
      <c r="H2388" s="510">
        <v>2.4E-2</v>
      </c>
      <c r="I2388" s="510"/>
      <c r="J2388" s="511">
        <v>21.14</v>
      </c>
      <c r="K2388" s="511"/>
      <c r="L2388" s="367">
        <f>TRUNC(TRUNC(H2388,8)*J2388,2)</f>
        <v>0.5</v>
      </c>
    </row>
    <row r="2389" spans="1:12" ht="21" customHeight="1" x14ac:dyDescent="0.25">
      <c r="A2389" s="181" t="s">
        <v>2803</v>
      </c>
      <c r="B2389" s="509" t="s">
        <v>2804</v>
      </c>
      <c r="C2389" s="509"/>
      <c r="D2389" s="481" t="s">
        <v>82</v>
      </c>
      <c r="E2389" s="481"/>
      <c r="F2389" s="481"/>
      <c r="G2389" s="231" t="s">
        <v>188</v>
      </c>
      <c r="H2389" s="510">
        <v>0.45</v>
      </c>
      <c r="I2389" s="510"/>
      <c r="J2389" s="511">
        <v>2.81</v>
      </c>
      <c r="K2389" s="511"/>
      <c r="L2389" s="367">
        <f>TRUNC(TRUNC(H2389,8)*J2389,2)</f>
        <v>1.26</v>
      </c>
    </row>
    <row r="2390" spans="1:12" ht="29.1" customHeight="1" x14ac:dyDescent="0.25">
      <c r="A2390" s="181" t="s">
        <v>3872</v>
      </c>
      <c r="B2390" s="509" t="s">
        <v>3873</v>
      </c>
      <c r="C2390" s="509"/>
      <c r="D2390" s="481" t="s">
        <v>82</v>
      </c>
      <c r="E2390" s="481"/>
      <c r="F2390" s="481"/>
      <c r="G2390" s="231" t="s">
        <v>122</v>
      </c>
      <c r="H2390" s="510">
        <v>1.0815999999999999</v>
      </c>
      <c r="I2390" s="510"/>
      <c r="J2390" s="511">
        <v>25.47</v>
      </c>
      <c r="K2390" s="511"/>
      <c r="L2390" s="367">
        <f>TRUNC(TRUNC(H2390,8)*J2390,2)</f>
        <v>27.54</v>
      </c>
    </row>
    <row r="2391" spans="1:12" ht="15" customHeight="1" x14ac:dyDescent="0.25">
      <c r="A2391" s="182"/>
      <c r="B2391" s="183"/>
      <c r="C2391" s="183"/>
      <c r="D2391" s="183"/>
      <c r="E2391" s="183"/>
      <c r="F2391" s="183"/>
      <c r="G2391" s="183"/>
      <c r="H2391" s="477" t="s">
        <v>1826</v>
      </c>
      <c r="I2391" s="477"/>
      <c r="J2391" s="477"/>
      <c r="K2391" s="477"/>
      <c r="L2391" s="368">
        <f>SUM(L2387:L2390)</f>
        <v>72.709999999999994</v>
      </c>
    </row>
    <row r="2392" spans="1:12" ht="15" customHeight="1" x14ac:dyDescent="0.25">
      <c r="A2392" s="474" t="s">
        <v>2190</v>
      </c>
      <c r="B2392" s="475"/>
      <c r="C2392" s="475"/>
      <c r="D2392" s="476" t="s">
        <v>42</v>
      </c>
      <c r="E2392" s="476"/>
      <c r="F2392" s="476"/>
      <c r="G2392" s="230" t="s">
        <v>44</v>
      </c>
      <c r="H2392" s="476" t="s">
        <v>1813</v>
      </c>
      <c r="I2392" s="476"/>
      <c r="J2392" s="476" t="s">
        <v>1814</v>
      </c>
      <c r="K2392" s="476"/>
      <c r="L2392" s="366" t="s">
        <v>1802</v>
      </c>
    </row>
    <row r="2393" spans="1:12" ht="21" customHeight="1" x14ac:dyDescent="0.25">
      <c r="A2393" s="181" t="s">
        <v>2547</v>
      </c>
      <c r="B2393" s="509" t="s">
        <v>2548</v>
      </c>
      <c r="C2393" s="509"/>
      <c r="D2393" s="481" t="s">
        <v>82</v>
      </c>
      <c r="E2393" s="481"/>
      <c r="F2393" s="481"/>
      <c r="G2393" s="231" t="s">
        <v>1024</v>
      </c>
      <c r="H2393" s="510">
        <v>9.7600000000000006E-2</v>
      </c>
      <c r="I2393" s="510"/>
      <c r="J2393" s="511">
        <v>37.880000000000003</v>
      </c>
      <c r="K2393" s="511"/>
      <c r="L2393" s="367">
        <f>TRUNC(TRUNC(H2393,8)*J2393,2)</f>
        <v>3.69</v>
      </c>
    </row>
    <row r="2394" spans="1:12" ht="15" customHeight="1" x14ac:dyDescent="0.25">
      <c r="A2394" s="181" t="s">
        <v>2549</v>
      </c>
      <c r="B2394" s="509" t="s">
        <v>2550</v>
      </c>
      <c r="C2394" s="509"/>
      <c r="D2394" s="481" t="s">
        <v>82</v>
      </c>
      <c r="E2394" s="481"/>
      <c r="F2394" s="481"/>
      <c r="G2394" s="231" t="s">
        <v>1024</v>
      </c>
      <c r="H2394" s="510">
        <v>7.2700000000000001E-2</v>
      </c>
      <c r="I2394" s="510"/>
      <c r="J2394" s="511">
        <v>36.29</v>
      </c>
      <c r="K2394" s="511"/>
      <c r="L2394" s="367">
        <f>TRUNC(TRUNC(H2394,8)*J2394,2)</f>
        <v>2.63</v>
      </c>
    </row>
    <row r="2395" spans="1:12" ht="15" customHeight="1" x14ac:dyDescent="0.25">
      <c r="A2395" s="181" t="s">
        <v>2375</v>
      </c>
      <c r="B2395" s="509" t="s">
        <v>2376</v>
      </c>
      <c r="C2395" s="509"/>
      <c r="D2395" s="481" t="s">
        <v>82</v>
      </c>
      <c r="E2395" s="481"/>
      <c r="F2395" s="481"/>
      <c r="G2395" s="231" t="s">
        <v>1024</v>
      </c>
      <c r="H2395" s="510">
        <v>0.1704</v>
      </c>
      <c r="I2395" s="510"/>
      <c r="J2395" s="511">
        <v>28.97</v>
      </c>
      <c r="K2395" s="511"/>
      <c r="L2395" s="367">
        <f>TRUNC(TRUNC(H2395,8)*J2395,2)</f>
        <v>4.93</v>
      </c>
    </row>
    <row r="2396" spans="1:12" ht="18" customHeight="1" x14ac:dyDescent="0.25">
      <c r="A2396" s="182"/>
      <c r="B2396" s="183"/>
      <c r="C2396" s="183"/>
      <c r="D2396" s="183"/>
      <c r="E2396" s="183"/>
      <c r="F2396" s="183"/>
      <c r="G2396" s="183"/>
      <c r="H2396" s="477" t="s">
        <v>2195</v>
      </c>
      <c r="I2396" s="477"/>
      <c r="J2396" s="477"/>
      <c r="K2396" s="477"/>
      <c r="L2396" s="368">
        <f>SUM(L2393:L2395)</f>
        <v>11.25</v>
      </c>
    </row>
    <row r="2397" spans="1:12" ht="15" customHeight="1" x14ac:dyDescent="0.25">
      <c r="A2397" s="182"/>
      <c r="B2397" s="183"/>
      <c r="C2397" s="183"/>
      <c r="D2397" s="183"/>
      <c r="E2397" s="183"/>
      <c r="F2397" s="183"/>
      <c r="G2397" s="183"/>
      <c r="H2397" s="482" t="s">
        <v>1834</v>
      </c>
      <c r="I2397" s="482"/>
      <c r="J2397" s="482"/>
      <c r="K2397" s="482"/>
      <c r="L2397" s="369">
        <f>ROUND(SUM(L2391,L2396),2)</f>
        <v>83.96</v>
      </c>
    </row>
    <row r="2398" spans="1:12" ht="9.9499999999999993" customHeight="1" x14ac:dyDescent="0.25">
      <c r="A2398" s="182"/>
      <c r="B2398" s="183"/>
      <c r="C2398" s="183"/>
      <c r="D2398" s="183"/>
      <c r="E2398" s="183"/>
      <c r="F2398" s="183"/>
      <c r="G2398" s="183"/>
      <c r="H2398" s="485"/>
      <c r="I2398" s="485"/>
      <c r="J2398" s="485"/>
      <c r="K2398" s="485"/>
      <c r="L2398" s="512"/>
    </row>
    <row r="2399" spans="1:12" ht="20.100000000000001" customHeight="1" x14ac:dyDescent="0.25">
      <c r="A2399" s="486" t="s">
        <v>2260</v>
      </c>
      <c r="B2399" s="487"/>
      <c r="C2399" s="487"/>
      <c r="D2399" s="487"/>
      <c r="E2399" s="487"/>
      <c r="F2399" s="487"/>
      <c r="G2399" s="487"/>
      <c r="H2399" s="487"/>
      <c r="I2399" s="487"/>
      <c r="J2399" s="487"/>
      <c r="K2399" s="487"/>
      <c r="L2399" s="513"/>
    </row>
    <row r="2400" spans="1:12" ht="20.100000000000001" customHeight="1" x14ac:dyDescent="0.25">
      <c r="A2400" s="488" t="s">
        <v>1836</v>
      </c>
      <c r="B2400" s="489"/>
      <c r="C2400" s="489"/>
      <c r="D2400" s="489"/>
      <c r="E2400" s="489"/>
      <c r="F2400" s="489"/>
      <c r="G2400" s="233" t="s">
        <v>44</v>
      </c>
      <c r="H2400" s="515" t="s">
        <v>1837</v>
      </c>
      <c r="I2400" s="515"/>
      <c r="J2400" s="515" t="s">
        <v>1838</v>
      </c>
      <c r="K2400" s="515"/>
      <c r="L2400" s="169" t="s">
        <v>1839</v>
      </c>
    </row>
    <row r="2401" spans="1:12" ht="15" customHeight="1" x14ac:dyDescent="0.25">
      <c r="A2401" s="170" t="s">
        <v>2035</v>
      </c>
      <c r="B2401" s="490" t="s">
        <v>2036</v>
      </c>
      <c r="C2401" s="490"/>
      <c r="D2401" s="490"/>
      <c r="E2401" s="490"/>
      <c r="F2401" s="490"/>
      <c r="G2401" s="127" t="s">
        <v>1024</v>
      </c>
      <c r="H2401" s="524">
        <v>1.1499999999999999</v>
      </c>
      <c r="I2401" s="524"/>
      <c r="J2401" s="517">
        <v>26.03</v>
      </c>
      <c r="K2401" s="517"/>
      <c r="L2401" s="370">
        <f>ROUND(ROUND(H2401,8)*J2401,2)</f>
        <v>29.93</v>
      </c>
    </row>
    <row r="2402" spans="1:12" ht="15" customHeight="1" x14ac:dyDescent="0.25">
      <c r="A2402" s="170" t="s">
        <v>1851</v>
      </c>
      <c r="B2402" s="490" t="s">
        <v>1852</v>
      </c>
      <c r="C2402" s="490"/>
      <c r="D2402" s="490"/>
      <c r="E2402" s="490"/>
      <c r="F2402" s="490"/>
      <c r="G2402" s="127" t="s">
        <v>1024</v>
      </c>
      <c r="H2402" s="524">
        <v>0.2</v>
      </c>
      <c r="I2402" s="524"/>
      <c r="J2402" s="517">
        <v>26.03</v>
      </c>
      <c r="K2402" s="517"/>
      <c r="L2402" s="370">
        <f>ROUND(ROUND(H2402,8)*J2402,2)</f>
        <v>5.21</v>
      </c>
    </row>
    <row r="2403" spans="1:12" ht="15" customHeight="1" x14ac:dyDescent="0.25">
      <c r="A2403" s="170" t="s">
        <v>1830</v>
      </c>
      <c r="B2403" s="490" t="s">
        <v>1831</v>
      </c>
      <c r="C2403" s="490"/>
      <c r="D2403" s="490"/>
      <c r="E2403" s="490"/>
      <c r="F2403" s="490"/>
      <c r="G2403" s="127" t="s">
        <v>1024</v>
      </c>
      <c r="H2403" s="524">
        <v>0.85</v>
      </c>
      <c r="I2403" s="524"/>
      <c r="J2403" s="517">
        <v>19.68</v>
      </c>
      <c r="K2403" s="517"/>
      <c r="L2403" s="370">
        <f>ROUND(ROUND(H2403,8)*J2403,2)</f>
        <v>16.73</v>
      </c>
    </row>
    <row r="2404" spans="1:12" ht="15" customHeight="1" x14ac:dyDescent="0.25">
      <c r="A2404" s="184"/>
      <c r="B2404" s="141"/>
      <c r="C2404" s="141"/>
      <c r="D2404" s="141"/>
      <c r="E2404" s="141"/>
      <c r="F2404" s="141"/>
      <c r="G2404" s="141"/>
      <c r="H2404" s="491" t="s">
        <v>1844</v>
      </c>
      <c r="I2404" s="491"/>
      <c r="J2404" s="491"/>
      <c r="K2404" s="491"/>
      <c r="L2404" s="369">
        <f>SUM(L2401:L2403)</f>
        <v>51.870000000000005</v>
      </c>
    </row>
    <row r="2405" spans="1:12" ht="15" customHeight="1" x14ac:dyDescent="0.25">
      <c r="A2405" s="182"/>
      <c r="B2405" s="183"/>
      <c r="C2405" s="183"/>
      <c r="D2405" s="183"/>
      <c r="E2405" s="183"/>
      <c r="F2405" s="183"/>
      <c r="G2405" s="183"/>
      <c r="H2405" s="482" t="s">
        <v>1845</v>
      </c>
      <c r="I2405" s="482"/>
      <c r="J2405" s="482"/>
      <c r="K2405" s="482"/>
      <c r="L2405" s="371">
        <f>SUM(L2404)</f>
        <v>51.870000000000005</v>
      </c>
    </row>
    <row r="2406" spans="1:12" ht="15" customHeight="1" x14ac:dyDescent="0.25">
      <c r="A2406" s="182"/>
      <c r="B2406" s="183"/>
      <c r="C2406" s="183"/>
      <c r="D2406" s="183"/>
      <c r="E2406" s="183"/>
      <c r="F2406" s="183"/>
      <c r="G2406" s="183"/>
      <c r="H2406" s="482" t="s">
        <v>1846</v>
      </c>
      <c r="I2406" s="482"/>
      <c r="J2406" s="482"/>
      <c r="K2406" s="482"/>
      <c r="L2406" s="382">
        <v>1</v>
      </c>
    </row>
    <row r="2407" spans="1:12" ht="15" customHeight="1" x14ac:dyDescent="0.25">
      <c r="A2407" s="182"/>
      <c r="B2407" s="183"/>
      <c r="C2407" s="183"/>
      <c r="D2407" s="183"/>
      <c r="E2407" s="183"/>
      <c r="F2407" s="183"/>
      <c r="G2407" s="183"/>
      <c r="H2407" s="482" t="s">
        <v>1847</v>
      </c>
      <c r="I2407" s="482"/>
      <c r="J2407" s="482"/>
      <c r="K2407" s="482"/>
      <c r="L2407" s="371">
        <f>ROUND(L2405/L2406,4)</f>
        <v>51.87</v>
      </c>
    </row>
    <row r="2408" spans="1:12" ht="20.100000000000001" customHeight="1" x14ac:dyDescent="0.25">
      <c r="A2408" s="488" t="s">
        <v>1880</v>
      </c>
      <c r="B2408" s="489"/>
      <c r="C2408" s="489"/>
      <c r="D2408" s="489"/>
      <c r="E2408" s="489"/>
      <c r="F2408" s="489"/>
      <c r="G2408" s="233" t="s">
        <v>44</v>
      </c>
      <c r="H2408" s="515" t="s">
        <v>1837</v>
      </c>
      <c r="I2408" s="515"/>
      <c r="J2408" s="515" t="s">
        <v>1881</v>
      </c>
      <c r="K2408" s="515"/>
      <c r="L2408" s="169" t="s">
        <v>1882</v>
      </c>
    </row>
    <row r="2409" spans="1:12" ht="15" customHeight="1" x14ac:dyDescent="0.25">
      <c r="A2409" s="170" t="s">
        <v>2261</v>
      </c>
      <c r="B2409" s="492" t="s">
        <v>2262</v>
      </c>
      <c r="C2409" s="492"/>
      <c r="D2409" s="492"/>
      <c r="E2409" s="492"/>
      <c r="F2409" s="492"/>
      <c r="G2409" s="127" t="s">
        <v>1817</v>
      </c>
      <c r="H2409" s="524">
        <v>16</v>
      </c>
      <c r="I2409" s="524"/>
      <c r="J2409" s="525">
        <v>1.24</v>
      </c>
      <c r="K2409" s="525"/>
      <c r="L2409" s="171">
        <f t="shared" ref="L2409:L2415" si="15">ROUND(ROUND(H2409,8)*J2409,2)</f>
        <v>19.84</v>
      </c>
    </row>
    <row r="2410" spans="1:12" ht="15" customHeight="1" x14ac:dyDescent="0.25">
      <c r="A2410" s="170" t="s">
        <v>2170</v>
      </c>
      <c r="B2410" s="492" t="s">
        <v>2171</v>
      </c>
      <c r="C2410" s="492"/>
      <c r="D2410" s="492"/>
      <c r="E2410" s="492"/>
      <c r="F2410" s="492"/>
      <c r="G2410" s="127" t="s">
        <v>85</v>
      </c>
      <c r="H2410" s="524">
        <v>2.5000000000000001E-3</v>
      </c>
      <c r="I2410" s="524"/>
      <c r="J2410" s="525">
        <v>152</v>
      </c>
      <c r="K2410" s="525"/>
      <c r="L2410" s="171">
        <f t="shared" si="15"/>
        <v>0.38</v>
      </c>
    </row>
    <row r="2411" spans="1:12" ht="15" customHeight="1" x14ac:dyDescent="0.25">
      <c r="A2411" s="170" t="s">
        <v>2263</v>
      </c>
      <c r="B2411" s="492" t="s">
        <v>2264</v>
      </c>
      <c r="C2411" s="492"/>
      <c r="D2411" s="492"/>
      <c r="E2411" s="492"/>
      <c r="F2411" s="492"/>
      <c r="G2411" s="127" t="s">
        <v>1817</v>
      </c>
      <c r="H2411" s="524">
        <v>11.2</v>
      </c>
      <c r="I2411" s="524"/>
      <c r="J2411" s="525">
        <v>0.56999999999999995</v>
      </c>
      <c r="K2411" s="525"/>
      <c r="L2411" s="171">
        <f t="shared" si="15"/>
        <v>6.38</v>
      </c>
    </row>
    <row r="2412" spans="1:12" ht="15" customHeight="1" x14ac:dyDescent="0.25">
      <c r="A2412" s="170" t="s">
        <v>2265</v>
      </c>
      <c r="B2412" s="492" t="s">
        <v>2266</v>
      </c>
      <c r="C2412" s="492"/>
      <c r="D2412" s="492"/>
      <c r="E2412" s="492"/>
      <c r="F2412" s="492"/>
      <c r="G2412" s="127" t="s">
        <v>188</v>
      </c>
      <c r="H2412" s="524">
        <v>2</v>
      </c>
      <c r="I2412" s="524"/>
      <c r="J2412" s="525">
        <v>1.78</v>
      </c>
      <c r="K2412" s="525"/>
      <c r="L2412" s="171">
        <f t="shared" si="15"/>
        <v>3.56</v>
      </c>
    </row>
    <row r="2413" spans="1:12" ht="15" customHeight="1" x14ac:dyDescent="0.25">
      <c r="A2413" s="170" t="s">
        <v>2267</v>
      </c>
      <c r="B2413" s="492" t="s">
        <v>2268</v>
      </c>
      <c r="C2413" s="492"/>
      <c r="D2413" s="492"/>
      <c r="E2413" s="492"/>
      <c r="F2413" s="492"/>
      <c r="G2413" s="127" t="s">
        <v>1024</v>
      </c>
      <c r="H2413" s="524">
        <v>1.1499999999999999</v>
      </c>
      <c r="I2413" s="524"/>
      <c r="J2413" s="525">
        <v>3.62</v>
      </c>
      <c r="K2413" s="525"/>
      <c r="L2413" s="171">
        <f t="shared" si="15"/>
        <v>4.16</v>
      </c>
    </row>
    <row r="2414" spans="1:12" ht="15" customHeight="1" x14ac:dyDescent="0.25">
      <c r="A2414" s="170" t="s">
        <v>2269</v>
      </c>
      <c r="B2414" s="492" t="s">
        <v>2270</v>
      </c>
      <c r="C2414" s="492"/>
      <c r="D2414" s="492"/>
      <c r="E2414" s="492"/>
      <c r="F2414" s="492"/>
      <c r="G2414" s="127" t="s">
        <v>226</v>
      </c>
      <c r="H2414" s="524">
        <v>0.18</v>
      </c>
      <c r="I2414" s="524"/>
      <c r="J2414" s="525">
        <v>37.06</v>
      </c>
      <c r="K2414" s="525"/>
      <c r="L2414" s="171">
        <f t="shared" si="15"/>
        <v>6.67</v>
      </c>
    </row>
    <row r="2415" spans="1:12" ht="15" customHeight="1" x14ac:dyDescent="0.25">
      <c r="A2415" s="170" t="s">
        <v>2271</v>
      </c>
      <c r="B2415" s="492" t="s">
        <v>2272</v>
      </c>
      <c r="C2415" s="492"/>
      <c r="D2415" s="492"/>
      <c r="E2415" s="492"/>
      <c r="F2415" s="492"/>
      <c r="G2415" s="127" t="s">
        <v>1817</v>
      </c>
      <c r="H2415" s="524">
        <v>0.2</v>
      </c>
      <c r="I2415" s="524"/>
      <c r="J2415" s="525">
        <v>66.260000000000005</v>
      </c>
      <c r="K2415" s="525"/>
      <c r="L2415" s="171">
        <f t="shared" si="15"/>
        <v>13.25</v>
      </c>
    </row>
    <row r="2416" spans="1:12" ht="15" customHeight="1" x14ac:dyDescent="0.25">
      <c r="A2416" s="184"/>
      <c r="B2416" s="141"/>
      <c r="C2416" s="141"/>
      <c r="D2416" s="141"/>
      <c r="E2416" s="141"/>
      <c r="F2416" s="141"/>
      <c r="G2416" s="141"/>
      <c r="H2416" s="491" t="s">
        <v>1889</v>
      </c>
      <c r="I2416" s="491"/>
      <c r="J2416" s="491"/>
      <c r="K2416" s="491"/>
      <c r="L2416" s="375">
        <f>SUM(L2409:L2415)</f>
        <v>54.239999999999995</v>
      </c>
    </row>
    <row r="2417" spans="1:12" ht="20.100000000000001" customHeight="1" x14ac:dyDescent="0.25">
      <c r="A2417" s="488" t="s">
        <v>2009</v>
      </c>
      <c r="B2417" s="489"/>
      <c r="C2417" s="489"/>
      <c r="D2417" s="489"/>
      <c r="E2417" s="489"/>
      <c r="F2417" s="489"/>
      <c r="G2417" s="233" t="s">
        <v>44</v>
      </c>
      <c r="H2417" s="515" t="s">
        <v>1837</v>
      </c>
      <c r="I2417" s="515"/>
      <c r="J2417" s="515" t="s">
        <v>1814</v>
      </c>
      <c r="K2417" s="515"/>
      <c r="L2417" s="169" t="s">
        <v>1882</v>
      </c>
    </row>
    <row r="2418" spans="1:12" ht="15.95" customHeight="1" x14ac:dyDescent="0.25">
      <c r="A2418" s="170" t="s">
        <v>2273</v>
      </c>
      <c r="B2418" s="492" t="s">
        <v>2274</v>
      </c>
      <c r="C2418" s="492"/>
      <c r="D2418" s="492"/>
      <c r="E2418" s="492"/>
      <c r="F2418" s="492"/>
      <c r="G2418" s="127"/>
      <c r="H2418" s="526">
        <v>1</v>
      </c>
      <c r="I2418" s="526"/>
      <c r="J2418" s="525">
        <v>54.03</v>
      </c>
      <c r="K2418" s="525"/>
      <c r="L2418" s="171">
        <f>ROUND(ROUND(H2418,8)*J2418,2)</f>
        <v>54.03</v>
      </c>
    </row>
    <row r="2419" spans="1:12" ht="15" customHeight="1" x14ac:dyDescent="0.25">
      <c r="A2419" s="184"/>
      <c r="B2419" s="141"/>
      <c r="C2419" s="141"/>
      <c r="D2419" s="141"/>
      <c r="E2419" s="141"/>
      <c r="F2419" s="141"/>
      <c r="G2419" s="141"/>
      <c r="H2419" s="491" t="s">
        <v>2014</v>
      </c>
      <c r="I2419" s="491"/>
      <c r="J2419" s="491"/>
      <c r="K2419" s="491"/>
      <c r="L2419" s="375">
        <f>SUM(L2418:L2418)</f>
        <v>54.03</v>
      </c>
    </row>
    <row r="2420" spans="1:12" ht="15" customHeight="1" x14ac:dyDescent="0.25">
      <c r="A2420" s="182"/>
      <c r="B2420" s="183"/>
      <c r="C2420" s="183"/>
      <c r="D2420" s="183"/>
      <c r="E2420" s="183"/>
      <c r="F2420" s="183"/>
      <c r="G2420" s="183"/>
      <c r="H2420" s="482" t="s">
        <v>1848</v>
      </c>
      <c r="I2420" s="482"/>
      <c r="J2420" s="482"/>
      <c r="K2420" s="482"/>
      <c r="L2420" s="371">
        <f>SUM(L2407,L2416,L2419)</f>
        <v>160.13999999999999</v>
      </c>
    </row>
    <row r="2421" spans="1:12" ht="15" customHeight="1" x14ac:dyDescent="0.25">
      <c r="A2421" s="483" t="s">
        <v>2275</v>
      </c>
      <c r="B2421" s="484"/>
      <c r="C2421" s="484"/>
      <c r="D2421" s="484"/>
      <c r="E2421" s="183"/>
      <c r="F2421" s="183"/>
      <c r="G2421" s="183"/>
      <c r="H2421" s="482" t="s">
        <v>1834</v>
      </c>
      <c r="I2421" s="482"/>
      <c r="J2421" s="482"/>
      <c r="K2421" s="482"/>
      <c r="L2421" s="369">
        <v>160.13999999999999</v>
      </c>
    </row>
    <row r="2422" spans="1:12" ht="9.9499999999999993" customHeight="1" x14ac:dyDescent="0.25">
      <c r="A2422" s="182"/>
      <c r="B2422" s="183"/>
      <c r="C2422" s="183"/>
      <c r="D2422" s="183"/>
      <c r="E2422" s="183"/>
      <c r="F2422" s="183"/>
      <c r="G2422" s="183"/>
      <c r="H2422" s="485"/>
      <c r="I2422" s="485"/>
      <c r="J2422" s="485"/>
      <c r="K2422" s="485"/>
      <c r="L2422" s="512"/>
    </row>
    <row r="2423" spans="1:12" ht="20.100000000000001" customHeight="1" x14ac:dyDescent="0.25">
      <c r="A2423" s="486" t="s">
        <v>3874</v>
      </c>
      <c r="B2423" s="487"/>
      <c r="C2423" s="487"/>
      <c r="D2423" s="487"/>
      <c r="E2423" s="487"/>
      <c r="F2423" s="487"/>
      <c r="G2423" s="487"/>
      <c r="H2423" s="487"/>
      <c r="I2423" s="487"/>
      <c r="J2423" s="487"/>
      <c r="K2423" s="487"/>
      <c r="L2423" s="513"/>
    </row>
    <row r="2424" spans="1:12" ht="20.100000000000001" customHeight="1" x14ac:dyDescent="0.25">
      <c r="A2424" s="488" t="s">
        <v>1836</v>
      </c>
      <c r="B2424" s="489"/>
      <c r="C2424" s="489"/>
      <c r="D2424" s="489"/>
      <c r="E2424" s="489"/>
      <c r="F2424" s="489"/>
      <c r="G2424" s="233" t="s">
        <v>44</v>
      </c>
      <c r="H2424" s="515" t="s">
        <v>1837</v>
      </c>
      <c r="I2424" s="515"/>
      <c r="J2424" s="515" t="s">
        <v>1838</v>
      </c>
      <c r="K2424" s="515"/>
      <c r="L2424" s="169" t="s">
        <v>1839</v>
      </c>
    </row>
    <row r="2425" spans="1:12" ht="15" customHeight="1" x14ac:dyDescent="0.25">
      <c r="A2425" s="170" t="s">
        <v>2035</v>
      </c>
      <c r="B2425" s="490" t="s">
        <v>2036</v>
      </c>
      <c r="C2425" s="490"/>
      <c r="D2425" s="490"/>
      <c r="E2425" s="490"/>
      <c r="F2425" s="490"/>
      <c r="G2425" s="127" t="s">
        <v>1024</v>
      </c>
      <c r="H2425" s="524">
        <v>1.1499999999999999</v>
      </c>
      <c r="I2425" s="524"/>
      <c r="J2425" s="517">
        <v>26.03</v>
      </c>
      <c r="K2425" s="517"/>
      <c r="L2425" s="370">
        <f>TRUNC(TRUNC(H2425,8)*J2425,2)</f>
        <v>29.93</v>
      </c>
    </row>
    <row r="2426" spans="1:12" ht="15" customHeight="1" x14ac:dyDescent="0.25">
      <c r="A2426" s="170" t="s">
        <v>1851</v>
      </c>
      <c r="B2426" s="490" t="s">
        <v>1852</v>
      </c>
      <c r="C2426" s="490"/>
      <c r="D2426" s="490"/>
      <c r="E2426" s="490"/>
      <c r="F2426" s="490"/>
      <c r="G2426" s="127" t="s">
        <v>1024</v>
      </c>
      <c r="H2426" s="524">
        <v>0.2</v>
      </c>
      <c r="I2426" s="524"/>
      <c r="J2426" s="517">
        <v>26.03</v>
      </c>
      <c r="K2426" s="517"/>
      <c r="L2426" s="370">
        <f>TRUNC(TRUNC(H2426,8)*J2426,2)</f>
        <v>5.2</v>
      </c>
    </row>
    <row r="2427" spans="1:12" ht="15" customHeight="1" x14ac:dyDescent="0.25">
      <c r="A2427" s="170" t="s">
        <v>1830</v>
      </c>
      <c r="B2427" s="490" t="s">
        <v>1831</v>
      </c>
      <c r="C2427" s="490"/>
      <c r="D2427" s="490"/>
      <c r="E2427" s="490"/>
      <c r="F2427" s="490"/>
      <c r="G2427" s="127" t="s">
        <v>1024</v>
      </c>
      <c r="H2427" s="524">
        <v>0.85</v>
      </c>
      <c r="I2427" s="524"/>
      <c r="J2427" s="517">
        <v>19.68</v>
      </c>
      <c r="K2427" s="517"/>
      <c r="L2427" s="370">
        <f>TRUNC(TRUNC(H2427,8)*J2427,2)</f>
        <v>16.72</v>
      </c>
    </row>
    <row r="2428" spans="1:12" ht="15" customHeight="1" x14ac:dyDescent="0.25">
      <c r="A2428" s="184"/>
      <c r="B2428" s="141"/>
      <c r="C2428" s="141"/>
      <c r="D2428" s="141"/>
      <c r="E2428" s="141"/>
      <c r="F2428" s="141"/>
      <c r="G2428" s="141"/>
      <c r="H2428" s="491" t="s">
        <v>1844</v>
      </c>
      <c r="I2428" s="491"/>
      <c r="J2428" s="491"/>
      <c r="K2428" s="491"/>
      <c r="L2428" s="369">
        <f>SUM(L2425:L2427)</f>
        <v>51.85</v>
      </c>
    </row>
    <row r="2429" spans="1:12" ht="15" customHeight="1" x14ac:dyDescent="0.25">
      <c r="A2429" s="182"/>
      <c r="B2429" s="183"/>
      <c r="C2429" s="183"/>
      <c r="D2429" s="183"/>
      <c r="E2429" s="183"/>
      <c r="F2429" s="183"/>
      <c r="G2429" s="183"/>
      <c r="H2429" s="482" t="s">
        <v>1845</v>
      </c>
      <c r="I2429" s="482"/>
      <c r="J2429" s="482"/>
      <c r="K2429" s="482"/>
      <c r="L2429" s="371">
        <f>SUM(L2428)</f>
        <v>51.85</v>
      </c>
    </row>
    <row r="2430" spans="1:12" ht="15" customHeight="1" x14ac:dyDescent="0.25">
      <c r="A2430" s="182"/>
      <c r="B2430" s="183"/>
      <c r="C2430" s="183"/>
      <c r="D2430" s="183"/>
      <c r="E2430" s="183"/>
      <c r="F2430" s="183"/>
      <c r="G2430" s="183"/>
      <c r="H2430" s="482" t="s">
        <v>1846</v>
      </c>
      <c r="I2430" s="482"/>
      <c r="J2430" s="482"/>
      <c r="K2430" s="482"/>
      <c r="L2430" s="374">
        <v>1</v>
      </c>
    </row>
    <row r="2431" spans="1:12" ht="15" customHeight="1" x14ac:dyDescent="0.25">
      <c r="A2431" s="182"/>
      <c r="B2431" s="183"/>
      <c r="C2431" s="183"/>
      <c r="D2431" s="183"/>
      <c r="E2431" s="183"/>
      <c r="F2431" s="183"/>
      <c r="G2431" s="183"/>
      <c r="H2431" s="482" t="s">
        <v>1847</v>
      </c>
      <c r="I2431" s="482"/>
      <c r="J2431" s="482"/>
      <c r="K2431" s="482"/>
      <c r="L2431" s="371">
        <f>TRUNC(L2429/L2430,4)</f>
        <v>51.85</v>
      </c>
    </row>
    <row r="2432" spans="1:12" ht="20.100000000000001" customHeight="1" x14ac:dyDescent="0.25">
      <c r="A2432" s="488" t="s">
        <v>1880</v>
      </c>
      <c r="B2432" s="489"/>
      <c r="C2432" s="489"/>
      <c r="D2432" s="489"/>
      <c r="E2432" s="489"/>
      <c r="F2432" s="489"/>
      <c r="G2432" s="233" t="s">
        <v>44</v>
      </c>
      <c r="H2432" s="515" t="s">
        <v>1837</v>
      </c>
      <c r="I2432" s="515"/>
      <c r="J2432" s="515" t="s">
        <v>1881</v>
      </c>
      <c r="K2432" s="515"/>
      <c r="L2432" s="169" t="s">
        <v>1882</v>
      </c>
    </row>
    <row r="2433" spans="1:12" ht="15" customHeight="1" x14ac:dyDescent="0.25">
      <c r="A2433" s="170" t="s">
        <v>2261</v>
      </c>
      <c r="B2433" s="492" t="s">
        <v>2262</v>
      </c>
      <c r="C2433" s="492"/>
      <c r="D2433" s="492"/>
      <c r="E2433" s="492"/>
      <c r="F2433" s="492"/>
      <c r="G2433" s="127" t="s">
        <v>1817</v>
      </c>
      <c r="H2433" s="524">
        <v>16</v>
      </c>
      <c r="I2433" s="524"/>
      <c r="J2433" s="525">
        <v>1.24</v>
      </c>
      <c r="K2433" s="525"/>
      <c r="L2433" s="171">
        <f t="shared" ref="L2433:L2438" si="16">TRUNC(TRUNC(H2433,8)*J2433,2)</f>
        <v>19.84</v>
      </c>
    </row>
    <row r="2434" spans="1:12" ht="15" customHeight="1" x14ac:dyDescent="0.25">
      <c r="A2434" s="170" t="s">
        <v>2170</v>
      </c>
      <c r="B2434" s="492" t="s">
        <v>2171</v>
      </c>
      <c r="C2434" s="492"/>
      <c r="D2434" s="492"/>
      <c r="E2434" s="492"/>
      <c r="F2434" s="492"/>
      <c r="G2434" s="127" t="s">
        <v>85</v>
      </c>
      <c r="H2434" s="524">
        <v>2.5000000000000001E-3</v>
      </c>
      <c r="I2434" s="524"/>
      <c r="J2434" s="525">
        <v>152</v>
      </c>
      <c r="K2434" s="525"/>
      <c r="L2434" s="171">
        <f t="shared" si="16"/>
        <v>0.38</v>
      </c>
    </row>
    <row r="2435" spans="1:12" ht="15" customHeight="1" x14ac:dyDescent="0.25">
      <c r="A2435" s="170" t="s">
        <v>2263</v>
      </c>
      <c r="B2435" s="492" t="s">
        <v>2264</v>
      </c>
      <c r="C2435" s="492"/>
      <c r="D2435" s="492"/>
      <c r="E2435" s="492"/>
      <c r="F2435" s="492"/>
      <c r="G2435" s="127" t="s">
        <v>1817</v>
      </c>
      <c r="H2435" s="524">
        <v>11.2</v>
      </c>
      <c r="I2435" s="524"/>
      <c r="J2435" s="525">
        <v>0.56999999999999995</v>
      </c>
      <c r="K2435" s="525"/>
      <c r="L2435" s="171">
        <f t="shared" si="16"/>
        <v>6.38</v>
      </c>
    </row>
    <row r="2436" spans="1:12" ht="15" customHeight="1" x14ac:dyDescent="0.25">
      <c r="A2436" s="170" t="s">
        <v>2265</v>
      </c>
      <c r="B2436" s="492" t="s">
        <v>2266</v>
      </c>
      <c r="C2436" s="492"/>
      <c r="D2436" s="492"/>
      <c r="E2436" s="492"/>
      <c r="F2436" s="492"/>
      <c r="G2436" s="127" t="s">
        <v>188</v>
      </c>
      <c r="H2436" s="524">
        <v>2</v>
      </c>
      <c r="I2436" s="524"/>
      <c r="J2436" s="525">
        <v>1.78</v>
      </c>
      <c r="K2436" s="525"/>
      <c r="L2436" s="171">
        <f t="shared" si="16"/>
        <v>3.56</v>
      </c>
    </row>
    <row r="2437" spans="1:12" ht="15" customHeight="1" x14ac:dyDescent="0.25">
      <c r="A2437" s="170" t="s">
        <v>2267</v>
      </c>
      <c r="B2437" s="492" t="s">
        <v>2268</v>
      </c>
      <c r="C2437" s="492"/>
      <c r="D2437" s="492"/>
      <c r="E2437" s="492"/>
      <c r="F2437" s="492"/>
      <c r="G2437" s="127" t="s">
        <v>1024</v>
      </c>
      <c r="H2437" s="524">
        <v>1.1499999999999999</v>
      </c>
      <c r="I2437" s="524"/>
      <c r="J2437" s="525">
        <v>3.62</v>
      </c>
      <c r="K2437" s="525"/>
      <c r="L2437" s="171">
        <f t="shared" si="16"/>
        <v>4.16</v>
      </c>
    </row>
    <row r="2438" spans="1:12" ht="15" customHeight="1" x14ac:dyDescent="0.25">
      <c r="A2438" s="170" t="s">
        <v>2269</v>
      </c>
      <c r="B2438" s="492" t="s">
        <v>2270</v>
      </c>
      <c r="C2438" s="492"/>
      <c r="D2438" s="492"/>
      <c r="E2438" s="492"/>
      <c r="F2438" s="492"/>
      <c r="G2438" s="127" t="s">
        <v>226</v>
      </c>
      <c r="H2438" s="524">
        <v>0.18</v>
      </c>
      <c r="I2438" s="524"/>
      <c r="J2438" s="525">
        <v>37.06</v>
      </c>
      <c r="K2438" s="525"/>
      <c r="L2438" s="171">
        <f t="shared" si="16"/>
        <v>6.67</v>
      </c>
    </row>
    <row r="2439" spans="1:12" ht="15" customHeight="1" x14ac:dyDescent="0.25">
      <c r="A2439" s="184"/>
      <c r="B2439" s="141"/>
      <c r="C2439" s="141"/>
      <c r="D2439" s="141"/>
      <c r="E2439" s="141"/>
      <c r="F2439" s="141"/>
      <c r="G2439" s="141"/>
      <c r="H2439" s="491" t="s">
        <v>1889</v>
      </c>
      <c r="I2439" s="491"/>
      <c r="J2439" s="491"/>
      <c r="K2439" s="491"/>
      <c r="L2439" s="375">
        <f>SUM(L2433:L2438)</f>
        <v>40.989999999999995</v>
      </c>
    </row>
    <row r="2440" spans="1:12" ht="20.100000000000001" customHeight="1" x14ac:dyDescent="0.25">
      <c r="A2440" s="488" t="s">
        <v>2009</v>
      </c>
      <c r="B2440" s="489"/>
      <c r="C2440" s="489"/>
      <c r="D2440" s="489"/>
      <c r="E2440" s="489"/>
      <c r="F2440" s="489"/>
      <c r="G2440" s="233" t="s">
        <v>44</v>
      </c>
      <c r="H2440" s="515" t="s">
        <v>1837</v>
      </c>
      <c r="I2440" s="515"/>
      <c r="J2440" s="515" t="s">
        <v>1814</v>
      </c>
      <c r="K2440" s="515"/>
      <c r="L2440" s="169" t="s">
        <v>1882</v>
      </c>
    </row>
    <row r="2441" spans="1:12" ht="15.95" customHeight="1" x14ac:dyDescent="0.25">
      <c r="A2441" s="170" t="s">
        <v>2273</v>
      </c>
      <c r="B2441" s="492" t="s">
        <v>2274</v>
      </c>
      <c r="C2441" s="492"/>
      <c r="D2441" s="492"/>
      <c r="E2441" s="492"/>
      <c r="F2441" s="492"/>
      <c r="G2441" s="127"/>
      <c r="H2441" s="526">
        <v>1</v>
      </c>
      <c r="I2441" s="526"/>
      <c r="J2441" s="525">
        <v>54.03</v>
      </c>
      <c r="K2441" s="525"/>
      <c r="L2441" s="171">
        <f>TRUNC(TRUNC(H2441,8)*J2441,2)</f>
        <v>54.03</v>
      </c>
    </row>
    <row r="2442" spans="1:12" ht="15" customHeight="1" x14ac:dyDescent="0.25">
      <c r="A2442" s="184"/>
      <c r="B2442" s="141"/>
      <c r="C2442" s="141"/>
      <c r="D2442" s="141"/>
      <c r="E2442" s="141"/>
      <c r="F2442" s="141"/>
      <c r="G2442" s="141"/>
      <c r="H2442" s="491" t="s">
        <v>2014</v>
      </c>
      <c r="I2442" s="491"/>
      <c r="J2442" s="491"/>
      <c r="K2442" s="491"/>
      <c r="L2442" s="375">
        <f>SUM(L2441:L2441)</f>
        <v>54.03</v>
      </c>
    </row>
    <row r="2443" spans="1:12" ht="15" customHeight="1" x14ac:dyDescent="0.25">
      <c r="A2443" s="182"/>
      <c r="B2443" s="183"/>
      <c r="C2443" s="183"/>
      <c r="D2443" s="183"/>
      <c r="E2443" s="183"/>
      <c r="F2443" s="183"/>
      <c r="G2443" s="183"/>
      <c r="H2443" s="482" t="s">
        <v>1848</v>
      </c>
      <c r="I2443" s="482"/>
      <c r="J2443" s="482"/>
      <c r="K2443" s="482"/>
      <c r="L2443" s="371">
        <f>SUM(L2431,L2439,L2442)</f>
        <v>146.87</v>
      </c>
    </row>
    <row r="2444" spans="1:12" ht="15" customHeight="1" x14ac:dyDescent="0.25">
      <c r="A2444" s="182"/>
      <c r="B2444" s="183"/>
      <c r="C2444" s="183"/>
      <c r="D2444" s="183"/>
      <c r="E2444" s="183"/>
      <c r="F2444" s="183"/>
      <c r="G2444" s="183"/>
      <c r="H2444" s="482" t="s">
        <v>1834</v>
      </c>
      <c r="I2444" s="482"/>
      <c r="J2444" s="482"/>
      <c r="K2444" s="482"/>
      <c r="L2444" s="369">
        <f>ROUND(SUM(L2443),2)</f>
        <v>146.87</v>
      </c>
    </row>
    <row r="2445" spans="1:12" ht="9.9499999999999993" customHeight="1" x14ac:dyDescent="0.25">
      <c r="A2445" s="182"/>
      <c r="B2445" s="183"/>
      <c r="C2445" s="183"/>
      <c r="D2445" s="183"/>
      <c r="E2445" s="183"/>
      <c r="F2445" s="183"/>
      <c r="G2445" s="183"/>
      <c r="H2445" s="485"/>
      <c r="I2445" s="485"/>
      <c r="J2445" s="485"/>
      <c r="K2445" s="485"/>
      <c r="L2445" s="512"/>
    </row>
    <row r="2446" spans="1:12" ht="20.100000000000001" customHeight="1" x14ac:dyDescent="0.25">
      <c r="A2446" s="486" t="s">
        <v>2989</v>
      </c>
      <c r="B2446" s="487"/>
      <c r="C2446" s="487"/>
      <c r="D2446" s="487"/>
      <c r="E2446" s="487"/>
      <c r="F2446" s="487"/>
      <c r="G2446" s="487"/>
      <c r="H2446" s="487"/>
      <c r="I2446" s="487"/>
      <c r="J2446" s="487"/>
      <c r="K2446" s="487"/>
      <c r="L2446" s="513"/>
    </row>
    <row r="2447" spans="1:12" ht="15" customHeight="1" x14ac:dyDescent="0.25">
      <c r="A2447" s="474" t="s">
        <v>1812</v>
      </c>
      <c r="B2447" s="475"/>
      <c r="C2447" s="475"/>
      <c r="D2447" s="476" t="s">
        <v>42</v>
      </c>
      <c r="E2447" s="476"/>
      <c r="F2447" s="476"/>
      <c r="G2447" s="230" t="s">
        <v>44</v>
      </c>
      <c r="H2447" s="476" t="s">
        <v>1813</v>
      </c>
      <c r="I2447" s="476"/>
      <c r="J2447" s="476" t="s">
        <v>1814</v>
      </c>
      <c r="K2447" s="476"/>
      <c r="L2447" s="366" t="s">
        <v>1802</v>
      </c>
    </row>
    <row r="2448" spans="1:12" ht="15" customHeight="1" x14ac:dyDescent="0.25">
      <c r="A2448" s="181" t="s">
        <v>2990</v>
      </c>
      <c r="B2448" s="509" t="s">
        <v>2991</v>
      </c>
      <c r="C2448" s="509"/>
      <c r="D2448" s="481" t="s">
        <v>82</v>
      </c>
      <c r="E2448" s="481"/>
      <c r="F2448" s="481"/>
      <c r="G2448" s="231" t="s">
        <v>1817</v>
      </c>
      <c r="H2448" s="510">
        <v>8.6199999999999992</v>
      </c>
      <c r="I2448" s="510"/>
      <c r="J2448" s="511">
        <v>1.34</v>
      </c>
      <c r="K2448" s="511"/>
      <c r="L2448" s="367">
        <f>TRUNC(TRUNC(H2448,8)*J2448,2)</f>
        <v>11.55</v>
      </c>
    </row>
    <row r="2449" spans="1:12" ht="29.1" customHeight="1" x14ac:dyDescent="0.25">
      <c r="A2449" s="181" t="s">
        <v>2992</v>
      </c>
      <c r="B2449" s="509" t="s">
        <v>2993</v>
      </c>
      <c r="C2449" s="509"/>
      <c r="D2449" s="481" t="s">
        <v>82</v>
      </c>
      <c r="E2449" s="481"/>
      <c r="F2449" s="481"/>
      <c r="G2449" s="231" t="s">
        <v>226</v>
      </c>
      <c r="H2449" s="510">
        <v>6.4375</v>
      </c>
      <c r="I2449" s="510"/>
      <c r="J2449" s="511">
        <v>17.100000000000001</v>
      </c>
      <c r="K2449" s="511"/>
      <c r="L2449" s="367">
        <f>TRUNC(TRUNC(H2449,8)*J2449,2)</f>
        <v>110.08</v>
      </c>
    </row>
    <row r="2450" spans="1:12" ht="15" customHeight="1" x14ac:dyDescent="0.25">
      <c r="A2450" s="181" t="s">
        <v>2994</v>
      </c>
      <c r="B2450" s="509" t="s">
        <v>2995</v>
      </c>
      <c r="C2450" s="509"/>
      <c r="D2450" s="481" t="s">
        <v>82</v>
      </c>
      <c r="E2450" s="481"/>
      <c r="F2450" s="481"/>
      <c r="G2450" s="231" t="s">
        <v>1817</v>
      </c>
      <c r="H2450" s="510">
        <v>0.24</v>
      </c>
      <c r="I2450" s="510"/>
      <c r="J2450" s="511">
        <v>4.22</v>
      </c>
      <c r="K2450" s="511"/>
      <c r="L2450" s="367">
        <f>TRUNC(TRUNC(H2450,8)*J2450,2)</f>
        <v>1.01</v>
      </c>
    </row>
    <row r="2451" spans="1:12" ht="15" customHeight="1" x14ac:dyDescent="0.25">
      <c r="A2451" s="182"/>
      <c r="B2451" s="183"/>
      <c r="C2451" s="183"/>
      <c r="D2451" s="183"/>
      <c r="E2451" s="183"/>
      <c r="F2451" s="183"/>
      <c r="G2451" s="183"/>
      <c r="H2451" s="477" t="s">
        <v>1826</v>
      </c>
      <c r="I2451" s="477"/>
      <c r="J2451" s="477"/>
      <c r="K2451" s="477"/>
      <c r="L2451" s="368">
        <f>SUM(L2448:L2450)</f>
        <v>122.64</v>
      </c>
    </row>
    <row r="2452" spans="1:12" ht="15" customHeight="1" x14ac:dyDescent="0.25">
      <c r="A2452" s="474" t="s">
        <v>2190</v>
      </c>
      <c r="B2452" s="475"/>
      <c r="C2452" s="475"/>
      <c r="D2452" s="476" t="s">
        <v>42</v>
      </c>
      <c r="E2452" s="476"/>
      <c r="F2452" s="476"/>
      <c r="G2452" s="230" t="s">
        <v>44</v>
      </c>
      <c r="H2452" s="476" t="s">
        <v>1813</v>
      </c>
      <c r="I2452" s="476"/>
      <c r="J2452" s="476" t="s">
        <v>1814</v>
      </c>
      <c r="K2452" s="476"/>
      <c r="L2452" s="366" t="s">
        <v>1802</v>
      </c>
    </row>
    <row r="2453" spans="1:12" ht="15" customHeight="1" x14ac:dyDescent="0.25">
      <c r="A2453" s="181" t="s">
        <v>2549</v>
      </c>
      <c r="B2453" s="509" t="s">
        <v>2550</v>
      </c>
      <c r="C2453" s="509"/>
      <c r="D2453" s="481" t="s">
        <v>82</v>
      </c>
      <c r="E2453" s="481"/>
      <c r="F2453" s="481"/>
      <c r="G2453" s="231" t="s">
        <v>1024</v>
      </c>
      <c r="H2453" s="510">
        <v>0.63900000000000001</v>
      </c>
      <c r="I2453" s="510"/>
      <c r="J2453" s="511">
        <v>36.29</v>
      </c>
      <c r="K2453" s="511"/>
      <c r="L2453" s="367">
        <f>TRUNC(TRUNC(H2453,8)*J2453,2)</f>
        <v>23.18</v>
      </c>
    </row>
    <row r="2454" spans="1:12" ht="15" customHeight="1" x14ac:dyDescent="0.25">
      <c r="A2454" s="181" t="s">
        <v>2375</v>
      </c>
      <c r="B2454" s="509" t="s">
        <v>2376</v>
      </c>
      <c r="C2454" s="509"/>
      <c r="D2454" s="481" t="s">
        <v>82</v>
      </c>
      <c r="E2454" s="481"/>
      <c r="F2454" s="481"/>
      <c r="G2454" s="231" t="s">
        <v>1024</v>
      </c>
      <c r="H2454" s="510">
        <v>1.2789999999999999</v>
      </c>
      <c r="I2454" s="510"/>
      <c r="J2454" s="511">
        <v>28.97</v>
      </c>
      <c r="K2454" s="511"/>
      <c r="L2454" s="367">
        <f>TRUNC(TRUNC(H2454,8)*J2454,2)</f>
        <v>37.049999999999997</v>
      </c>
    </row>
    <row r="2455" spans="1:12" ht="18" customHeight="1" x14ac:dyDescent="0.25">
      <c r="A2455" s="182"/>
      <c r="B2455" s="183"/>
      <c r="C2455" s="183"/>
      <c r="D2455" s="183"/>
      <c r="E2455" s="183"/>
      <c r="F2455" s="183"/>
      <c r="G2455" s="183"/>
      <c r="H2455" s="477" t="s">
        <v>2195</v>
      </c>
      <c r="I2455" s="477"/>
      <c r="J2455" s="477"/>
      <c r="K2455" s="477"/>
      <c r="L2455" s="368">
        <f>SUM(L2453:L2454)</f>
        <v>60.23</v>
      </c>
    </row>
    <row r="2456" spans="1:12" ht="15" customHeight="1" x14ac:dyDescent="0.25">
      <c r="A2456" s="182"/>
      <c r="B2456" s="183"/>
      <c r="C2456" s="183"/>
      <c r="D2456" s="183"/>
      <c r="E2456" s="183"/>
      <c r="F2456" s="183"/>
      <c r="G2456" s="183"/>
      <c r="H2456" s="482" t="s">
        <v>1834</v>
      </c>
      <c r="I2456" s="482"/>
      <c r="J2456" s="482"/>
      <c r="K2456" s="482"/>
      <c r="L2456" s="369">
        <f>ROUND(SUM(L2451,L2455),2)</f>
        <v>182.87</v>
      </c>
    </row>
    <row r="2457" spans="1:12" ht="9.9499999999999993" customHeight="1" x14ac:dyDescent="0.25">
      <c r="A2457" s="182"/>
      <c r="B2457" s="183"/>
      <c r="C2457" s="183"/>
      <c r="D2457" s="183"/>
      <c r="E2457" s="183"/>
      <c r="F2457" s="183"/>
      <c r="G2457" s="183"/>
      <c r="H2457" s="485"/>
      <c r="I2457" s="485"/>
      <c r="J2457" s="485"/>
      <c r="K2457" s="485"/>
      <c r="L2457" s="512"/>
    </row>
    <row r="2458" spans="1:12" ht="20.100000000000001" customHeight="1" x14ac:dyDescent="0.25">
      <c r="A2458" s="486" t="s">
        <v>3875</v>
      </c>
      <c r="B2458" s="487"/>
      <c r="C2458" s="487"/>
      <c r="D2458" s="487"/>
      <c r="E2458" s="487"/>
      <c r="F2458" s="487"/>
      <c r="G2458" s="487"/>
      <c r="H2458" s="487"/>
      <c r="I2458" s="487"/>
      <c r="J2458" s="487"/>
      <c r="K2458" s="487"/>
      <c r="L2458" s="513"/>
    </row>
    <row r="2459" spans="1:12" ht="15" customHeight="1" x14ac:dyDescent="0.25">
      <c r="A2459" s="474" t="s">
        <v>1812</v>
      </c>
      <c r="B2459" s="475"/>
      <c r="C2459" s="475"/>
      <c r="D2459" s="476" t="s">
        <v>42</v>
      </c>
      <c r="E2459" s="476"/>
      <c r="F2459" s="476"/>
      <c r="G2459" s="230" t="s">
        <v>44</v>
      </c>
      <c r="H2459" s="476" t="s">
        <v>1813</v>
      </c>
      <c r="I2459" s="476"/>
      <c r="J2459" s="476" t="s">
        <v>1814</v>
      </c>
      <c r="K2459" s="476"/>
      <c r="L2459" s="366" t="s">
        <v>1802</v>
      </c>
    </row>
    <row r="2460" spans="1:12" ht="21" customHeight="1" x14ac:dyDescent="0.25">
      <c r="A2460" s="181" t="s">
        <v>3876</v>
      </c>
      <c r="B2460" s="509" t="s">
        <v>3877</v>
      </c>
      <c r="C2460" s="509"/>
      <c r="D2460" s="481" t="s">
        <v>82</v>
      </c>
      <c r="E2460" s="481"/>
      <c r="F2460" s="481"/>
      <c r="G2460" s="231" t="s">
        <v>85</v>
      </c>
      <c r="H2460" s="510">
        <v>5.0000000000000001E-3</v>
      </c>
      <c r="I2460" s="510"/>
      <c r="J2460" s="511">
        <v>152</v>
      </c>
      <c r="K2460" s="511"/>
      <c r="L2460" s="367">
        <f>TRUNC(TRUNC(H2460,8)*J2460,2)</f>
        <v>0.76</v>
      </c>
    </row>
    <row r="2461" spans="1:12" ht="15" customHeight="1" x14ac:dyDescent="0.25">
      <c r="A2461" s="181" t="s">
        <v>3870</v>
      </c>
      <c r="B2461" s="509" t="s">
        <v>3871</v>
      </c>
      <c r="C2461" s="509"/>
      <c r="D2461" s="481" t="s">
        <v>82</v>
      </c>
      <c r="E2461" s="481"/>
      <c r="F2461" s="481"/>
      <c r="G2461" s="231" t="s">
        <v>1817</v>
      </c>
      <c r="H2461" s="510">
        <v>4.4079000000000002E-3</v>
      </c>
      <c r="I2461" s="510"/>
      <c r="J2461" s="511">
        <v>21.14</v>
      </c>
      <c r="K2461" s="511"/>
      <c r="L2461" s="367">
        <f>TRUNC(TRUNC(H2461,8)*J2461,2)</f>
        <v>0.09</v>
      </c>
    </row>
    <row r="2462" spans="1:12" ht="21" customHeight="1" x14ac:dyDescent="0.25">
      <c r="A2462" s="181" t="s">
        <v>3878</v>
      </c>
      <c r="B2462" s="509" t="s">
        <v>3879</v>
      </c>
      <c r="C2462" s="509"/>
      <c r="D2462" s="481" t="s">
        <v>82</v>
      </c>
      <c r="E2462" s="481"/>
      <c r="F2462" s="481"/>
      <c r="G2462" s="231" t="s">
        <v>188</v>
      </c>
      <c r="H2462" s="510">
        <v>0.73993989999999998</v>
      </c>
      <c r="I2462" s="510"/>
      <c r="J2462" s="511">
        <v>4.07</v>
      </c>
      <c r="K2462" s="511"/>
      <c r="L2462" s="367">
        <f>TRUNC(TRUNC(H2462,8)*J2462,2)</f>
        <v>3.01</v>
      </c>
    </row>
    <row r="2463" spans="1:12" ht="15" customHeight="1" x14ac:dyDescent="0.25">
      <c r="A2463" s="182"/>
      <c r="B2463" s="183"/>
      <c r="C2463" s="183"/>
      <c r="D2463" s="183"/>
      <c r="E2463" s="183"/>
      <c r="F2463" s="183"/>
      <c r="G2463" s="183"/>
      <c r="H2463" s="477" t="s">
        <v>1826</v>
      </c>
      <c r="I2463" s="477"/>
      <c r="J2463" s="477"/>
      <c r="K2463" s="477"/>
      <c r="L2463" s="368">
        <f>SUM(L2460:L2462)</f>
        <v>3.86</v>
      </c>
    </row>
    <row r="2464" spans="1:12" ht="15" customHeight="1" x14ac:dyDescent="0.25">
      <c r="A2464" s="474" t="s">
        <v>2190</v>
      </c>
      <c r="B2464" s="475"/>
      <c r="C2464" s="475"/>
      <c r="D2464" s="476" t="s">
        <v>42</v>
      </c>
      <c r="E2464" s="476"/>
      <c r="F2464" s="476"/>
      <c r="G2464" s="230" t="s">
        <v>44</v>
      </c>
      <c r="H2464" s="476" t="s">
        <v>1813</v>
      </c>
      <c r="I2464" s="476"/>
      <c r="J2464" s="476" t="s">
        <v>1814</v>
      </c>
      <c r="K2464" s="476"/>
      <c r="L2464" s="366" t="s">
        <v>1802</v>
      </c>
    </row>
    <row r="2465" spans="1:12" ht="15" customHeight="1" x14ac:dyDescent="0.25">
      <c r="A2465" s="181" t="s">
        <v>2549</v>
      </c>
      <c r="B2465" s="509" t="s">
        <v>2550</v>
      </c>
      <c r="C2465" s="509"/>
      <c r="D2465" s="481" t="s">
        <v>82</v>
      </c>
      <c r="E2465" s="481"/>
      <c r="F2465" s="481"/>
      <c r="G2465" s="231" t="s">
        <v>1024</v>
      </c>
      <c r="H2465" s="510">
        <v>0.63</v>
      </c>
      <c r="I2465" s="510"/>
      <c r="J2465" s="511">
        <v>36.29</v>
      </c>
      <c r="K2465" s="511"/>
      <c r="L2465" s="367">
        <f>TRUNC(TRUNC(H2465,8)*J2465,2)</f>
        <v>22.86</v>
      </c>
    </row>
    <row r="2466" spans="1:12" ht="15" customHeight="1" x14ac:dyDescent="0.25">
      <c r="A2466" s="181" t="s">
        <v>2375</v>
      </c>
      <c r="B2466" s="509" t="s">
        <v>2376</v>
      </c>
      <c r="C2466" s="509"/>
      <c r="D2466" s="481" t="s">
        <v>82</v>
      </c>
      <c r="E2466" s="481"/>
      <c r="F2466" s="481"/>
      <c r="G2466" s="231" t="s">
        <v>1024</v>
      </c>
      <c r="H2466" s="510">
        <v>1.2609999999999999</v>
      </c>
      <c r="I2466" s="510"/>
      <c r="J2466" s="511">
        <v>28.97</v>
      </c>
      <c r="K2466" s="511"/>
      <c r="L2466" s="367">
        <f>TRUNC(TRUNC(H2466,8)*J2466,2)</f>
        <v>36.53</v>
      </c>
    </row>
    <row r="2467" spans="1:12" ht="18" customHeight="1" x14ac:dyDescent="0.25">
      <c r="A2467" s="182"/>
      <c r="B2467" s="183"/>
      <c r="C2467" s="183"/>
      <c r="D2467" s="183"/>
      <c r="E2467" s="183"/>
      <c r="F2467" s="183"/>
      <c r="G2467" s="183"/>
      <c r="H2467" s="477" t="s">
        <v>2195</v>
      </c>
      <c r="I2467" s="477"/>
      <c r="J2467" s="477"/>
      <c r="K2467" s="477"/>
      <c r="L2467" s="368">
        <f>SUM(L2465:L2466)</f>
        <v>59.39</v>
      </c>
    </row>
    <row r="2468" spans="1:12" ht="15" customHeight="1" x14ac:dyDescent="0.25">
      <c r="A2468" s="474" t="s">
        <v>1912</v>
      </c>
      <c r="B2468" s="475"/>
      <c r="C2468" s="475"/>
      <c r="D2468" s="476" t="s">
        <v>42</v>
      </c>
      <c r="E2468" s="476"/>
      <c r="F2468" s="476"/>
      <c r="G2468" s="230" t="s">
        <v>44</v>
      </c>
      <c r="H2468" s="476" t="s">
        <v>1813</v>
      </c>
      <c r="I2468" s="476"/>
      <c r="J2468" s="476" t="s">
        <v>1814</v>
      </c>
      <c r="K2468" s="476"/>
      <c r="L2468" s="366" t="s">
        <v>1802</v>
      </c>
    </row>
    <row r="2469" spans="1:12" ht="29.1" customHeight="1" x14ac:dyDescent="0.25">
      <c r="A2469" s="181" t="s">
        <v>3880</v>
      </c>
      <c r="B2469" s="509" t="s">
        <v>3881</v>
      </c>
      <c r="C2469" s="509"/>
      <c r="D2469" s="481" t="s">
        <v>82</v>
      </c>
      <c r="E2469" s="481"/>
      <c r="F2469" s="481"/>
      <c r="G2469" s="231" t="s">
        <v>85</v>
      </c>
      <c r="H2469" s="510">
        <v>0.1231527</v>
      </c>
      <c r="I2469" s="510"/>
      <c r="J2469" s="511">
        <v>529.25</v>
      </c>
      <c r="K2469" s="511"/>
      <c r="L2469" s="367">
        <f>TRUNC(TRUNC(H2469,8)*J2469,2)</f>
        <v>65.17</v>
      </c>
    </row>
    <row r="2470" spans="1:12" ht="21" customHeight="1" x14ac:dyDescent="0.25">
      <c r="A2470" s="181" t="s">
        <v>711</v>
      </c>
      <c r="B2470" s="509" t="s">
        <v>712</v>
      </c>
      <c r="C2470" s="509"/>
      <c r="D2470" s="481" t="s">
        <v>82</v>
      </c>
      <c r="E2470" s="481"/>
      <c r="F2470" s="481"/>
      <c r="G2470" s="231" t="s">
        <v>122</v>
      </c>
      <c r="H2470" s="510">
        <v>5.7657699999999999E-2</v>
      </c>
      <c r="I2470" s="510"/>
      <c r="J2470" s="511">
        <v>182.87</v>
      </c>
      <c r="K2470" s="511"/>
      <c r="L2470" s="367">
        <f>TRUNC(TRUNC(H2470,8)*J2470,2)</f>
        <v>10.54</v>
      </c>
    </row>
    <row r="2471" spans="1:12" ht="15" customHeight="1" x14ac:dyDescent="0.25">
      <c r="A2471" s="182"/>
      <c r="B2471" s="183"/>
      <c r="C2471" s="183"/>
      <c r="D2471" s="183"/>
      <c r="E2471" s="183"/>
      <c r="F2471" s="183"/>
      <c r="G2471" s="183"/>
      <c r="H2471" s="477" t="s">
        <v>1915</v>
      </c>
      <c r="I2471" s="477"/>
      <c r="J2471" s="477"/>
      <c r="K2471" s="477"/>
      <c r="L2471" s="368">
        <f>SUM(L2469:L2470)</f>
        <v>75.710000000000008</v>
      </c>
    </row>
    <row r="2472" spans="1:12" ht="15" customHeight="1" x14ac:dyDescent="0.25">
      <c r="A2472" s="182"/>
      <c r="B2472" s="183"/>
      <c r="C2472" s="183"/>
      <c r="D2472" s="183"/>
      <c r="E2472" s="183"/>
      <c r="F2472" s="183"/>
      <c r="G2472" s="183"/>
      <c r="H2472" s="482" t="s">
        <v>1834</v>
      </c>
      <c r="I2472" s="482"/>
      <c r="J2472" s="482"/>
      <c r="K2472" s="482"/>
      <c r="L2472" s="369">
        <f>ROUND(SUM(L2463,L2467,L2471),2)</f>
        <v>138.96</v>
      </c>
    </row>
    <row r="2473" spans="1:12" ht="9.9499999999999993" customHeight="1" x14ac:dyDescent="0.25">
      <c r="A2473" s="182"/>
      <c r="B2473" s="183"/>
      <c r="C2473" s="183"/>
      <c r="D2473" s="183"/>
      <c r="E2473" s="183"/>
      <c r="F2473" s="183"/>
      <c r="G2473" s="183"/>
      <c r="H2473" s="485"/>
      <c r="I2473" s="485"/>
      <c r="J2473" s="485"/>
      <c r="K2473" s="485"/>
      <c r="L2473" s="512"/>
    </row>
    <row r="2474" spans="1:12" ht="27" customHeight="1" x14ac:dyDescent="0.25">
      <c r="A2474" s="486" t="s">
        <v>3882</v>
      </c>
      <c r="B2474" s="487"/>
      <c r="C2474" s="487"/>
      <c r="D2474" s="487"/>
      <c r="E2474" s="487"/>
      <c r="F2474" s="487"/>
      <c r="G2474" s="487"/>
      <c r="H2474" s="487"/>
      <c r="I2474" s="487"/>
      <c r="J2474" s="487"/>
      <c r="K2474" s="487"/>
      <c r="L2474" s="513"/>
    </row>
    <row r="2475" spans="1:12" ht="20.100000000000001" customHeight="1" x14ac:dyDescent="0.25">
      <c r="A2475" s="488" t="s">
        <v>1836</v>
      </c>
      <c r="B2475" s="489"/>
      <c r="C2475" s="489"/>
      <c r="D2475" s="489"/>
      <c r="E2475" s="489"/>
      <c r="F2475" s="489"/>
      <c r="G2475" s="233" t="s">
        <v>44</v>
      </c>
      <c r="H2475" s="515" t="s">
        <v>1837</v>
      </c>
      <c r="I2475" s="515"/>
      <c r="J2475" s="515" t="s">
        <v>1838</v>
      </c>
      <c r="K2475" s="515"/>
      <c r="L2475" s="169" t="s">
        <v>1839</v>
      </c>
    </row>
    <row r="2476" spans="1:12" ht="15" customHeight="1" x14ac:dyDescent="0.25">
      <c r="A2476" s="170" t="s">
        <v>3520</v>
      </c>
      <c r="B2476" s="490" t="s">
        <v>3521</v>
      </c>
      <c r="C2476" s="490"/>
      <c r="D2476" s="490"/>
      <c r="E2476" s="490"/>
      <c r="F2476" s="490"/>
      <c r="G2476" s="127" t="s">
        <v>1024</v>
      </c>
      <c r="H2476" s="524">
        <v>0.20150000000000001</v>
      </c>
      <c r="I2476" s="524"/>
      <c r="J2476" s="517">
        <v>26.03</v>
      </c>
      <c r="K2476" s="517"/>
      <c r="L2476" s="370">
        <f>TRUNC(TRUNC(H2476,8)*J2476,2)</f>
        <v>5.24</v>
      </c>
    </row>
    <row r="2477" spans="1:12" ht="15" customHeight="1" x14ac:dyDescent="0.25">
      <c r="A2477" s="170" t="s">
        <v>1830</v>
      </c>
      <c r="B2477" s="490" t="s">
        <v>1831</v>
      </c>
      <c r="C2477" s="490"/>
      <c r="D2477" s="490"/>
      <c r="E2477" s="490"/>
      <c r="F2477" s="490"/>
      <c r="G2477" s="127" t="s">
        <v>1024</v>
      </c>
      <c r="H2477" s="524">
        <v>0.20150000000000001</v>
      </c>
      <c r="I2477" s="524"/>
      <c r="J2477" s="517">
        <v>19.68</v>
      </c>
      <c r="K2477" s="517"/>
      <c r="L2477" s="370">
        <f>TRUNC(TRUNC(H2477,8)*J2477,2)</f>
        <v>3.96</v>
      </c>
    </row>
    <row r="2478" spans="1:12" ht="15" customHeight="1" x14ac:dyDescent="0.25">
      <c r="A2478" s="184"/>
      <c r="B2478" s="141"/>
      <c r="C2478" s="141"/>
      <c r="D2478" s="141"/>
      <c r="E2478" s="141"/>
      <c r="F2478" s="141"/>
      <c r="G2478" s="141"/>
      <c r="H2478" s="491" t="s">
        <v>1844</v>
      </c>
      <c r="I2478" s="491"/>
      <c r="J2478" s="491"/>
      <c r="K2478" s="491"/>
      <c r="L2478" s="369">
        <f>SUM(L2476:L2477)</f>
        <v>9.1999999999999993</v>
      </c>
    </row>
    <row r="2479" spans="1:12" ht="15" customHeight="1" x14ac:dyDescent="0.25">
      <c r="A2479" s="182"/>
      <c r="B2479" s="183"/>
      <c r="C2479" s="183"/>
      <c r="D2479" s="183"/>
      <c r="E2479" s="183"/>
      <c r="F2479" s="183"/>
      <c r="G2479" s="183"/>
      <c r="H2479" s="482" t="s">
        <v>1845</v>
      </c>
      <c r="I2479" s="482"/>
      <c r="J2479" s="482"/>
      <c r="K2479" s="482"/>
      <c r="L2479" s="371">
        <f>SUM(L2478)</f>
        <v>9.1999999999999993</v>
      </c>
    </row>
    <row r="2480" spans="1:12" ht="15" customHeight="1" x14ac:dyDescent="0.25">
      <c r="A2480" s="182"/>
      <c r="B2480" s="183"/>
      <c r="C2480" s="183"/>
      <c r="D2480" s="183"/>
      <c r="E2480" s="183"/>
      <c r="F2480" s="183"/>
      <c r="G2480" s="183"/>
      <c r="H2480" s="482" t="s">
        <v>1846</v>
      </c>
      <c r="I2480" s="482"/>
      <c r="J2480" s="482"/>
      <c r="K2480" s="482"/>
      <c r="L2480" s="374">
        <v>1</v>
      </c>
    </row>
    <row r="2481" spans="1:12" ht="15" customHeight="1" x14ac:dyDescent="0.25">
      <c r="A2481" s="182"/>
      <c r="B2481" s="183"/>
      <c r="C2481" s="183"/>
      <c r="D2481" s="183"/>
      <c r="E2481" s="183"/>
      <c r="F2481" s="183"/>
      <c r="G2481" s="183"/>
      <c r="H2481" s="482" t="s">
        <v>1847</v>
      </c>
      <c r="I2481" s="482"/>
      <c r="J2481" s="482"/>
      <c r="K2481" s="482"/>
      <c r="L2481" s="371">
        <f>TRUNC(L2479/L2480,4)</f>
        <v>9.1999999999999993</v>
      </c>
    </row>
    <row r="2482" spans="1:12" ht="20.100000000000001" customHeight="1" x14ac:dyDescent="0.25">
      <c r="A2482" s="488" t="s">
        <v>1880</v>
      </c>
      <c r="B2482" s="489"/>
      <c r="C2482" s="489"/>
      <c r="D2482" s="489"/>
      <c r="E2482" s="489"/>
      <c r="F2482" s="489"/>
      <c r="G2482" s="233" t="s">
        <v>44</v>
      </c>
      <c r="H2482" s="515" t="s">
        <v>1837</v>
      </c>
      <c r="I2482" s="515"/>
      <c r="J2482" s="515" t="s">
        <v>1881</v>
      </c>
      <c r="K2482" s="515"/>
      <c r="L2482" s="169" t="s">
        <v>1882</v>
      </c>
    </row>
    <row r="2483" spans="1:12" ht="15" customHeight="1" x14ac:dyDescent="0.25">
      <c r="A2483" s="170" t="s">
        <v>2170</v>
      </c>
      <c r="B2483" s="492" t="s">
        <v>2171</v>
      </c>
      <c r="C2483" s="492"/>
      <c r="D2483" s="492"/>
      <c r="E2483" s="492"/>
      <c r="F2483" s="492"/>
      <c r="G2483" s="127" t="s">
        <v>85</v>
      </c>
      <c r="H2483" s="524">
        <v>9.7999999999999997E-3</v>
      </c>
      <c r="I2483" s="524"/>
      <c r="J2483" s="525">
        <v>152</v>
      </c>
      <c r="K2483" s="525"/>
      <c r="L2483" s="171">
        <f>TRUNC(TRUNC(H2483,8)*J2483,2)</f>
        <v>1.48</v>
      </c>
    </row>
    <row r="2484" spans="1:12" ht="15" customHeight="1" x14ac:dyDescent="0.25">
      <c r="A2484" s="170" t="s">
        <v>3883</v>
      </c>
      <c r="B2484" s="492" t="s">
        <v>3884</v>
      </c>
      <c r="C2484" s="492"/>
      <c r="D2484" s="492"/>
      <c r="E2484" s="492"/>
      <c r="F2484" s="492"/>
      <c r="G2484" s="127" t="s">
        <v>226</v>
      </c>
      <c r="H2484" s="524">
        <v>48</v>
      </c>
      <c r="I2484" s="524"/>
      <c r="J2484" s="525">
        <v>1.41</v>
      </c>
      <c r="K2484" s="525"/>
      <c r="L2484" s="171">
        <f>TRUNC(TRUNC(H2484,8)*J2484,2)</f>
        <v>67.680000000000007</v>
      </c>
    </row>
    <row r="2485" spans="1:12" ht="15" customHeight="1" x14ac:dyDescent="0.25">
      <c r="A2485" s="170" t="s">
        <v>3524</v>
      </c>
      <c r="B2485" s="492" t="s">
        <v>3525</v>
      </c>
      <c r="C2485" s="492"/>
      <c r="D2485" s="492"/>
      <c r="E2485" s="492"/>
      <c r="F2485" s="492"/>
      <c r="G2485" s="127" t="s">
        <v>85</v>
      </c>
      <c r="H2485" s="524">
        <v>0.1</v>
      </c>
      <c r="I2485" s="524"/>
      <c r="J2485" s="525">
        <v>105.85</v>
      </c>
      <c r="K2485" s="525"/>
      <c r="L2485" s="171">
        <f>TRUNC(TRUNC(H2485,8)*J2485,2)</f>
        <v>10.58</v>
      </c>
    </row>
    <row r="2486" spans="1:12" ht="15" customHeight="1" x14ac:dyDescent="0.25">
      <c r="A2486" s="184"/>
      <c r="B2486" s="141"/>
      <c r="C2486" s="141"/>
      <c r="D2486" s="141"/>
      <c r="E2486" s="141"/>
      <c r="F2486" s="141"/>
      <c r="G2486" s="141"/>
      <c r="H2486" s="491" t="s">
        <v>1889</v>
      </c>
      <c r="I2486" s="491"/>
      <c r="J2486" s="491"/>
      <c r="K2486" s="491"/>
      <c r="L2486" s="375">
        <f>SUM(L2483:L2485)</f>
        <v>79.740000000000009</v>
      </c>
    </row>
    <row r="2487" spans="1:12" ht="20.100000000000001" customHeight="1" x14ac:dyDescent="0.25">
      <c r="A2487" s="488" t="s">
        <v>2009</v>
      </c>
      <c r="B2487" s="489"/>
      <c r="C2487" s="489"/>
      <c r="D2487" s="489"/>
      <c r="E2487" s="489"/>
      <c r="F2487" s="489"/>
      <c r="G2487" s="233" t="s">
        <v>44</v>
      </c>
      <c r="H2487" s="515" t="s">
        <v>1837</v>
      </c>
      <c r="I2487" s="515"/>
      <c r="J2487" s="515" t="s">
        <v>1814</v>
      </c>
      <c r="K2487" s="515"/>
      <c r="L2487" s="169" t="s">
        <v>1882</v>
      </c>
    </row>
    <row r="2488" spans="1:12" ht="15" customHeight="1" x14ac:dyDescent="0.25">
      <c r="A2488" s="170" t="s">
        <v>3526</v>
      </c>
      <c r="B2488" s="492" t="s">
        <v>3527</v>
      </c>
      <c r="C2488" s="492"/>
      <c r="D2488" s="492"/>
      <c r="E2488" s="492"/>
      <c r="F2488" s="492"/>
      <c r="G2488" s="127"/>
      <c r="H2488" s="526">
        <v>9.6699999999999994E-2</v>
      </c>
      <c r="I2488" s="526"/>
      <c r="J2488" s="525">
        <v>29.06</v>
      </c>
      <c r="K2488" s="525"/>
      <c r="L2488" s="171">
        <f>TRUNC(TRUNC(H2488,8)*J2488,2)</f>
        <v>2.81</v>
      </c>
    </row>
    <row r="2489" spans="1:12" ht="15.95" customHeight="1" x14ac:dyDescent="0.25">
      <c r="A2489" s="170" t="s">
        <v>3528</v>
      </c>
      <c r="B2489" s="492" t="s">
        <v>3529</v>
      </c>
      <c r="C2489" s="492"/>
      <c r="D2489" s="492"/>
      <c r="E2489" s="492"/>
      <c r="F2489" s="492"/>
      <c r="G2489" s="127"/>
      <c r="H2489" s="526">
        <v>4.1000000000000003E-3</v>
      </c>
      <c r="I2489" s="526"/>
      <c r="J2489" s="525">
        <v>36.520000000000003</v>
      </c>
      <c r="K2489" s="525"/>
      <c r="L2489" s="171">
        <f>TRUNC(TRUNC(H2489,8)*J2489,2)</f>
        <v>0.14000000000000001</v>
      </c>
    </row>
    <row r="2490" spans="1:12" ht="15.95" customHeight="1" x14ac:dyDescent="0.25">
      <c r="A2490" s="170" t="s">
        <v>3530</v>
      </c>
      <c r="B2490" s="492" t="s">
        <v>3531</v>
      </c>
      <c r="C2490" s="492"/>
      <c r="D2490" s="492"/>
      <c r="E2490" s="492"/>
      <c r="F2490" s="492"/>
      <c r="G2490" s="127"/>
      <c r="H2490" s="526">
        <v>9.7000000000000003E-2</v>
      </c>
      <c r="I2490" s="526"/>
      <c r="J2490" s="525">
        <v>0.44</v>
      </c>
      <c r="K2490" s="525"/>
      <c r="L2490" s="171">
        <f>TRUNC(TRUNC(H2490,8)*J2490,2)</f>
        <v>0.04</v>
      </c>
    </row>
    <row r="2491" spans="1:12" ht="15.95" customHeight="1" x14ac:dyDescent="0.25">
      <c r="A2491" s="170" t="s">
        <v>3532</v>
      </c>
      <c r="B2491" s="492" t="s">
        <v>3533</v>
      </c>
      <c r="C2491" s="492"/>
      <c r="D2491" s="492"/>
      <c r="E2491" s="492"/>
      <c r="F2491" s="492"/>
      <c r="G2491" s="127"/>
      <c r="H2491" s="526">
        <v>3.8E-3</v>
      </c>
      <c r="I2491" s="526"/>
      <c r="J2491" s="525">
        <v>10.24</v>
      </c>
      <c r="K2491" s="525"/>
      <c r="L2491" s="171">
        <f>TRUNC(TRUNC(H2491,8)*J2491,2)</f>
        <v>0.03</v>
      </c>
    </row>
    <row r="2492" spans="1:12" ht="15" customHeight="1" x14ac:dyDescent="0.25">
      <c r="A2492" s="184"/>
      <c r="B2492" s="141"/>
      <c r="C2492" s="141"/>
      <c r="D2492" s="141"/>
      <c r="E2492" s="141"/>
      <c r="F2492" s="141"/>
      <c r="G2492" s="141"/>
      <c r="H2492" s="491" t="s">
        <v>2014</v>
      </c>
      <c r="I2492" s="491"/>
      <c r="J2492" s="491"/>
      <c r="K2492" s="491"/>
      <c r="L2492" s="375">
        <f>SUM(L2488:L2491)</f>
        <v>3.02</v>
      </c>
    </row>
    <row r="2493" spans="1:12" ht="15" customHeight="1" x14ac:dyDescent="0.25">
      <c r="A2493" s="182"/>
      <c r="B2493" s="183"/>
      <c r="C2493" s="183"/>
      <c r="D2493" s="183"/>
      <c r="E2493" s="183"/>
      <c r="F2493" s="183"/>
      <c r="G2493" s="183"/>
      <c r="H2493" s="482" t="s">
        <v>1848</v>
      </c>
      <c r="I2493" s="482"/>
      <c r="J2493" s="482"/>
      <c r="K2493" s="482"/>
      <c r="L2493" s="371">
        <f>SUM(L2481,L2486,L2492)</f>
        <v>91.960000000000008</v>
      </c>
    </row>
    <row r="2494" spans="1:12" ht="15" customHeight="1" x14ac:dyDescent="0.25">
      <c r="A2494" s="182"/>
      <c r="B2494" s="183"/>
      <c r="C2494" s="183"/>
      <c r="D2494" s="183"/>
      <c r="E2494" s="183"/>
      <c r="F2494" s="183"/>
      <c r="G2494" s="183"/>
      <c r="H2494" s="482" t="s">
        <v>1834</v>
      </c>
      <c r="I2494" s="482"/>
      <c r="J2494" s="482"/>
      <c r="K2494" s="482"/>
      <c r="L2494" s="369">
        <f>ROUND(SUM(L2493),2)</f>
        <v>91.96</v>
      </c>
    </row>
    <row r="2495" spans="1:12" ht="9.9499999999999993" customHeight="1" x14ac:dyDescent="0.25">
      <c r="A2495" s="182"/>
      <c r="B2495" s="183"/>
      <c r="C2495" s="183"/>
      <c r="D2495" s="183"/>
      <c r="E2495" s="183"/>
      <c r="F2495" s="183"/>
      <c r="G2495" s="183"/>
      <c r="H2495" s="485"/>
      <c r="I2495" s="485"/>
      <c r="J2495" s="485"/>
      <c r="K2495" s="485"/>
      <c r="L2495" s="512"/>
    </row>
    <row r="2496" spans="1:12" ht="20.100000000000001" customHeight="1" x14ac:dyDescent="0.25">
      <c r="A2496" s="486" t="s">
        <v>3885</v>
      </c>
      <c r="B2496" s="487"/>
      <c r="C2496" s="487"/>
      <c r="D2496" s="487"/>
      <c r="E2496" s="487"/>
      <c r="F2496" s="487"/>
      <c r="G2496" s="487"/>
      <c r="H2496" s="487"/>
      <c r="I2496" s="487"/>
      <c r="J2496" s="487"/>
      <c r="K2496" s="487"/>
      <c r="L2496" s="513"/>
    </row>
    <row r="2497" spans="1:12" ht="20.100000000000001" customHeight="1" x14ac:dyDescent="0.25">
      <c r="A2497" s="488" t="s">
        <v>1836</v>
      </c>
      <c r="B2497" s="489"/>
      <c r="C2497" s="489"/>
      <c r="D2497" s="489"/>
      <c r="E2497" s="489"/>
      <c r="F2497" s="489"/>
      <c r="G2497" s="233" t="s">
        <v>44</v>
      </c>
      <c r="H2497" s="515" t="s">
        <v>1837</v>
      </c>
      <c r="I2497" s="515"/>
      <c r="J2497" s="515" t="s">
        <v>1838</v>
      </c>
      <c r="K2497" s="515"/>
      <c r="L2497" s="169" t="s">
        <v>1839</v>
      </c>
    </row>
    <row r="2498" spans="1:12" ht="15" customHeight="1" x14ac:dyDescent="0.25">
      <c r="A2498" s="170" t="s">
        <v>1840</v>
      </c>
      <c r="B2498" s="490" t="s">
        <v>1841</v>
      </c>
      <c r="C2498" s="490"/>
      <c r="D2498" s="490"/>
      <c r="E2498" s="490"/>
      <c r="F2498" s="490"/>
      <c r="G2498" s="127" t="s">
        <v>1024</v>
      </c>
      <c r="H2498" s="524">
        <v>0.19600000000000001</v>
      </c>
      <c r="I2498" s="524"/>
      <c r="J2498" s="517">
        <v>21.94</v>
      </c>
      <c r="K2498" s="517"/>
      <c r="L2498" s="370">
        <f>TRUNC(TRUNC(H2498,8)*J2498,2)</f>
        <v>4.3</v>
      </c>
    </row>
    <row r="2499" spans="1:12" ht="15" customHeight="1" x14ac:dyDescent="0.25">
      <c r="A2499" s="184"/>
      <c r="B2499" s="141"/>
      <c r="C2499" s="141"/>
      <c r="D2499" s="141"/>
      <c r="E2499" s="141"/>
      <c r="F2499" s="141"/>
      <c r="G2499" s="141"/>
      <c r="H2499" s="491" t="s">
        <v>1844</v>
      </c>
      <c r="I2499" s="491"/>
      <c r="J2499" s="491"/>
      <c r="K2499" s="491"/>
      <c r="L2499" s="369">
        <f>SUM(L2498:L2498)</f>
        <v>4.3</v>
      </c>
    </row>
    <row r="2500" spans="1:12" ht="15" customHeight="1" x14ac:dyDescent="0.25">
      <c r="A2500" s="182"/>
      <c r="B2500" s="183"/>
      <c r="C2500" s="183"/>
      <c r="D2500" s="183"/>
      <c r="E2500" s="183"/>
      <c r="F2500" s="183"/>
      <c r="G2500" s="183"/>
      <c r="H2500" s="482" t="s">
        <v>1845</v>
      </c>
      <c r="I2500" s="482"/>
      <c r="J2500" s="482"/>
      <c r="K2500" s="482"/>
      <c r="L2500" s="371">
        <f>SUM(L2499)</f>
        <v>4.3</v>
      </c>
    </row>
    <row r="2501" spans="1:12" ht="15" customHeight="1" x14ac:dyDescent="0.25">
      <c r="A2501" s="182"/>
      <c r="B2501" s="183"/>
      <c r="C2501" s="183"/>
      <c r="D2501" s="183"/>
      <c r="E2501" s="183"/>
      <c r="F2501" s="183"/>
      <c r="G2501" s="183"/>
      <c r="H2501" s="482" t="s">
        <v>1846</v>
      </c>
      <c r="I2501" s="482"/>
      <c r="J2501" s="482"/>
      <c r="K2501" s="482"/>
      <c r="L2501" s="374">
        <v>1</v>
      </c>
    </row>
    <row r="2502" spans="1:12" ht="15" customHeight="1" x14ac:dyDescent="0.25">
      <c r="A2502" s="182"/>
      <c r="B2502" s="183"/>
      <c r="C2502" s="183"/>
      <c r="D2502" s="183"/>
      <c r="E2502" s="183"/>
      <c r="F2502" s="183"/>
      <c r="G2502" s="183"/>
      <c r="H2502" s="482" t="s">
        <v>1847</v>
      </c>
      <c r="I2502" s="482"/>
      <c r="J2502" s="482"/>
      <c r="K2502" s="482"/>
      <c r="L2502" s="371">
        <f>TRUNC(L2500/L2501,4)</f>
        <v>4.3</v>
      </c>
    </row>
    <row r="2503" spans="1:12" ht="20.100000000000001" customHeight="1" x14ac:dyDescent="0.25">
      <c r="A2503" s="488" t="s">
        <v>1880</v>
      </c>
      <c r="B2503" s="489"/>
      <c r="C2503" s="489"/>
      <c r="D2503" s="489"/>
      <c r="E2503" s="489"/>
      <c r="F2503" s="489"/>
      <c r="G2503" s="233" t="s">
        <v>44</v>
      </c>
      <c r="H2503" s="515" t="s">
        <v>1837</v>
      </c>
      <c r="I2503" s="515"/>
      <c r="J2503" s="515" t="s">
        <v>1881</v>
      </c>
      <c r="K2503" s="515"/>
      <c r="L2503" s="169" t="s">
        <v>1882</v>
      </c>
    </row>
    <row r="2504" spans="1:12" ht="15" customHeight="1" x14ac:dyDescent="0.25">
      <c r="A2504" s="170" t="s">
        <v>3886</v>
      </c>
      <c r="B2504" s="492" t="s">
        <v>3887</v>
      </c>
      <c r="C2504" s="492"/>
      <c r="D2504" s="492"/>
      <c r="E2504" s="492"/>
      <c r="F2504" s="492"/>
      <c r="G2504" s="127" t="s">
        <v>122</v>
      </c>
      <c r="H2504" s="524">
        <v>0.9</v>
      </c>
      <c r="I2504" s="524"/>
      <c r="J2504" s="525">
        <v>14.83</v>
      </c>
      <c r="K2504" s="525"/>
      <c r="L2504" s="171">
        <f>TRUNC(TRUNC(H2504,8)*J2504,2)</f>
        <v>13.34</v>
      </c>
    </row>
    <row r="2505" spans="1:12" ht="15" customHeight="1" x14ac:dyDescent="0.25">
      <c r="A2505" s="170" t="s">
        <v>3888</v>
      </c>
      <c r="B2505" s="492" t="s">
        <v>3889</v>
      </c>
      <c r="C2505" s="492"/>
      <c r="D2505" s="492"/>
      <c r="E2505" s="492"/>
      <c r="F2505" s="492"/>
      <c r="G2505" s="127" t="s">
        <v>85</v>
      </c>
      <c r="H2505" s="524">
        <v>7.4999999999999997E-2</v>
      </c>
      <c r="I2505" s="524"/>
      <c r="J2505" s="525">
        <v>222.78</v>
      </c>
      <c r="K2505" s="525"/>
      <c r="L2505" s="171">
        <f>TRUNC(TRUNC(H2505,8)*J2505,2)</f>
        <v>16.7</v>
      </c>
    </row>
    <row r="2506" spans="1:12" ht="15" customHeight="1" x14ac:dyDescent="0.25">
      <c r="A2506" s="184"/>
      <c r="B2506" s="141"/>
      <c r="C2506" s="141"/>
      <c r="D2506" s="141"/>
      <c r="E2506" s="141"/>
      <c r="F2506" s="141"/>
      <c r="G2506" s="141"/>
      <c r="H2506" s="491" t="s">
        <v>1889</v>
      </c>
      <c r="I2506" s="491"/>
      <c r="J2506" s="491"/>
      <c r="K2506" s="491"/>
      <c r="L2506" s="375">
        <f>SUM(L2504:L2505)</f>
        <v>30.04</v>
      </c>
    </row>
    <row r="2507" spans="1:12" ht="15" customHeight="1" x14ac:dyDescent="0.25">
      <c r="A2507" s="182"/>
      <c r="B2507" s="183"/>
      <c r="C2507" s="183"/>
      <c r="D2507" s="183"/>
      <c r="E2507" s="183"/>
      <c r="F2507" s="183"/>
      <c r="G2507" s="183"/>
      <c r="H2507" s="482" t="s">
        <v>1848</v>
      </c>
      <c r="I2507" s="482"/>
      <c r="J2507" s="482"/>
      <c r="K2507" s="482"/>
      <c r="L2507" s="371">
        <f>SUM(L2502,L2506)</f>
        <v>34.339999999999996</v>
      </c>
    </row>
    <row r="2508" spans="1:12" ht="15" customHeight="1" x14ac:dyDescent="0.25">
      <c r="A2508" s="182"/>
      <c r="B2508" s="183"/>
      <c r="C2508" s="183"/>
      <c r="D2508" s="183"/>
      <c r="E2508" s="183"/>
      <c r="F2508" s="183"/>
      <c r="G2508" s="183"/>
      <c r="H2508" s="482" t="s">
        <v>1834</v>
      </c>
      <c r="I2508" s="482"/>
      <c r="J2508" s="482"/>
      <c r="K2508" s="482"/>
      <c r="L2508" s="369">
        <f>ROUND(SUM(L2507),2)</f>
        <v>34.340000000000003</v>
      </c>
    </row>
    <row r="2509" spans="1:12" ht="9.9499999999999993" customHeight="1" x14ac:dyDescent="0.25">
      <c r="A2509" s="182"/>
      <c r="B2509" s="183"/>
      <c r="C2509" s="183"/>
      <c r="D2509" s="183"/>
      <c r="E2509" s="183"/>
      <c r="F2509" s="183"/>
      <c r="G2509" s="183"/>
      <c r="H2509" s="485"/>
      <c r="I2509" s="485"/>
      <c r="J2509" s="485"/>
      <c r="K2509" s="485"/>
      <c r="L2509" s="512"/>
    </row>
    <row r="2510" spans="1:12" ht="20.100000000000001" customHeight="1" x14ac:dyDescent="0.25">
      <c r="A2510" s="486" t="s">
        <v>3890</v>
      </c>
      <c r="B2510" s="487"/>
      <c r="C2510" s="487"/>
      <c r="D2510" s="487"/>
      <c r="E2510" s="487"/>
      <c r="F2510" s="487"/>
      <c r="G2510" s="487"/>
      <c r="H2510" s="487"/>
      <c r="I2510" s="487"/>
      <c r="J2510" s="487"/>
      <c r="K2510" s="487"/>
      <c r="L2510" s="513"/>
    </row>
    <row r="2511" spans="1:12" ht="15" customHeight="1" x14ac:dyDescent="0.25">
      <c r="A2511" s="474" t="s">
        <v>2021</v>
      </c>
      <c r="B2511" s="475"/>
      <c r="C2511" s="475"/>
      <c r="D2511" s="476" t="s">
        <v>42</v>
      </c>
      <c r="E2511" s="476"/>
      <c r="F2511" s="476"/>
      <c r="G2511" s="230" t="s">
        <v>44</v>
      </c>
      <c r="H2511" s="476" t="s">
        <v>1813</v>
      </c>
      <c r="I2511" s="476"/>
      <c r="J2511" s="476" t="s">
        <v>1814</v>
      </c>
      <c r="K2511" s="476"/>
      <c r="L2511" s="366" t="s">
        <v>1802</v>
      </c>
    </row>
    <row r="2512" spans="1:12" ht="45.95" customHeight="1" x14ac:dyDescent="0.25">
      <c r="A2512" s="181" t="s">
        <v>3891</v>
      </c>
      <c r="B2512" s="509" t="s">
        <v>3892</v>
      </c>
      <c r="C2512" s="509"/>
      <c r="D2512" s="481" t="s">
        <v>82</v>
      </c>
      <c r="E2512" s="481"/>
      <c r="F2512" s="481"/>
      <c r="G2512" s="231" t="s">
        <v>2024</v>
      </c>
      <c r="H2512" s="510">
        <v>0.87809999999999999</v>
      </c>
      <c r="I2512" s="510"/>
      <c r="J2512" s="511">
        <v>72.63</v>
      </c>
      <c r="K2512" s="511"/>
      <c r="L2512" s="367">
        <f>TRUNC(TRUNC(H2512,8)*J2512,2)</f>
        <v>63.77</v>
      </c>
    </row>
    <row r="2513" spans="1:12" ht="45.95" customHeight="1" x14ac:dyDescent="0.25">
      <c r="A2513" s="181" t="s">
        <v>3893</v>
      </c>
      <c r="B2513" s="509" t="s">
        <v>3894</v>
      </c>
      <c r="C2513" s="509"/>
      <c r="D2513" s="481" t="s">
        <v>82</v>
      </c>
      <c r="E2513" s="481"/>
      <c r="F2513" s="481"/>
      <c r="G2513" s="231" t="s">
        <v>2027</v>
      </c>
      <c r="H2513" s="510">
        <v>0.24740000000000001</v>
      </c>
      <c r="I2513" s="510"/>
      <c r="J2513" s="511">
        <v>265.18</v>
      </c>
      <c r="K2513" s="511"/>
      <c r="L2513" s="367">
        <f>TRUNC(TRUNC(H2513,8)*J2513,2)</f>
        <v>65.599999999999994</v>
      </c>
    </row>
    <row r="2514" spans="1:12" ht="18" customHeight="1" x14ac:dyDescent="0.25">
      <c r="A2514" s="182"/>
      <c r="B2514" s="183"/>
      <c r="C2514" s="183"/>
      <c r="D2514" s="183"/>
      <c r="E2514" s="183"/>
      <c r="F2514" s="183"/>
      <c r="G2514" s="183"/>
      <c r="H2514" s="477" t="s">
        <v>2028</v>
      </c>
      <c r="I2514" s="477"/>
      <c r="J2514" s="477"/>
      <c r="K2514" s="477"/>
      <c r="L2514" s="368">
        <f>SUM(L2512:L2513)</f>
        <v>129.37</v>
      </c>
    </row>
    <row r="2515" spans="1:12" ht="15" customHeight="1" x14ac:dyDescent="0.25">
      <c r="A2515" s="474" t="s">
        <v>1812</v>
      </c>
      <c r="B2515" s="475"/>
      <c r="C2515" s="475"/>
      <c r="D2515" s="476" t="s">
        <v>42</v>
      </c>
      <c r="E2515" s="476"/>
      <c r="F2515" s="476"/>
      <c r="G2515" s="230" t="s">
        <v>44</v>
      </c>
      <c r="H2515" s="476" t="s">
        <v>1813</v>
      </c>
      <c r="I2515" s="476"/>
      <c r="J2515" s="476" t="s">
        <v>1814</v>
      </c>
      <c r="K2515" s="476"/>
      <c r="L2515" s="366" t="s">
        <v>1802</v>
      </c>
    </row>
    <row r="2516" spans="1:12" ht="15" customHeight="1" x14ac:dyDescent="0.25">
      <c r="A2516" s="181" t="s">
        <v>3895</v>
      </c>
      <c r="B2516" s="509" t="s">
        <v>3896</v>
      </c>
      <c r="C2516" s="509"/>
      <c r="D2516" s="481" t="s">
        <v>82</v>
      </c>
      <c r="E2516" s="481"/>
      <c r="F2516" s="481"/>
      <c r="G2516" s="231" t="s">
        <v>226</v>
      </c>
      <c r="H2516" s="510">
        <v>1</v>
      </c>
      <c r="I2516" s="510"/>
      <c r="J2516" s="511">
        <v>135.34</v>
      </c>
      <c r="K2516" s="511"/>
      <c r="L2516" s="367">
        <f>TRUNC(TRUNC(H2516,8)*J2516,2)</f>
        <v>135.34</v>
      </c>
    </row>
    <row r="2517" spans="1:12" ht="15" customHeight="1" x14ac:dyDescent="0.25">
      <c r="A2517" s="182"/>
      <c r="B2517" s="183"/>
      <c r="C2517" s="183"/>
      <c r="D2517" s="183"/>
      <c r="E2517" s="183"/>
      <c r="F2517" s="183"/>
      <c r="G2517" s="183"/>
      <c r="H2517" s="477" t="s">
        <v>1826</v>
      </c>
      <c r="I2517" s="477"/>
      <c r="J2517" s="477"/>
      <c r="K2517" s="477"/>
      <c r="L2517" s="368">
        <f>SUM(L2516:L2516)</f>
        <v>135.34</v>
      </c>
    </row>
    <row r="2518" spans="1:12" ht="15" customHeight="1" x14ac:dyDescent="0.25">
      <c r="A2518" s="474" t="s">
        <v>2190</v>
      </c>
      <c r="B2518" s="475"/>
      <c r="C2518" s="475"/>
      <c r="D2518" s="476" t="s">
        <v>42</v>
      </c>
      <c r="E2518" s="476"/>
      <c r="F2518" s="476"/>
      <c r="G2518" s="230" t="s">
        <v>44</v>
      </c>
      <c r="H2518" s="476" t="s">
        <v>1813</v>
      </c>
      <c r="I2518" s="476"/>
      <c r="J2518" s="476" t="s">
        <v>1814</v>
      </c>
      <c r="K2518" s="476"/>
      <c r="L2518" s="366" t="s">
        <v>1802</v>
      </c>
    </row>
    <row r="2519" spans="1:12" ht="15" customHeight="1" x14ac:dyDescent="0.25">
      <c r="A2519" s="181" t="s">
        <v>3897</v>
      </c>
      <c r="B2519" s="509" t="s">
        <v>3898</v>
      </c>
      <c r="C2519" s="509"/>
      <c r="D2519" s="481" t="s">
        <v>82</v>
      </c>
      <c r="E2519" s="481"/>
      <c r="F2519" s="481"/>
      <c r="G2519" s="231" t="s">
        <v>1024</v>
      </c>
      <c r="H2519" s="510">
        <v>0.61129999999999995</v>
      </c>
      <c r="I2519" s="510"/>
      <c r="J2519" s="511">
        <v>30.95</v>
      </c>
      <c r="K2519" s="511"/>
      <c r="L2519" s="367">
        <f>TRUNC(TRUNC(H2519,8)*J2519,2)</f>
        <v>18.91</v>
      </c>
    </row>
    <row r="2520" spans="1:12" ht="15" customHeight="1" x14ac:dyDescent="0.25">
      <c r="A2520" s="181" t="s">
        <v>2375</v>
      </c>
      <c r="B2520" s="509" t="s">
        <v>2376</v>
      </c>
      <c r="C2520" s="509"/>
      <c r="D2520" s="481" t="s">
        <v>82</v>
      </c>
      <c r="E2520" s="481"/>
      <c r="F2520" s="481"/>
      <c r="G2520" s="231" t="s">
        <v>1024</v>
      </c>
      <c r="H2520" s="510">
        <v>3.0567000000000002</v>
      </c>
      <c r="I2520" s="510"/>
      <c r="J2520" s="511">
        <v>28.97</v>
      </c>
      <c r="K2520" s="511"/>
      <c r="L2520" s="367">
        <f>TRUNC(TRUNC(H2520,8)*J2520,2)</f>
        <v>88.55</v>
      </c>
    </row>
    <row r="2521" spans="1:12" ht="18" customHeight="1" x14ac:dyDescent="0.25">
      <c r="A2521" s="182"/>
      <c r="B2521" s="183"/>
      <c r="C2521" s="183"/>
      <c r="D2521" s="183"/>
      <c r="E2521" s="183"/>
      <c r="F2521" s="183"/>
      <c r="G2521" s="183"/>
      <c r="H2521" s="477" t="s">
        <v>2195</v>
      </c>
      <c r="I2521" s="477"/>
      <c r="J2521" s="477"/>
      <c r="K2521" s="477"/>
      <c r="L2521" s="368">
        <f>SUM(L2519:L2520)</f>
        <v>107.46</v>
      </c>
    </row>
    <row r="2522" spans="1:12" ht="15" customHeight="1" x14ac:dyDescent="0.25">
      <c r="A2522" s="182"/>
      <c r="B2522" s="183"/>
      <c r="C2522" s="183"/>
      <c r="D2522" s="183"/>
      <c r="E2522" s="183"/>
      <c r="F2522" s="183"/>
      <c r="G2522" s="183"/>
      <c r="H2522" s="482" t="s">
        <v>1834</v>
      </c>
      <c r="I2522" s="482"/>
      <c r="J2522" s="482"/>
      <c r="K2522" s="482"/>
      <c r="L2522" s="369">
        <f>ROUND(SUM(L2514,L2517,L2521),2)</f>
        <v>372.17</v>
      </c>
    </row>
    <row r="2523" spans="1:12" ht="9.9499999999999993" customHeight="1" x14ac:dyDescent="0.25">
      <c r="A2523" s="182"/>
      <c r="B2523" s="183"/>
      <c r="C2523" s="183"/>
      <c r="D2523" s="183"/>
      <c r="E2523" s="183"/>
      <c r="F2523" s="183"/>
      <c r="G2523" s="183"/>
      <c r="H2523" s="485"/>
      <c r="I2523" s="485"/>
      <c r="J2523" s="485"/>
      <c r="K2523" s="485"/>
      <c r="L2523" s="512"/>
    </row>
    <row r="2524" spans="1:12" ht="20.100000000000001" customHeight="1" x14ac:dyDescent="0.25">
      <c r="A2524" s="486" t="s">
        <v>3899</v>
      </c>
      <c r="B2524" s="487"/>
      <c r="C2524" s="487"/>
      <c r="D2524" s="487"/>
      <c r="E2524" s="487"/>
      <c r="F2524" s="487"/>
      <c r="G2524" s="487"/>
      <c r="H2524" s="487"/>
      <c r="I2524" s="487"/>
      <c r="J2524" s="487"/>
      <c r="K2524" s="487"/>
      <c r="L2524" s="513"/>
    </row>
    <row r="2525" spans="1:12" ht="15" customHeight="1" x14ac:dyDescent="0.25">
      <c r="A2525" s="474" t="s">
        <v>1812</v>
      </c>
      <c r="B2525" s="475"/>
      <c r="C2525" s="475"/>
      <c r="D2525" s="476" t="s">
        <v>42</v>
      </c>
      <c r="E2525" s="476"/>
      <c r="F2525" s="476"/>
      <c r="G2525" s="230" t="s">
        <v>44</v>
      </c>
      <c r="H2525" s="476" t="s">
        <v>1813</v>
      </c>
      <c r="I2525" s="476"/>
      <c r="J2525" s="476" t="s">
        <v>1814</v>
      </c>
      <c r="K2525" s="476"/>
      <c r="L2525" s="366" t="s">
        <v>1802</v>
      </c>
    </row>
    <row r="2526" spans="1:12" ht="21" customHeight="1" x14ac:dyDescent="0.25">
      <c r="A2526" s="181" t="s">
        <v>3900</v>
      </c>
      <c r="B2526" s="509" t="s">
        <v>3901</v>
      </c>
      <c r="C2526" s="509"/>
      <c r="D2526" s="481" t="s">
        <v>82</v>
      </c>
      <c r="E2526" s="481"/>
      <c r="F2526" s="481"/>
      <c r="G2526" s="231" t="s">
        <v>226</v>
      </c>
      <c r="H2526" s="510">
        <v>1</v>
      </c>
      <c r="I2526" s="510"/>
      <c r="J2526" s="511">
        <v>55.94</v>
      </c>
      <c r="K2526" s="511"/>
      <c r="L2526" s="367">
        <f>TRUNC(TRUNC(H2526,8)*J2526,2)</f>
        <v>55.94</v>
      </c>
    </row>
    <row r="2527" spans="1:12" ht="15" customHeight="1" x14ac:dyDescent="0.25">
      <c r="A2527" s="182"/>
      <c r="B2527" s="183"/>
      <c r="C2527" s="183"/>
      <c r="D2527" s="183"/>
      <c r="E2527" s="183"/>
      <c r="F2527" s="183"/>
      <c r="G2527" s="183"/>
      <c r="H2527" s="477" t="s">
        <v>1826</v>
      </c>
      <c r="I2527" s="477"/>
      <c r="J2527" s="477"/>
      <c r="K2527" s="477"/>
      <c r="L2527" s="368">
        <f>SUM(L2526:L2526)</f>
        <v>55.94</v>
      </c>
    </row>
    <row r="2528" spans="1:12" ht="15" customHeight="1" x14ac:dyDescent="0.25">
      <c r="A2528" s="474" t="s">
        <v>2190</v>
      </c>
      <c r="B2528" s="475"/>
      <c r="C2528" s="475"/>
      <c r="D2528" s="476" t="s">
        <v>42</v>
      </c>
      <c r="E2528" s="476"/>
      <c r="F2528" s="476"/>
      <c r="G2528" s="230" t="s">
        <v>44</v>
      </c>
      <c r="H2528" s="476" t="s">
        <v>1813</v>
      </c>
      <c r="I2528" s="476"/>
      <c r="J2528" s="476" t="s">
        <v>1814</v>
      </c>
      <c r="K2528" s="476"/>
      <c r="L2528" s="366" t="s">
        <v>1802</v>
      </c>
    </row>
    <row r="2529" spans="1:12" ht="15" customHeight="1" x14ac:dyDescent="0.25">
      <c r="A2529" s="181" t="s">
        <v>3897</v>
      </c>
      <c r="B2529" s="509" t="s">
        <v>3898</v>
      </c>
      <c r="C2529" s="509"/>
      <c r="D2529" s="481" t="s">
        <v>82</v>
      </c>
      <c r="E2529" s="481"/>
      <c r="F2529" s="481"/>
      <c r="G2529" s="231" t="s">
        <v>1024</v>
      </c>
      <c r="H2529" s="510">
        <v>1.0800000000000001E-2</v>
      </c>
      <c r="I2529" s="510"/>
      <c r="J2529" s="511">
        <v>30.95</v>
      </c>
      <c r="K2529" s="511"/>
      <c r="L2529" s="367">
        <f>TRUNC(TRUNC(H2529,8)*J2529,2)</f>
        <v>0.33</v>
      </c>
    </row>
    <row r="2530" spans="1:12" ht="15" customHeight="1" x14ac:dyDescent="0.25">
      <c r="A2530" s="181" t="s">
        <v>2375</v>
      </c>
      <c r="B2530" s="509" t="s">
        <v>2376</v>
      </c>
      <c r="C2530" s="509"/>
      <c r="D2530" s="481" t="s">
        <v>82</v>
      </c>
      <c r="E2530" s="481"/>
      <c r="F2530" s="481"/>
      <c r="G2530" s="231" t="s">
        <v>1024</v>
      </c>
      <c r="H2530" s="510">
        <v>5.4199999999999998E-2</v>
      </c>
      <c r="I2530" s="510"/>
      <c r="J2530" s="511">
        <v>28.97</v>
      </c>
      <c r="K2530" s="511"/>
      <c r="L2530" s="367">
        <f>TRUNC(TRUNC(H2530,8)*J2530,2)</f>
        <v>1.57</v>
      </c>
    </row>
    <row r="2531" spans="1:12" ht="18" customHeight="1" x14ac:dyDescent="0.25">
      <c r="A2531" s="182"/>
      <c r="B2531" s="183"/>
      <c r="C2531" s="183"/>
      <c r="D2531" s="183"/>
      <c r="E2531" s="183"/>
      <c r="F2531" s="183"/>
      <c r="G2531" s="183"/>
      <c r="H2531" s="477" t="s">
        <v>2195</v>
      </c>
      <c r="I2531" s="477"/>
      <c r="J2531" s="477"/>
      <c r="K2531" s="477"/>
      <c r="L2531" s="368">
        <f>SUM(L2529:L2530)</f>
        <v>1.9000000000000001</v>
      </c>
    </row>
    <row r="2532" spans="1:12" ht="15" customHeight="1" x14ac:dyDescent="0.25">
      <c r="A2532" s="182"/>
      <c r="B2532" s="183"/>
      <c r="C2532" s="183"/>
      <c r="D2532" s="183"/>
      <c r="E2532" s="183"/>
      <c r="F2532" s="183"/>
      <c r="G2532" s="183"/>
      <c r="H2532" s="482" t="s">
        <v>1834</v>
      </c>
      <c r="I2532" s="482"/>
      <c r="J2532" s="482"/>
      <c r="K2532" s="482"/>
      <c r="L2532" s="369">
        <f>ROUND(SUM(L2527,L2531),2)</f>
        <v>57.84</v>
      </c>
    </row>
    <row r="2533" spans="1:12" ht="9.9499999999999993" customHeight="1" x14ac:dyDescent="0.25">
      <c r="A2533" s="182"/>
      <c r="B2533" s="183"/>
      <c r="C2533" s="183"/>
      <c r="D2533" s="183"/>
      <c r="E2533" s="183"/>
      <c r="F2533" s="183"/>
      <c r="G2533" s="183"/>
      <c r="H2533" s="485"/>
      <c r="I2533" s="485"/>
      <c r="J2533" s="485"/>
      <c r="K2533" s="485"/>
      <c r="L2533" s="512"/>
    </row>
    <row r="2534" spans="1:12" ht="20.100000000000001" customHeight="1" x14ac:dyDescent="0.25">
      <c r="A2534" s="486" t="s">
        <v>3902</v>
      </c>
      <c r="B2534" s="487"/>
      <c r="C2534" s="487"/>
      <c r="D2534" s="487"/>
      <c r="E2534" s="487"/>
      <c r="F2534" s="487"/>
      <c r="G2534" s="487"/>
      <c r="H2534" s="487"/>
      <c r="I2534" s="487"/>
      <c r="J2534" s="487"/>
      <c r="K2534" s="487"/>
      <c r="L2534" s="513"/>
    </row>
    <row r="2535" spans="1:12" ht="15" customHeight="1" x14ac:dyDescent="0.25">
      <c r="A2535" s="474" t="s">
        <v>1812</v>
      </c>
      <c r="B2535" s="475"/>
      <c r="C2535" s="475"/>
      <c r="D2535" s="476" t="s">
        <v>42</v>
      </c>
      <c r="E2535" s="476"/>
      <c r="F2535" s="476"/>
      <c r="G2535" s="230" t="s">
        <v>44</v>
      </c>
      <c r="H2535" s="476" t="s">
        <v>1813</v>
      </c>
      <c r="I2535" s="476"/>
      <c r="J2535" s="476" t="s">
        <v>1814</v>
      </c>
      <c r="K2535" s="476"/>
      <c r="L2535" s="366" t="s">
        <v>1802</v>
      </c>
    </row>
    <row r="2536" spans="1:12" ht="29.1" customHeight="1" x14ac:dyDescent="0.25">
      <c r="A2536" s="181" t="s">
        <v>3903</v>
      </c>
      <c r="B2536" s="509" t="s">
        <v>3904</v>
      </c>
      <c r="C2536" s="509"/>
      <c r="D2536" s="481" t="s">
        <v>82</v>
      </c>
      <c r="E2536" s="481"/>
      <c r="F2536" s="481"/>
      <c r="G2536" s="231" t="s">
        <v>226</v>
      </c>
      <c r="H2536" s="510">
        <v>1</v>
      </c>
      <c r="I2536" s="510"/>
      <c r="J2536" s="511">
        <v>137.13999999999999</v>
      </c>
      <c r="K2536" s="511"/>
      <c r="L2536" s="367">
        <f>TRUNC(TRUNC(H2536,8)*J2536,2)</f>
        <v>137.13999999999999</v>
      </c>
    </row>
    <row r="2537" spans="1:12" ht="15" customHeight="1" x14ac:dyDescent="0.25">
      <c r="A2537" s="182"/>
      <c r="B2537" s="183"/>
      <c r="C2537" s="183"/>
      <c r="D2537" s="183"/>
      <c r="E2537" s="183"/>
      <c r="F2537" s="183"/>
      <c r="G2537" s="183"/>
      <c r="H2537" s="477" t="s">
        <v>1826</v>
      </c>
      <c r="I2537" s="477"/>
      <c r="J2537" s="477"/>
      <c r="K2537" s="477"/>
      <c r="L2537" s="368">
        <f>SUM(L2536:L2536)</f>
        <v>137.13999999999999</v>
      </c>
    </row>
    <row r="2538" spans="1:12" ht="15" customHeight="1" x14ac:dyDescent="0.25">
      <c r="A2538" s="474" t="s">
        <v>2190</v>
      </c>
      <c r="B2538" s="475"/>
      <c r="C2538" s="475"/>
      <c r="D2538" s="476" t="s">
        <v>42</v>
      </c>
      <c r="E2538" s="476"/>
      <c r="F2538" s="476"/>
      <c r="G2538" s="230" t="s">
        <v>44</v>
      </c>
      <c r="H2538" s="476" t="s">
        <v>1813</v>
      </c>
      <c r="I2538" s="476"/>
      <c r="J2538" s="476" t="s">
        <v>1814</v>
      </c>
      <c r="K2538" s="476"/>
      <c r="L2538" s="366" t="s">
        <v>1802</v>
      </c>
    </row>
    <row r="2539" spans="1:12" ht="15" customHeight="1" x14ac:dyDescent="0.25">
      <c r="A2539" s="181" t="s">
        <v>3897</v>
      </c>
      <c r="B2539" s="509" t="s">
        <v>3898</v>
      </c>
      <c r="C2539" s="509"/>
      <c r="D2539" s="481" t="s">
        <v>82</v>
      </c>
      <c r="E2539" s="481"/>
      <c r="F2539" s="481"/>
      <c r="G2539" s="231" t="s">
        <v>1024</v>
      </c>
      <c r="H2539" s="510">
        <v>0.24210000000000001</v>
      </c>
      <c r="I2539" s="510"/>
      <c r="J2539" s="511">
        <v>30.95</v>
      </c>
      <c r="K2539" s="511"/>
      <c r="L2539" s="367">
        <f>TRUNC(TRUNC(H2539,8)*J2539,2)</f>
        <v>7.49</v>
      </c>
    </row>
    <row r="2540" spans="1:12" ht="15" customHeight="1" x14ac:dyDescent="0.25">
      <c r="A2540" s="181" t="s">
        <v>2375</v>
      </c>
      <c r="B2540" s="509" t="s">
        <v>2376</v>
      </c>
      <c r="C2540" s="509"/>
      <c r="D2540" s="481" t="s">
        <v>82</v>
      </c>
      <c r="E2540" s="481"/>
      <c r="F2540" s="481"/>
      <c r="G2540" s="231" t="s">
        <v>1024</v>
      </c>
      <c r="H2540" s="510">
        <v>1.2102999999999999</v>
      </c>
      <c r="I2540" s="510"/>
      <c r="J2540" s="511">
        <v>28.97</v>
      </c>
      <c r="K2540" s="511"/>
      <c r="L2540" s="367">
        <f>TRUNC(TRUNC(H2540,8)*J2540,2)</f>
        <v>35.06</v>
      </c>
    </row>
    <row r="2541" spans="1:12" ht="18" customHeight="1" x14ac:dyDescent="0.25">
      <c r="A2541" s="182"/>
      <c r="B2541" s="183"/>
      <c r="C2541" s="183"/>
      <c r="D2541" s="183"/>
      <c r="E2541" s="183"/>
      <c r="F2541" s="183"/>
      <c r="G2541" s="183"/>
      <c r="H2541" s="477" t="s">
        <v>2195</v>
      </c>
      <c r="I2541" s="477"/>
      <c r="J2541" s="477"/>
      <c r="K2541" s="477"/>
      <c r="L2541" s="368">
        <f>SUM(L2539:L2540)</f>
        <v>42.550000000000004</v>
      </c>
    </row>
    <row r="2542" spans="1:12" ht="15" customHeight="1" x14ac:dyDescent="0.25">
      <c r="A2542" s="182"/>
      <c r="B2542" s="183"/>
      <c r="C2542" s="183"/>
      <c r="D2542" s="183"/>
      <c r="E2542" s="183"/>
      <c r="F2542" s="183"/>
      <c r="G2542" s="183"/>
      <c r="H2542" s="482" t="s">
        <v>1834</v>
      </c>
      <c r="I2542" s="482"/>
      <c r="J2542" s="482"/>
      <c r="K2542" s="482"/>
      <c r="L2542" s="369">
        <f>ROUND(SUM(L2537,L2541),2)</f>
        <v>179.69</v>
      </c>
    </row>
    <row r="2543" spans="1:12" ht="9.9499999999999993" customHeight="1" x14ac:dyDescent="0.25">
      <c r="A2543" s="182"/>
      <c r="B2543" s="183"/>
      <c r="C2543" s="183"/>
      <c r="D2543" s="183"/>
      <c r="E2543" s="183"/>
      <c r="F2543" s="183"/>
      <c r="G2543" s="183"/>
      <c r="H2543" s="485"/>
      <c r="I2543" s="485"/>
      <c r="J2543" s="485"/>
      <c r="K2543" s="485"/>
      <c r="L2543" s="512"/>
    </row>
    <row r="2544" spans="1:12" ht="20.100000000000001" customHeight="1" x14ac:dyDescent="0.25">
      <c r="A2544" s="486" t="s">
        <v>2276</v>
      </c>
      <c r="B2544" s="487"/>
      <c r="C2544" s="487"/>
      <c r="D2544" s="487"/>
      <c r="E2544" s="487"/>
      <c r="F2544" s="487"/>
      <c r="G2544" s="487"/>
      <c r="H2544" s="487"/>
      <c r="I2544" s="487"/>
      <c r="J2544" s="487"/>
      <c r="K2544" s="487"/>
      <c r="L2544" s="513"/>
    </row>
    <row r="2545" spans="1:12" ht="15" customHeight="1" x14ac:dyDescent="0.25">
      <c r="A2545" s="474" t="s">
        <v>1812</v>
      </c>
      <c r="B2545" s="475"/>
      <c r="C2545" s="475"/>
      <c r="D2545" s="476" t="s">
        <v>42</v>
      </c>
      <c r="E2545" s="476"/>
      <c r="F2545" s="476"/>
      <c r="G2545" s="230" t="s">
        <v>44</v>
      </c>
      <c r="H2545" s="476" t="s">
        <v>1813</v>
      </c>
      <c r="I2545" s="476"/>
      <c r="J2545" s="476" t="s">
        <v>1814</v>
      </c>
      <c r="K2545" s="476"/>
      <c r="L2545" s="366" t="s">
        <v>1802</v>
      </c>
    </row>
    <row r="2546" spans="1:12" ht="29.1" customHeight="1" x14ac:dyDescent="0.25">
      <c r="A2546" s="181" t="s">
        <v>2277</v>
      </c>
      <c r="B2546" s="509" t="s">
        <v>2278</v>
      </c>
      <c r="C2546" s="509"/>
      <c r="D2546" s="481" t="s">
        <v>82</v>
      </c>
      <c r="E2546" s="481"/>
      <c r="F2546" s="481"/>
      <c r="G2546" s="231" t="s">
        <v>226</v>
      </c>
      <c r="H2546" s="510">
        <v>1</v>
      </c>
      <c r="I2546" s="510"/>
      <c r="J2546" s="511">
        <v>3.14</v>
      </c>
      <c r="K2546" s="511"/>
      <c r="L2546" s="367">
        <f>ROUND(ROUND(H2546,8)*J2546,2)</f>
        <v>3.14</v>
      </c>
    </row>
    <row r="2547" spans="1:12" ht="15" customHeight="1" x14ac:dyDescent="0.25">
      <c r="A2547" s="182"/>
      <c r="B2547" s="183"/>
      <c r="C2547" s="183"/>
      <c r="D2547" s="183"/>
      <c r="E2547" s="183"/>
      <c r="F2547" s="183"/>
      <c r="G2547" s="183"/>
      <c r="H2547" s="477" t="s">
        <v>1826</v>
      </c>
      <c r="I2547" s="477"/>
      <c r="J2547" s="477"/>
      <c r="K2547" s="477"/>
      <c r="L2547" s="368">
        <f>SUM(L2546:L2546)</f>
        <v>3.14</v>
      </c>
    </row>
    <row r="2548" spans="1:12" ht="15" customHeight="1" x14ac:dyDescent="0.25">
      <c r="A2548" s="474" t="s">
        <v>1827</v>
      </c>
      <c r="B2548" s="475"/>
      <c r="C2548" s="475"/>
      <c r="D2548" s="476" t="s">
        <v>42</v>
      </c>
      <c r="E2548" s="476"/>
      <c r="F2548" s="476"/>
      <c r="G2548" s="230" t="s">
        <v>44</v>
      </c>
      <c r="H2548" s="476" t="s">
        <v>1813</v>
      </c>
      <c r="I2548" s="476"/>
      <c r="J2548" s="476" t="s">
        <v>1814</v>
      </c>
      <c r="K2548" s="476"/>
      <c r="L2548" s="366" t="s">
        <v>1802</v>
      </c>
    </row>
    <row r="2549" spans="1:12" ht="15" customHeight="1" x14ac:dyDescent="0.25">
      <c r="A2549" s="181" t="s">
        <v>2279</v>
      </c>
      <c r="B2549" s="509" t="s">
        <v>2280</v>
      </c>
      <c r="C2549" s="509"/>
      <c r="D2549" s="481" t="s">
        <v>51</v>
      </c>
      <c r="E2549" s="481"/>
      <c r="F2549" s="481"/>
      <c r="G2549" s="231" t="s">
        <v>1024</v>
      </c>
      <c r="H2549" s="510">
        <v>2.0300000000000001E-3</v>
      </c>
      <c r="I2549" s="510"/>
      <c r="J2549" s="511">
        <v>26.03</v>
      </c>
      <c r="K2549" s="511"/>
      <c r="L2549" s="367">
        <f>ROUND(ROUND(H2549,8)*J2549,2)</f>
        <v>0.05</v>
      </c>
    </row>
    <row r="2550" spans="1:12" ht="15" customHeight="1" x14ac:dyDescent="0.25">
      <c r="A2550" s="181" t="s">
        <v>1830</v>
      </c>
      <c r="B2550" s="509" t="s">
        <v>1831</v>
      </c>
      <c r="C2550" s="509"/>
      <c r="D2550" s="481" t="s">
        <v>51</v>
      </c>
      <c r="E2550" s="481"/>
      <c r="F2550" s="481"/>
      <c r="G2550" s="231" t="s">
        <v>1024</v>
      </c>
      <c r="H2550" s="510">
        <v>1.0120000000000001E-2</v>
      </c>
      <c r="I2550" s="510"/>
      <c r="J2550" s="511">
        <v>19.68</v>
      </c>
      <c r="K2550" s="511"/>
      <c r="L2550" s="367">
        <f>ROUND(ROUND(H2550,8)*J2550,2)</f>
        <v>0.2</v>
      </c>
    </row>
    <row r="2551" spans="1:12" ht="15" customHeight="1" x14ac:dyDescent="0.25">
      <c r="A2551" s="182"/>
      <c r="B2551" s="183"/>
      <c r="C2551" s="183"/>
      <c r="D2551" s="183"/>
      <c r="E2551" s="183"/>
      <c r="F2551" s="183"/>
      <c r="G2551" s="183"/>
      <c r="H2551" s="477" t="s">
        <v>1832</v>
      </c>
      <c r="I2551" s="477"/>
      <c r="J2551" s="477"/>
      <c r="K2551" s="477"/>
      <c r="L2551" s="368">
        <f>SUM(L2549:L2550)</f>
        <v>0.25</v>
      </c>
    </row>
    <row r="2552" spans="1:12" ht="15" customHeight="1" x14ac:dyDescent="0.25">
      <c r="A2552" s="483" t="s">
        <v>2281</v>
      </c>
      <c r="B2552" s="484"/>
      <c r="C2552" s="484"/>
      <c r="D2552" s="484"/>
      <c r="E2552" s="183"/>
      <c r="F2552" s="183"/>
      <c r="G2552" s="183"/>
      <c r="H2552" s="482" t="s">
        <v>1834</v>
      </c>
      <c r="I2552" s="482"/>
      <c r="J2552" s="482"/>
      <c r="K2552" s="482"/>
      <c r="L2552" s="369">
        <v>3.39</v>
      </c>
    </row>
    <row r="2553" spans="1:12" ht="9.9499999999999993" customHeight="1" x14ac:dyDescent="0.25">
      <c r="A2553" s="182"/>
      <c r="B2553" s="183"/>
      <c r="C2553" s="183"/>
      <c r="D2553" s="183"/>
      <c r="E2553" s="183"/>
      <c r="F2553" s="183"/>
      <c r="G2553" s="183"/>
      <c r="H2553" s="485"/>
      <c r="I2553" s="485"/>
      <c r="J2553" s="485"/>
      <c r="K2553" s="485"/>
      <c r="L2553" s="512"/>
    </row>
    <row r="2554" spans="1:12" ht="20.100000000000001" customHeight="1" x14ac:dyDescent="0.25">
      <c r="A2554" s="486" t="s">
        <v>3905</v>
      </c>
      <c r="B2554" s="487"/>
      <c r="C2554" s="487"/>
      <c r="D2554" s="487"/>
      <c r="E2554" s="487"/>
      <c r="F2554" s="487"/>
      <c r="G2554" s="487"/>
      <c r="H2554" s="487"/>
      <c r="I2554" s="487"/>
      <c r="J2554" s="487"/>
      <c r="K2554" s="487"/>
      <c r="L2554" s="513"/>
    </row>
    <row r="2555" spans="1:12" ht="20.100000000000001" customHeight="1" x14ac:dyDescent="0.25">
      <c r="A2555" s="488" t="s">
        <v>1836</v>
      </c>
      <c r="B2555" s="489"/>
      <c r="C2555" s="489"/>
      <c r="D2555" s="489"/>
      <c r="E2555" s="489"/>
      <c r="F2555" s="489"/>
      <c r="G2555" s="233" t="s">
        <v>44</v>
      </c>
      <c r="H2555" s="515" t="s">
        <v>1837</v>
      </c>
      <c r="I2555" s="515"/>
      <c r="J2555" s="515" t="s">
        <v>1838</v>
      </c>
      <c r="K2555" s="515"/>
      <c r="L2555" s="169" t="s">
        <v>1839</v>
      </c>
    </row>
    <row r="2556" spans="1:12" ht="15" customHeight="1" x14ac:dyDescent="0.25">
      <c r="A2556" s="170" t="s">
        <v>1830</v>
      </c>
      <c r="B2556" s="490" t="s">
        <v>1831</v>
      </c>
      <c r="C2556" s="490"/>
      <c r="D2556" s="490"/>
      <c r="E2556" s="490"/>
      <c r="F2556" s="490"/>
      <c r="G2556" s="127" t="s">
        <v>1024</v>
      </c>
      <c r="H2556" s="524">
        <v>7.0000000000000007E-2</v>
      </c>
      <c r="I2556" s="524"/>
      <c r="J2556" s="517">
        <v>19.68</v>
      </c>
      <c r="K2556" s="517"/>
      <c r="L2556" s="370">
        <f>TRUNC(TRUNC(H2556,8)*J2556,2)</f>
        <v>1.37</v>
      </c>
    </row>
    <row r="2557" spans="1:12" ht="15" customHeight="1" x14ac:dyDescent="0.25">
      <c r="A2557" s="184"/>
      <c r="B2557" s="141"/>
      <c r="C2557" s="141"/>
      <c r="D2557" s="141"/>
      <c r="E2557" s="141"/>
      <c r="F2557" s="141"/>
      <c r="G2557" s="141"/>
      <c r="H2557" s="491" t="s">
        <v>1844</v>
      </c>
      <c r="I2557" s="491"/>
      <c r="J2557" s="491"/>
      <c r="K2557" s="491"/>
      <c r="L2557" s="369">
        <f>SUM(L2556:L2556)</f>
        <v>1.37</v>
      </c>
    </row>
    <row r="2558" spans="1:12" ht="15" customHeight="1" x14ac:dyDescent="0.25">
      <c r="A2558" s="182"/>
      <c r="B2558" s="183"/>
      <c r="C2558" s="183"/>
      <c r="D2558" s="183"/>
      <c r="E2558" s="183"/>
      <c r="F2558" s="183"/>
      <c r="G2558" s="183"/>
      <c r="H2558" s="482" t="s">
        <v>1845</v>
      </c>
      <c r="I2558" s="482"/>
      <c r="J2558" s="482"/>
      <c r="K2558" s="482"/>
      <c r="L2558" s="371">
        <f>SUM(L2557)</f>
        <v>1.37</v>
      </c>
    </row>
    <row r="2559" spans="1:12" ht="15" customHeight="1" x14ac:dyDescent="0.25">
      <c r="A2559" s="182"/>
      <c r="B2559" s="183"/>
      <c r="C2559" s="183"/>
      <c r="D2559" s="183"/>
      <c r="E2559" s="183"/>
      <c r="F2559" s="183"/>
      <c r="G2559" s="183"/>
      <c r="H2559" s="482" t="s">
        <v>1846</v>
      </c>
      <c r="I2559" s="482"/>
      <c r="J2559" s="482"/>
      <c r="K2559" s="482"/>
      <c r="L2559" s="374">
        <v>1</v>
      </c>
    </row>
    <row r="2560" spans="1:12" ht="15" customHeight="1" x14ac:dyDescent="0.25">
      <c r="A2560" s="182"/>
      <c r="B2560" s="183"/>
      <c r="C2560" s="183"/>
      <c r="D2560" s="183"/>
      <c r="E2560" s="183"/>
      <c r="F2560" s="183"/>
      <c r="G2560" s="183"/>
      <c r="H2560" s="482" t="s">
        <v>1847</v>
      </c>
      <c r="I2560" s="482"/>
      <c r="J2560" s="482"/>
      <c r="K2560" s="482"/>
      <c r="L2560" s="371">
        <f>TRUNC(L2558/L2559,4)</f>
        <v>1.37</v>
      </c>
    </row>
    <row r="2561" spans="1:12" ht="15" customHeight="1" x14ac:dyDescent="0.25">
      <c r="A2561" s="182"/>
      <c r="B2561" s="183"/>
      <c r="C2561" s="183"/>
      <c r="D2561" s="183"/>
      <c r="E2561" s="183"/>
      <c r="F2561" s="183"/>
      <c r="G2561" s="183"/>
      <c r="H2561" s="482" t="s">
        <v>1848</v>
      </c>
      <c r="I2561" s="482"/>
      <c r="J2561" s="482"/>
      <c r="K2561" s="482"/>
      <c r="L2561" s="371">
        <f>SUM(L2560)</f>
        <v>1.37</v>
      </c>
    </row>
    <row r="2562" spans="1:12" ht="15" customHeight="1" x14ac:dyDescent="0.25">
      <c r="A2562" s="182"/>
      <c r="B2562" s="183"/>
      <c r="C2562" s="183"/>
      <c r="D2562" s="183"/>
      <c r="E2562" s="183"/>
      <c r="F2562" s="183"/>
      <c r="G2562" s="183"/>
      <c r="H2562" s="482" t="s">
        <v>1834</v>
      </c>
      <c r="I2562" s="482"/>
      <c r="J2562" s="482"/>
      <c r="K2562" s="482"/>
      <c r="L2562" s="369">
        <f>ROUND(SUM(L2561),2)</f>
        <v>1.37</v>
      </c>
    </row>
    <row r="2563" spans="1:12" ht="9.9499999999999993" customHeight="1" x14ac:dyDescent="0.25">
      <c r="A2563" s="182"/>
      <c r="B2563" s="183"/>
      <c r="C2563" s="183"/>
      <c r="D2563" s="183"/>
      <c r="E2563" s="183"/>
      <c r="F2563" s="183"/>
      <c r="G2563" s="183"/>
      <c r="H2563" s="485"/>
      <c r="I2563" s="485"/>
      <c r="J2563" s="485"/>
      <c r="K2563" s="485"/>
      <c r="L2563" s="512"/>
    </row>
    <row r="2564" spans="1:12" ht="20.100000000000001" customHeight="1" x14ac:dyDescent="0.25">
      <c r="A2564" s="486" t="s">
        <v>3906</v>
      </c>
      <c r="B2564" s="487"/>
      <c r="C2564" s="487"/>
      <c r="D2564" s="487"/>
      <c r="E2564" s="487"/>
      <c r="F2564" s="487"/>
      <c r="G2564" s="487"/>
      <c r="H2564" s="487"/>
      <c r="I2564" s="487"/>
      <c r="J2564" s="487"/>
      <c r="K2564" s="487"/>
      <c r="L2564" s="513"/>
    </row>
    <row r="2565" spans="1:12" ht="20.100000000000001" customHeight="1" x14ac:dyDescent="0.25">
      <c r="A2565" s="488" t="s">
        <v>1836</v>
      </c>
      <c r="B2565" s="489"/>
      <c r="C2565" s="489"/>
      <c r="D2565" s="489"/>
      <c r="E2565" s="489"/>
      <c r="F2565" s="489"/>
      <c r="G2565" s="233" t="s">
        <v>44</v>
      </c>
      <c r="H2565" s="515" t="s">
        <v>1837</v>
      </c>
      <c r="I2565" s="515"/>
      <c r="J2565" s="515" t="s">
        <v>1838</v>
      </c>
      <c r="K2565" s="515"/>
      <c r="L2565" s="169" t="s">
        <v>1839</v>
      </c>
    </row>
    <row r="2566" spans="1:12" ht="15" customHeight="1" x14ac:dyDescent="0.25">
      <c r="A2566" s="170" t="s">
        <v>1830</v>
      </c>
      <c r="B2566" s="490" t="s">
        <v>1831</v>
      </c>
      <c r="C2566" s="490"/>
      <c r="D2566" s="490"/>
      <c r="E2566" s="490"/>
      <c r="F2566" s="490"/>
      <c r="G2566" s="127" t="s">
        <v>1024</v>
      </c>
      <c r="H2566" s="524">
        <v>0.1</v>
      </c>
      <c r="I2566" s="524"/>
      <c r="J2566" s="517">
        <v>19.68</v>
      </c>
      <c r="K2566" s="517"/>
      <c r="L2566" s="370">
        <f>TRUNC(TRUNC(H2566,8)*J2566,2)</f>
        <v>1.96</v>
      </c>
    </row>
    <row r="2567" spans="1:12" ht="15" customHeight="1" x14ac:dyDescent="0.25">
      <c r="A2567" s="184"/>
      <c r="B2567" s="141"/>
      <c r="C2567" s="141"/>
      <c r="D2567" s="141"/>
      <c r="E2567" s="141"/>
      <c r="F2567" s="141"/>
      <c r="G2567" s="141"/>
      <c r="H2567" s="491" t="s">
        <v>1844</v>
      </c>
      <c r="I2567" s="491"/>
      <c r="J2567" s="491"/>
      <c r="K2567" s="491"/>
      <c r="L2567" s="369">
        <f>SUM(L2566:L2566)</f>
        <v>1.96</v>
      </c>
    </row>
    <row r="2568" spans="1:12" ht="15" customHeight="1" x14ac:dyDescent="0.25">
      <c r="A2568" s="182"/>
      <c r="B2568" s="183"/>
      <c r="C2568" s="183"/>
      <c r="D2568" s="183"/>
      <c r="E2568" s="183"/>
      <c r="F2568" s="183"/>
      <c r="G2568" s="183"/>
      <c r="H2568" s="482" t="s">
        <v>1845</v>
      </c>
      <c r="I2568" s="482"/>
      <c r="J2568" s="482"/>
      <c r="K2568" s="482"/>
      <c r="L2568" s="371">
        <f>SUM(L2567)</f>
        <v>1.96</v>
      </c>
    </row>
    <row r="2569" spans="1:12" ht="15" customHeight="1" x14ac:dyDescent="0.25">
      <c r="A2569" s="182"/>
      <c r="B2569" s="183"/>
      <c r="C2569" s="183"/>
      <c r="D2569" s="183"/>
      <c r="E2569" s="183"/>
      <c r="F2569" s="183"/>
      <c r="G2569" s="183"/>
      <c r="H2569" s="482" t="s">
        <v>1846</v>
      </c>
      <c r="I2569" s="482"/>
      <c r="J2569" s="482"/>
      <c r="K2569" s="482"/>
      <c r="L2569" s="374">
        <v>1</v>
      </c>
    </row>
    <row r="2570" spans="1:12" ht="15" customHeight="1" x14ac:dyDescent="0.25">
      <c r="A2570" s="182"/>
      <c r="B2570" s="183"/>
      <c r="C2570" s="183"/>
      <c r="D2570" s="183"/>
      <c r="E2570" s="183"/>
      <c r="F2570" s="183"/>
      <c r="G2570" s="183"/>
      <c r="H2570" s="482" t="s">
        <v>1847</v>
      </c>
      <c r="I2570" s="482"/>
      <c r="J2570" s="482"/>
      <c r="K2570" s="482"/>
      <c r="L2570" s="371">
        <f>TRUNC(L2568/L2569,4)</f>
        <v>1.96</v>
      </c>
    </row>
    <row r="2571" spans="1:12" ht="20.100000000000001" customHeight="1" x14ac:dyDescent="0.25">
      <c r="A2571" s="488" t="s">
        <v>2009</v>
      </c>
      <c r="B2571" s="489"/>
      <c r="C2571" s="489"/>
      <c r="D2571" s="489"/>
      <c r="E2571" s="489"/>
      <c r="F2571" s="489"/>
      <c r="G2571" s="233" t="s">
        <v>44</v>
      </c>
      <c r="H2571" s="515" t="s">
        <v>1837</v>
      </c>
      <c r="I2571" s="515"/>
      <c r="J2571" s="515" t="s">
        <v>1814</v>
      </c>
      <c r="K2571" s="515"/>
      <c r="L2571" s="169" t="s">
        <v>1882</v>
      </c>
    </row>
    <row r="2572" spans="1:12" ht="15" customHeight="1" x14ac:dyDescent="0.25">
      <c r="A2572" s="170" t="s">
        <v>3907</v>
      </c>
      <c r="B2572" s="492" t="s">
        <v>3908</v>
      </c>
      <c r="C2572" s="492"/>
      <c r="D2572" s="492"/>
      <c r="E2572" s="492"/>
      <c r="F2572" s="492"/>
      <c r="G2572" s="127"/>
      <c r="H2572" s="526">
        <v>1</v>
      </c>
      <c r="I2572" s="526"/>
      <c r="J2572" s="525">
        <v>0.49</v>
      </c>
      <c r="K2572" s="525"/>
      <c r="L2572" s="171">
        <f>TRUNC(TRUNC(H2572,8)*J2572,2)</f>
        <v>0.49</v>
      </c>
    </row>
    <row r="2573" spans="1:12" ht="15" customHeight="1" x14ac:dyDescent="0.25">
      <c r="A2573" s="170" t="s">
        <v>3909</v>
      </c>
      <c r="B2573" s="492" t="s">
        <v>3910</v>
      </c>
      <c r="C2573" s="492"/>
      <c r="D2573" s="492"/>
      <c r="E2573" s="492"/>
      <c r="F2573" s="492"/>
      <c r="G2573" s="127"/>
      <c r="H2573" s="526">
        <v>1</v>
      </c>
      <c r="I2573" s="526"/>
      <c r="J2573" s="525">
        <v>4.92</v>
      </c>
      <c r="K2573" s="525"/>
      <c r="L2573" s="171">
        <f>TRUNC(TRUNC(H2573,8)*J2573,2)</f>
        <v>4.92</v>
      </c>
    </row>
    <row r="2574" spans="1:12" ht="15.95" customHeight="1" x14ac:dyDescent="0.25">
      <c r="A2574" s="170" t="s">
        <v>3911</v>
      </c>
      <c r="B2574" s="492" t="s">
        <v>3912</v>
      </c>
      <c r="C2574" s="492"/>
      <c r="D2574" s="492"/>
      <c r="E2574" s="492"/>
      <c r="F2574" s="492"/>
      <c r="G2574" s="127"/>
      <c r="H2574" s="526">
        <v>0.5</v>
      </c>
      <c r="I2574" s="526"/>
      <c r="J2574" s="525">
        <v>1.47</v>
      </c>
      <c r="K2574" s="525"/>
      <c r="L2574" s="171">
        <f>TRUNC(TRUNC(H2574,8)*J2574,2)</f>
        <v>0.73</v>
      </c>
    </row>
    <row r="2575" spans="1:12" ht="15" customHeight="1" x14ac:dyDescent="0.25">
      <c r="A2575" s="170" t="s">
        <v>3913</v>
      </c>
      <c r="B2575" s="492" t="s">
        <v>3914</v>
      </c>
      <c r="C2575" s="492"/>
      <c r="D2575" s="492"/>
      <c r="E2575" s="492"/>
      <c r="F2575" s="492"/>
      <c r="G2575" s="127"/>
      <c r="H2575" s="526">
        <v>1</v>
      </c>
      <c r="I2575" s="526"/>
      <c r="J2575" s="525">
        <v>1.78</v>
      </c>
      <c r="K2575" s="525"/>
      <c r="L2575" s="171">
        <f>TRUNC(TRUNC(H2575,8)*J2575,2)</f>
        <v>1.78</v>
      </c>
    </row>
    <row r="2576" spans="1:12" ht="15" customHeight="1" x14ac:dyDescent="0.25">
      <c r="A2576" s="184"/>
      <c r="B2576" s="141"/>
      <c r="C2576" s="141"/>
      <c r="D2576" s="141"/>
      <c r="E2576" s="141"/>
      <c r="F2576" s="141"/>
      <c r="G2576" s="141"/>
      <c r="H2576" s="491" t="s">
        <v>2014</v>
      </c>
      <c r="I2576" s="491"/>
      <c r="J2576" s="491"/>
      <c r="K2576" s="491"/>
      <c r="L2576" s="375">
        <f>SUM(L2572:L2575)</f>
        <v>7.9200000000000008</v>
      </c>
    </row>
    <row r="2577" spans="1:12" ht="15" customHeight="1" x14ac:dyDescent="0.25">
      <c r="A2577" s="182"/>
      <c r="B2577" s="183"/>
      <c r="C2577" s="183"/>
      <c r="D2577" s="183"/>
      <c r="E2577" s="183"/>
      <c r="F2577" s="183"/>
      <c r="G2577" s="183"/>
      <c r="H2577" s="482" t="s">
        <v>1848</v>
      </c>
      <c r="I2577" s="482"/>
      <c r="J2577" s="482"/>
      <c r="K2577" s="482"/>
      <c r="L2577" s="371">
        <f>SUM(L2570,L2576)</f>
        <v>9.8800000000000008</v>
      </c>
    </row>
    <row r="2578" spans="1:12" ht="15" customHeight="1" x14ac:dyDescent="0.25">
      <c r="A2578" s="182"/>
      <c r="B2578" s="183"/>
      <c r="C2578" s="183"/>
      <c r="D2578" s="183"/>
      <c r="E2578" s="183"/>
      <c r="F2578" s="183"/>
      <c r="G2578" s="183"/>
      <c r="H2578" s="482" t="s">
        <v>1834</v>
      </c>
      <c r="I2578" s="482"/>
      <c r="J2578" s="482"/>
      <c r="K2578" s="482"/>
      <c r="L2578" s="369">
        <f>ROUND(SUM(L2577),2)</f>
        <v>9.8800000000000008</v>
      </c>
    </row>
    <row r="2579" spans="1:12" ht="34.5" customHeight="1" x14ac:dyDescent="0.25">
      <c r="A2579" s="182"/>
      <c r="B2579" s="183"/>
      <c r="C2579" s="183"/>
      <c r="D2579" s="183"/>
      <c r="E2579" s="183"/>
      <c r="F2579" s="183"/>
      <c r="G2579" s="183"/>
      <c r="H2579" s="340"/>
      <c r="I2579" s="340"/>
      <c r="J2579" s="340"/>
      <c r="K2579" s="340"/>
      <c r="L2579" s="381"/>
    </row>
    <row r="2580" spans="1:12" ht="26.1" customHeight="1" thickBot="1" x14ac:dyDescent="0.3">
      <c r="A2580" s="468" t="s">
        <v>25</v>
      </c>
      <c r="B2580" s="469"/>
      <c r="C2580" s="469"/>
      <c r="D2580" s="469"/>
      <c r="E2580" s="469"/>
      <c r="F2580" s="469"/>
      <c r="G2580" s="469"/>
      <c r="H2580" s="469"/>
      <c r="I2580" s="469"/>
      <c r="J2580" s="469"/>
      <c r="K2580" s="469"/>
      <c r="L2580" s="470"/>
    </row>
  </sheetData>
  <mergeCells count="5838">
    <mergeCell ref="A2571:F2571"/>
    <mergeCell ref="H2571:I2571"/>
    <mergeCell ref="J2571:K2571"/>
    <mergeCell ref="B2572:F2572"/>
    <mergeCell ref="H2572:I2572"/>
    <mergeCell ref="J2572:K2572"/>
    <mergeCell ref="B2573:F2573"/>
    <mergeCell ref="H2573:I2573"/>
    <mergeCell ref="J2573:K2573"/>
    <mergeCell ref="H2576:K2576"/>
    <mergeCell ref="H2577:K2577"/>
    <mergeCell ref="H2578:K2578"/>
    <mergeCell ref="A2580:L2580"/>
    <mergeCell ref="B2574:F2574"/>
    <mergeCell ref="H2574:I2574"/>
    <mergeCell ref="J2574:K2574"/>
    <mergeCell ref="B2575:F2575"/>
    <mergeCell ref="H2575:I2575"/>
    <mergeCell ref="J2575:K2575"/>
    <mergeCell ref="H2558:K2558"/>
    <mergeCell ref="H2559:K2559"/>
    <mergeCell ref="H2560:K2560"/>
    <mergeCell ref="H2561:K2561"/>
    <mergeCell ref="H2562:K2562"/>
    <mergeCell ref="H2563:L2563"/>
    <mergeCell ref="A2564:L2564"/>
    <mergeCell ref="A2565:F2565"/>
    <mergeCell ref="H2565:I2565"/>
    <mergeCell ref="J2565:K2565"/>
    <mergeCell ref="B2566:F2566"/>
    <mergeCell ref="H2566:I2566"/>
    <mergeCell ref="J2566:K2566"/>
    <mergeCell ref="H2567:K2567"/>
    <mergeCell ref="H2568:K2568"/>
    <mergeCell ref="H2569:K2569"/>
    <mergeCell ref="H2570:K2570"/>
    <mergeCell ref="B2549:C2549"/>
    <mergeCell ref="D2549:F2549"/>
    <mergeCell ref="H2549:I2549"/>
    <mergeCell ref="J2549:K2549"/>
    <mergeCell ref="B2550:C2550"/>
    <mergeCell ref="D2550:F2550"/>
    <mergeCell ref="H2550:I2550"/>
    <mergeCell ref="J2550:K2550"/>
    <mergeCell ref="H2551:K2551"/>
    <mergeCell ref="A2552:D2552"/>
    <mergeCell ref="H2552:K2552"/>
    <mergeCell ref="H2553:L2553"/>
    <mergeCell ref="A2554:L2554"/>
    <mergeCell ref="B2556:F2556"/>
    <mergeCell ref="H2556:I2556"/>
    <mergeCell ref="J2556:K2556"/>
    <mergeCell ref="H2557:K2557"/>
    <mergeCell ref="A2538:C2538"/>
    <mergeCell ref="D2538:F2538"/>
    <mergeCell ref="H2538:I2538"/>
    <mergeCell ref="J2538:K2538"/>
    <mergeCell ref="B2539:C2539"/>
    <mergeCell ref="D2539:F2539"/>
    <mergeCell ref="H2539:I2539"/>
    <mergeCell ref="J2539:K2539"/>
    <mergeCell ref="A2555:F2555"/>
    <mergeCell ref="H2555:I2555"/>
    <mergeCell ref="J2555:K2555"/>
    <mergeCell ref="B2540:C2540"/>
    <mergeCell ref="D2540:F2540"/>
    <mergeCell ref="H2540:I2540"/>
    <mergeCell ref="J2540:K2540"/>
    <mergeCell ref="H2541:K2541"/>
    <mergeCell ref="H2542:K2542"/>
    <mergeCell ref="H2543:L2543"/>
    <mergeCell ref="A2544:L2544"/>
    <mergeCell ref="A2545:C2545"/>
    <mergeCell ref="D2545:F2545"/>
    <mergeCell ref="H2545:I2545"/>
    <mergeCell ref="J2545:K2545"/>
    <mergeCell ref="B2546:C2546"/>
    <mergeCell ref="D2546:F2546"/>
    <mergeCell ref="H2546:I2546"/>
    <mergeCell ref="J2546:K2546"/>
    <mergeCell ref="H2547:K2547"/>
    <mergeCell ref="A2548:C2548"/>
    <mergeCell ref="D2548:F2548"/>
    <mergeCell ref="H2548:I2548"/>
    <mergeCell ref="J2548:K2548"/>
    <mergeCell ref="B2530:C2530"/>
    <mergeCell ref="D2530:F2530"/>
    <mergeCell ref="H2530:I2530"/>
    <mergeCell ref="J2530:K2530"/>
    <mergeCell ref="H2532:K2532"/>
    <mergeCell ref="H2533:L2533"/>
    <mergeCell ref="A2534:L2534"/>
    <mergeCell ref="A2535:C2535"/>
    <mergeCell ref="D2535:F2535"/>
    <mergeCell ref="H2535:I2535"/>
    <mergeCell ref="J2535:K2535"/>
    <mergeCell ref="B2536:C2536"/>
    <mergeCell ref="D2536:F2536"/>
    <mergeCell ref="H2536:I2536"/>
    <mergeCell ref="J2536:K2536"/>
    <mergeCell ref="H2531:K2531"/>
    <mergeCell ref="H2537:K2537"/>
    <mergeCell ref="H2522:K2522"/>
    <mergeCell ref="H2523:L2523"/>
    <mergeCell ref="A2524:L2524"/>
    <mergeCell ref="D2529:F2529"/>
    <mergeCell ref="H2529:I2529"/>
    <mergeCell ref="J2529:K2529"/>
    <mergeCell ref="A2525:C2525"/>
    <mergeCell ref="D2525:F2525"/>
    <mergeCell ref="H2525:I2525"/>
    <mergeCell ref="J2525:K2525"/>
    <mergeCell ref="B2526:C2526"/>
    <mergeCell ref="D2526:F2526"/>
    <mergeCell ref="H2526:I2526"/>
    <mergeCell ref="J2526:K2526"/>
    <mergeCell ref="H2527:K2527"/>
    <mergeCell ref="A2528:C2528"/>
    <mergeCell ref="D2528:F2528"/>
    <mergeCell ref="H2528:I2528"/>
    <mergeCell ref="J2528:K2528"/>
    <mergeCell ref="B2529:C2529"/>
    <mergeCell ref="A2511:C2511"/>
    <mergeCell ref="D2511:F2511"/>
    <mergeCell ref="H2511:I2511"/>
    <mergeCell ref="J2511:K2511"/>
    <mergeCell ref="B2512:C2512"/>
    <mergeCell ref="D2512:F2512"/>
    <mergeCell ref="H2512:I2512"/>
    <mergeCell ref="J2512:K2512"/>
    <mergeCell ref="B2513:C2513"/>
    <mergeCell ref="D2513:F2513"/>
    <mergeCell ref="H2513:I2513"/>
    <mergeCell ref="J2513:K2513"/>
    <mergeCell ref="H2514:K2514"/>
    <mergeCell ref="A2515:C2515"/>
    <mergeCell ref="D2515:F2515"/>
    <mergeCell ref="H2515:I2515"/>
    <mergeCell ref="J2515:K2515"/>
    <mergeCell ref="H2517:K2517"/>
    <mergeCell ref="A2518:C2518"/>
    <mergeCell ref="D2518:F2518"/>
    <mergeCell ref="H2518:I2518"/>
    <mergeCell ref="J2518:K2518"/>
    <mergeCell ref="B2519:C2519"/>
    <mergeCell ref="D2519:F2519"/>
    <mergeCell ref="H2519:I2519"/>
    <mergeCell ref="J2519:K2519"/>
    <mergeCell ref="B2520:C2520"/>
    <mergeCell ref="D2520:F2520"/>
    <mergeCell ref="H2520:I2520"/>
    <mergeCell ref="J2520:K2520"/>
    <mergeCell ref="H2521:K2521"/>
    <mergeCell ref="H2493:K2493"/>
    <mergeCell ref="H2494:K2494"/>
    <mergeCell ref="H2495:L2495"/>
    <mergeCell ref="A2496:L2496"/>
    <mergeCell ref="A2497:F2497"/>
    <mergeCell ref="H2497:I2497"/>
    <mergeCell ref="J2497:K2497"/>
    <mergeCell ref="B2498:F2498"/>
    <mergeCell ref="H2498:I2498"/>
    <mergeCell ref="J2498:K2498"/>
    <mergeCell ref="B2516:C2516"/>
    <mergeCell ref="D2516:F2516"/>
    <mergeCell ref="H2516:I2516"/>
    <mergeCell ref="J2516:K2516"/>
    <mergeCell ref="H2499:K2499"/>
    <mergeCell ref="H2500:K2500"/>
    <mergeCell ref="H2501:K2501"/>
    <mergeCell ref="H2502:K2502"/>
    <mergeCell ref="A2503:F2503"/>
    <mergeCell ref="H2503:I2503"/>
    <mergeCell ref="J2503:K2503"/>
    <mergeCell ref="B2504:F2504"/>
    <mergeCell ref="H2504:I2504"/>
    <mergeCell ref="J2504:K2504"/>
    <mergeCell ref="B2505:F2505"/>
    <mergeCell ref="H2505:I2505"/>
    <mergeCell ref="J2505:K2505"/>
    <mergeCell ref="H2506:K2506"/>
    <mergeCell ref="H2507:K2507"/>
    <mergeCell ref="H2508:K2508"/>
    <mergeCell ref="H2509:L2509"/>
    <mergeCell ref="A2510:L2510"/>
    <mergeCell ref="H2486:K2486"/>
    <mergeCell ref="A2487:F2487"/>
    <mergeCell ref="H2487:I2487"/>
    <mergeCell ref="J2487:K2487"/>
    <mergeCell ref="B2488:F2488"/>
    <mergeCell ref="H2488:I2488"/>
    <mergeCell ref="J2488:K2488"/>
    <mergeCell ref="B2489:F2489"/>
    <mergeCell ref="H2489:I2489"/>
    <mergeCell ref="J2489:K2489"/>
    <mergeCell ref="B2490:F2490"/>
    <mergeCell ref="H2490:I2490"/>
    <mergeCell ref="J2490:K2490"/>
    <mergeCell ref="B2491:F2491"/>
    <mergeCell ref="H2491:I2491"/>
    <mergeCell ref="J2491:K2491"/>
    <mergeCell ref="H2492:K2492"/>
    <mergeCell ref="B2477:F2477"/>
    <mergeCell ref="H2477:I2477"/>
    <mergeCell ref="J2477:K2477"/>
    <mergeCell ref="H2478:K2478"/>
    <mergeCell ref="H2479:K2479"/>
    <mergeCell ref="H2480:K2480"/>
    <mergeCell ref="H2481:K2481"/>
    <mergeCell ref="A2482:F2482"/>
    <mergeCell ref="H2482:I2482"/>
    <mergeCell ref="J2482:K2482"/>
    <mergeCell ref="B2483:F2483"/>
    <mergeCell ref="H2483:I2483"/>
    <mergeCell ref="J2483:K2483"/>
    <mergeCell ref="B2484:F2484"/>
    <mergeCell ref="H2484:I2484"/>
    <mergeCell ref="J2484:K2484"/>
    <mergeCell ref="B2485:F2485"/>
    <mergeCell ref="H2485:I2485"/>
    <mergeCell ref="J2485:K2485"/>
    <mergeCell ref="H2468:I2468"/>
    <mergeCell ref="J2468:K2468"/>
    <mergeCell ref="B2469:C2469"/>
    <mergeCell ref="D2469:F2469"/>
    <mergeCell ref="H2469:I2469"/>
    <mergeCell ref="J2469:K2469"/>
    <mergeCell ref="B2470:C2470"/>
    <mergeCell ref="D2470:F2470"/>
    <mergeCell ref="H2470:I2470"/>
    <mergeCell ref="J2470:K2470"/>
    <mergeCell ref="H2472:K2472"/>
    <mergeCell ref="H2473:L2473"/>
    <mergeCell ref="A2474:L2474"/>
    <mergeCell ref="A2475:F2475"/>
    <mergeCell ref="H2475:I2475"/>
    <mergeCell ref="J2475:K2475"/>
    <mergeCell ref="B2476:F2476"/>
    <mergeCell ref="H2476:I2476"/>
    <mergeCell ref="J2476:K2476"/>
    <mergeCell ref="H2456:K2456"/>
    <mergeCell ref="H2457:L2457"/>
    <mergeCell ref="A2458:L2458"/>
    <mergeCell ref="H2471:K2471"/>
    <mergeCell ref="B2460:C2460"/>
    <mergeCell ref="D2460:F2460"/>
    <mergeCell ref="H2460:I2460"/>
    <mergeCell ref="J2460:K2460"/>
    <mergeCell ref="B2461:C2461"/>
    <mergeCell ref="D2461:F2461"/>
    <mergeCell ref="H2461:I2461"/>
    <mergeCell ref="J2461:K2461"/>
    <mergeCell ref="B2462:C2462"/>
    <mergeCell ref="D2462:F2462"/>
    <mergeCell ref="H2462:I2462"/>
    <mergeCell ref="J2462:K2462"/>
    <mergeCell ref="H2463:K2463"/>
    <mergeCell ref="A2464:C2464"/>
    <mergeCell ref="D2464:F2464"/>
    <mergeCell ref="H2464:I2464"/>
    <mergeCell ref="J2464:K2464"/>
    <mergeCell ref="B2465:C2465"/>
    <mergeCell ref="D2465:F2465"/>
    <mergeCell ref="H2465:I2465"/>
    <mergeCell ref="J2465:K2465"/>
    <mergeCell ref="B2466:C2466"/>
    <mergeCell ref="D2466:F2466"/>
    <mergeCell ref="H2466:I2466"/>
    <mergeCell ref="J2466:K2466"/>
    <mergeCell ref="H2467:K2467"/>
    <mergeCell ref="A2468:C2468"/>
    <mergeCell ref="D2468:F2468"/>
    <mergeCell ref="D2450:F2450"/>
    <mergeCell ref="H2450:I2450"/>
    <mergeCell ref="J2450:K2450"/>
    <mergeCell ref="H2451:K2451"/>
    <mergeCell ref="A2452:C2452"/>
    <mergeCell ref="D2452:F2452"/>
    <mergeCell ref="H2452:I2452"/>
    <mergeCell ref="J2452:K2452"/>
    <mergeCell ref="B2453:C2453"/>
    <mergeCell ref="D2453:F2453"/>
    <mergeCell ref="H2453:I2453"/>
    <mergeCell ref="J2453:K2453"/>
    <mergeCell ref="B2454:C2454"/>
    <mergeCell ref="D2454:F2454"/>
    <mergeCell ref="H2454:I2454"/>
    <mergeCell ref="J2454:K2454"/>
    <mergeCell ref="H2455:K2455"/>
    <mergeCell ref="B2438:F2438"/>
    <mergeCell ref="H2438:I2438"/>
    <mergeCell ref="J2438:K2438"/>
    <mergeCell ref="H2439:K2439"/>
    <mergeCell ref="A2440:F2440"/>
    <mergeCell ref="H2440:I2440"/>
    <mergeCell ref="J2440:K2440"/>
    <mergeCell ref="B2441:F2441"/>
    <mergeCell ref="H2441:I2441"/>
    <mergeCell ref="J2441:K2441"/>
    <mergeCell ref="A2459:C2459"/>
    <mergeCell ref="D2459:F2459"/>
    <mergeCell ref="H2459:I2459"/>
    <mergeCell ref="J2459:K2459"/>
    <mergeCell ref="H2442:K2442"/>
    <mergeCell ref="H2443:K2443"/>
    <mergeCell ref="H2444:K2444"/>
    <mergeCell ref="H2445:L2445"/>
    <mergeCell ref="A2446:L2446"/>
    <mergeCell ref="A2447:C2447"/>
    <mergeCell ref="D2447:F2447"/>
    <mergeCell ref="H2447:I2447"/>
    <mergeCell ref="J2447:K2447"/>
    <mergeCell ref="B2448:C2448"/>
    <mergeCell ref="D2448:F2448"/>
    <mergeCell ref="H2448:I2448"/>
    <mergeCell ref="J2448:K2448"/>
    <mergeCell ref="B2449:C2449"/>
    <mergeCell ref="D2449:F2449"/>
    <mergeCell ref="H2449:I2449"/>
    <mergeCell ref="J2449:K2449"/>
    <mergeCell ref="B2450:C2450"/>
    <mergeCell ref="H2430:K2430"/>
    <mergeCell ref="H2431:K2431"/>
    <mergeCell ref="A2432:F2432"/>
    <mergeCell ref="H2432:I2432"/>
    <mergeCell ref="J2432:K2432"/>
    <mergeCell ref="B2433:F2433"/>
    <mergeCell ref="H2433:I2433"/>
    <mergeCell ref="J2433:K2433"/>
    <mergeCell ref="B2435:F2435"/>
    <mergeCell ref="H2435:I2435"/>
    <mergeCell ref="J2435:K2435"/>
    <mergeCell ref="B2436:F2436"/>
    <mergeCell ref="H2436:I2436"/>
    <mergeCell ref="J2436:K2436"/>
    <mergeCell ref="B2437:F2437"/>
    <mergeCell ref="H2437:I2437"/>
    <mergeCell ref="J2437:K2437"/>
    <mergeCell ref="B2434:F2434"/>
    <mergeCell ref="H2434:I2434"/>
    <mergeCell ref="J2434:K2434"/>
    <mergeCell ref="H2420:K2420"/>
    <mergeCell ref="A2421:D2421"/>
    <mergeCell ref="H2421:K2421"/>
    <mergeCell ref="H2422:L2422"/>
    <mergeCell ref="A2423:L2423"/>
    <mergeCell ref="A2424:F2424"/>
    <mergeCell ref="H2424:I2424"/>
    <mergeCell ref="J2424:K2424"/>
    <mergeCell ref="H2429:K2429"/>
    <mergeCell ref="B2425:F2425"/>
    <mergeCell ref="H2425:I2425"/>
    <mergeCell ref="J2425:K2425"/>
    <mergeCell ref="B2426:F2426"/>
    <mergeCell ref="H2426:I2426"/>
    <mergeCell ref="J2426:K2426"/>
    <mergeCell ref="B2427:F2427"/>
    <mergeCell ref="H2427:I2427"/>
    <mergeCell ref="J2427:K2427"/>
    <mergeCell ref="H2428:K2428"/>
    <mergeCell ref="B2413:F2413"/>
    <mergeCell ref="H2413:I2413"/>
    <mergeCell ref="J2413:K2413"/>
    <mergeCell ref="B2414:F2414"/>
    <mergeCell ref="H2414:I2414"/>
    <mergeCell ref="J2414:K2414"/>
    <mergeCell ref="H2416:K2416"/>
    <mergeCell ref="A2417:F2417"/>
    <mergeCell ref="H2417:I2417"/>
    <mergeCell ref="J2417:K2417"/>
    <mergeCell ref="B2418:F2418"/>
    <mergeCell ref="H2418:I2418"/>
    <mergeCell ref="J2418:K2418"/>
    <mergeCell ref="H2419:K2419"/>
    <mergeCell ref="B2415:F2415"/>
    <mergeCell ref="H2415:I2415"/>
    <mergeCell ref="J2415:K2415"/>
    <mergeCell ref="H2396:K2396"/>
    <mergeCell ref="H2397:K2397"/>
    <mergeCell ref="H2398:L2398"/>
    <mergeCell ref="A2399:L2399"/>
    <mergeCell ref="A2400:F2400"/>
    <mergeCell ref="H2400:I2400"/>
    <mergeCell ref="J2400:K2400"/>
    <mergeCell ref="B2401:F2401"/>
    <mergeCell ref="H2401:I2401"/>
    <mergeCell ref="J2401:K2401"/>
    <mergeCell ref="B2402:F2402"/>
    <mergeCell ref="H2402:I2402"/>
    <mergeCell ref="J2402:K2402"/>
    <mergeCell ref="B2403:F2403"/>
    <mergeCell ref="H2403:I2403"/>
    <mergeCell ref="J2403:K2403"/>
    <mergeCell ref="B2412:F2412"/>
    <mergeCell ref="H2412:I2412"/>
    <mergeCell ref="J2412:K2412"/>
    <mergeCell ref="H2404:K2404"/>
    <mergeCell ref="B2409:F2409"/>
    <mergeCell ref="H2409:I2409"/>
    <mergeCell ref="J2409:K2409"/>
    <mergeCell ref="B2410:F2410"/>
    <mergeCell ref="H2410:I2410"/>
    <mergeCell ref="J2410:K2410"/>
    <mergeCell ref="B2411:F2411"/>
    <mergeCell ref="H2411:I2411"/>
    <mergeCell ref="J2411:K2411"/>
    <mergeCell ref="B2387:C2387"/>
    <mergeCell ref="D2387:F2387"/>
    <mergeCell ref="H2387:I2387"/>
    <mergeCell ref="J2387:K2387"/>
    <mergeCell ref="B2388:C2388"/>
    <mergeCell ref="D2388:F2388"/>
    <mergeCell ref="H2388:I2388"/>
    <mergeCell ref="J2388:K2388"/>
    <mergeCell ref="H2405:K2405"/>
    <mergeCell ref="H2406:K2406"/>
    <mergeCell ref="H2407:K2407"/>
    <mergeCell ref="A2408:F2408"/>
    <mergeCell ref="H2408:I2408"/>
    <mergeCell ref="J2408:K2408"/>
    <mergeCell ref="B2390:C2390"/>
    <mergeCell ref="D2390:F2390"/>
    <mergeCell ref="H2390:I2390"/>
    <mergeCell ref="J2390:K2390"/>
    <mergeCell ref="H2391:K2391"/>
    <mergeCell ref="A2392:C2392"/>
    <mergeCell ref="D2392:F2392"/>
    <mergeCell ref="H2392:I2392"/>
    <mergeCell ref="J2392:K2392"/>
    <mergeCell ref="B2393:C2393"/>
    <mergeCell ref="D2393:F2393"/>
    <mergeCell ref="H2393:I2393"/>
    <mergeCell ref="J2393:K2393"/>
    <mergeCell ref="B2394:C2394"/>
    <mergeCell ref="D2394:F2394"/>
    <mergeCell ref="H2394:I2394"/>
    <mergeCell ref="J2394:K2394"/>
    <mergeCell ref="B2395:C2395"/>
    <mergeCell ref="H2378:I2378"/>
    <mergeCell ref="J2378:K2378"/>
    <mergeCell ref="B2379:F2379"/>
    <mergeCell ref="H2379:I2379"/>
    <mergeCell ref="J2379:K2379"/>
    <mergeCell ref="B2380:F2380"/>
    <mergeCell ref="H2380:I2380"/>
    <mergeCell ref="J2380:K2380"/>
    <mergeCell ref="H2381:K2381"/>
    <mergeCell ref="H2382:K2382"/>
    <mergeCell ref="H2383:K2383"/>
    <mergeCell ref="H2384:L2384"/>
    <mergeCell ref="A2385:L2385"/>
    <mergeCell ref="A2386:C2386"/>
    <mergeCell ref="D2386:F2386"/>
    <mergeCell ref="H2386:I2386"/>
    <mergeCell ref="J2386:K2386"/>
    <mergeCell ref="D2395:F2395"/>
    <mergeCell ref="H2395:I2395"/>
    <mergeCell ref="J2395:K2395"/>
    <mergeCell ref="H2362:K2362"/>
    <mergeCell ref="A2363:F2363"/>
    <mergeCell ref="H2363:I2363"/>
    <mergeCell ref="J2363:K2363"/>
    <mergeCell ref="B2364:F2364"/>
    <mergeCell ref="H2364:I2364"/>
    <mergeCell ref="J2364:K2364"/>
    <mergeCell ref="B2365:F2365"/>
    <mergeCell ref="H2365:I2365"/>
    <mergeCell ref="J2365:K2365"/>
    <mergeCell ref="B2366:F2366"/>
    <mergeCell ref="H2366:I2366"/>
    <mergeCell ref="J2366:K2366"/>
    <mergeCell ref="H2367:K2367"/>
    <mergeCell ref="B2389:C2389"/>
    <mergeCell ref="D2389:F2389"/>
    <mergeCell ref="H2389:I2389"/>
    <mergeCell ref="J2389:K2389"/>
    <mergeCell ref="H2369:K2369"/>
    <mergeCell ref="H2370:L2370"/>
    <mergeCell ref="A2371:L2371"/>
    <mergeCell ref="A2372:F2372"/>
    <mergeCell ref="H2372:I2372"/>
    <mergeCell ref="J2372:K2372"/>
    <mergeCell ref="B2373:F2373"/>
    <mergeCell ref="H2373:I2373"/>
    <mergeCell ref="J2373:K2373"/>
    <mergeCell ref="H2374:K2374"/>
    <mergeCell ref="H2375:K2375"/>
    <mergeCell ref="H2376:K2376"/>
    <mergeCell ref="H2377:K2377"/>
    <mergeCell ref="A2378:F2378"/>
    <mergeCell ref="B2346:C2346"/>
    <mergeCell ref="D2346:E2346"/>
    <mergeCell ref="F2346:G2346"/>
    <mergeCell ref="H2346:I2346"/>
    <mergeCell ref="J2346:K2346"/>
    <mergeCell ref="H2368:K2368"/>
    <mergeCell ref="H2347:K2347"/>
    <mergeCell ref="A2348:B2349"/>
    <mergeCell ref="C2348:C2349"/>
    <mergeCell ref="D2348:E2349"/>
    <mergeCell ref="F2348:G2348"/>
    <mergeCell ref="H2348:I2348"/>
    <mergeCell ref="J2348:K2348"/>
    <mergeCell ref="L2348:L2349"/>
    <mergeCell ref="D2350:E2350"/>
    <mergeCell ref="H2351:K2351"/>
    <mergeCell ref="H2352:K2352"/>
    <mergeCell ref="H2353:K2353"/>
    <mergeCell ref="H2354:L2354"/>
    <mergeCell ref="A2355:L2355"/>
    <mergeCell ref="A2356:F2356"/>
    <mergeCell ref="H2356:I2356"/>
    <mergeCell ref="J2356:K2356"/>
    <mergeCell ref="B2357:F2357"/>
    <mergeCell ref="H2357:I2357"/>
    <mergeCell ref="J2357:K2357"/>
    <mergeCell ref="B2358:F2358"/>
    <mergeCell ref="H2358:I2358"/>
    <mergeCell ref="J2358:K2358"/>
    <mergeCell ref="H2359:K2359"/>
    <mergeCell ref="H2360:K2360"/>
    <mergeCell ref="H2361:K2361"/>
    <mergeCell ref="H2337:K2337"/>
    <mergeCell ref="H2338:K2338"/>
    <mergeCell ref="A2342:F2342"/>
    <mergeCell ref="H2342:I2342"/>
    <mergeCell ref="J2342:K2342"/>
    <mergeCell ref="B2343:F2343"/>
    <mergeCell ref="H2343:I2343"/>
    <mergeCell ref="J2343:K2343"/>
    <mergeCell ref="H2344:K2344"/>
    <mergeCell ref="A2345:C2345"/>
    <mergeCell ref="D2345:E2345"/>
    <mergeCell ref="F2345:G2345"/>
    <mergeCell ref="H2345:I2345"/>
    <mergeCell ref="J2345:K2345"/>
    <mergeCell ref="H2339:K2339"/>
    <mergeCell ref="H2340:K2340"/>
    <mergeCell ref="H2341:K2341"/>
    <mergeCell ref="B2331:C2331"/>
    <mergeCell ref="D2331:E2331"/>
    <mergeCell ref="H2331:I2331"/>
    <mergeCell ref="J2331:K2331"/>
    <mergeCell ref="A2335:F2335"/>
    <mergeCell ref="H2335:I2335"/>
    <mergeCell ref="J2335:K2335"/>
    <mergeCell ref="B2332:C2332"/>
    <mergeCell ref="D2332:E2332"/>
    <mergeCell ref="H2332:I2332"/>
    <mergeCell ref="J2332:K2332"/>
    <mergeCell ref="B2333:C2333"/>
    <mergeCell ref="D2333:E2333"/>
    <mergeCell ref="H2333:I2333"/>
    <mergeCell ref="J2333:K2333"/>
    <mergeCell ref="H2334:K2334"/>
    <mergeCell ref="B2336:F2336"/>
    <mergeCell ref="H2336:I2336"/>
    <mergeCell ref="J2336:K2336"/>
    <mergeCell ref="B2322:F2322"/>
    <mergeCell ref="H2322:I2322"/>
    <mergeCell ref="J2322:K2322"/>
    <mergeCell ref="A2327:L2327"/>
    <mergeCell ref="A2328:C2329"/>
    <mergeCell ref="D2328:E2329"/>
    <mergeCell ref="F2328:G2328"/>
    <mergeCell ref="H2328:K2328"/>
    <mergeCell ref="L2328:L2329"/>
    <mergeCell ref="H2329:I2329"/>
    <mergeCell ref="J2329:K2329"/>
    <mergeCell ref="B2330:C2330"/>
    <mergeCell ref="D2330:E2330"/>
    <mergeCell ref="H2330:I2330"/>
    <mergeCell ref="J2330:K2330"/>
    <mergeCell ref="H2323:K2323"/>
    <mergeCell ref="H2324:K2324"/>
    <mergeCell ref="H2325:K2325"/>
    <mergeCell ref="H2326:L2326"/>
    <mergeCell ref="J2307:K2307"/>
    <mergeCell ref="B2308:C2308"/>
    <mergeCell ref="D2308:F2308"/>
    <mergeCell ref="H2308:I2308"/>
    <mergeCell ref="J2308:K2308"/>
    <mergeCell ref="H2309:K2309"/>
    <mergeCell ref="A2310:D2310"/>
    <mergeCell ref="H2310:K2310"/>
    <mergeCell ref="H2311:L2311"/>
    <mergeCell ref="A2312:L2312"/>
    <mergeCell ref="A2313:F2313"/>
    <mergeCell ref="H2313:I2313"/>
    <mergeCell ref="J2313:K2313"/>
    <mergeCell ref="H2320:I2320"/>
    <mergeCell ref="J2320:K2320"/>
    <mergeCell ref="B2321:F2321"/>
    <mergeCell ref="H2321:I2321"/>
    <mergeCell ref="J2321:K2321"/>
    <mergeCell ref="B2314:F2314"/>
    <mergeCell ref="H2314:I2314"/>
    <mergeCell ref="J2314:K2314"/>
    <mergeCell ref="B2315:F2315"/>
    <mergeCell ref="H2315:I2315"/>
    <mergeCell ref="J2315:K2315"/>
    <mergeCell ref="H2316:K2316"/>
    <mergeCell ref="H2317:K2317"/>
    <mergeCell ref="H2318:K2318"/>
    <mergeCell ref="H2319:K2319"/>
    <mergeCell ref="A2320:F2320"/>
    <mergeCell ref="H2297:K2297"/>
    <mergeCell ref="H2298:K2298"/>
    <mergeCell ref="H2299:L2299"/>
    <mergeCell ref="A2300:L2300"/>
    <mergeCell ref="A2301:C2301"/>
    <mergeCell ref="D2301:F2301"/>
    <mergeCell ref="H2301:I2301"/>
    <mergeCell ref="J2301:K2301"/>
    <mergeCell ref="B2302:C2302"/>
    <mergeCell ref="D2302:F2302"/>
    <mergeCell ref="H2302:I2302"/>
    <mergeCell ref="J2302:K2302"/>
    <mergeCell ref="H2303:K2303"/>
    <mergeCell ref="A2304:C2304"/>
    <mergeCell ref="D2304:F2304"/>
    <mergeCell ref="H2304:I2304"/>
    <mergeCell ref="J2304:K2304"/>
    <mergeCell ref="H2306:K2306"/>
    <mergeCell ref="A2307:C2307"/>
    <mergeCell ref="D2307:F2307"/>
    <mergeCell ref="H2307:I2307"/>
    <mergeCell ref="H2287:K2287"/>
    <mergeCell ref="H2288:L2288"/>
    <mergeCell ref="A2289:L2289"/>
    <mergeCell ref="A2290:C2290"/>
    <mergeCell ref="D2290:F2290"/>
    <mergeCell ref="H2290:I2290"/>
    <mergeCell ref="J2290:K2290"/>
    <mergeCell ref="B2305:C2305"/>
    <mergeCell ref="D2305:F2305"/>
    <mergeCell ref="H2305:I2305"/>
    <mergeCell ref="J2305:K2305"/>
    <mergeCell ref="B2291:C2291"/>
    <mergeCell ref="D2291:F2291"/>
    <mergeCell ref="H2291:I2291"/>
    <mergeCell ref="J2291:K2291"/>
    <mergeCell ref="B2292:C2292"/>
    <mergeCell ref="D2292:F2292"/>
    <mergeCell ref="H2292:I2292"/>
    <mergeCell ref="J2292:K2292"/>
    <mergeCell ref="H2293:K2293"/>
    <mergeCell ref="A2294:C2294"/>
    <mergeCell ref="D2294:F2294"/>
    <mergeCell ref="H2294:I2294"/>
    <mergeCell ref="J2294:K2294"/>
    <mergeCell ref="B2295:C2295"/>
    <mergeCell ref="D2295:F2295"/>
    <mergeCell ref="H2295:I2295"/>
    <mergeCell ref="J2295:K2295"/>
    <mergeCell ref="B2296:C2296"/>
    <mergeCell ref="D2296:F2296"/>
    <mergeCell ref="H2296:I2296"/>
    <mergeCell ref="J2296:K2296"/>
    <mergeCell ref="H2278:K2278"/>
    <mergeCell ref="H2279:K2279"/>
    <mergeCell ref="H2280:K2280"/>
    <mergeCell ref="A2281:F2281"/>
    <mergeCell ref="H2281:I2281"/>
    <mergeCell ref="J2281:K2281"/>
    <mergeCell ref="B2282:F2282"/>
    <mergeCell ref="H2282:I2282"/>
    <mergeCell ref="J2282:K2282"/>
    <mergeCell ref="B2283:F2283"/>
    <mergeCell ref="H2283:I2283"/>
    <mergeCell ref="J2283:K2283"/>
    <mergeCell ref="B2284:F2284"/>
    <mergeCell ref="H2284:I2284"/>
    <mergeCell ref="J2284:K2284"/>
    <mergeCell ref="H2285:K2285"/>
    <mergeCell ref="H2286:K2286"/>
    <mergeCell ref="B2268:F2268"/>
    <mergeCell ref="H2268:I2268"/>
    <mergeCell ref="J2268:K2268"/>
    <mergeCell ref="H2269:K2269"/>
    <mergeCell ref="H2271:K2271"/>
    <mergeCell ref="H2272:L2272"/>
    <mergeCell ref="A2273:L2273"/>
    <mergeCell ref="A2274:F2274"/>
    <mergeCell ref="H2274:I2274"/>
    <mergeCell ref="J2274:K2274"/>
    <mergeCell ref="B2275:F2275"/>
    <mergeCell ref="H2275:I2275"/>
    <mergeCell ref="J2275:K2275"/>
    <mergeCell ref="B2276:F2276"/>
    <mergeCell ref="H2276:I2276"/>
    <mergeCell ref="J2276:K2276"/>
    <mergeCell ref="H2277:K2277"/>
    <mergeCell ref="H2270:K2270"/>
    <mergeCell ref="H2250:K2250"/>
    <mergeCell ref="H2251:K2251"/>
    <mergeCell ref="H2252:K2252"/>
    <mergeCell ref="A2253:F2253"/>
    <mergeCell ref="H2253:I2253"/>
    <mergeCell ref="J2253:K2253"/>
    <mergeCell ref="B2254:F2254"/>
    <mergeCell ref="H2254:I2254"/>
    <mergeCell ref="J2254:K2254"/>
    <mergeCell ref="H2255:K2255"/>
    <mergeCell ref="H2256:K2256"/>
    <mergeCell ref="H2257:K2257"/>
    <mergeCell ref="H2258:L2258"/>
    <mergeCell ref="A2259:L2259"/>
    <mergeCell ref="A2260:F2260"/>
    <mergeCell ref="H2260:I2260"/>
    <mergeCell ref="J2260:K2260"/>
    <mergeCell ref="B2261:F2261"/>
    <mergeCell ref="H2261:I2261"/>
    <mergeCell ref="J2261:K2261"/>
    <mergeCell ref="B2262:F2262"/>
    <mergeCell ref="H2262:I2262"/>
    <mergeCell ref="J2262:K2262"/>
    <mergeCell ref="H2263:K2263"/>
    <mergeCell ref="H2264:K2264"/>
    <mergeCell ref="H2265:K2265"/>
    <mergeCell ref="H2266:K2266"/>
    <mergeCell ref="A2267:F2267"/>
    <mergeCell ref="H2267:I2267"/>
    <mergeCell ref="J2267:K2267"/>
    <mergeCell ref="H2237:K2237"/>
    <mergeCell ref="B2240:F2240"/>
    <mergeCell ref="H2240:I2240"/>
    <mergeCell ref="J2240:K2240"/>
    <mergeCell ref="H2241:K2241"/>
    <mergeCell ref="H2242:K2242"/>
    <mergeCell ref="H2243:K2243"/>
    <mergeCell ref="H2244:L2244"/>
    <mergeCell ref="A2245:L2245"/>
    <mergeCell ref="A2246:F2246"/>
    <mergeCell ref="H2246:I2246"/>
    <mergeCell ref="J2246:K2246"/>
    <mergeCell ref="B2247:F2247"/>
    <mergeCell ref="H2247:I2247"/>
    <mergeCell ref="J2247:K2247"/>
    <mergeCell ref="B2248:F2248"/>
    <mergeCell ref="H2248:I2248"/>
    <mergeCell ref="J2248:K2248"/>
    <mergeCell ref="H2249:K2249"/>
    <mergeCell ref="J2227:K2227"/>
    <mergeCell ref="H2228:K2228"/>
    <mergeCell ref="A2229:D2229"/>
    <mergeCell ref="H2229:K2229"/>
    <mergeCell ref="H2230:L2230"/>
    <mergeCell ref="A2231:L2231"/>
    <mergeCell ref="A2232:F2232"/>
    <mergeCell ref="H2232:I2232"/>
    <mergeCell ref="J2232:K2232"/>
    <mergeCell ref="B2233:F2233"/>
    <mergeCell ref="H2233:I2233"/>
    <mergeCell ref="J2233:K2233"/>
    <mergeCell ref="B2234:F2234"/>
    <mergeCell ref="H2234:I2234"/>
    <mergeCell ref="J2234:K2234"/>
    <mergeCell ref="H2235:K2235"/>
    <mergeCell ref="H2236:K2236"/>
    <mergeCell ref="B2217:C2217"/>
    <mergeCell ref="D2217:F2217"/>
    <mergeCell ref="H2217:I2217"/>
    <mergeCell ref="J2217:K2217"/>
    <mergeCell ref="H2218:K2218"/>
    <mergeCell ref="A2219:D2219"/>
    <mergeCell ref="H2219:K2219"/>
    <mergeCell ref="H2220:L2220"/>
    <mergeCell ref="H2238:K2238"/>
    <mergeCell ref="A2239:F2239"/>
    <mergeCell ref="H2239:I2239"/>
    <mergeCell ref="J2239:K2239"/>
    <mergeCell ref="A2222:C2222"/>
    <mergeCell ref="D2222:F2222"/>
    <mergeCell ref="H2222:I2222"/>
    <mergeCell ref="J2222:K2222"/>
    <mergeCell ref="B2223:C2223"/>
    <mergeCell ref="D2223:F2223"/>
    <mergeCell ref="H2223:I2223"/>
    <mergeCell ref="J2223:K2223"/>
    <mergeCell ref="H2224:K2224"/>
    <mergeCell ref="A2225:C2225"/>
    <mergeCell ref="D2225:F2225"/>
    <mergeCell ref="H2225:I2225"/>
    <mergeCell ref="J2225:K2225"/>
    <mergeCell ref="B2226:C2226"/>
    <mergeCell ref="D2226:F2226"/>
    <mergeCell ref="H2226:I2226"/>
    <mergeCell ref="J2226:K2226"/>
    <mergeCell ref="B2227:C2227"/>
    <mergeCell ref="D2227:F2227"/>
    <mergeCell ref="H2227:I2227"/>
    <mergeCell ref="J2211:K2211"/>
    <mergeCell ref="B2212:C2212"/>
    <mergeCell ref="D2212:F2212"/>
    <mergeCell ref="H2212:I2212"/>
    <mergeCell ref="J2212:K2212"/>
    <mergeCell ref="B2213:C2213"/>
    <mergeCell ref="D2213:F2213"/>
    <mergeCell ref="H2213:I2213"/>
    <mergeCell ref="J2213:K2213"/>
    <mergeCell ref="H2214:K2214"/>
    <mergeCell ref="A2215:C2215"/>
    <mergeCell ref="D2215:F2215"/>
    <mergeCell ref="H2215:I2215"/>
    <mergeCell ref="J2215:K2215"/>
    <mergeCell ref="B2216:C2216"/>
    <mergeCell ref="D2216:F2216"/>
    <mergeCell ref="H2216:I2216"/>
    <mergeCell ref="J2216:K2216"/>
    <mergeCell ref="H2197:K2197"/>
    <mergeCell ref="H2198:L2198"/>
    <mergeCell ref="A2199:L2199"/>
    <mergeCell ref="A2200:C2200"/>
    <mergeCell ref="D2200:F2200"/>
    <mergeCell ref="H2200:I2200"/>
    <mergeCell ref="J2200:K2200"/>
    <mergeCell ref="B2201:C2201"/>
    <mergeCell ref="D2201:F2201"/>
    <mergeCell ref="H2201:I2201"/>
    <mergeCell ref="J2201:K2201"/>
    <mergeCell ref="B2202:C2202"/>
    <mergeCell ref="D2202:F2202"/>
    <mergeCell ref="H2202:I2202"/>
    <mergeCell ref="J2202:K2202"/>
    <mergeCell ref="H2203:K2203"/>
    <mergeCell ref="A2221:L2221"/>
    <mergeCell ref="B2205:C2205"/>
    <mergeCell ref="D2205:F2205"/>
    <mergeCell ref="H2205:I2205"/>
    <mergeCell ref="J2205:K2205"/>
    <mergeCell ref="B2206:C2206"/>
    <mergeCell ref="D2206:F2206"/>
    <mergeCell ref="H2206:I2206"/>
    <mergeCell ref="J2206:K2206"/>
    <mergeCell ref="H2207:K2207"/>
    <mergeCell ref="H2208:K2208"/>
    <mergeCell ref="H2209:L2209"/>
    <mergeCell ref="A2210:L2210"/>
    <mergeCell ref="A2211:C2211"/>
    <mergeCell ref="D2211:F2211"/>
    <mergeCell ref="H2211:I2211"/>
    <mergeCell ref="H2185:K2185"/>
    <mergeCell ref="H2186:K2186"/>
    <mergeCell ref="H2187:K2187"/>
    <mergeCell ref="H2188:L2188"/>
    <mergeCell ref="A2189:L2189"/>
    <mergeCell ref="A2190:C2190"/>
    <mergeCell ref="D2190:F2190"/>
    <mergeCell ref="H2190:I2190"/>
    <mergeCell ref="J2190:K2190"/>
    <mergeCell ref="A2204:C2204"/>
    <mergeCell ref="D2204:F2204"/>
    <mergeCell ref="H2204:I2204"/>
    <mergeCell ref="J2204:K2204"/>
    <mergeCell ref="B2191:C2191"/>
    <mergeCell ref="D2191:F2191"/>
    <mergeCell ref="H2191:I2191"/>
    <mergeCell ref="J2191:K2191"/>
    <mergeCell ref="H2192:K2192"/>
    <mergeCell ref="A2193:C2193"/>
    <mergeCell ref="D2193:F2193"/>
    <mergeCell ref="H2193:I2193"/>
    <mergeCell ref="J2193:K2193"/>
    <mergeCell ref="B2194:C2194"/>
    <mergeCell ref="D2194:F2194"/>
    <mergeCell ref="H2194:I2194"/>
    <mergeCell ref="J2194:K2194"/>
    <mergeCell ref="B2195:C2195"/>
    <mergeCell ref="D2195:F2195"/>
    <mergeCell ref="H2195:I2195"/>
    <mergeCell ref="J2195:K2195"/>
    <mergeCell ref="H2196:K2196"/>
    <mergeCell ref="A2197:D2197"/>
    <mergeCell ref="B2176:F2176"/>
    <mergeCell ref="H2176:I2176"/>
    <mergeCell ref="J2176:K2176"/>
    <mergeCell ref="H2177:K2177"/>
    <mergeCell ref="H2178:K2178"/>
    <mergeCell ref="H2179:K2179"/>
    <mergeCell ref="B2182:F2182"/>
    <mergeCell ref="H2182:I2182"/>
    <mergeCell ref="J2182:K2182"/>
    <mergeCell ref="B2183:F2183"/>
    <mergeCell ref="H2183:I2183"/>
    <mergeCell ref="J2183:K2183"/>
    <mergeCell ref="B2184:F2184"/>
    <mergeCell ref="H2184:I2184"/>
    <mergeCell ref="J2184:K2184"/>
    <mergeCell ref="H2180:K2180"/>
    <mergeCell ref="A2181:F2181"/>
    <mergeCell ref="H2181:I2181"/>
    <mergeCell ref="J2181:K2181"/>
    <mergeCell ref="J2164:K2164"/>
    <mergeCell ref="B2165:C2165"/>
    <mergeCell ref="D2165:F2165"/>
    <mergeCell ref="H2165:I2165"/>
    <mergeCell ref="J2165:K2165"/>
    <mergeCell ref="H2166:K2166"/>
    <mergeCell ref="A2167:C2167"/>
    <mergeCell ref="D2167:F2167"/>
    <mergeCell ref="H2167:I2167"/>
    <mergeCell ref="J2167:K2167"/>
    <mergeCell ref="B2168:C2168"/>
    <mergeCell ref="D2168:F2168"/>
    <mergeCell ref="H2168:I2168"/>
    <mergeCell ref="J2168:K2168"/>
    <mergeCell ref="J2174:K2174"/>
    <mergeCell ref="B2175:F2175"/>
    <mergeCell ref="H2175:I2175"/>
    <mergeCell ref="J2175:K2175"/>
    <mergeCell ref="B2169:C2169"/>
    <mergeCell ref="D2169:F2169"/>
    <mergeCell ref="H2169:I2169"/>
    <mergeCell ref="J2169:K2169"/>
    <mergeCell ref="H2170:K2170"/>
    <mergeCell ref="A2171:D2171"/>
    <mergeCell ref="H2171:K2171"/>
    <mergeCell ref="H2172:L2172"/>
    <mergeCell ref="A2173:L2173"/>
    <mergeCell ref="A2174:F2174"/>
    <mergeCell ref="H2174:I2174"/>
    <mergeCell ref="B2164:C2164"/>
    <mergeCell ref="D2164:F2164"/>
    <mergeCell ref="H2164:I2164"/>
    <mergeCell ref="H2155:L2155"/>
    <mergeCell ref="A2156:L2156"/>
    <mergeCell ref="A2157:C2157"/>
    <mergeCell ref="D2157:F2157"/>
    <mergeCell ref="H2157:I2157"/>
    <mergeCell ref="J2157:K2157"/>
    <mergeCell ref="B2158:C2158"/>
    <mergeCell ref="D2158:F2158"/>
    <mergeCell ref="H2158:I2158"/>
    <mergeCell ref="J2158:K2158"/>
    <mergeCell ref="H2159:K2159"/>
    <mergeCell ref="H2160:K2160"/>
    <mergeCell ref="H2161:L2161"/>
    <mergeCell ref="A2162:L2162"/>
    <mergeCell ref="A2163:C2163"/>
    <mergeCell ref="D2163:F2163"/>
    <mergeCell ref="H2163:I2163"/>
    <mergeCell ref="J2163:K2163"/>
    <mergeCell ref="D2147:F2147"/>
    <mergeCell ref="H2147:I2147"/>
    <mergeCell ref="J2147:K2147"/>
    <mergeCell ref="H2148:K2148"/>
    <mergeCell ref="A2149:C2149"/>
    <mergeCell ref="D2149:F2149"/>
    <mergeCell ref="H2149:I2149"/>
    <mergeCell ref="J2149:K2149"/>
    <mergeCell ref="B2150:C2150"/>
    <mergeCell ref="D2150:F2150"/>
    <mergeCell ref="H2150:I2150"/>
    <mergeCell ref="J2150:K2150"/>
    <mergeCell ref="B2151:C2151"/>
    <mergeCell ref="D2151:F2151"/>
    <mergeCell ref="H2151:I2151"/>
    <mergeCell ref="J2151:K2151"/>
    <mergeCell ref="A2153:D2154"/>
    <mergeCell ref="H2153:K2153"/>
    <mergeCell ref="B2135:C2135"/>
    <mergeCell ref="D2135:F2135"/>
    <mergeCell ref="H2135:I2135"/>
    <mergeCell ref="J2135:K2135"/>
    <mergeCell ref="H2136:K2136"/>
    <mergeCell ref="A2137:C2137"/>
    <mergeCell ref="D2137:F2137"/>
    <mergeCell ref="H2137:I2137"/>
    <mergeCell ref="J2137:K2137"/>
    <mergeCell ref="H2152:K2152"/>
    <mergeCell ref="B2138:C2138"/>
    <mergeCell ref="D2138:F2138"/>
    <mergeCell ref="H2138:I2138"/>
    <mergeCell ref="J2138:K2138"/>
    <mergeCell ref="B2139:C2139"/>
    <mergeCell ref="D2139:F2139"/>
    <mergeCell ref="H2139:I2139"/>
    <mergeCell ref="J2139:K2139"/>
    <mergeCell ref="H2140:K2140"/>
    <mergeCell ref="A2141:D2142"/>
    <mergeCell ref="H2141:K2141"/>
    <mergeCell ref="H2143:L2143"/>
    <mergeCell ref="A2144:L2144"/>
    <mergeCell ref="A2145:C2145"/>
    <mergeCell ref="D2145:F2145"/>
    <mergeCell ref="H2145:I2145"/>
    <mergeCell ref="J2145:K2145"/>
    <mergeCell ref="B2146:C2146"/>
    <mergeCell ref="D2146:F2146"/>
    <mergeCell ref="H2146:I2146"/>
    <mergeCell ref="J2146:K2146"/>
    <mergeCell ref="B2147:C2147"/>
    <mergeCell ref="B2126:F2126"/>
    <mergeCell ref="H2126:I2126"/>
    <mergeCell ref="J2126:K2126"/>
    <mergeCell ref="B2127:F2127"/>
    <mergeCell ref="H2127:I2127"/>
    <mergeCell ref="J2127:K2127"/>
    <mergeCell ref="B2128:F2128"/>
    <mergeCell ref="H2128:I2128"/>
    <mergeCell ref="J2128:K2128"/>
    <mergeCell ref="H2129:K2129"/>
    <mergeCell ref="H2130:K2130"/>
    <mergeCell ref="H2131:K2131"/>
    <mergeCell ref="H2132:L2132"/>
    <mergeCell ref="A2133:L2133"/>
    <mergeCell ref="A2134:C2134"/>
    <mergeCell ref="D2134:F2134"/>
    <mergeCell ref="H2134:I2134"/>
    <mergeCell ref="J2134:K2134"/>
    <mergeCell ref="B2117:F2117"/>
    <mergeCell ref="H2117:I2117"/>
    <mergeCell ref="J2117:K2117"/>
    <mergeCell ref="H2118:K2118"/>
    <mergeCell ref="H2119:K2119"/>
    <mergeCell ref="H2120:K2120"/>
    <mergeCell ref="H2121:K2121"/>
    <mergeCell ref="A2122:F2122"/>
    <mergeCell ref="H2122:I2122"/>
    <mergeCell ref="J2122:K2122"/>
    <mergeCell ref="B2123:F2123"/>
    <mergeCell ref="H2123:I2123"/>
    <mergeCell ref="J2123:K2123"/>
    <mergeCell ref="B2124:F2124"/>
    <mergeCell ref="H2124:I2124"/>
    <mergeCell ref="J2124:K2124"/>
    <mergeCell ref="B2125:F2125"/>
    <mergeCell ref="H2125:I2125"/>
    <mergeCell ref="J2125:K2125"/>
    <mergeCell ref="J2106:K2106"/>
    <mergeCell ref="B2107:C2107"/>
    <mergeCell ref="D2107:F2107"/>
    <mergeCell ref="H2107:I2107"/>
    <mergeCell ref="J2107:K2107"/>
    <mergeCell ref="H2108:K2108"/>
    <mergeCell ref="A2109:D2110"/>
    <mergeCell ref="H2109:K2109"/>
    <mergeCell ref="H2111:L2111"/>
    <mergeCell ref="A2112:L2112"/>
    <mergeCell ref="B2114:F2114"/>
    <mergeCell ref="H2114:I2114"/>
    <mergeCell ref="J2114:K2114"/>
    <mergeCell ref="B2115:F2115"/>
    <mergeCell ref="H2115:I2115"/>
    <mergeCell ref="J2115:K2115"/>
    <mergeCell ref="B2116:F2116"/>
    <mergeCell ref="H2116:I2116"/>
    <mergeCell ref="J2116:K2116"/>
    <mergeCell ref="H2094:K2094"/>
    <mergeCell ref="A2113:F2113"/>
    <mergeCell ref="H2113:I2113"/>
    <mergeCell ref="J2113:K2113"/>
    <mergeCell ref="B2096:C2096"/>
    <mergeCell ref="D2096:F2096"/>
    <mergeCell ref="H2096:I2096"/>
    <mergeCell ref="J2096:K2096"/>
    <mergeCell ref="B2097:C2097"/>
    <mergeCell ref="D2097:F2097"/>
    <mergeCell ref="H2097:I2097"/>
    <mergeCell ref="J2097:K2097"/>
    <mergeCell ref="H2098:K2098"/>
    <mergeCell ref="H2099:K2099"/>
    <mergeCell ref="H2100:L2100"/>
    <mergeCell ref="A2101:L2101"/>
    <mergeCell ref="A2102:C2102"/>
    <mergeCell ref="D2102:F2102"/>
    <mergeCell ref="H2102:I2102"/>
    <mergeCell ref="J2102:K2102"/>
    <mergeCell ref="B2103:C2103"/>
    <mergeCell ref="D2103:F2103"/>
    <mergeCell ref="H2103:I2103"/>
    <mergeCell ref="J2103:K2103"/>
    <mergeCell ref="H2104:K2104"/>
    <mergeCell ref="A2105:C2105"/>
    <mergeCell ref="D2105:F2105"/>
    <mergeCell ref="H2105:I2105"/>
    <mergeCell ref="J2105:K2105"/>
    <mergeCell ref="B2106:C2106"/>
    <mergeCell ref="D2106:F2106"/>
    <mergeCell ref="H2106:I2106"/>
    <mergeCell ref="D2089:F2089"/>
    <mergeCell ref="H2089:I2089"/>
    <mergeCell ref="J2089:K2089"/>
    <mergeCell ref="B2090:C2090"/>
    <mergeCell ref="D2090:F2090"/>
    <mergeCell ref="H2090:I2090"/>
    <mergeCell ref="J2090:K2090"/>
    <mergeCell ref="B2091:C2091"/>
    <mergeCell ref="D2091:F2091"/>
    <mergeCell ref="H2091:I2091"/>
    <mergeCell ref="J2091:K2091"/>
    <mergeCell ref="B2092:C2092"/>
    <mergeCell ref="D2092:F2092"/>
    <mergeCell ref="H2092:I2092"/>
    <mergeCell ref="J2092:K2092"/>
    <mergeCell ref="B2093:C2093"/>
    <mergeCell ref="D2093:F2093"/>
    <mergeCell ref="H2093:I2093"/>
    <mergeCell ref="J2093:K2093"/>
    <mergeCell ref="J2076:K2076"/>
    <mergeCell ref="H2077:K2077"/>
    <mergeCell ref="A2078:C2078"/>
    <mergeCell ref="D2078:F2078"/>
    <mergeCell ref="H2078:I2078"/>
    <mergeCell ref="J2078:K2078"/>
    <mergeCell ref="B2079:C2079"/>
    <mergeCell ref="D2079:F2079"/>
    <mergeCell ref="H2079:I2079"/>
    <mergeCell ref="J2079:K2079"/>
    <mergeCell ref="A2095:C2095"/>
    <mergeCell ref="D2095:F2095"/>
    <mergeCell ref="H2095:I2095"/>
    <mergeCell ref="J2095:K2095"/>
    <mergeCell ref="H2081:K2081"/>
    <mergeCell ref="H2082:K2082"/>
    <mergeCell ref="H2083:L2083"/>
    <mergeCell ref="A2084:L2084"/>
    <mergeCell ref="A2085:C2085"/>
    <mergeCell ref="D2085:F2085"/>
    <mergeCell ref="H2085:I2085"/>
    <mergeCell ref="J2085:K2085"/>
    <mergeCell ref="B2086:C2086"/>
    <mergeCell ref="D2086:F2086"/>
    <mergeCell ref="H2086:I2086"/>
    <mergeCell ref="J2086:K2086"/>
    <mergeCell ref="H2087:K2087"/>
    <mergeCell ref="A2088:C2088"/>
    <mergeCell ref="D2088:F2088"/>
    <mergeCell ref="H2088:I2088"/>
    <mergeCell ref="J2088:K2088"/>
    <mergeCell ref="B2089:C2089"/>
    <mergeCell ref="B2080:C2080"/>
    <mergeCell ref="D2080:F2080"/>
    <mergeCell ref="H2080:I2080"/>
    <mergeCell ref="J2080:K2080"/>
    <mergeCell ref="B2069:C2069"/>
    <mergeCell ref="D2069:F2069"/>
    <mergeCell ref="H2069:I2069"/>
    <mergeCell ref="J2069:K2069"/>
    <mergeCell ref="H2070:K2070"/>
    <mergeCell ref="A2071:C2071"/>
    <mergeCell ref="D2071:F2071"/>
    <mergeCell ref="H2071:I2071"/>
    <mergeCell ref="J2071:K2071"/>
    <mergeCell ref="B2072:C2072"/>
    <mergeCell ref="D2072:F2072"/>
    <mergeCell ref="H2072:I2072"/>
    <mergeCell ref="J2072:K2072"/>
    <mergeCell ref="B2073:C2073"/>
    <mergeCell ref="D2073:F2073"/>
    <mergeCell ref="H2073:I2073"/>
    <mergeCell ref="J2073:K2073"/>
    <mergeCell ref="B2074:C2074"/>
    <mergeCell ref="D2074:F2074"/>
    <mergeCell ref="H2074:I2074"/>
    <mergeCell ref="J2074:K2074"/>
    <mergeCell ref="B2075:C2075"/>
    <mergeCell ref="D2075:F2075"/>
    <mergeCell ref="H2075:I2075"/>
    <mergeCell ref="J2075:K2075"/>
    <mergeCell ref="B2076:C2076"/>
    <mergeCell ref="D2076:F2076"/>
    <mergeCell ref="H2076:I2076"/>
    <mergeCell ref="D2059:F2059"/>
    <mergeCell ref="H2059:I2059"/>
    <mergeCell ref="J2059:K2059"/>
    <mergeCell ref="H2060:K2060"/>
    <mergeCell ref="H2061:K2061"/>
    <mergeCell ref="H2062:L2062"/>
    <mergeCell ref="A2063:L2063"/>
    <mergeCell ref="A2064:C2064"/>
    <mergeCell ref="D2064:F2064"/>
    <mergeCell ref="H2064:I2064"/>
    <mergeCell ref="J2064:K2064"/>
    <mergeCell ref="B2065:C2065"/>
    <mergeCell ref="D2065:F2065"/>
    <mergeCell ref="H2065:I2065"/>
    <mergeCell ref="J2065:K2065"/>
    <mergeCell ref="H2066:K2066"/>
    <mergeCell ref="A2067:C2067"/>
    <mergeCell ref="D2067:F2067"/>
    <mergeCell ref="H2067:I2067"/>
    <mergeCell ref="J2067:K2067"/>
    <mergeCell ref="H2050:I2050"/>
    <mergeCell ref="J2050:K2050"/>
    <mergeCell ref="B2051:C2051"/>
    <mergeCell ref="D2051:F2051"/>
    <mergeCell ref="H2051:I2051"/>
    <mergeCell ref="J2051:K2051"/>
    <mergeCell ref="B2052:C2052"/>
    <mergeCell ref="D2052:F2052"/>
    <mergeCell ref="H2052:I2052"/>
    <mergeCell ref="J2052:K2052"/>
    <mergeCell ref="B2068:C2068"/>
    <mergeCell ref="D2068:F2068"/>
    <mergeCell ref="H2068:I2068"/>
    <mergeCell ref="J2068:K2068"/>
    <mergeCell ref="B2054:C2054"/>
    <mergeCell ref="D2054:F2054"/>
    <mergeCell ref="H2054:I2054"/>
    <mergeCell ref="J2054:K2054"/>
    <mergeCell ref="B2055:C2055"/>
    <mergeCell ref="D2055:F2055"/>
    <mergeCell ref="H2055:I2055"/>
    <mergeCell ref="J2055:K2055"/>
    <mergeCell ref="H2056:K2056"/>
    <mergeCell ref="A2057:C2057"/>
    <mergeCell ref="D2057:F2057"/>
    <mergeCell ref="H2057:I2057"/>
    <mergeCell ref="J2057:K2057"/>
    <mergeCell ref="B2058:C2058"/>
    <mergeCell ref="D2058:F2058"/>
    <mergeCell ref="H2058:I2058"/>
    <mergeCell ref="J2058:K2058"/>
    <mergeCell ref="B2059:C2059"/>
    <mergeCell ref="B2053:C2053"/>
    <mergeCell ref="D2053:F2053"/>
    <mergeCell ref="H2053:I2053"/>
    <mergeCell ref="J2053:K2053"/>
    <mergeCell ref="A2040:D2040"/>
    <mergeCell ref="H2040:K2040"/>
    <mergeCell ref="H2041:L2041"/>
    <mergeCell ref="A2042:L2042"/>
    <mergeCell ref="A2043:C2043"/>
    <mergeCell ref="D2043:F2043"/>
    <mergeCell ref="H2043:I2043"/>
    <mergeCell ref="J2043:K2043"/>
    <mergeCell ref="B2044:C2044"/>
    <mergeCell ref="D2044:F2044"/>
    <mergeCell ref="H2044:I2044"/>
    <mergeCell ref="J2044:K2044"/>
    <mergeCell ref="H2045:K2045"/>
    <mergeCell ref="A2046:C2046"/>
    <mergeCell ref="D2046:F2046"/>
    <mergeCell ref="H2046:I2046"/>
    <mergeCell ref="J2046:K2046"/>
    <mergeCell ref="B2047:C2047"/>
    <mergeCell ref="D2047:F2047"/>
    <mergeCell ref="H2047:I2047"/>
    <mergeCell ref="J2047:K2047"/>
    <mergeCell ref="B2048:C2048"/>
    <mergeCell ref="D2048:F2048"/>
    <mergeCell ref="H2048:I2048"/>
    <mergeCell ref="J2048:K2048"/>
    <mergeCell ref="H2049:K2049"/>
    <mergeCell ref="A2050:C2050"/>
    <mergeCell ref="D2050:F2050"/>
    <mergeCell ref="H2033:K2033"/>
    <mergeCell ref="A2034:C2034"/>
    <mergeCell ref="D2034:F2034"/>
    <mergeCell ref="H2034:I2034"/>
    <mergeCell ref="J2034:K2034"/>
    <mergeCell ref="B2035:C2035"/>
    <mergeCell ref="D2035:F2035"/>
    <mergeCell ref="H2035:I2035"/>
    <mergeCell ref="J2035:K2035"/>
    <mergeCell ref="H2036:K2036"/>
    <mergeCell ref="A2037:C2037"/>
    <mergeCell ref="D2037:F2037"/>
    <mergeCell ref="H2037:I2037"/>
    <mergeCell ref="J2037:K2037"/>
    <mergeCell ref="B2038:C2038"/>
    <mergeCell ref="D2038:F2038"/>
    <mergeCell ref="H2038:I2038"/>
    <mergeCell ref="J2038:K2038"/>
    <mergeCell ref="D2013:F2013"/>
    <mergeCell ref="H2013:I2013"/>
    <mergeCell ref="J2013:K2013"/>
    <mergeCell ref="H2014:K2014"/>
    <mergeCell ref="A2015:C2015"/>
    <mergeCell ref="D2015:F2015"/>
    <mergeCell ref="H2015:I2015"/>
    <mergeCell ref="J2015:K2015"/>
    <mergeCell ref="B2016:C2016"/>
    <mergeCell ref="D2016:F2016"/>
    <mergeCell ref="H2016:I2016"/>
    <mergeCell ref="J2016:K2016"/>
    <mergeCell ref="H2039:K2039"/>
    <mergeCell ref="B2022:F2022"/>
    <mergeCell ref="H2022:I2022"/>
    <mergeCell ref="J2022:K2022"/>
    <mergeCell ref="H2023:K2023"/>
    <mergeCell ref="H2024:K2024"/>
    <mergeCell ref="H2025:K2025"/>
    <mergeCell ref="H2026:K2026"/>
    <mergeCell ref="H2027:K2027"/>
    <mergeCell ref="H2028:K2028"/>
    <mergeCell ref="H2029:L2029"/>
    <mergeCell ref="A2030:L2030"/>
    <mergeCell ref="A2031:C2031"/>
    <mergeCell ref="D2031:F2031"/>
    <mergeCell ref="H2031:I2031"/>
    <mergeCell ref="J2031:K2031"/>
    <mergeCell ref="B2032:C2032"/>
    <mergeCell ref="D2032:F2032"/>
    <mergeCell ref="H2032:I2032"/>
    <mergeCell ref="J2032:K2032"/>
    <mergeCell ref="H2017:K2017"/>
    <mergeCell ref="H2018:K2018"/>
    <mergeCell ref="H2019:L2019"/>
    <mergeCell ref="A2020:L2020"/>
    <mergeCell ref="A2021:F2021"/>
    <mergeCell ref="H2021:I2021"/>
    <mergeCell ref="J2021:K2021"/>
    <mergeCell ref="H2000:K2000"/>
    <mergeCell ref="H2001:K2001"/>
    <mergeCell ref="H2002:K2002"/>
    <mergeCell ref="H2003:K2003"/>
    <mergeCell ref="A2004:F2004"/>
    <mergeCell ref="H2004:I2004"/>
    <mergeCell ref="J2004:K2004"/>
    <mergeCell ref="B2005:F2005"/>
    <mergeCell ref="H2005:I2005"/>
    <mergeCell ref="J2005:K2005"/>
    <mergeCell ref="H2006:K2006"/>
    <mergeCell ref="H2007:K2007"/>
    <mergeCell ref="A2008:D2008"/>
    <mergeCell ref="H2008:K2008"/>
    <mergeCell ref="H2009:L2009"/>
    <mergeCell ref="A2010:L2010"/>
    <mergeCell ref="A2011:C2011"/>
    <mergeCell ref="D2011:F2011"/>
    <mergeCell ref="H2011:I2011"/>
    <mergeCell ref="J2011:K2011"/>
    <mergeCell ref="B2012:C2012"/>
    <mergeCell ref="D2012:F2012"/>
    <mergeCell ref="H2012:I2012"/>
    <mergeCell ref="J2012:K2012"/>
    <mergeCell ref="B2013:C2013"/>
    <mergeCell ref="H1989:K1989"/>
    <mergeCell ref="B1991:F1991"/>
    <mergeCell ref="H1991:I1991"/>
    <mergeCell ref="J1991:K1991"/>
    <mergeCell ref="H1992:K1992"/>
    <mergeCell ref="H1993:K1993"/>
    <mergeCell ref="H1994:K1994"/>
    <mergeCell ref="H1995:L1995"/>
    <mergeCell ref="A1996:L1996"/>
    <mergeCell ref="A1997:F1997"/>
    <mergeCell ref="H1997:I1997"/>
    <mergeCell ref="J1997:K1997"/>
    <mergeCell ref="B1998:F1998"/>
    <mergeCell ref="H1998:I1998"/>
    <mergeCell ref="J1998:K1998"/>
    <mergeCell ref="B1999:F1999"/>
    <mergeCell ref="H1999:I1999"/>
    <mergeCell ref="J1999:K1999"/>
    <mergeCell ref="J1978:K1978"/>
    <mergeCell ref="H1979:K1979"/>
    <mergeCell ref="H1980:K1980"/>
    <mergeCell ref="H1981:L1981"/>
    <mergeCell ref="A1982:L1982"/>
    <mergeCell ref="A1983:F1983"/>
    <mergeCell ref="H1983:I1983"/>
    <mergeCell ref="J1983:K1983"/>
    <mergeCell ref="B1984:F1984"/>
    <mergeCell ref="H1984:I1984"/>
    <mergeCell ref="J1984:K1984"/>
    <mergeCell ref="B1985:F1985"/>
    <mergeCell ref="H1985:I1985"/>
    <mergeCell ref="J1985:K1985"/>
    <mergeCell ref="H1986:K1986"/>
    <mergeCell ref="H1987:K1987"/>
    <mergeCell ref="H1988:K1988"/>
    <mergeCell ref="J1966:K1966"/>
    <mergeCell ref="B1967:C1967"/>
    <mergeCell ref="D1967:F1967"/>
    <mergeCell ref="H1967:I1967"/>
    <mergeCell ref="J1967:K1967"/>
    <mergeCell ref="H1968:K1968"/>
    <mergeCell ref="H1969:K1969"/>
    <mergeCell ref="H1970:L1970"/>
    <mergeCell ref="A1971:L1971"/>
    <mergeCell ref="A1990:F1990"/>
    <mergeCell ref="H1990:I1990"/>
    <mergeCell ref="J1990:K1990"/>
    <mergeCell ref="B1973:C1973"/>
    <mergeCell ref="D1973:F1973"/>
    <mergeCell ref="H1973:I1973"/>
    <mergeCell ref="J1973:K1973"/>
    <mergeCell ref="B1974:C1974"/>
    <mergeCell ref="D1974:F1974"/>
    <mergeCell ref="H1974:I1974"/>
    <mergeCell ref="J1974:K1974"/>
    <mergeCell ref="H1975:K1975"/>
    <mergeCell ref="A1976:C1976"/>
    <mergeCell ref="D1976:F1976"/>
    <mergeCell ref="H1976:I1976"/>
    <mergeCell ref="J1976:K1976"/>
    <mergeCell ref="B1977:C1977"/>
    <mergeCell ref="D1977:F1977"/>
    <mergeCell ref="H1977:I1977"/>
    <mergeCell ref="J1977:K1977"/>
    <mergeCell ref="B1978:C1978"/>
    <mergeCell ref="D1978:F1978"/>
    <mergeCell ref="H1978:I1978"/>
    <mergeCell ref="A1972:C1972"/>
    <mergeCell ref="D1972:F1972"/>
    <mergeCell ref="H1972:I1972"/>
    <mergeCell ref="J1972:K1972"/>
    <mergeCell ref="B1955:F1955"/>
    <mergeCell ref="H1955:I1955"/>
    <mergeCell ref="J1955:K1955"/>
    <mergeCell ref="H1956:K1956"/>
    <mergeCell ref="H1957:K1957"/>
    <mergeCell ref="H1958:K1958"/>
    <mergeCell ref="H1959:L1959"/>
    <mergeCell ref="A1960:L1960"/>
    <mergeCell ref="A1961:C1961"/>
    <mergeCell ref="D1961:F1961"/>
    <mergeCell ref="H1961:I1961"/>
    <mergeCell ref="J1961:K1961"/>
    <mergeCell ref="B1962:C1962"/>
    <mergeCell ref="D1962:F1962"/>
    <mergeCell ref="H1962:I1962"/>
    <mergeCell ref="J1962:K1962"/>
    <mergeCell ref="B1963:C1963"/>
    <mergeCell ref="D1963:F1963"/>
    <mergeCell ref="H1963:I1963"/>
    <mergeCell ref="J1963:K1963"/>
    <mergeCell ref="H1964:K1964"/>
    <mergeCell ref="A1965:C1965"/>
    <mergeCell ref="D1965:F1965"/>
    <mergeCell ref="H1965:I1965"/>
    <mergeCell ref="J1965:K1965"/>
    <mergeCell ref="B1966:C1966"/>
    <mergeCell ref="D1966:F1966"/>
    <mergeCell ref="H1966:I1966"/>
    <mergeCell ref="H1942:K1942"/>
    <mergeCell ref="A1943:D1944"/>
    <mergeCell ref="H1943:K1943"/>
    <mergeCell ref="H1945:L1945"/>
    <mergeCell ref="A1946:L1946"/>
    <mergeCell ref="A1947:F1947"/>
    <mergeCell ref="H1947:I1947"/>
    <mergeCell ref="J1947:K1947"/>
    <mergeCell ref="B1948:F1948"/>
    <mergeCell ref="H1948:I1948"/>
    <mergeCell ref="J1948:K1948"/>
    <mergeCell ref="B1949:F1949"/>
    <mergeCell ref="H1949:I1949"/>
    <mergeCell ref="J1949:K1949"/>
    <mergeCell ref="H1950:K1950"/>
    <mergeCell ref="H1951:K1951"/>
    <mergeCell ref="H1952:K1952"/>
    <mergeCell ref="H1932:K1932"/>
    <mergeCell ref="H1933:L1933"/>
    <mergeCell ref="A1934:L1934"/>
    <mergeCell ref="A1935:C1935"/>
    <mergeCell ref="D1935:F1935"/>
    <mergeCell ref="H1935:I1935"/>
    <mergeCell ref="J1935:K1935"/>
    <mergeCell ref="H1953:K1953"/>
    <mergeCell ref="A1954:F1954"/>
    <mergeCell ref="H1954:I1954"/>
    <mergeCell ref="J1954:K1954"/>
    <mergeCell ref="B1936:C1936"/>
    <mergeCell ref="D1936:F1936"/>
    <mergeCell ref="H1936:I1936"/>
    <mergeCell ref="J1936:K1936"/>
    <mergeCell ref="B1937:C1937"/>
    <mergeCell ref="D1937:F1937"/>
    <mergeCell ref="H1937:I1937"/>
    <mergeCell ref="J1937:K1937"/>
    <mergeCell ref="H1938:K1938"/>
    <mergeCell ref="A1939:C1939"/>
    <mergeCell ref="D1939:F1939"/>
    <mergeCell ref="H1939:I1939"/>
    <mergeCell ref="J1939:K1939"/>
    <mergeCell ref="B1940:C1940"/>
    <mergeCell ref="D1940:F1940"/>
    <mergeCell ref="H1940:I1940"/>
    <mergeCell ref="J1940:K1940"/>
    <mergeCell ref="B1941:C1941"/>
    <mergeCell ref="D1941:F1941"/>
    <mergeCell ref="H1941:I1941"/>
    <mergeCell ref="J1941:K1941"/>
    <mergeCell ref="B1926:C1926"/>
    <mergeCell ref="D1926:F1926"/>
    <mergeCell ref="H1926:I1926"/>
    <mergeCell ref="J1926:K1926"/>
    <mergeCell ref="A1928:C1928"/>
    <mergeCell ref="D1928:F1928"/>
    <mergeCell ref="H1928:I1928"/>
    <mergeCell ref="J1928:K1928"/>
    <mergeCell ref="B1929:C1929"/>
    <mergeCell ref="D1929:F1929"/>
    <mergeCell ref="H1929:I1929"/>
    <mergeCell ref="J1929:K1929"/>
    <mergeCell ref="B1930:C1930"/>
    <mergeCell ref="D1930:F1930"/>
    <mergeCell ref="H1930:I1930"/>
    <mergeCell ref="J1930:K1930"/>
    <mergeCell ref="H1931:K1931"/>
    <mergeCell ref="H1918:I1918"/>
    <mergeCell ref="J1918:K1918"/>
    <mergeCell ref="B1919:C1919"/>
    <mergeCell ref="D1919:F1919"/>
    <mergeCell ref="H1919:I1919"/>
    <mergeCell ref="J1919:K1919"/>
    <mergeCell ref="B1920:C1920"/>
    <mergeCell ref="D1920:F1920"/>
    <mergeCell ref="H1920:I1920"/>
    <mergeCell ref="J1920:K1920"/>
    <mergeCell ref="H1921:K1921"/>
    <mergeCell ref="H1922:K1922"/>
    <mergeCell ref="H1923:L1923"/>
    <mergeCell ref="A1924:L1924"/>
    <mergeCell ref="A1925:C1925"/>
    <mergeCell ref="D1925:F1925"/>
    <mergeCell ref="H1925:I1925"/>
    <mergeCell ref="J1925:K1925"/>
    <mergeCell ref="B1910:C1910"/>
    <mergeCell ref="D1910:F1910"/>
    <mergeCell ref="H1910:I1910"/>
    <mergeCell ref="J1910:K1910"/>
    <mergeCell ref="H1911:K1911"/>
    <mergeCell ref="A1912:C1912"/>
    <mergeCell ref="D1912:F1912"/>
    <mergeCell ref="H1912:I1912"/>
    <mergeCell ref="J1912:K1912"/>
    <mergeCell ref="H1927:K1927"/>
    <mergeCell ref="B1913:C1913"/>
    <mergeCell ref="D1913:F1913"/>
    <mergeCell ref="H1913:I1913"/>
    <mergeCell ref="J1913:K1913"/>
    <mergeCell ref="B1914:C1914"/>
    <mergeCell ref="D1914:F1914"/>
    <mergeCell ref="H1914:I1914"/>
    <mergeCell ref="J1914:K1914"/>
    <mergeCell ref="B1915:C1915"/>
    <mergeCell ref="D1915:F1915"/>
    <mergeCell ref="H1915:I1915"/>
    <mergeCell ref="J1915:K1915"/>
    <mergeCell ref="B1916:C1916"/>
    <mergeCell ref="D1916:F1916"/>
    <mergeCell ref="H1916:I1916"/>
    <mergeCell ref="J1916:K1916"/>
    <mergeCell ref="B1917:C1917"/>
    <mergeCell ref="D1917:F1917"/>
    <mergeCell ref="H1917:I1917"/>
    <mergeCell ref="J1917:K1917"/>
    <mergeCell ref="B1918:C1918"/>
    <mergeCell ref="D1918:F1918"/>
    <mergeCell ref="A1903:L1903"/>
    <mergeCell ref="A1904:C1904"/>
    <mergeCell ref="D1904:F1904"/>
    <mergeCell ref="H1904:I1904"/>
    <mergeCell ref="J1904:K1904"/>
    <mergeCell ref="B1905:C1905"/>
    <mergeCell ref="D1905:F1905"/>
    <mergeCell ref="H1905:I1905"/>
    <mergeCell ref="J1905:K1905"/>
    <mergeCell ref="H1907:K1907"/>
    <mergeCell ref="A1908:C1908"/>
    <mergeCell ref="D1908:F1908"/>
    <mergeCell ref="H1908:I1908"/>
    <mergeCell ref="J1908:K1908"/>
    <mergeCell ref="B1909:C1909"/>
    <mergeCell ref="D1909:F1909"/>
    <mergeCell ref="H1909:I1909"/>
    <mergeCell ref="J1909:K1909"/>
    <mergeCell ref="H1896:K1896"/>
    <mergeCell ref="A1897:C1897"/>
    <mergeCell ref="D1897:F1897"/>
    <mergeCell ref="H1897:I1897"/>
    <mergeCell ref="J1897:K1897"/>
    <mergeCell ref="B1898:C1898"/>
    <mergeCell ref="D1898:F1898"/>
    <mergeCell ref="H1898:I1898"/>
    <mergeCell ref="J1898:K1898"/>
    <mergeCell ref="B1899:C1899"/>
    <mergeCell ref="D1899:F1899"/>
    <mergeCell ref="H1899:I1899"/>
    <mergeCell ref="J1899:K1899"/>
    <mergeCell ref="H1900:K1900"/>
    <mergeCell ref="A1901:D1901"/>
    <mergeCell ref="H1901:K1901"/>
    <mergeCell ref="H1902:L1902"/>
    <mergeCell ref="D1884:F1884"/>
    <mergeCell ref="H1884:I1884"/>
    <mergeCell ref="J1884:K1884"/>
    <mergeCell ref="B1885:C1885"/>
    <mergeCell ref="D1885:F1885"/>
    <mergeCell ref="H1885:I1885"/>
    <mergeCell ref="J1885:K1885"/>
    <mergeCell ref="H1886:K1886"/>
    <mergeCell ref="A1887:C1887"/>
    <mergeCell ref="D1887:F1887"/>
    <mergeCell ref="H1887:I1887"/>
    <mergeCell ref="J1887:K1887"/>
    <mergeCell ref="B1888:C1888"/>
    <mergeCell ref="D1888:F1888"/>
    <mergeCell ref="H1888:I1888"/>
    <mergeCell ref="J1888:K1888"/>
    <mergeCell ref="B1906:C1906"/>
    <mergeCell ref="D1906:F1906"/>
    <mergeCell ref="H1906:I1906"/>
    <mergeCell ref="J1906:K1906"/>
    <mergeCell ref="H1890:K1890"/>
    <mergeCell ref="H1891:K1891"/>
    <mergeCell ref="H1892:L1892"/>
    <mergeCell ref="A1893:L1893"/>
    <mergeCell ref="A1894:C1894"/>
    <mergeCell ref="D1894:F1894"/>
    <mergeCell ref="H1894:I1894"/>
    <mergeCell ref="J1894:K1894"/>
    <mergeCell ref="B1895:C1895"/>
    <mergeCell ref="D1895:F1895"/>
    <mergeCell ref="H1895:I1895"/>
    <mergeCell ref="J1895:K1895"/>
    <mergeCell ref="D1873:F1873"/>
    <mergeCell ref="H1873:I1873"/>
    <mergeCell ref="J1873:K1873"/>
    <mergeCell ref="B1874:C1874"/>
    <mergeCell ref="D1874:F1874"/>
    <mergeCell ref="H1874:I1874"/>
    <mergeCell ref="J1874:K1874"/>
    <mergeCell ref="B1889:C1889"/>
    <mergeCell ref="D1889:F1889"/>
    <mergeCell ref="H1889:I1889"/>
    <mergeCell ref="J1889:K1889"/>
    <mergeCell ref="H1876:K1876"/>
    <mergeCell ref="H1877:L1877"/>
    <mergeCell ref="A1878:L1878"/>
    <mergeCell ref="A1879:C1879"/>
    <mergeCell ref="D1879:F1879"/>
    <mergeCell ref="H1879:I1879"/>
    <mergeCell ref="J1879:K1879"/>
    <mergeCell ref="B1880:C1880"/>
    <mergeCell ref="D1880:F1880"/>
    <mergeCell ref="H1880:I1880"/>
    <mergeCell ref="J1880:K1880"/>
    <mergeCell ref="B1881:C1881"/>
    <mergeCell ref="D1881:F1881"/>
    <mergeCell ref="H1881:I1881"/>
    <mergeCell ref="J1881:K1881"/>
    <mergeCell ref="H1882:K1882"/>
    <mergeCell ref="A1883:C1883"/>
    <mergeCell ref="D1883:F1883"/>
    <mergeCell ref="H1883:I1883"/>
    <mergeCell ref="J1883:K1883"/>
    <mergeCell ref="B1884:C1884"/>
    <mergeCell ref="H1875:K1875"/>
    <mergeCell ref="B1864:C1864"/>
    <mergeCell ref="D1864:F1864"/>
    <mergeCell ref="H1864:I1864"/>
    <mergeCell ref="J1864:K1864"/>
    <mergeCell ref="B1865:C1865"/>
    <mergeCell ref="D1865:F1865"/>
    <mergeCell ref="H1865:I1865"/>
    <mergeCell ref="J1865:K1865"/>
    <mergeCell ref="H1866:K1866"/>
    <mergeCell ref="A1867:C1867"/>
    <mergeCell ref="D1867:F1867"/>
    <mergeCell ref="H1867:I1867"/>
    <mergeCell ref="J1867:K1867"/>
    <mergeCell ref="B1868:C1868"/>
    <mergeCell ref="D1868:F1868"/>
    <mergeCell ref="H1868:I1868"/>
    <mergeCell ref="J1868:K1868"/>
    <mergeCell ref="B1869:C1869"/>
    <mergeCell ref="D1869:F1869"/>
    <mergeCell ref="H1869:I1869"/>
    <mergeCell ref="J1869:K1869"/>
    <mergeCell ref="B1870:C1870"/>
    <mergeCell ref="D1870:F1870"/>
    <mergeCell ref="H1870:I1870"/>
    <mergeCell ref="J1870:K1870"/>
    <mergeCell ref="H1871:K1871"/>
    <mergeCell ref="A1872:C1872"/>
    <mergeCell ref="D1872:F1872"/>
    <mergeCell ref="H1872:I1872"/>
    <mergeCell ref="J1872:K1872"/>
    <mergeCell ref="B1873:C1873"/>
    <mergeCell ref="H1854:K1854"/>
    <mergeCell ref="H1855:K1855"/>
    <mergeCell ref="A1856:F1856"/>
    <mergeCell ref="H1856:I1856"/>
    <mergeCell ref="J1856:K1856"/>
    <mergeCell ref="B1857:F1857"/>
    <mergeCell ref="H1857:I1857"/>
    <mergeCell ref="J1857:K1857"/>
    <mergeCell ref="H1858:K1858"/>
    <mergeCell ref="H1859:K1859"/>
    <mergeCell ref="H1860:K1860"/>
    <mergeCell ref="H1861:L1861"/>
    <mergeCell ref="A1862:L1862"/>
    <mergeCell ref="A1863:C1863"/>
    <mergeCell ref="D1863:F1863"/>
    <mergeCell ref="H1863:I1863"/>
    <mergeCell ref="J1863:K1863"/>
    <mergeCell ref="H1852:K1852"/>
    <mergeCell ref="H1853:K1853"/>
    <mergeCell ref="B1837:C1837"/>
    <mergeCell ref="D1837:F1837"/>
    <mergeCell ref="H1837:I1837"/>
    <mergeCell ref="J1837:K1837"/>
    <mergeCell ref="H1838:K1838"/>
    <mergeCell ref="A1839:C1839"/>
    <mergeCell ref="D1839:F1839"/>
    <mergeCell ref="H1839:I1839"/>
    <mergeCell ref="J1839:K1839"/>
    <mergeCell ref="B1840:C1840"/>
    <mergeCell ref="D1840:F1840"/>
    <mergeCell ref="H1840:I1840"/>
    <mergeCell ref="J1840:K1840"/>
    <mergeCell ref="B1841:C1841"/>
    <mergeCell ref="D1841:F1841"/>
    <mergeCell ref="H1841:I1841"/>
    <mergeCell ref="J1841:K1841"/>
    <mergeCell ref="H1842:K1842"/>
    <mergeCell ref="A1843:C1843"/>
    <mergeCell ref="D1843:F1843"/>
    <mergeCell ref="H1843:I1843"/>
    <mergeCell ref="J1843:K1843"/>
    <mergeCell ref="B1844:C1844"/>
    <mergeCell ref="D1844:F1844"/>
    <mergeCell ref="H1844:I1844"/>
    <mergeCell ref="J1844:K1844"/>
    <mergeCell ref="H1845:K1845"/>
    <mergeCell ref="A1846:D1846"/>
    <mergeCell ref="H1846:K1846"/>
    <mergeCell ref="H1847:L1847"/>
    <mergeCell ref="H1829:I1829"/>
    <mergeCell ref="J1829:K1829"/>
    <mergeCell ref="B1830:C1830"/>
    <mergeCell ref="D1830:F1830"/>
    <mergeCell ref="H1830:I1830"/>
    <mergeCell ref="J1830:K1830"/>
    <mergeCell ref="B1831:C1831"/>
    <mergeCell ref="D1831:F1831"/>
    <mergeCell ref="H1831:I1831"/>
    <mergeCell ref="J1831:K1831"/>
    <mergeCell ref="H1832:K1832"/>
    <mergeCell ref="H1833:K1833"/>
    <mergeCell ref="H1834:L1834"/>
    <mergeCell ref="A1835:L1835"/>
    <mergeCell ref="B1851:F1851"/>
    <mergeCell ref="H1851:I1851"/>
    <mergeCell ref="J1851:K1851"/>
    <mergeCell ref="A1848:L1848"/>
    <mergeCell ref="A1849:F1849"/>
    <mergeCell ref="H1849:I1849"/>
    <mergeCell ref="J1849:K1849"/>
    <mergeCell ref="B1850:F1850"/>
    <mergeCell ref="H1850:I1850"/>
    <mergeCell ref="J1850:K1850"/>
    <mergeCell ref="H1817:K1817"/>
    <mergeCell ref="A1836:C1836"/>
    <mergeCell ref="D1836:F1836"/>
    <mergeCell ref="H1836:I1836"/>
    <mergeCell ref="J1836:K1836"/>
    <mergeCell ref="B1819:C1819"/>
    <mergeCell ref="D1819:F1819"/>
    <mergeCell ref="H1819:I1819"/>
    <mergeCell ref="J1819:K1819"/>
    <mergeCell ref="B1820:C1820"/>
    <mergeCell ref="D1820:F1820"/>
    <mergeCell ref="H1820:I1820"/>
    <mergeCell ref="J1820:K1820"/>
    <mergeCell ref="H1821:K1821"/>
    <mergeCell ref="H1822:K1822"/>
    <mergeCell ref="H1823:L1823"/>
    <mergeCell ref="A1824:L1824"/>
    <mergeCell ref="A1825:C1825"/>
    <mergeCell ref="D1825:F1825"/>
    <mergeCell ref="H1825:I1825"/>
    <mergeCell ref="J1825:K1825"/>
    <mergeCell ref="B1826:C1826"/>
    <mergeCell ref="D1826:F1826"/>
    <mergeCell ref="H1826:I1826"/>
    <mergeCell ref="J1826:K1826"/>
    <mergeCell ref="B1827:C1827"/>
    <mergeCell ref="D1827:F1827"/>
    <mergeCell ref="H1827:I1827"/>
    <mergeCell ref="J1827:K1827"/>
    <mergeCell ref="H1828:K1828"/>
    <mergeCell ref="A1829:C1829"/>
    <mergeCell ref="D1829:F1829"/>
    <mergeCell ref="J1809:K1809"/>
    <mergeCell ref="H1810:K1810"/>
    <mergeCell ref="H1811:K1811"/>
    <mergeCell ref="H1812:L1812"/>
    <mergeCell ref="A1813:L1813"/>
    <mergeCell ref="A1814:C1814"/>
    <mergeCell ref="D1814:F1814"/>
    <mergeCell ref="H1814:I1814"/>
    <mergeCell ref="J1814:K1814"/>
    <mergeCell ref="B1815:C1815"/>
    <mergeCell ref="D1815:F1815"/>
    <mergeCell ref="H1815:I1815"/>
    <mergeCell ref="J1815:K1815"/>
    <mergeCell ref="B1816:C1816"/>
    <mergeCell ref="D1816:F1816"/>
    <mergeCell ref="H1816:I1816"/>
    <mergeCell ref="J1816:K1816"/>
    <mergeCell ref="B1798:C1798"/>
    <mergeCell ref="D1798:F1798"/>
    <mergeCell ref="H1798:I1798"/>
    <mergeCell ref="J1798:K1798"/>
    <mergeCell ref="H1799:K1799"/>
    <mergeCell ref="H1800:K1800"/>
    <mergeCell ref="H1801:L1801"/>
    <mergeCell ref="A1802:L1802"/>
    <mergeCell ref="A1818:C1818"/>
    <mergeCell ref="D1818:F1818"/>
    <mergeCell ref="H1818:I1818"/>
    <mergeCell ref="J1818:K1818"/>
    <mergeCell ref="B1804:C1804"/>
    <mergeCell ref="D1804:F1804"/>
    <mergeCell ref="H1804:I1804"/>
    <mergeCell ref="J1804:K1804"/>
    <mergeCell ref="B1805:C1805"/>
    <mergeCell ref="D1805:F1805"/>
    <mergeCell ref="H1805:I1805"/>
    <mergeCell ref="J1805:K1805"/>
    <mergeCell ref="H1806:K1806"/>
    <mergeCell ref="A1807:C1807"/>
    <mergeCell ref="D1807:F1807"/>
    <mergeCell ref="H1807:I1807"/>
    <mergeCell ref="J1807:K1807"/>
    <mergeCell ref="B1808:C1808"/>
    <mergeCell ref="D1808:F1808"/>
    <mergeCell ref="H1808:I1808"/>
    <mergeCell ref="J1808:K1808"/>
    <mergeCell ref="B1809:C1809"/>
    <mergeCell ref="D1809:F1809"/>
    <mergeCell ref="H1809:I1809"/>
    <mergeCell ref="J1792:K1792"/>
    <mergeCell ref="B1793:C1793"/>
    <mergeCell ref="D1793:F1793"/>
    <mergeCell ref="H1793:I1793"/>
    <mergeCell ref="J1793:K1793"/>
    <mergeCell ref="B1794:C1794"/>
    <mergeCell ref="D1794:F1794"/>
    <mergeCell ref="H1794:I1794"/>
    <mergeCell ref="J1794:K1794"/>
    <mergeCell ref="H1795:K1795"/>
    <mergeCell ref="A1796:C1796"/>
    <mergeCell ref="D1796:F1796"/>
    <mergeCell ref="H1796:I1796"/>
    <mergeCell ref="J1796:K1796"/>
    <mergeCell ref="B1797:C1797"/>
    <mergeCell ref="D1797:F1797"/>
    <mergeCell ref="H1797:I1797"/>
    <mergeCell ref="J1797:K1797"/>
    <mergeCell ref="A1781:C1781"/>
    <mergeCell ref="D1781:F1781"/>
    <mergeCell ref="H1781:I1781"/>
    <mergeCell ref="J1781:K1781"/>
    <mergeCell ref="B1782:C1782"/>
    <mergeCell ref="D1782:F1782"/>
    <mergeCell ref="H1782:I1782"/>
    <mergeCell ref="J1782:K1782"/>
    <mergeCell ref="B1783:C1783"/>
    <mergeCell ref="D1783:F1783"/>
    <mergeCell ref="H1783:I1783"/>
    <mergeCell ref="J1783:K1783"/>
    <mergeCell ref="H1784:K1784"/>
    <mergeCell ref="A1803:C1803"/>
    <mergeCell ref="D1803:F1803"/>
    <mergeCell ref="H1803:I1803"/>
    <mergeCell ref="J1803:K1803"/>
    <mergeCell ref="B1786:C1786"/>
    <mergeCell ref="D1786:F1786"/>
    <mergeCell ref="H1786:I1786"/>
    <mergeCell ref="J1786:K1786"/>
    <mergeCell ref="B1787:C1787"/>
    <mergeCell ref="D1787:F1787"/>
    <mergeCell ref="H1787:I1787"/>
    <mergeCell ref="J1787:K1787"/>
    <mergeCell ref="H1788:K1788"/>
    <mergeCell ref="H1789:K1789"/>
    <mergeCell ref="H1790:L1790"/>
    <mergeCell ref="A1791:L1791"/>
    <mergeCell ref="A1792:C1792"/>
    <mergeCell ref="D1792:F1792"/>
    <mergeCell ref="H1792:I1792"/>
    <mergeCell ref="H1767:K1767"/>
    <mergeCell ref="H1768:L1768"/>
    <mergeCell ref="A1769:L1769"/>
    <mergeCell ref="A1785:C1785"/>
    <mergeCell ref="D1785:F1785"/>
    <mergeCell ref="H1785:I1785"/>
    <mergeCell ref="J1785:K1785"/>
    <mergeCell ref="B1771:C1771"/>
    <mergeCell ref="D1771:F1771"/>
    <mergeCell ref="H1771:I1771"/>
    <mergeCell ref="J1771:K1771"/>
    <mergeCell ref="B1772:C1772"/>
    <mergeCell ref="D1772:F1772"/>
    <mergeCell ref="H1772:I1772"/>
    <mergeCell ref="J1772:K1772"/>
    <mergeCell ref="H1773:K1773"/>
    <mergeCell ref="A1774:C1774"/>
    <mergeCell ref="D1774:F1774"/>
    <mergeCell ref="H1774:I1774"/>
    <mergeCell ref="J1774:K1774"/>
    <mergeCell ref="B1775:C1775"/>
    <mergeCell ref="D1775:F1775"/>
    <mergeCell ref="H1775:I1775"/>
    <mergeCell ref="J1775:K1775"/>
    <mergeCell ref="B1776:C1776"/>
    <mergeCell ref="D1776:F1776"/>
    <mergeCell ref="H1776:I1776"/>
    <mergeCell ref="J1776:K1776"/>
    <mergeCell ref="H1777:K1777"/>
    <mergeCell ref="H1778:K1778"/>
    <mergeCell ref="H1779:L1779"/>
    <mergeCell ref="A1780:L1780"/>
    <mergeCell ref="D1761:F1761"/>
    <mergeCell ref="H1761:I1761"/>
    <mergeCell ref="J1761:K1761"/>
    <mergeCell ref="H1762:K1762"/>
    <mergeCell ref="A1763:C1763"/>
    <mergeCell ref="D1763:F1763"/>
    <mergeCell ref="H1763:I1763"/>
    <mergeCell ref="J1763:K1763"/>
    <mergeCell ref="B1764:C1764"/>
    <mergeCell ref="D1764:F1764"/>
    <mergeCell ref="H1764:I1764"/>
    <mergeCell ref="J1764:K1764"/>
    <mergeCell ref="B1765:C1765"/>
    <mergeCell ref="D1765:F1765"/>
    <mergeCell ref="H1765:I1765"/>
    <mergeCell ref="J1765:K1765"/>
    <mergeCell ref="H1766:K1766"/>
    <mergeCell ref="H1749:I1749"/>
    <mergeCell ref="J1749:K1749"/>
    <mergeCell ref="B1750:C1750"/>
    <mergeCell ref="D1750:F1750"/>
    <mergeCell ref="H1750:I1750"/>
    <mergeCell ref="J1750:K1750"/>
    <mergeCell ref="H1751:K1751"/>
    <mergeCell ref="A1752:C1752"/>
    <mergeCell ref="D1752:F1752"/>
    <mergeCell ref="H1752:I1752"/>
    <mergeCell ref="J1752:K1752"/>
    <mergeCell ref="A1770:C1770"/>
    <mergeCell ref="D1770:F1770"/>
    <mergeCell ref="H1770:I1770"/>
    <mergeCell ref="J1770:K1770"/>
    <mergeCell ref="B1754:C1754"/>
    <mergeCell ref="D1754:F1754"/>
    <mergeCell ref="H1754:I1754"/>
    <mergeCell ref="J1754:K1754"/>
    <mergeCell ref="H1755:K1755"/>
    <mergeCell ref="H1756:K1756"/>
    <mergeCell ref="H1757:L1757"/>
    <mergeCell ref="A1758:L1758"/>
    <mergeCell ref="A1759:C1759"/>
    <mergeCell ref="D1759:F1759"/>
    <mergeCell ref="H1759:I1759"/>
    <mergeCell ref="J1759:K1759"/>
    <mergeCell ref="B1760:C1760"/>
    <mergeCell ref="D1760:F1760"/>
    <mergeCell ref="H1760:I1760"/>
    <mergeCell ref="J1760:K1760"/>
    <mergeCell ref="B1761:C1761"/>
    <mergeCell ref="A1734:L1734"/>
    <mergeCell ref="A1735:F1735"/>
    <mergeCell ref="H1735:I1735"/>
    <mergeCell ref="J1735:K1735"/>
    <mergeCell ref="B1753:C1753"/>
    <mergeCell ref="D1753:F1753"/>
    <mergeCell ref="H1753:I1753"/>
    <mergeCell ref="J1753:K1753"/>
    <mergeCell ref="B1736:F1736"/>
    <mergeCell ref="H1736:I1736"/>
    <mergeCell ref="J1736:K1736"/>
    <mergeCell ref="B1737:F1737"/>
    <mergeCell ref="H1737:I1737"/>
    <mergeCell ref="J1737:K1737"/>
    <mergeCell ref="H1738:K1738"/>
    <mergeCell ref="H1739:K1739"/>
    <mergeCell ref="H1740:K1740"/>
    <mergeCell ref="H1741:K1741"/>
    <mergeCell ref="A1742:F1742"/>
    <mergeCell ref="H1742:I1742"/>
    <mergeCell ref="J1742:K1742"/>
    <mergeCell ref="B1743:F1743"/>
    <mergeCell ref="H1743:I1743"/>
    <mergeCell ref="J1743:K1743"/>
    <mergeCell ref="H1744:K1744"/>
    <mergeCell ref="H1745:K1745"/>
    <mergeCell ref="A1746:D1746"/>
    <mergeCell ref="H1746:K1746"/>
    <mergeCell ref="H1747:L1747"/>
    <mergeCell ref="A1748:L1748"/>
    <mergeCell ref="A1749:C1749"/>
    <mergeCell ref="D1749:F1749"/>
    <mergeCell ref="B1723:F1723"/>
    <mergeCell ref="H1723:I1723"/>
    <mergeCell ref="J1723:K1723"/>
    <mergeCell ref="H1724:K1724"/>
    <mergeCell ref="H1725:K1725"/>
    <mergeCell ref="H1726:K1726"/>
    <mergeCell ref="H1727:K1727"/>
    <mergeCell ref="A1728:F1728"/>
    <mergeCell ref="H1728:I1728"/>
    <mergeCell ref="J1728:K1728"/>
    <mergeCell ref="B1729:F1729"/>
    <mergeCell ref="H1729:I1729"/>
    <mergeCell ref="J1729:K1729"/>
    <mergeCell ref="H1730:K1730"/>
    <mergeCell ref="H1731:K1731"/>
    <mergeCell ref="H1732:K1732"/>
    <mergeCell ref="H1733:L1733"/>
    <mergeCell ref="A1714:F1714"/>
    <mergeCell ref="H1714:I1714"/>
    <mergeCell ref="J1714:K1714"/>
    <mergeCell ref="B1715:F1715"/>
    <mergeCell ref="H1715:I1715"/>
    <mergeCell ref="J1715:K1715"/>
    <mergeCell ref="H1716:K1716"/>
    <mergeCell ref="H1717:K1717"/>
    <mergeCell ref="H1718:K1718"/>
    <mergeCell ref="H1719:L1719"/>
    <mergeCell ref="A1720:L1720"/>
    <mergeCell ref="A1721:F1721"/>
    <mergeCell ref="H1721:I1721"/>
    <mergeCell ref="J1721:K1721"/>
    <mergeCell ref="B1722:F1722"/>
    <mergeCell ref="H1722:I1722"/>
    <mergeCell ref="J1722:K1722"/>
    <mergeCell ref="H1702:K1702"/>
    <mergeCell ref="H1704:K1704"/>
    <mergeCell ref="H1705:L1705"/>
    <mergeCell ref="A1706:L1706"/>
    <mergeCell ref="A1707:F1707"/>
    <mergeCell ref="H1707:I1707"/>
    <mergeCell ref="J1707:K1707"/>
    <mergeCell ref="B1708:F1708"/>
    <mergeCell ref="H1708:I1708"/>
    <mergeCell ref="J1708:K1708"/>
    <mergeCell ref="B1709:F1709"/>
    <mergeCell ref="H1709:I1709"/>
    <mergeCell ref="J1709:K1709"/>
    <mergeCell ref="H1710:K1710"/>
    <mergeCell ref="H1711:K1711"/>
    <mergeCell ref="H1712:K1712"/>
    <mergeCell ref="H1713:K1713"/>
    <mergeCell ref="H1693:I1693"/>
    <mergeCell ref="J1693:K1693"/>
    <mergeCell ref="B1694:F1694"/>
    <mergeCell ref="H1694:I1694"/>
    <mergeCell ref="J1694:K1694"/>
    <mergeCell ref="B1695:F1695"/>
    <mergeCell ref="H1695:I1695"/>
    <mergeCell ref="J1695:K1695"/>
    <mergeCell ref="H1696:K1696"/>
    <mergeCell ref="H1697:K1697"/>
    <mergeCell ref="H1698:K1698"/>
    <mergeCell ref="H1699:K1699"/>
    <mergeCell ref="A1700:F1700"/>
    <mergeCell ref="H1700:I1700"/>
    <mergeCell ref="J1700:K1700"/>
    <mergeCell ref="B1701:F1701"/>
    <mergeCell ref="H1701:I1701"/>
    <mergeCell ref="J1701:K1701"/>
    <mergeCell ref="H1674:K1674"/>
    <mergeCell ref="H1675:K1675"/>
    <mergeCell ref="H1676:K1676"/>
    <mergeCell ref="H1677:L1677"/>
    <mergeCell ref="A1678:L1678"/>
    <mergeCell ref="A1679:F1679"/>
    <mergeCell ref="H1679:I1679"/>
    <mergeCell ref="J1679:K1679"/>
    <mergeCell ref="B1680:F1680"/>
    <mergeCell ref="H1680:I1680"/>
    <mergeCell ref="J1680:K1680"/>
    <mergeCell ref="B1681:F1681"/>
    <mergeCell ref="H1681:I1681"/>
    <mergeCell ref="J1681:K1681"/>
    <mergeCell ref="H1703:K1703"/>
    <mergeCell ref="H1682:K1682"/>
    <mergeCell ref="H1683:K1683"/>
    <mergeCell ref="H1684:K1684"/>
    <mergeCell ref="H1685:K1685"/>
    <mergeCell ref="A1686:F1686"/>
    <mergeCell ref="H1686:I1686"/>
    <mergeCell ref="J1686:K1686"/>
    <mergeCell ref="B1687:F1687"/>
    <mergeCell ref="H1687:I1687"/>
    <mergeCell ref="J1687:K1687"/>
    <mergeCell ref="H1688:K1688"/>
    <mergeCell ref="H1689:K1689"/>
    <mergeCell ref="A1690:D1690"/>
    <mergeCell ref="H1690:K1690"/>
    <mergeCell ref="H1691:L1691"/>
    <mergeCell ref="A1692:L1692"/>
    <mergeCell ref="A1693:F1693"/>
    <mergeCell ref="A1665:F1665"/>
    <mergeCell ref="H1665:I1665"/>
    <mergeCell ref="J1665:K1665"/>
    <mergeCell ref="B1666:F1666"/>
    <mergeCell ref="H1666:I1666"/>
    <mergeCell ref="J1666:K1666"/>
    <mergeCell ref="B1667:F1667"/>
    <mergeCell ref="H1667:I1667"/>
    <mergeCell ref="J1667:K1667"/>
    <mergeCell ref="H1668:K1668"/>
    <mergeCell ref="H1669:K1669"/>
    <mergeCell ref="H1670:K1670"/>
    <mergeCell ref="H1671:K1671"/>
    <mergeCell ref="A1672:F1672"/>
    <mergeCell ref="H1672:I1672"/>
    <mergeCell ref="J1672:K1672"/>
    <mergeCell ref="B1673:F1673"/>
    <mergeCell ref="H1673:I1673"/>
    <mergeCell ref="J1673:K1673"/>
    <mergeCell ref="B1653:F1653"/>
    <mergeCell ref="H1653:I1653"/>
    <mergeCell ref="J1653:K1653"/>
    <mergeCell ref="H1654:K1654"/>
    <mergeCell ref="H1655:K1655"/>
    <mergeCell ref="H1656:K1656"/>
    <mergeCell ref="H1657:K1657"/>
    <mergeCell ref="A1658:F1658"/>
    <mergeCell ref="H1658:I1658"/>
    <mergeCell ref="J1658:K1658"/>
    <mergeCell ref="B1659:F1659"/>
    <mergeCell ref="H1659:I1659"/>
    <mergeCell ref="J1659:K1659"/>
    <mergeCell ref="H1660:K1660"/>
    <mergeCell ref="H1662:K1662"/>
    <mergeCell ref="H1663:L1663"/>
    <mergeCell ref="A1664:L1664"/>
    <mergeCell ref="A1636:L1636"/>
    <mergeCell ref="A1637:F1637"/>
    <mergeCell ref="H1637:I1637"/>
    <mergeCell ref="J1637:K1637"/>
    <mergeCell ref="B1638:F1638"/>
    <mergeCell ref="H1638:I1638"/>
    <mergeCell ref="J1638:K1638"/>
    <mergeCell ref="B1639:F1639"/>
    <mergeCell ref="H1639:I1639"/>
    <mergeCell ref="J1639:K1639"/>
    <mergeCell ref="H1661:K1661"/>
    <mergeCell ref="H1640:K1640"/>
    <mergeCell ref="H1641:K1641"/>
    <mergeCell ref="H1642:K1642"/>
    <mergeCell ref="H1643:K1643"/>
    <mergeCell ref="A1644:F1644"/>
    <mergeCell ref="H1644:I1644"/>
    <mergeCell ref="J1644:K1644"/>
    <mergeCell ref="B1645:F1645"/>
    <mergeCell ref="H1645:I1645"/>
    <mergeCell ref="J1645:K1645"/>
    <mergeCell ref="H1646:K1646"/>
    <mergeCell ref="H1647:K1647"/>
    <mergeCell ref="H1648:K1648"/>
    <mergeCell ref="H1649:L1649"/>
    <mergeCell ref="A1650:L1650"/>
    <mergeCell ref="A1651:F1651"/>
    <mergeCell ref="H1651:I1651"/>
    <mergeCell ref="J1651:K1651"/>
    <mergeCell ref="B1652:F1652"/>
    <mergeCell ref="H1652:I1652"/>
    <mergeCell ref="J1652:K1652"/>
    <mergeCell ref="B1625:F1625"/>
    <mergeCell ref="H1625:I1625"/>
    <mergeCell ref="J1625:K1625"/>
    <mergeCell ref="H1626:K1626"/>
    <mergeCell ref="H1627:K1627"/>
    <mergeCell ref="H1628:K1628"/>
    <mergeCell ref="H1629:K1629"/>
    <mergeCell ref="A1630:F1630"/>
    <mergeCell ref="H1630:I1630"/>
    <mergeCell ref="J1630:K1630"/>
    <mergeCell ref="B1631:F1631"/>
    <mergeCell ref="H1631:I1631"/>
    <mergeCell ref="J1631:K1631"/>
    <mergeCell ref="H1632:K1632"/>
    <mergeCell ref="H1633:K1633"/>
    <mergeCell ref="H1634:K1634"/>
    <mergeCell ref="H1635:L1635"/>
    <mergeCell ref="H1613:K1613"/>
    <mergeCell ref="H1614:K1614"/>
    <mergeCell ref="H1615:K1615"/>
    <mergeCell ref="A1616:F1616"/>
    <mergeCell ref="H1616:I1616"/>
    <mergeCell ref="J1616:K1616"/>
    <mergeCell ref="B1617:F1617"/>
    <mergeCell ref="H1617:I1617"/>
    <mergeCell ref="J1617:K1617"/>
    <mergeCell ref="H1618:K1618"/>
    <mergeCell ref="H1620:K1620"/>
    <mergeCell ref="H1621:L1621"/>
    <mergeCell ref="A1622:L1622"/>
    <mergeCell ref="A1623:F1623"/>
    <mergeCell ref="H1623:I1623"/>
    <mergeCell ref="J1623:K1623"/>
    <mergeCell ref="B1624:F1624"/>
    <mergeCell ref="H1624:I1624"/>
    <mergeCell ref="J1624:K1624"/>
    <mergeCell ref="B1596:F1596"/>
    <mergeCell ref="H1596:I1596"/>
    <mergeCell ref="J1596:K1596"/>
    <mergeCell ref="B1597:F1597"/>
    <mergeCell ref="H1597:I1597"/>
    <mergeCell ref="J1597:K1597"/>
    <mergeCell ref="H1619:K1619"/>
    <mergeCell ref="H1598:K1598"/>
    <mergeCell ref="H1599:K1599"/>
    <mergeCell ref="H1600:K1600"/>
    <mergeCell ref="H1601:K1601"/>
    <mergeCell ref="A1602:F1602"/>
    <mergeCell ref="H1602:I1602"/>
    <mergeCell ref="J1602:K1602"/>
    <mergeCell ref="B1603:F1603"/>
    <mergeCell ref="H1603:I1603"/>
    <mergeCell ref="J1603:K1603"/>
    <mergeCell ref="H1604:K1604"/>
    <mergeCell ref="H1605:K1605"/>
    <mergeCell ref="H1606:K1606"/>
    <mergeCell ref="H1607:L1607"/>
    <mergeCell ref="A1608:L1608"/>
    <mergeCell ref="A1609:F1609"/>
    <mergeCell ref="H1609:I1609"/>
    <mergeCell ref="J1609:K1609"/>
    <mergeCell ref="B1610:F1610"/>
    <mergeCell ref="H1610:I1610"/>
    <mergeCell ref="J1610:K1610"/>
    <mergeCell ref="B1611:F1611"/>
    <mergeCell ref="H1611:I1611"/>
    <mergeCell ref="J1611:K1611"/>
    <mergeCell ref="H1612:K1612"/>
    <mergeCell ref="B1583:F1583"/>
    <mergeCell ref="H1583:I1583"/>
    <mergeCell ref="J1583:K1583"/>
    <mergeCell ref="H1584:K1584"/>
    <mergeCell ref="H1585:K1585"/>
    <mergeCell ref="H1586:K1586"/>
    <mergeCell ref="H1587:K1587"/>
    <mergeCell ref="B1589:F1589"/>
    <mergeCell ref="H1589:I1589"/>
    <mergeCell ref="J1589:K1589"/>
    <mergeCell ref="H1590:K1590"/>
    <mergeCell ref="H1591:K1591"/>
    <mergeCell ref="H1592:K1592"/>
    <mergeCell ref="H1593:L1593"/>
    <mergeCell ref="A1594:L1594"/>
    <mergeCell ref="A1595:F1595"/>
    <mergeCell ref="H1595:I1595"/>
    <mergeCell ref="J1595:K1595"/>
    <mergeCell ref="D1575:F1575"/>
    <mergeCell ref="H1575:I1575"/>
    <mergeCell ref="J1575:K1575"/>
    <mergeCell ref="B1576:C1576"/>
    <mergeCell ref="D1576:F1576"/>
    <mergeCell ref="H1576:I1576"/>
    <mergeCell ref="J1576:K1576"/>
    <mergeCell ref="H1577:K1577"/>
    <mergeCell ref="H1578:K1578"/>
    <mergeCell ref="H1579:L1579"/>
    <mergeCell ref="A1580:L1580"/>
    <mergeCell ref="A1581:F1581"/>
    <mergeCell ref="H1581:I1581"/>
    <mergeCell ref="J1581:K1581"/>
    <mergeCell ref="B1582:F1582"/>
    <mergeCell ref="H1582:I1582"/>
    <mergeCell ref="J1582:K1582"/>
    <mergeCell ref="H1565:I1565"/>
    <mergeCell ref="J1565:K1565"/>
    <mergeCell ref="B1566:C1566"/>
    <mergeCell ref="D1566:F1566"/>
    <mergeCell ref="H1566:I1566"/>
    <mergeCell ref="J1566:K1566"/>
    <mergeCell ref="H1567:K1567"/>
    <mergeCell ref="A1568:C1568"/>
    <mergeCell ref="D1568:F1568"/>
    <mergeCell ref="H1568:I1568"/>
    <mergeCell ref="J1568:K1568"/>
    <mergeCell ref="B1569:C1569"/>
    <mergeCell ref="D1569:F1569"/>
    <mergeCell ref="H1569:I1569"/>
    <mergeCell ref="J1569:K1569"/>
    <mergeCell ref="A1588:F1588"/>
    <mergeCell ref="H1588:I1588"/>
    <mergeCell ref="J1588:K1588"/>
    <mergeCell ref="B1571:C1571"/>
    <mergeCell ref="D1571:F1571"/>
    <mergeCell ref="H1571:I1571"/>
    <mergeCell ref="J1571:K1571"/>
    <mergeCell ref="H1572:K1572"/>
    <mergeCell ref="A1573:C1573"/>
    <mergeCell ref="D1573:F1573"/>
    <mergeCell ref="H1573:I1573"/>
    <mergeCell ref="J1573:K1573"/>
    <mergeCell ref="B1574:C1574"/>
    <mergeCell ref="D1574:F1574"/>
    <mergeCell ref="H1574:I1574"/>
    <mergeCell ref="J1574:K1574"/>
    <mergeCell ref="B1575:C1575"/>
    <mergeCell ref="H1554:K1554"/>
    <mergeCell ref="A1555:C1555"/>
    <mergeCell ref="D1555:F1555"/>
    <mergeCell ref="H1555:I1555"/>
    <mergeCell ref="J1555:K1555"/>
    <mergeCell ref="B1570:C1570"/>
    <mergeCell ref="D1570:F1570"/>
    <mergeCell ref="H1570:I1570"/>
    <mergeCell ref="J1570:K1570"/>
    <mergeCell ref="B1557:C1557"/>
    <mergeCell ref="D1557:F1557"/>
    <mergeCell ref="H1557:I1557"/>
    <mergeCell ref="J1557:K1557"/>
    <mergeCell ref="B1558:C1558"/>
    <mergeCell ref="D1558:F1558"/>
    <mergeCell ref="H1558:I1558"/>
    <mergeCell ref="J1558:K1558"/>
    <mergeCell ref="H1559:K1559"/>
    <mergeCell ref="A1560:D1560"/>
    <mergeCell ref="H1560:K1560"/>
    <mergeCell ref="H1561:L1561"/>
    <mergeCell ref="A1562:L1562"/>
    <mergeCell ref="A1563:C1563"/>
    <mergeCell ref="D1563:F1563"/>
    <mergeCell ref="H1563:I1563"/>
    <mergeCell ref="J1563:K1563"/>
    <mergeCell ref="B1564:C1564"/>
    <mergeCell ref="D1564:F1564"/>
    <mergeCell ref="H1564:I1564"/>
    <mergeCell ref="J1564:K1564"/>
    <mergeCell ref="B1565:C1565"/>
    <mergeCell ref="D1565:F1565"/>
    <mergeCell ref="H1549:I1549"/>
    <mergeCell ref="J1549:K1549"/>
    <mergeCell ref="B1550:C1550"/>
    <mergeCell ref="D1550:F1550"/>
    <mergeCell ref="H1550:I1550"/>
    <mergeCell ref="J1550:K1550"/>
    <mergeCell ref="B1551:C1551"/>
    <mergeCell ref="D1551:F1551"/>
    <mergeCell ref="H1551:I1551"/>
    <mergeCell ref="J1551:K1551"/>
    <mergeCell ref="B1552:C1552"/>
    <mergeCell ref="D1552:F1552"/>
    <mergeCell ref="H1552:I1552"/>
    <mergeCell ref="J1552:K1552"/>
    <mergeCell ref="B1553:C1553"/>
    <mergeCell ref="D1553:F1553"/>
    <mergeCell ref="H1553:I1553"/>
    <mergeCell ref="J1553:K1553"/>
    <mergeCell ref="B1537:C1537"/>
    <mergeCell ref="D1537:F1537"/>
    <mergeCell ref="H1537:I1537"/>
    <mergeCell ref="J1537:K1537"/>
    <mergeCell ref="H1538:K1538"/>
    <mergeCell ref="A1539:C1539"/>
    <mergeCell ref="D1539:F1539"/>
    <mergeCell ref="H1539:I1539"/>
    <mergeCell ref="J1539:K1539"/>
    <mergeCell ref="B1540:C1540"/>
    <mergeCell ref="D1540:F1540"/>
    <mergeCell ref="H1540:I1540"/>
    <mergeCell ref="J1540:K1540"/>
    <mergeCell ref="B1556:C1556"/>
    <mergeCell ref="D1556:F1556"/>
    <mergeCell ref="H1556:I1556"/>
    <mergeCell ref="J1556:K1556"/>
    <mergeCell ref="A1542:D1543"/>
    <mergeCell ref="H1542:K1542"/>
    <mergeCell ref="H1544:L1544"/>
    <mergeCell ref="A1545:L1545"/>
    <mergeCell ref="A1546:C1546"/>
    <mergeCell ref="D1546:F1546"/>
    <mergeCell ref="H1546:I1546"/>
    <mergeCell ref="J1546:K1546"/>
    <mergeCell ref="B1547:C1547"/>
    <mergeCell ref="D1547:F1547"/>
    <mergeCell ref="H1547:I1547"/>
    <mergeCell ref="J1547:K1547"/>
    <mergeCell ref="H1548:K1548"/>
    <mergeCell ref="A1549:C1549"/>
    <mergeCell ref="D1549:F1549"/>
    <mergeCell ref="H1524:K1524"/>
    <mergeCell ref="A1525:D1526"/>
    <mergeCell ref="H1525:K1525"/>
    <mergeCell ref="H1527:L1527"/>
    <mergeCell ref="A1528:L1528"/>
    <mergeCell ref="A1529:C1529"/>
    <mergeCell ref="D1529:F1529"/>
    <mergeCell ref="H1529:I1529"/>
    <mergeCell ref="J1529:K1529"/>
    <mergeCell ref="H1541:K1541"/>
    <mergeCell ref="B1530:C1530"/>
    <mergeCell ref="D1530:F1530"/>
    <mergeCell ref="H1530:I1530"/>
    <mergeCell ref="J1530:K1530"/>
    <mergeCell ref="H1531:K1531"/>
    <mergeCell ref="A1532:C1532"/>
    <mergeCell ref="D1532:F1532"/>
    <mergeCell ref="H1532:I1532"/>
    <mergeCell ref="J1532:K1532"/>
    <mergeCell ref="B1533:C1533"/>
    <mergeCell ref="D1533:F1533"/>
    <mergeCell ref="H1533:I1533"/>
    <mergeCell ref="J1533:K1533"/>
    <mergeCell ref="B1534:C1534"/>
    <mergeCell ref="D1534:F1534"/>
    <mergeCell ref="H1534:I1534"/>
    <mergeCell ref="J1534:K1534"/>
    <mergeCell ref="H1535:K1535"/>
    <mergeCell ref="A1536:C1536"/>
    <mergeCell ref="D1536:F1536"/>
    <mergeCell ref="H1536:I1536"/>
    <mergeCell ref="J1536:K1536"/>
    <mergeCell ref="H1517:K1517"/>
    <mergeCell ref="A1518:C1518"/>
    <mergeCell ref="D1518:F1518"/>
    <mergeCell ref="H1518:I1518"/>
    <mergeCell ref="J1518:K1518"/>
    <mergeCell ref="B1519:C1519"/>
    <mergeCell ref="D1519:F1519"/>
    <mergeCell ref="H1519:I1519"/>
    <mergeCell ref="J1519:K1519"/>
    <mergeCell ref="H1521:K1521"/>
    <mergeCell ref="A1522:C1522"/>
    <mergeCell ref="D1522:F1522"/>
    <mergeCell ref="H1522:I1522"/>
    <mergeCell ref="J1522:K1522"/>
    <mergeCell ref="B1523:C1523"/>
    <mergeCell ref="D1523:F1523"/>
    <mergeCell ref="H1523:I1523"/>
    <mergeCell ref="J1523:K1523"/>
    <mergeCell ref="B1520:C1520"/>
    <mergeCell ref="D1520:F1520"/>
    <mergeCell ref="H1520:I1520"/>
    <mergeCell ref="J1520:K1520"/>
    <mergeCell ref="H1507:K1507"/>
    <mergeCell ref="H1508:L1508"/>
    <mergeCell ref="A1509:L1509"/>
    <mergeCell ref="A1510:C1510"/>
    <mergeCell ref="D1510:F1510"/>
    <mergeCell ref="H1510:I1510"/>
    <mergeCell ref="J1510:K1510"/>
    <mergeCell ref="B1511:C1511"/>
    <mergeCell ref="D1511:F1511"/>
    <mergeCell ref="H1511:I1511"/>
    <mergeCell ref="J1511:K1511"/>
    <mergeCell ref="B1512:C1512"/>
    <mergeCell ref="D1512:F1512"/>
    <mergeCell ref="H1512:I1512"/>
    <mergeCell ref="J1512:K1512"/>
    <mergeCell ref="H1513:K1513"/>
    <mergeCell ref="J1516:K1516"/>
    <mergeCell ref="A1514:C1514"/>
    <mergeCell ref="D1514:F1514"/>
    <mergeCell ref="H1514:I1514"/>
    <mergeCell ref="J1514:K1514"/>
    <mergeCell ref="B1515:C1515"/>
    <mergeCell ref="D1515:F1515"/>
    <mergeCell ref="H1515:I1515"/>
    <mergeCell ref="J1515:K1515"/>
    <mergeCell ref="B1516:C1516"/>
    <mergeCell ref="D1516:F1516"/>
    <mergeCell ref="H1516:I1516"/>
    <mergeCell ref="A1507:D1507"/>
    <mergeCell ref="D1500:F1500"/>
    <mergeCell ref="H1500:I1500"/>
    <mergeCell ref="J1500:K1500"/>
    <mergeCell ref="B1501:C1501"/>
    <mergeCell ref="D1501:F1501"/>
    <mergeCell ref="H1501:I1501"/>
    <mergeCell ref="J1501:K1501"/>
    <mergeCell ref="B1502:C1502"/>
    <mergeCell ref="D1502:F1502"/>
    <mergeCell ref="H1502:I1502"/>
    <mergeCell ref="J1502:K1502"/>
    <mergeCell ref="H1503:K1503"/>
    <mergeCell ref="A1504:C1504"/>
    <mergeCell ref="D1504:F1504"/>
    <mergeCell ref="H1504:I1504"/>
    <mergeCell ref="J1504:K1504"/>
    <mergeCell ref="B1505:C1505"/>
    <mergeCell ref="D1505:F1505"/>
    <mergeCell ref="H1505:I1505"/>
    <mergeCell ref="J1505:K1505"/>
    <mergeCell ref="H1488:K1488"/>
    <mergeCell ref="H1489:K1489"/>
    <mergeCell ref="H1490:L1490"/>
    <mergeCell ref="A1491:L1491"/>
    <mergeCell ref="A1492:C1492"/>
    <mergeCell ref="D1492:F1492"/>
    <mergeCell ref="H1492:I1492"/>
    <mergeCell ref="J1492:K1492"/>
    <mergeCell ref="B1493:C1493"/>
    <mergeCell ref="D1493:F1493"/>
    <mergeCell ref="H1493:I1493"/>
    <mergeCell ref="J1493:K1493"/>
    <mergeCell ref="H1494:K1494"/>
    <mergeCell ref="H1506:K1506"/>
    <mergeCell ref="A1495:C1495"/>
    <mergeCell ref="D1495:F1495"/>
    <mergeCell ref="H1495:I1495"/>
    <mergeCell ref="J1495:K1495"/>
    <mergeCell ref="B1496:C1496"/>
    <mergeCell ref="D1496:F1496"/>
    <mergeCell ref="H1496:I1496"/>
    <mergeCell ref="J1496:K1496"/>
    <mergeCell ref="B1497:C1497"/>
    <mergeCell ref="D1497:F1497"/>
    <mergeCell ref="H1497:I1497"/>
    <mergeCell ref="J1497:K1497"/>
    <mergeCell ref="H1498:K1498"/>
    <mergeCell ref="A1499:C1499"/>
    <mergeCell ref="D1499:F1499"/>
    <mergeCell ref="H1499:I1499"/>
    <mergeCell ref="J1499:K1499"/>
    <mergeCell ref="B1500:C1500"/>
    <mergeCell ref="B1483:C1483"/>
    <mergeCell ref="D1483:F1483"/>
    <mergeCell ref="H1483:I1483"/>
    <mergeCell ref="J1483:K1483"/>
    <mergeCell ref="B1484:C1484"/>
    <mergeCell ref="D1484:F1484"/>
    <mergeCell ref="H1484:I1484"/>
    <mergeCell ref="J1484:K1484"/>
    <mergeCell ref="H1485:K1485"/>
    <mergeCell ref="A1486:C1486"/>
    <mergeCell ref="D1486:F1486"/>
    <mergeCell ref="H1486:I1486"/>
    <mergeCell ref="J1486:K1486"/>
    <mergeCell ref="B1487:C1487"/>
    <mergeCell ref="D1487:F1487"/>
    <mergeCell ref="H1487:I1487"/>
    <mergeCell ref="J1487:K1487"/>
    <mergeCell ref="H1475:I1475"/>
    <mergeCell ref="J1475:K1475"/>
    <mergeCell ref="B1476:C1476"/>
    <mergeCell ref="D1476:F1476"/>
    <mergeCell ref="H1476:I1476"/>
    <mergeCell ref="J1476:K1476"/>
    <mergeCell ref="B1477:C1477"/>
    <mergeCell ref="D1477:F1477"/>
    <mergeCell ref="H1477:I1477"/>
    <mergeCell ref="J1477:K1477"/>
    <mergeCell ref="H1478:K1478"/>
    <mergeCell ref="A1479:C1479"/>
    <mergeCell ref="D1479:F1479"/>
    <mergeCell ref="H1479:I1479"/>
    <mergeCell ref="J1479:K1479"/>
    <mergeCell ref="H1481:K1481"/>
    <mergeCell ref="A1482:C1482"/>
    <mergeCell ref="D1482:F1482"/>
    <mergeCell ref="H1482:I1482"/>
    <mergeCell ref="J1482:K1482"/>
    <mergeCell ref="B1464:C1464"/>
    <mergeCell ref="D1464:F1464"/>
    <mergeCell ref="H1464:I1464"/>
    <mergeCell ref="J1464:K1464"/>
    <mergeCell ref="B1465:C1465"/>
    <mergeCell ref="D1465:F1465"/>
    <mergeCell ref="H1465:I1465"/>
    <mergeCell ref="J1465:K1465"/>
    <mergeCell ref="B1480:C1480"/>
    <mergeCell ref="D1480:F1480"/>
    <mergeCell ref="H1480:I1480"/>
    <mergeCell ref="J1480:K1480"/>
    <mergeCell ref="H1467:K1467"/>
    <mergeCell ref="A1468:C1468"/>
    <mergeCell ref="D1468:F1468"/>
    <mergeCell ref="H1468:I1468"/>
    <mergeCell ref="J1468:K1468"/>
    <mergeCell ref="B1469:C1469"/>
    <mergeCell ref="D1469:F1469"/>
    <mergeCell ref="H1469:I1469"/>
    <mergeCell ref="J1469:K1469"/>
    <mergeCell ref="B1470:C1470"/>
    <mergeCell ref="D1470:F1470"/>
    <mergeCell ref="H1470:I1470"/>
    <mergeCell ref="J1470:K1470"/>
    <mergeCell ref="H1471:K1471"/>
    <mergeCell ref="A1472:D1472"/>
    <mergeCell ref="H1472:K1472"/>
    <mergeCell ref="H1473:L1473"/>
    <mergeCell ref="A1474:L1474"/>
    <mergeCell ref="A1475:C1475"/>
    <mergeCell ref="D1475:F1475"/>
    <mergeCell ref="J1459:K1459"/>
    <mergeCell ref="B1460:C1460"/>
    <mergeCell ref="D1460:F1460"/>
    <mergeCell ref="H1460:I1460"/>
    <mergeCell ref="J1460:K1460"/>
    <mergeCell ref="B1461:C1461"/>
    <mergeCell ref="D1461:F1461"/>
    <mergeCell ref="H1461:I1461"/>
    <mergeCell ref="J1461:K1461"/>
    <mergeCell ref="B1462:C1462"/>
    <mergeCell ref="D1462:F1462"/>
    <mergeCell ref="H1462:I1462"/>
    <mergeCell ref="J1462:K1462"/>
    <mergeCell ref="B1463:C1463"/>
    <mergeCell ref="D1463:F1463"/>
    <mergeCell ref="H1463:I1463"/>
    <mergeCell ref="J1463:K1463"/>
    <mergeCell ref="H1446:K1446"/>
    <mergeCell ref="H1447:K1447"/>
    <mergeCell ref="A1448:F1448"/>
    <mergeCell ref="H1448:I1448"/>
    <mergeCell ref="J1448:K1448"/>
    <mergeCell ref="B1449:F1449"/>
    <mergeCell ref="H1449:I1449"/>
    <mergeCell ref="J1449:K1449"/>
    <mergeCell ref="B1450:F1450"/>
    <mergeCell ref="H1450:I1450"/>
    <mergeCell ref="J1450:K1450"/>
    <mergeCell ref="H1451:K1451"/>
    <mergeCell ref="H1452:K1452"/>
    <mergeCell ref="A1453:D1453"/>
    <mergeCell ref="H1453:K1453"/>
    <mergeCell ref="B1466:C1466"/>
    <mergeCell ref="D1466:F1466"/>
    <mergeCell ref="H1466:I1466"/>
    <mergeCell ref="J1466:K1466"/>
    <mergeCell ref="A1455:L1455"/>
    <mergeCell ref="A1456:C1456"/>
    <mergeCell ref="D1456:F1456"/>
    <mergeCell ref="H1456:I1456"/>
    <mergeCell ref="J1456:K1456"/>
    <mergeCell ref="B1457:C1457"/>
    <mergeCell ref="D1457:F1457"/>
    <mergeCell ref="H1457:I1457"/>
    <mergeCell ref="J1457:K1457"/>
    <mergeCell ref="H1458:K1458"/>
    <mergeCell ref="A1459:C1459"/>
    <mergeCell ref="D1459:F1459"/>
    <mergeCell ref="H1459:I1459"/>
    <mergeCell ref="H1431:I1431"/>
    <mergeCell ref="J1431:K1431"/>
    <mergeCell ref="B1432:C1432"/>
    <mergeCell ref="D1432:F1432"/>
    <mergeCell ref="H1432:I1432"/>
    <mergeCell ref="J1432:K1432"/>
    <mergeCell ref="B1433:C1433"/>
    <mergeCell ref="D1433:F1433"/>
    <mergeCell ref="H1433:I1433"/>
    <mergeCell ref="J1433:K1433"/>
    <mergeCell ref="H1434:K1434"/>
    <mergeCell ref="H1454:L1454"/>
    <mergeCell ref="B1436:C1436"/>
    <mergeCell ref="D1436:F1436"/>
    <mergeCell ref="H1436:I1436"/>
    <mergeCell ref="J1436:K1436"/>
    <mergeCell ref="H1437:K1437"/>
    <mergeCell ref="A1438:D1438"/>
    <mergeCell ref="H1438:K1438"/>
    <mergeCell ref="H1439:L1439"/>
    <mergeCell ref="A1440:L1440"/>
    <mergeCell ref="A1441:F1441"/>
    <mergeCell ref="H1441:I1441"/>
    <mergeCell ref="J1441:K1441"/>
    <mergeCell ref="B1442:F1442"/>
    <mergeCell ref="H1442:I1442"/>
    <mergeCell ref="J1442:K1442"/>
    <mergeCell ref="B1443:F1443"/>
    <mergeCell ref="H1443:I1443"/>
    <mergeCell ref="J1443:K1443"/>
    <mergeCell ref="H1444:K1444"/>
    <mergeCell ref="H1445:K1445"/>
    <mergeCell ref="B1419:C1419"/>
    <mergeCell ref="D1419:F1419"/>
    <mergeCell ref="H1419:I1419"/>
    <mergeCell ref="J1419:K1419"/>
    <mergeCell ref="A1435:C1435"/>
    <mergeCell ref="D1435:F1435"/>
    <mergeCell ref="H1435:I1435"/>
    <mergeCell ref="J1435:K1435"/>
    <mergeCell ref="H1421:K1421"/>
    <mergeCell ref="A1422:C1422"/>
    <mergeCell ref="D1422:F1422"/>
    <mergeCell ref="H1422:I1422"/>
    <mergeCell ref="J1422:K1422"/>
    <mergeCell ref="B1423:C1423"/>
    <mergeCell ref="D1423:F1423"/>
    <mergeCell ref="H1423:I1423"/>
    <mergeCell ref="J1423:K1423"/>
    <mergeCell ref="H1424:K1424"/>
    <mergeCell ref="A1425:D1426"/>
    <mergeCell ref="H1425:K1425"/>
    <mergeCell ref="H1427:L1427"/>
    <mergeCell ref="A1428:L1428"/>
    <mergeCell ref="A1429:C1429"/>
    <mergeCell ref="D1429:F1429"/>
    <mergeCell ref="H1429:I1429"/>
    <mergeCell ref="J1429:K1429"/>
    <mergeCell ref="B1430:C1430"/>
    <mergeCell ref="D1430:F1430"/>
    <mergeCell ref="H1430:I1430"/>
    <mergeCell ref="J1430:K1430"/>
    <mergeCell ref="B1431:C1431"/>
    <mergeCell ref="D1431:F1431"/>
    <mergeCell ref="J1413:K1413"/>
    <mergeCell ref="B1414:C1414"/>
    <mergeCell ref="D1414:F1414"/>
    <mergeCell ref="H1414:I1414"/>
    <mergeCell ref="J1414:K1414"/>
    <mergeCell ref="B1415:C1415"/>
    <mergeCell ref="D1415:F1415"/>
    <mergeCell ref="H1415:I1415"/>
    <mergeCell ref="J1415:K1415"/>
    <mergeCell ref="B1416:C1416"/>
    <mergeCell ref="D1416:F1416"/>
    <mergeCell ref="H1416:I1416"/>
    <mergeCell ref="J1416:K1416"/>
    <mergeCell ref="H1417:K1417"/>
    <mergeCell ref="A1418:C1418"/>
    <mergeCell ref="D1418:F1418"/>
    <mergeCell ref="H1418:I1418"/>
    <mergeCell ref="J1418:K1418"/>
    <mergeCell ref="H1399:K1399"/>
    <mergeCell ref="H1400:K1400"/>
    <mergeCell ref="H1401:K1401"/>
    <mergeCell ref="H1402:K1402"/>
    <mergeCell ref="A1403:F1403"/>
    <mergeCell ref="H1403:I1403"/>
    <mergeCell ref="J1403:K1403"/>
    <mergeCell ref="B1404:F1404"/>
    <mergeCell ref="H1404:I1404"/>
    <mergeCell ref="J1404:K1404"/>
    <mergeCell ref="B1405:F1405"/>
    <mergeCell ref="H1405:I1405"/>
    <mergeCell ref="J1405:K1405"/>
    <mergeCell ref="B1420:C1420"/>
    <mergeCell ref="D1420:F1420"/>
    <mergeCell ref="H1420:I1420"/>
    <mergeCell ref="J1420:K1420"/>
    <mergeCell ref="B1406:F1406"/>
    <mergeCell ref="H1406:I1406"/>
    <mergeCell ref="J1406:K1406"/>
    <mergeCell ref="H1407:K1407"/>
    <mergeCell ref="H1408:K1408"/>
    <mergeCell ref="H1409:K1409"/>
    <mergeCell ref="H1410:L1410"/>
    <mergeCell ref="A1411:L1411"/>
    <mergeCell ref="A1412:C1412"/>
    <mergeCell ref="D1412:F1412"/>
    <mergeCell ref="H1412:I1412"/>
    <mergeCell ref="J1412:K1412"/>
    <mergeCell ref="B1413:C1413"/>
    <mergeCell ref="D1413:F1413"/>
    <mergeCell ref="H1413:I1413"/>
    <mergeCell ref="B1391:C1391"/>
    <mergeCell ref="D1391:F1391"/>
    <mergeCell ref="H1391:I1391"/>
    <mergeCell ref="J1391:K1391"/>
    <mergeCell ref="H1392:K1392"/>
    <mergeCell ref="H1393:K1393"/>
    <mergeCell ref="H1394:L1394"/>
    <mergeCell ref="A1395:L1395"/>
    <mergeCell ref="A1396:F1396"/>
    <mergeCell ref="H1396:I1396"/>
    <mergeCell ref="J1396:K1396"/>
    <mergeCell ref="B1397:F1397"/>
    <mergeCell ref="H1397:I1397"/>
    <mergeCell ref="J1397:K1397"/>
    <mergeCell ref="B1398:F1398"/>
    <mergeCell ref="H1398:I1398"/>
    <mergeCell ref="J1398:K1398"/>
    <mergeCell ref="B1385:C1385"/>
    <mergeCell ref="D1385:F1385"/>
    <mergeCell ref="H1385:I1385"/>
    <mergeCell ref="J1385:K1385"/>
    <mergeCell ref="B1386:C1386"/>
    <mergeCell ref="D1386:F1386"/>
    <mergeCell ref="H1386:I1386"/>
    <mergeCell ref="J1386:K1386"/>
    <mergeCell ref="B1387:C1387"/>
    <mergeCell ref="D1387:F1387"/>
    <mergeCell ref="H1387:I1387"/>
    <mergeCell ref="J1387:K1387"/>
    <mergeCell ref="A1389:C1389"/>
    <mergeCell ref="D1389:F1389"/>
    <mergeCell ref="H1389:I1389"/>
    <mergeCell ref="J1389:K1389"/>
    <mergeCell ref="B1390:C1390"/>
    <mergeCell ref="D1390:F1390"/>
    <mergeCell ref="H1390:I1390"/>
    <mergeCell ref="J1390:K1390"/>
    <mergeCell ref="B1372:C1372"/>
    <mergeCell ref="D1372:F1372"/>
    <mergeCell ref="H1372:I1372"/>
    <mergeCell ref="J1372:K1372"/>
    <mergeCell ref="H1373:K1373"/>
    <mergeCell ref="H1388:K1388"/>
    <mergeCell ref="B1375:C1375"/>
    <mergeCell ref="D1375:F1375"/>
    <mergeCell ref="H1375:I1375"/>
    <mergeCell ref="J1375:K1375"/>
    <mergeCell ref="H1376:K1376"/>
    <mergeCell ref="A1377:C1377"/>
    <mergeCell ref="D1377:F1377"/>
    <mergeCell ref="H1377:I1377"/>
    <mergeCell ref="J1377:K1377"/>
    <mergeCell ref="B1378:C1378"/>
    <mergeCell ref="D1378:F1378"/>
    <mergeCell ref="H1378:I1378"/>
    <mergeCell ref="J1378:K1378"/>
    <mergeCell ref="B1379:C1379"/>
    <mergeCell ref="D1379:F1379"/>
    <mergeCell ref="H1379:I1379"/>
    <mergeCell ref="J1379:K1379"/>
    <mergeCell ref="H1380:K1380"/>
    <mergeCell ref="A1381:D1381"/>
    <mergeCell ref="H1381:K1381"/>
    <mergeCell ref="H1382:L1382"/>
    <mergeCell ref="A1383:L1383"/>
    <mergeCell ref="A1384:C1384"/>
    <mergeCell ref="D1384:F1384"/>
    <mergeCell ref="H1384:I1384"/>
    <mergeCell ref="J1384:K1384"/>
    <mergeCell ref="B1363:F1363"/>
    <mergeCell ref="H1363:I1363"/>
    <mergeCell ref="J1363:K1363"/>
    <mergeCell ref="H1364:K1364"/>
    <mergeCell ref="H1365:K1365"/>
    <mergeCell ref="A1366:D1367"/>
    <mergeCell ref="H1366:K1366"/>
    <mergeCell ref="H1368:L1368"/>
    <mergeCell ref="A1369:L1369"/>
    <mergeCell ref="A1370:C1370"/>
    <mergeCell ref="D1370:F1370"/>
    <mergeCell ref="H1370:I1370"/>
    <mergeCell ref="J1370:K1370"/>
    <mergeCell ref="B1371:C1371"/>
    <mergeCell ref="D1371:F1371"/>
    <mergeCell ref="H1371:I1371"/>
    <mergeCell ref="J1371:K1371"/>
    <mergeCell ref="H1348:K1348"/>
    <mergeCell ref="H1349:L1349"/>
    <mergeCell ref="A1350:L1350"/>
    <mergeCell ref="A1351:F1351"/>
    <mergeCell ref="H1351:I1351"/>
    <mergeCell ref="J1351:K1351"/>
    <mergeCell ref="B1352:F1352"/>
    <mergeCell ref="H1352:I1352"/>
    <mergeCell ref="J1352:K1352"/>
    <mergeCell ref="B1353:F1353"/>
    <mergeCell ref="H1353:I1353"/>
    <mergeCell ref="J1353:K1353"/>
    <mergeCell ref="H1354:K1354"/>
    <mergeCell ref="H1355:K1355"/>
    <mergeCell ref="H1356:K1356"/>
    <mergeCell ref="H1357:K1357"/>
    <mergeCell ref="A1374:C1374"/>
    <mergeCell ref="D1374:F1374"/>
    <mergeCell ref="H1374:I1374"/>
    <mergeCell ref="J1374:K1374"/>
    <mergeCell ref="B1359:F1359"/>
    <mergeCell ref="H1359:I1359"/>
    <mergeCell ref="J1359:K1359"/>
    <mergeCell ref="B1360:F1360"/>
    <mergeCell ref="H1360:I1360"/>
    <mergeCell ref="J1360:K1360"/>
    <mergeCell ref="B1361:F1361"/>
    <mergeCell ref="H1361:I1361"/>
    <mergeCell ref="J1361:K1361"/>
    <mergeCell ref="B1362:F1362"/>
    <mergeCell ref="H1362:I1362"/>
    <mergeCell ref="J1362:K1362"/>
    <mergeCell ref="H1331:L1331"/>
    <mergeCell ref="A1332:L1332"/>
    <mergeCell ref="A1333:F1333"/>
    <mergeCell ref="H1333:I1333"/>
    <mergeCell ref="J1333:K1333"/>
    <mergeCell ref="B1334:F1334"/>
    <mergeCell ref="H1334:I1334"/>
    <mergeCell ref="J1334:K1334"/>
    <mergeCell ref="A1358:F1358"/>
    <mergeCell ref="H1358:I1358"/>
    <mergeCell ref="J1358:K1358"/>
    <mergeCell ref="H1336:K1336"/>
    <mergeCell ref="H1337:K1337"/>
    <mergeCell ref="H1338:K1338"/>
    <mergeCell ref="H1339:K1339"/>
    <mergeCell ref="H1340:K1340"/>
    <mergeCell ref="H1341:K1341"/>
    <mergeCell ref="H1342:L1342"/>
    <mergeCell ref="A1343:L1343"/>
    <mergeCell ref="A1344:C1344"/>
    <mergeCell ref="D1344:F1344"/>
    <mergeCell ref="H1344:I1344"/>
    <mergeCell ref="J1344:K1344"/>
    <mergeCell ref="B1345:C1345"/>
    <mergeCell ref="D1345:F1345"/>
    <mergeCell ref="H1345:I1345"/>
    <mergeCell ref="J1345:K1345"/>
    <mergeCell ref="B1346:C1346"/>
    <mergeCell ref="D1346:F1346"/>
    <mergeCell ref="H1346:I1346"/>
    <mergeCell ref="J1346:K1346"/>
    <mergeCell ref="H1347:K1347"/>
    <mergeCell ref="B1335:F1335"/>
    <mergeCell ref="H1335:I1335"/>
    <mergeCell ref="J1335:K1335"/>
    <mergeCell ref="H1315:K1315"/>
    <mergeCell ref="H1316:K1316"/>
    <mergeCell ref="H1317:K1317"/>
    <mergeCell ref="H1318:K1318"/>
    <mergeCell ref="A1319:F1319"/>
    <mergeCell ref="H1319:I1319"/>
    <mergeCell ref="J1319:K1319"/>
    <mergeCell ref="B1320:F1320"/>
    <mergeCell ref="H1320:I1320"/>
    <mergeCell ref="J1320:K1320"/>
    <mergeCell ref="H1321:K1321"/>
    <mergeCell ref="H1322:K1322"/>
    <mergeCell ref="H1323:K1323"/>
    <mergeCell ref="H1324:L1324"/>
    <mergeCell ref="A1325:L1325"/>
    <mergeCell ref="A1326:C1326"/>
    <mergeCell ref="D1326:F1326"/>
    <mergeCell ref="H1326:I1326"/>
    <mergeCell ref="J1326:K1326"/>
    <mergeCell ref="B1327:C1327"/>
    <mergeCell ref="D1327:F1327"/>
    <mergeCell ref="H1327:I1327"/>
    <mergeCell ref="J1327:K1327"/>
    <mergeCell ref="B1328:C1328"/>
    <mergeCell ref="D1328:F1328"/>
    <mergeCell ref="H1328:I1328"/>
    <mergeCell ref="J1328:K1328"/>
    <mergeCell ref="H1329:K1329"/>
    <mergeCell ref="H1330:K1330"/>
    <mergeCell ref="B1307:C1307"/>
    <mergeCell ref="D1307:F1307"/>
    <mergeCell ref="H1307:I1307"/>
    <mergeCell ref="J1307:K1307"/>
    <mergeCell ref="H1308:K1308"/>
    <mergeCell ref="H1309:K1309"/>
    <mergeCell ref="H1310:L1310"/>
    <mergeCell ref="A1311:L1311"/>
    <mergeCell ref="A1312:F1312"/>
    <mergeCell ref="H1312:I1312"/>
    <mergeCell ref="J1312:K1312"/>
    <mergeCell ref="B1313:F1313"/>
    <mergeCell ref="H1313:I1313"/>
    <mergeCell ref="J1313:K1313"/>
    <mergeCell ref="B1314:F1314"/>
    <mergeCell ref="H1314:I1314"/>
    <mergeCell ref="J1314:K1314"/>
    <mergeCell ref="H1300:L1300"/>
    <mergeCell ref="A1301:L1301"/>
    <mergeCell ref="A1302:C1302"/>
    <mergeCell ref="D1302:F1302"/>
    <mergeCell ref="H1302:I1302"/>
    <mergeCell ref="J1302:K1302"/>
    <mergeCell ref="B1303:C1303"/>
    <mergeCell ref="D1303:F1303"/>
    <mergeCell ref="H1303:I1303"/>
    <mergeCell ref="J1303:K1303"/>
    <mergeCell ref="B1304:C1304"/>
    <mergeCell ref="D1304:F1304"/>
    <mergeCell ref="H1304:I1304"/>
    <mergeCell ref="J1304:K1304"/>
    <mergeCell ref="B1305:C1305"/>
    <mergeCell ref="D1305:F1305"/>
    <mergeCell ref="H1305:I1305"/>
    <mergeCell ref="J1305:K1305"/>
    <mergeCell ref="B1284:F1284"/>
    <mergeCell ref="H1284:I1284"/>
    <mergeCell ref="J1284:K1284"/>
    <mergeCell ref="H1285:K1285"/>
    <mergeCell ref="A1286:F1286"/>
    <mergeCell ref="H1286:I1286"/>
    <mergeCell ref="J1286:K1286"/>
    <mergeCell ref="B1287:F1287"/>
    <mergeCell ref="H1287:I1287"/>
    <mergeCell ref="J1287:K1287"/>
    <mergeCell ref="B1306:C1306"/>
    <mergeCell ref="D1306:F1306"/>
    <mergeCell ref="H1306:I1306"/>
    <mergeCell ref="J1306:K1306"/>
    <mergeCell ref="B1288:F1288"/>
    <mergeCell ref="H1288:I1288"/>
    <mergeCell ref="J1288:K1288"/>
    <mergeCell ref="H1289:K1289"/>
    <mergeCell ref="H1290:K1290"/>
    <mergeCell ref="A1291:D1292"/>
    <mergeCell ref="H1291:K1291"/>
    <mergeCell ref="H1293:L1293"/>
    <mergeCell ref="A1294:L1294"/>
    <mergeCell ref="A1295:F1295"/>
    <mergeCell ref="H1295:I1295"/>
    <mergeCell ref="J1295:K1295"/>
    <mergeCell ref="B1296:F1296"/>
    <mergeCell ref="H1296:I1296"/>
    <mergeCell ref="J1296:K1296"/>
    <mergeCell ref="H1297:K1297"/>
    <mergeCell ref="H1298:K1298"/>
    <mergeCell ref="H1299:K1299"/>
    <mergeCell ref="H1273:K1273"/>
    <mergeCell ref="H1274:L1274"/>
    <mergeCell ref="A1275:L1275"/>
    <mergeCell ref="A1276:F1276"/>
    <mergeCell ref="H1276:I1276"/>
    <mergeCell ref="J1276:K1276"/>
    <mergeCell ref="B1277:F1277"/>
    <mergeCell ref="H1277:I1277"/>
    <mergeCell ref="J1277:K1277"/>
    <mergeCell ref="H1280:K1280"/>
    <mergeCell ref="H1281:K1281"/>
    <mergeCell ref="A1282:F1282"/>
    <mergeCell ref="H1282:I1282"/>
    <mergeCell ref="J1282:K1282"/>
    <mergeCell ref="B1283:F1283"/>
    <mergeCell ref="H1283:I1283"/>
    <mergeCell ref="J1283:K1283"/>
    <mergeCell ref="A1261:D1261"/>
    <mergeCell ref="H1261:K1261"/>
    <mergeCell ref="H1262:L1262"/>
    <mergeCell ref="H1278:K1278"/>
    <mergeCell ref="H1279:K1279"/>
    <mergeCell ref="A1264:C1264"/>
    <mergeCell ref="D1264:F1264"/>
    <mergeCell ref="H1264:I1264"/>
    <mergeCell ref="J1264:K1264"/>
    <mergeCell ref="B1265:C1265"/>
    <mergeCell ref="D1265:F1265"/>
    <mergeCell ref="H1265:I1265"/>
    <mergeCell ref="J1265:K1265"/>
    <mergeCell ref="H1266:K1266"/>
    <mergeCell ref="A1267:C1267"/>
    <mergeCell ref="D1267:F1267"/>
    <mergeCell ref="H1267:I1267"/>
    <mergeCell ref="J1267:K1267"/>
    <mergeCell ref="B1268:C1268"/>
    <mergeCell ref="D1268:F1268"/>
    <mergeCell ref="H1268:I1268"/>
    <mergeCell ref="J1268:K1268"/>
    <mergeCell ref="H1269:K1269"/>
    <mergeCell ref="A1270:C1270"/>
    <mergeCell ref="D1270:F1270"/>
    <mergeCell ref="H1270:I1270"/>
    <mergeCell ref="J1270:K1270"/>
    <mergeCell ref="B1271:C1271"/>
    <mergeCell ref="D1271:F1271"/>
    <mergeCell ref="H1271:I1271"/>
    <mergeCell ref="J1271:K1271"/>
    <mergeCell ref="H1272:K1272"/>
    <mergeCell ref="D1255:F1255"/>
    <mergeCell ref="H1255:I1255"/>
    <mergeCell ref="J1255:K1255"/>
    <mergeCell ref="H1256:K1256"/>
    <mergeCell ref="A1257:C1257"/>
    <mergeCell ref="D1257:F1257"/>
    <mergeCell ref="H1257:I1257"/>
    <mergeCell ref="J1257:K1257"/>
    <mergeCell ref="B1258:C1258"/>
    <mergeCell ref="D1258:F1258"/>
    <mergeCell ref="H1258:I1258"/>
    <mergeCell ref="J1258:K1258"/>
    <mergeCell ref="B1259:C1259"/>
    <mergeCell ref="D1259:F1259"/>
    <mergeCell ref="H1259:I1259"/>
    <mergeCell ref="J1259:K1259"/>
    <mergeCell ref="H1260:K1260"/>
    <mergeCell ref="J1240:K1240"/>
    <mergeCell ref="B1241:F1241"/>
    <mergeCell ref="H1241:I1241"/>
    <mergeCell ref="J1241:K1241"/>
    <mergeCell ref="B1242:F1242"/>
    <mergeCell ref="H1242:I1242"/>
    <mergeCell ref="J1242:K1242"/>
    <mergeCell ref="H1243:K1243"/>
    <mergeCell ref="H1244:K1244"/>
    <mergeCell ref="H1245:K1245"/>
    <mergeCell ref="H1246:K1246"/>
    <mergeCell ref="A1263:L1263"/>
    <mergeCell ref="H1248:K1248"/>
    <mergeCell ref="H1249:L1249"/>
    <mergeCell ref="A1250:L1250"/>
    <mergeCell ref="A1251:C1251"/>
    <mergeCell ref="D1251:F1251"/>
    <mergeCell ref="H1251:I1251"/>
    <mergeCell ref="J1251:K1251"/>
    <mergeCell ref="B1252:C1252"/>
    <mergeCell ref="D1252:F1252"/>
    <mergeCell ref="H1252:I1252"/>
    <mergeCell ref="J1252:K1252"/>
    <mergeCell ref="B1253:C1253"/>
    <mergeCell ref="D1253:F1253"/>
    <mergeCell ref="H1253:I1253"/>
    <mergeCell ref="J1253:K1253"/>
    <mergeCell ref="B1254:C1254"/>
    <mergeCell ref="D1254:F1254"/>
    <mergeCell ref="H1254:I1254"/>
    <mergeCell ref="J1254:K1254"/>
    <mergeCell ref="B1255:C1255"/>
    <mergeCell ref="B1228:C1228"/>
    <mergeCell ref="D1228:F1228"/>
    <mergeCell ref="H1228:I1228"/>
    <mergeCell ref="J1228:K1228"/>
    <mergeCell ref="H1247:K1247"/>
    <mergeCell ref="A1230:C1230"/>
    <mergeCell ref="D1230:F1230"/>
    <mergeCell ref="H1230:I1230"/>
    <mergeCell ref="J1230:K1230"/>
    <mergeCell ref="B1231:C1231"/>
    <mergeCell ref="D1231:F1231"/>
    <mergeCell ref="H1231:I1231"/>
    <mergeCell ref="J1231:K1231"/>
    <mergeCell ref="B1232:C1232"/>
    <mergeCell ref="D1232:F1232"/>
    <mergeCell ref="H1232:I1232"/>
    <mergeCell ref="J1232:K1232"/>
    <mergeCell ref="H1233:K1233"/>
    <mergeCell ref="A1234:C1234"/>
    <mergeCell ref="D1234:F1234"/>
    <mergeCell ref="H1234:I1234"/>
    <mergeCell ref="J1234:K1234"/>
    <mergeCell ref="B1235:C1235"/>
    <mergeCell ref="D1235:F1235"/>
    <mergeCell ref="H1235:I1235"/>
    <mergeCell ref="J1235:K1235"/>
    <mergeCell ref="H1236:K1236"/>
    <mergeCell ref="H1237:K1237"/>
    <mergeCell ref="H1238:L1238"/>
    <mergeCell ref="A1239:L1239"/>
    <mergeCell ref="A1240:F1240"/>
    <mergeCell ref="H1240:I1240"/>
    <mergeCell ref="H1219:I1219"/>
    <mergeCell ref="J1219:K1219"/>
    <mergeCell ref="H1220:K1220"/>
    <mergeCell ref="A1221:C1221"/>
    <mergeCell ref="D1221:F1221"/>
    <mergeCell ref="H1221:I1221"/>
    <mergeCell ref="J1221:K1221"/>
    <mergeCell ref="B1222:C1222"/>
    <mergeCell ref="D1222:F1222"/>
    <mergeCell ref="H1222:I1222"/>
    <mergeCell ref="J1222:K1222"/>
    <mergeCell ref="H1223:K1223"/>
    <mergeCell ref="H1224:K1224"/>
    <mergeCell ref="H1225:L1225"/>
    <mergeCell ref="A1226:L1226"/>
    <mergeCell ref="A1227:C1227"/>
    <mergeCell ref="D1227:F1227"/>
    <mergeCell ref="H1227:I1227"/>
    <mergeCell ref="J1227:K1227"/>
    <mergeCell ref="B1207:F1207"/>
    <mergeCell ref="H1207:I1207"/>
    <mergeCell ref="J1207:K1207"/>
    <mergeCell ref="H1208:K1208"/>
    <mergeCell ref="H1209:K1209"/>
    <mergeCell ref="H1210:K1210"/>
    <mergeCell ref="H1211:L1211"/>
    <mergeCell ref="A1212:L1212"/>
    <mergeCell ref="A1213:C1213"/>
    <mergeCell ref="D1213:F1213"/>
    <mergeCell ref="H1213:I1213"/>
    <mergeCell ref="J1213:K1213"/>
    <mergeCell ref="B1214:C1214"/>
    <mergeCell ref="D1214:F1214"/>
    <mergeCell ref="H1214:I1214"/>
    <mergeCell ref="J1214:K1214"/>
    <mergeCell ref="H1229:K1229"/>
    <mergeCell ref="H1215:K1215"/>
    <mergeCell ref="A1216:C1216"/>
    <mergeCell ref="D1216:F1216"/>
    <mergeCell ref="H1216:I1216"/>
    <mergeCell ref="J1216:K1216"/>
    <mergeCell ref="B1217:C1217"/>
    <mergeCell ref="D1217:F1217"/>
    <mergeCell ref="H1217:I1217"/>
    <mergeCell ref="J1217:K1217"/>
    <mergeCell ref="B1218:C1218"/>
    <mergeCell ref="D1218:F1218"/>
    <mergeCell ref="H1218:I1218"/>
    <mergeCell ref="J1218:K1218"/>
    <mergeCell ref="B1219:C1219"/>
    <mergeCell ref="D1219:F1219"/>
    <mergeCell ref="H1198:K1198"/>
    <mergeCell ref="H1199:K1199"/>
    <mergeCell ref="H1200:K1200"/>
    <mergeCell ref="H1201:K1201"/>
    <mergeCell ref="A1202:F1202"/>
    <mergeCell ref="H1202:I1202"/>
    <mergeCell ref="J1202:K1202"/>
    <mergeCell ref="B1203:F1203"/>
    <mergeCell ref="H1203:I1203"/>
    <mergeCell ref="J1203:K1203"/>
    <mergeCell ref="B1204:F1204"/>
    <mergeCell ref="H1204:I1204"/>
    <mergeCell ref="J1204:K1204"/>
    <mergeCell ref="H1205:K1205"/>
    <mergeCell ref="A1206:F1206"/>
    <mergeCell ref="H1206:I1206"/>
    <mergeCell ref="J1206:K1206"/>
    <mergeCell ref="B1189:F1189"/>
    <mergeCell ref="H1189:I1189"/>
    <mergeCell ref="J1189:K1189"/>
    <mergeCell ref="H1190:K1190"/>
    <mergeCell ref="H1191:K1191"/>
    <mergeCell ref="H1192:K1192"/>
    <mergeCell ref="H1193:L1193"/>
    <mergeCell ref="A1194:L1194"/>
    <mergeCell ref="A1195:F1195"/>
    <mergeCell ref="H1195:I1195"/>
    <mergeCell ref="J1195:K1195"/>
    <mergeCell ref="B1196:F1196"/>
    <mergeCell ref="H1196:I1196"/>
    <mergeCell ref="J1196:K1196"/>
    <mergeCell ref="B1197:F1197"/>
    <mergeCell ref="H1197:I1197"/>
    <mergeCell ref="J1197:K1197"/>
    <mergeCell ref="H1182:K1182"/>
    <mergeCell ref="A1183:F1183"/>
    <mergeCell ref="H1183:I1183"/>
    <mergeCell ref="J1183:K1183"/>
    <mergeCell ref="B1184:F1184"/>
    <mergeCell ref="H1184:I1184"/>
    <mergeCell ref="J1184:K1184"/>
    <mergeCell ref="B1185:F1185"/>
    <mergeCell ref="H1185:I1185"/>
    <mergeCell ref="J1185:K1185"/>
    <mergeCell ref="B1186:F1186"/>
    <mergeCell ref="H1186:I1186"/>
    <mergeCell ref="J1186:K1186"/>
    <mergeCell ref="H1187:K1187"/>
    <mergeCell ref="A1188:F1188"/>
    <mergeCell ref="H1188:I1188"/>
    <mergeCell ref="J1188:K1188"/>
    <mergeCell ref="H1172:K1172"/>
    <mergeCell ref="A1173:D1173"/>
    <mergeCell ref="H1173:K1173"/>
    <mergeCell ref="H1174:L1174"/>
    <mergeCell ref="A1175:L1175"/>
    <mergeCell ref="A1176:F1176"/>
    <mergeCell ref="H1176:I1176"/>
    <mergeCell ref="J1176:K1176"/>
    <mergeCell ref="B1177:F1177"/>
    <mergeCell ref="H1177:I1177"/>
    <mergeCell ref="J1177:K1177"/>
    <mergeCell ref="B1178:F1178"/>
    <mergeCell ref="H1178:I1178"/>
    <mergeCell ref="J1178:K1178"/>
    <mergeCell ref="H1179:K1179"/>
    <mergeCell ref="H1180:K1180"/>
    <mergeCell ref="H1181:K1181"/>
    <mergeCell ref="H1164:I1164"/>
    <mergeCell ref="J1164:K1164"/>
    <mergeCell ref="H1165:K1165"/>
    <mergeCell ref="A1166:C1166"/>
    <mergeCell ref="D1166:F1166"/>
    <mergeCell ref="H1166:I1166"/>
    <mergeCell ref="J1166:K1166"/>
    <mergeCell ref="B1167:C1167"/>
    <mergeCell ref="D1167:F1167"/>
    <mergeCell ref="H1167:I1167"/>
    <mergeCell ref="J1167:K1167"/>
    <mergeCell ref="H1169:K1169"/>
    <mergeCell ref="A1170:C1170"/>
    <mergeCell ref="D1170:F1170"/>
    <mergeCell ref="H1170:I1170"/>
    <mergeCell ref="J1170:K1170"/>
    <mergeCell ref="B1171:C1171"/>
    <mergeCell ref="D1171:F1171"/>
    <mergeCell ref="H1171:I1171"/>
    <mergeCell ref="J1171:K1171"/>
    <mergeCell ref="B1154:C1154"/>
    <mergeCell ref="D1154:F1154"/>
    <mergeCell ref="H1154:I1154"/>
    <mergeCell ref="J1154:K1154"/>
    <mergeCell ref="B1168:C1168"/>
    <mergeCell ref="D1168:F1168"/>
    <mergeCell ref="H1168:I1168"/>
    <mergeCell ref="J1168:K1168"/>
    <mergeCell ref="B1155:C1155"/>
    <mergeCell ref="D1155:F1155"/>
    <mergeCell ref="H1155:I1155"/>
    <mergeCell ref="J1155:K1155"/>
    <mergeCell ref="H1156:K1156"/>
    <mergeCell ref="A1157:C1157"/>
    <mergeCell ref="D1157:F1157"/>
    <mergeCell ref="H1157:I1157"/>
    <mergeCell ref="J1157:K1157"/>
    <mergeCell ref="B1158:C1158"/>
    <mergeCell ref="D1158:F1158"/>
    <mergeCell ref="H1158:I1158"/>
    <mergeCell ref="J1158:K1158"/>
    <mergeCell ref="H1159:K1159"/>
    <mergeCell ref="A1160:D1160"/>
    <mergeCell ref="H1160:K1160"/>
    <mergeCell ref="H1161:L1161"/>
    <mergeCell ref="A1162:L1162"/>
    <mergeCell ref="A1163:C1163"/>
    <mergeCell ref="D1163:F1163"/>
    <mergeCell ref="H1163:I1163"/>
    <mergeCell ref="J1163:K1163"/>
    <mergeCell ref="B1164:C1164"/>
    <mergeCell ref="D1164:F1164"/>
    <mergeCell ref="H1145:K1145"/>
    <mergeCell ref="H1146:K1146"/>
    <mergeCell ref="H1147:K1147"/>
    <mergeCell ref="H1148:L1148"/>
    <mergeCell ref="A1149:L1149"/>
    <mergeCell ref="A1150:C1150"/>
    <mergeCell ref="D1150:F1150"/>
    <mergeCell ref="H1150:I1150"/>
    <mergeCell ref="J1150:K1150"/>
    <mergeCell ref="B1151:C1151"/>
    <mergeCell ref="D1151:F1151"/>
    <mergeCell ref="H1151:I1151"/>
    <mergeCell ref="J1151:K1151"/>
    <mergeCell ref="H1152:K1152"/>
    <mergeCell ref="A1153:C1153"/>
    <mergeCell ref="D1153:F1153"/>
    <mergeCell ref="H1153:I1153"/>
    <mergeCell ref="J1153:K1153"/>
    <mergeCell ref="H1134:K1134"/>
    <mergeCell ref="H1136:K1136"/>
    <mergeCell ref="H1137:L1137"/>
    <mergeCell ref="A1138:L1138"/>
    <mergeCell ref="A1139:F1139"/>
    <mergeCell ref="H1139:I1139"/>
    <mergeCell ref="J1139:K1139"/>
    <mergeCell ref="B1140:F1140"/>
    <mergeCell ref="H1140:I1140"/>
    <mergeCell ref="J1140:K1140"/>
    <mergeCell ref="B1141:F1141"/>
    <mergeCell ref="H1141:I1141"/>
    <mergeCell ref="J1141:K1141"/>
    <mergeCell ref="H1142:K1142"/>
    <mergeCell ref="H1135:K1135"/>
    <mergeCell ref="H1143:K1143"/>
    <mergeCell ref="H1144:K1144"/>
    <mergeCell ref="J1116:K1116"/>
    <mergeCell ref="H1117:K1117"/>
    <mergeCell ref="A1118:F1118"/>
    <mergeCell ref="H1118:I1118"/>
    <mergeCell ref="J1118:K1118"/>
    <mergeCell ref="B1119:F1119"/>
    <mergeCell ref="H1119:I1119"/>
    <mergeCell ref="J1119:K1119"/>
    <mergeCell ref="H1120:K1120"/>
    <mergeCell ref="H1121:K1121"/>
    <mergeCell ref="H1122:K1122"/>
    <mergeCell ref="H1123:L1123"/>
    <mergeCell ref="A1124:L1124"/>
    <mergeCell ref="A1125:F1125"/>
    <mergeCell ref="H1125:I1125"/>
    <mergeCell ref="J1125:K1125"/>
    <mergeCell ref="B1133:F1133"/>
    <mergeCell ref="H1133:I1133"/>
    <mergeCell ref="J1133:K1133"/>
    <mergeCell ref="B1126:F1126"/>
    <mergeCell ref="H1126:I1126"/>
    <mergeCell ref="J1126:K1126"/>
    <mergeCell ref="B1127:F1127"/>
    <mergeCell ref="H1127:I1127"/>
    <mergeCell ref="J1127:K1127"/>
    <mergeCell ref="H1128:K1128"/>
    <mergeCell ref="H1129:K1129"/>
    <mergeCell ref="H1130:K1130"/>
    <mergeCell ref="H1131:K1131"/>
    <mergeCell ref="A1132:F1132"/>
    <mergeCell ref="H1132:I1132"/>
    <mergeCell ref="J1132:K1132"/>
    <mergeCell ref="J1106:K1106"/>
    <mergeCell ref="B1107:F1107"/>
    <mergeCell ref="H1107:I1107"/>
    <mergeCell ref="J1107:K1107"/>
    <mergeCell ref="B1108:F1108"/>
    <mergeCell ref="H1108:I1108"/>
    <mergeCell ref="J1108:K1108"/>
    <mergeCell ref="H1109:K1109"/>
    <mergeCell ref="H1110:K1110"/>
    <mergeCell ref="H1111:K1111"/>
    <mergeCell ref="H1112:K1112"/>
    <mergeCell ref="A1113:F1113"/>
    <mergeCell ref="H1113:I1113"/>
    <mergeCell ref="J1113:K1113"/>
    <mergeCell ref="B1114:F1114"/>
    <mergeCell ref="H1114:I1114"/>
    <mergeCell ref="J1114:K1114"/>
    <mergeCell ref="A1106:F1106"/>
    <mergeCell ref="H1106:I1106"/>
    <mergeCell ref="B1116:F1116"/>
    <mergeCell ref="H1116:I1116"/>
    <mergeCell ref="H1093:K1093"/>
    <mergeCell ref="A1094:F1094"/>
    <mergeCell ref="H1094:I1094"/>
    <mergeCell ref="J1094:K1094"/>
    <mergeCell ref="B1095:F1095"/>
    <mergeCell ref="H1095:I1095"/>
    <mergeCell ref="J1095:K1095"/>
    <mergeCell ref="B1096:F1096"/>
    <mergeCell ref="H1096:I1096"/>
    <mergeCell ref="J1096:K1096"/>
    <mergeCell ref="B1115:F1115"/>
    <mergeCell ref="H1115:I1115"/>
    <mergeCell ref="J1115:K1115"/>
    <mergeCell ref="B1097:F1097"/>
    <mergeCell ref="H1097:I1097"/>
    <mergeCell ref="J1097:K1097"/>
    <mergeCell ref="B1098:F1098"/>
    <mergeCell ref="H1098:I1098"/>
    <mergeCell ref="J1098:K1098"/>
    <mergeCell ref="B1099:F1099"/>
    <mergeCell ref="H1099:I1099"/>
    <mergeCell ref="J1099:K1099"/>
    <mergeCell ref="B1100:F1100"/>
    <mergeCell ref="H1100:I1100"/>
    <mergeCell ref="J1100:K1100"/>
    <mergeCell ref="H1101:K1101"/>
    <mergeCell ref="H1102:K1102"/>
    <mergeCell ref="H1103:K1103"/>
    <mergeCell ref="H1104:L1104"/>
    <mergeCell ref="A1105:L1105"/>
    <mergeCell ref="B1086:F1086"/>
    <mergeCell ref="H1086:I1086"/>
    <mergeCell ref="J1086:K1086"/>
    <mergeCell ref="H1087:K1087"/>
    <mergeCell ref="A1088:C1088"/>
    <mergeCell ref="D1088:E1088"/>
    <mergeCell ref="F1088:G1088"/>
    <mergeCell ref="H1088:I1088"/>
    <mergeCell ref="J1088:K1088"/>
    <mergeCell ref="B1089:C1089"/>
    <mergeCell ref="D1089:E1089"/>
    <mergeCell ref="F1089:G1089"/>
    <mergeCell ref="H1089:I1089"/>
    <mergeCell ref="J1089:K1089"/>
    <mergeCell ref="F1090:K1090"/>
    <mergeCell ref="H1091:K1091"/>
    <mergeCell ref="H1092:K1092"/>
    <mergeCell ref="B1077:F1077"/>
    <mergeCell ref="H1077:I1077"/>
    <mergeCell ref="J1077:K1077"/>
    <mergeCell ref="B1078:F1078"/>
    <mergeCell ref="H1078:I1078"/>
    <mergeCell ref="J1078:K1078"/>
    <mergeCell ref="H1079:K1079"/>
    <mergeCell ref="H1080:K1080"/>
    <mergeCell ref="H1081:K1081"/>
    <mergeCell ref="H1082:L1082"/>
    <mergeCell ref="A1083:L1083"/>
    <mergeCell ref="A1084:F1084"/>
    <mergeCell ref="H1084:I1084"/>
    <mergeCell ref="J1084:K1084"/>
    <mergeCell ref="B1085:F1085"/>
    <mergeCell ref="H1085:I1085"/>
    <mergeCell ref="J1085:K1085"/>
    <mergeCell ref="H1070:K1070"/>
    <mergeCell ref="A1071:F1071"/>
    <mergeCell ref="H1071:I1071"/>
    <mergeCell ref="J1071:K1071"/>
    <mergeCell ref="B1072:F1072"/>
    <mergeCell ref="H1072:I1072"/>
    <mergeCell ref="J1072:K1072"/>
    <mergeCell ref="B1073:F1073"/>
    <mergeCell ref="H1073:I1073"/>
    <mergeCell ref="J1073:K1073"/>
    <mergeCell ref="B1074:F1074"/>
    <mergeCell ref="H1074:I1074"/>
    <mergeCell ref="J1074:K1074"/>
    <mergeCell ref="B1075:F1075"/>
    <mergeCell ref="H1075:I1075"/>
    <mergeCell ref="J1075:K1075"/>
    <mergeCell ref="B1076:F1076"/>
    <mergeCell ref="H1076:I1076"/>
    <mergeCell ref="J1076:K1076"/>
    <mergeCell ref="B1063:F1063"/>
    <mergeCell ref="H1063:I1063"/>
    <mergeCell ref="J1063:K1063"/>
    <mergeCell ref="H1064:K1064"/>
    <mergeCell ref="A1065:C1065"/>
    <mergeCell ref="D1065:E1065"/>
    <mergeCell ref="F1065:G1065"/>
    <mergeCell ref="H1065:I1065"/>
    <mergeCell ref="J1065:K1065"/>
    <mergeCell ref="B1066:C1066"/>
    <mergeCell ref="D1066:E1066"/>
    <mergeCell ref="F1066:G1066"/>
    <mergeCell ref="H1066:I1066"/>
    <mergeCell ref="J1066:K1066"/>
    <mergeCell ref="F1067:K1067"/>
    <mergeCell ref="H1068:K1068"/>
    <mergeCell ref="H1069:K1069"/>
    <mergeCell ref="B1054:C1054"/>
    <mergeCell ref="D1054:F1054"/>
    <mergeCell ref="H1054:I1054"/>
    <mergeCell ref="J1054:K1054"/>
    <mergeCell ref="H1056:K1056"/>
    <mergeCell ref="A1057:D1058"/>
    <mergeCell ref="H1057:K1057"/>
    <mergeCell ref="H1059:L1059"/>
    <mergeCell ref="A1060:L1060"/>
    <mergeCell ref="A1061:F1061"/>
    <mergeCell ref="H1061:I1061"/>
    <mergeCell ref="J1061:K1061"/>
    <mergeCell ref="B1055:C1055"/>
    <mergeCell ref="D1055:F1055"/>
    <mergeCell ref="H1055:I1055"/>
    <mergeCell ref="J1055:K1055"/>
    <mergeCell ref="B1062:F1062"/>
    <mergeCell ref="H1062:I1062"/>
    <mergeCell ref="J1062:K1062"/>
    <mergeCell ref="B1045:C1045"/>
    <mergeCell ref="D1045:F1045"/>
    <mergeCell ref="H1045:I1045"/>
    <mergeCell ref="J1045:K1045"/>
    <mergeCell ref="B1046:C1046"/>
    <mergeCell ref="D1046:F1046"/>
    <mergeCell ref="H1046:I1046"/>
    <mergeCell ref="J1046:K1046"/>
    <mergeCell ref="H1047:K1047"/>
    <mergeCell ref="A1048:C1048"/>
    <mergeCell ref="D1048:F1048"/>
    <mergeCell ref="H1048:I1048"/>
    <mergeCell ref="J1048:K1048"/>
    <mergeCell ref="J1051:K1051"/>
    <mergeCell ref="H1052:K1052"/>
    <mergeCell ref="A1053:C1053"/>
    <mergeCell ref="D1053:F1053"/>
    <mergeCell ref="H1053:I1053"/>
    <mergeCell ref="J1053:K1053"/>
    <mergeCell ref="B1049:C1049"/>
    <mergeCell ref="D1049:F1049"/>
    <mergeCell ref="H1049:I1049"/>
    <mergeCell ref="J1049:K1049"/>
    <mergeCell ref="B1050:C1050"/>
    <mergeCell ref="D1050:F1050"/>
    <mergeCell ref="H1050:I1050"/>
    <mergeCell ref="J1050:K1050"/>
    <mergeCell ref="B1051:C1051"/>
    <mergeCell ref="D1051:F1051"/>
    <mergeCell ref="H1051:I1051"/>
    <mergeCell ref="B1035:C1035"/>
    <mergeCell ref="D1035:F1035"/>
    <mergeCell ref="H1035:I1035"/>
    <mergeCell ref="J1035:K1035"/>
    <mergeCell ref="H1036:K1036"/>
    <mergeCell ref="A1037:C1037"/>
    <mergeCell ref="D1037:F1037"/>
    <mergeCell ref="H1037:I1037"/>
    <mergeCell ref="J1037:K1037"/>
    <mergeCell ref="B1038:C1038"/>
    <mergeCell ref="D1038:F1038"/>
    <mergeCell ref="H1038:I1038"/>
    <mergeCell ref="J1038:K1038"/>
    <mergeCell ref="H1039:K1039"/>
    <mergeCell ref="A1040:D1041"/>
    <mergeCell ref="H1040:K1040"/>
    <mergeCell ref="H1042:L1042"/>
    <mergeCell ref="A1044:C1044"/>
    <mergeCell ref="D1044:F1044"/>
    <mergeCell ref="H1044:I1044"/>
    <mergeCell ref="J1044:K1044"/>
    <mergeCell ref="A1022:F1022"/>
    <mergeCell ref="H1022:I1022"/>
    <mergeCell ref="J1022:K1022"/>
    <mergeCell ref="B1023:F1023"/>
    <mergeCell ref="H1023:I1023"/>
    <mergeCell ref="J1023:K1023"/>
    <mergeCell ref="B1024:F1024"/>
    <mergeCell ref="H1024:I1024"/>
    <mergeCell ref="J1024:K1024"/>
    <mergeCell ref="H1025:K1025"/>
    <mergeCell ref="H1026:K1026"/>
    <mergeCell ref="A1027:D1027"/>
    <mergeCell ref="H1027:K1027"/>
    <mergeCell ref="A1043:L1043"/>
    <mergeCell ref="A1029:L1029"/>
    <mergeCell ref="A1030:C1030"/>
    <mergeCell ref="D1030:F1030"/>
    <mergeCell ref="H1030:I1030"/>
    <mergeCell ref="J1030:K1030"/>
    <mergeCell ref="B1031:C1031"/>
    <mergeCell ref="D1031:F1031"/>
    <mergeCell ref="H1031:I1031"/>
    <mergeCell ref="J1031:K1031"/>
    <mergeCell ref="H1032:K1032"/>
    <mergeCell ref="A1033:C1033"/>
    <mergeCell ref="D1033:F1033"/>
    <mergeCell ref="H1033:I1033"/>
    <mergeCell ref="J1033:K1033"/>
    <mergeCell ref="B1034:C1034"/>
    <mergeCell ref="D1034:F1034"/>
    <mergeCell ref="H1034:I1034"/>
    <mergeCell ref="J1034:K1034"/>
    <mergeCell ref="B1005:C1005"/>
    <mergeCell ref="D1005:F1005"/>
    <mergeCell ref="H1005:I1005"/>
    <mergeCell ref="J1005:K1005"/>
    <mergeCell ref="H1006:K1006"/>
    <mergeCell ref="A1007:C1007"/>
    <mergeCell ref="D1007:F1007"/>
    <mergeCell ref="H1007:I1007"/>
    <mergeCell ref="J1007:K1007"/>
    <mergeCell ref="H1028:L1028"/>
    <mergeCell ref="B1009:C1009"/>
    <mergeCell ref="D1009:F1009"/>
    <mergeCell ref="H1009:I1009"/>
    <mergeCell ref="J1009:K1009"/>
    <mergeCell ref="H1010:K1010"/>
    <mergeCell ref="A1011:D1012"/>
    <mergeCell ref="H1011:K1011"/>
    <mergeCell ref="H1013:L1013"/>
    <mergeCell ref="A1014:L1014"/>
    <mergeCell ref="A1015:F1015"/>
    <mergeCell ref="H1015:I1015"/>
    <mergeCell ref="J1015:K1015"/>
    <mergeCell ref="B1016:F1016"/>
    <mergeCell ref="H1016:I1016"/>
    <mergeCell ref="J1016:K1016"/>
    <mergeCell ref="B1017:F1017"/>
    <mergeCell ref="H1017:I1017"/>
    <mergeCell ref="J1017:K1017"/>
    <mergeCell ref="H1018:K1018"/>
    <mergeCell ref="H1019:K1019"/>
    <mergeCell ref="H1020:K1020"/>
    <mergeCell ref="H1021:K1021"/>
    <mergeCell ref="B1000:C1000"/>
    <mergeCell ref="D1000:F1000"/>
    <mergeCell ref="H1000:I1000"/>
    <mergeCell ref="J1000:K1000"/>
    <mergeCell ref="B1001:C1001"/>
    <mergeCell ref="D1001:F1001"/>
    <mergeCell ref="H1001:I1001"/>
    <mergeCell ref="J1001:K1001"/>
    <mergeCell ref="H1002:K1002"/>
    <mergeCell ref="A1003:C1003"/>
    <mergeCell ref="D1003:F1003"/>
    <mergeCell ref="H1003:I1003"/>
    <mergeCell ref="J1003:K1003"/>
    <mergeCell ref="B1004:C1004"/>
    <mergeCell ref="D1004:F1004"/>
    <mergeCell ref="H1004:I1004"/>
    <mergeCell ref="J1004:K1004"/>
    <mergeCell ref="D989:F989"/>
    <mergeCell ref="H989:I989"/>
    <mergeCell ref="J989:K989"/>
    <mergeCell ref="H990:K990"/>
    <mergeCell ref="A991:C991"/>
    <mergeCell ref="D991:F991"/>
    <mergeCell ref="H991:I991"/>
    <mergeCell ref="J991:K991"/>
    <mergeCell ref="B992:C992"/>
    <mergeCell ref="D992:F992"/>
    <mergeCell ref="H992:I992"/>
    <mergeCell ref="J992:K992"/>
    <mergeCell ref="B993:C993"/>
    <mergeCell ref="D993:F993"/>
    <mergeCell ref="H993:I993"/>
    <mergeCell ref="J993:K993"/>
    <mergeCell ref="B1008:C1008"/>
    <mergeCell ref="D1008:F1008"/>
    <mergeCell ref="H1008:I1008"/>
    <mergeCell ref="J1008:K1008"/>
    <mergeCell ref="A995:D995"/>
    <mergeCell ref="H995:K995"/>
    <mergeCell ref="H996:L996"/>
    <mergeCell ref="A997:L997"/>
    <mergeCell ref="A998:C998"/>
    <mergeCell ref="D998:F998"/>
    <mergeCell ref="H998:I998"/>
    <mergeCell ref="J998:K998"/>
    <mergeCell ref="B999:C999"/>
    <mergeCell ref="D999:F999"/>
    <mergeCell ref="H999:I999"/>
    <mergeCell ref="J999:K999"/>
    <mergeCell ref="H978:K978"/>
    <mergeCell ref="A979:C979"/>
    <mergeCell ref="D979:F979"/>
    <mergeCell ref="H979:I979"/>
    <mergeCell ref="J979:K979"/>
    <mergeCell ref="B980:C980"/>
    <mergeCell ref="D980:F980"/>
    <mergeCell ref="H980:I980"/>
    <mergeCell ref="J980:K980"/>
    <mergeCell ref="H994:K994"/>
    <mergeCell ref="B981:C981"/>
    <mergeCell ref="D981:F981"/>
    <mergeCell ref="H981:I981"/>
    <mergeCell ref="J981:K981"/>
    <mergeCell ref="H982:K982"/>
    <mergeCell ref="A983:D983"/>
    <mergeCell ref="H983:K983"/>
    <mergeCell ref="H984:L984"/>
    <mergeCell ref="A985:L985"/>
    <mergeCell ref="A986:C986"/>
    <mergeCell ref="D986:F986"/>
    <mergeCell ref="H986:I986"/>
    <mergeCell ref="J986:K986"/>
    <mergeCell ref="B987:C987"/>
    <mergeCell ref="D987:F987"/>
    <mergeCell ref="H987:I987"/>
    <mergeCell ref="J987:K987"/>
    <mergeCell ref="B988:C988"/>
    <mergeCell ref="D988:F988"/>
    <mergeCell ref="H988:I988"/>
    <mergeCell ref="J988:K988"/>
    <mergeCell ref="B989:C989"/>
    <mergeCell ref="H969:K969"/>
    <mergeCell ref="A970:D970"/>
    <mergeCell ref="H970:K970"/>
    <mergeCell ref="H971:L971"/>
    <mergeCell ref="A972:L972"/>
    <mergeCell ref="A973:C973"/>
    <mergeCell ref="D973:F973"/>
    <mergeCell ref="H973:I973"/>
    <mergeCell ref="J973:K973"/>
    <mergeCell ref="H975:K975"/>
    <mergeCell ref="A976:C976"/>
    <mergeCell ref="D976:F976"/>
    <mergeCell ref="H976:I976"/>
    <mergeCell ref="J976:K976"/>
    <mergeCell ref="B977:C977"/>
    <mergeCell ref="D977:F977"/>
    <mergeCell ref="H977:I977"/>
    <mergeCell ref="J977:K977"/>
    <mergeCell ref="H958:L958"/>
    <mergeCell ref="A959:L959"/>
    <mergeCell ref="B974:C974"/>
    <mergeCell ref="D974:F974"/>
    <mergeCell ref="H974:I974"/>
    <mergeCell ref="J974:K974"/>
    <mergeCell ref="B961:C961"/>
    <mergeCell ref="D961:F961"/>
    <mergeCell ref="H961:I961"/>
    <mergeCell ref="J961:K961"/>
    <mergeCell ref="B962:C962"/>
    <mergeCell ref="D962:F962"/>
    <mergeCell ref="H962:I962"/>
    <mergeCell ref="J962:K962"/>
    <mergeCell ref="H963:K963"/>
    <mergeCell ref="A964:C964"/>
    <mergeCell ref="D964:F964"/>
    <mergeCell ref="H964:I964"/>
    <mergeCell ref="J964:K964"/>
    <mergeCell ref="B965:C965"/>
    <mergeCell ref="D965:F965"/>
    <mergeCell ref="H965:I965"/>
    <mergeCell ref="J965:K965"/>
    <mergeCell ref="H966:K966"/>
    <mergeCell ref="A967:C967"/>
    <mergeCell ref="D967:F967"/>
    <mergeCell ref="H967:I967"/>
    <mergeCell ref="J967:K967"/>
    <mergeCell ref="B968:C968"/>
    <mergeCell ref="D968:F968"/>
    <mergeCell ref="H968:I968"/>
    <mergeCell ref="J968:K968"/>
    <mergeCell ref="H951:I951"/>
    <mergeCell ref="J951:K951"/>
    <mergeCell ref="H952:K952"/>
    <mergeCell ref="A953:C953"/>
    <mergeCell ref="D953:F953"/>
    <mergeCell ref="H953:I953"/>
    <mergeCell ref="J953:K953"/>
    <mergeCell ref="B954:C954"/>
    <mergeCell ref="D954:F954"/>
    <mergeCell ref="H954:I954"/>
    <mergeCell ref="J954:K954"/>
    <mergeCell ref="B955:C955"/>
    <mergeCell ref="D955:F955"/>
    <mergeCell ref="H955:I955"/>
    <mergeCell ref="J955:K955"/>
    <mergeCell ref="H956:K956"/>
    <mergeCell ref="A957:D957"/>
    <mergeCell ref="H957:K957"/>
    <mergeCell ref="H941:I941"/>
    <mergeCell ref="J941:K941"/>
    <mergeCell ref="B942:C942"/>
    <mergeCell ref="D942:F942"/>
    <mergeCell ref="H942:I942"/>
    <mergeCell ref="J942:K942"/>
    <mergeCell ref="H943:K943"/>
    <mergeCell ref="A944:D944"/>
    <mergeCell ref="H944:K944"/>
    <mergeCell ref="H945:L945"/>
    <mergeCell ref="A960:C960"/>
    <mergeCell ref="D960:F960"/>
    <mergeCell ref="H960:I960"/>
    <mergeCell ref="J960:K960"/>
    <mergeCell ref="A947:C947"/>
    <mergeCell ref="D947:F947"/>
    <mergeCell ref="H947:I947"/>
    <mergeCell ref="J947:K947"/>
    <mergeCell ref="B948:C948"/>
    <mergeCell ref="D948:F948"/>
    <mergeCell ref="H948:I948"/>
    <mergeCell ref="J948:K948"/>
    <mergeCell ref="B949:C949"/>
    <mergeCell ref="D949:F949"/>
    <mergeCell ref="H949:I949"/>
    <mergeCell ref="J949:K949"/>
    <mergeCell ref="B950:C950"/>
    <mergeCell ref="D950:F950"/>
    <mergeCell ref="H950:I950"/>
    <mergeCell ref="J950:K950"/>
    <mergeCell ref="B951:C951"/>
    <mergeCell ref="D951:F951"/>
    <mergeCell ref="A946:L946"/>
    <mergeCell ref="A931:D931"/>
    <mergeCell ref="H931:K931"/>
    <mergeCell ref="H932:L932"/>
    <mergeCell ref="A933:L933"/>
    <mergeCell ref="A934:C934"/>
    <mergeCell ref="D934:F934"/>
    <mergeCell ref="H934:I934"/>
    <mergeCell ref="J934:K934"/>
    <mergeCell ref="B935:C935"/>
    <mergeCell ref="D935:F935"/>
    <mergeCell ref="H935:I935"/>
    <mergeCell ref="J935:K935"/>
    <mergeCell ref="B936:C936"/>
    <mergeCell ref="D936:F936"/>
    <mergeCell ref="H936:I936"/>
    <mergeCell ref="J936:K936"/>
    <mergeCell ref="B937:C937"/>
    <mergeCell ref="D937:F937"/>
    <mergeCell ref="H937:I937"/>
    <mergeCell ref="J937:K937"/>
    <mergeCell ref="B938:C938"/>
    <mergeCell ref="D938:F938"/>
    <mergeCell ref="H938:I938"/>
    <mergeCell ref="J938:K938"/>
    <mergeCell ref="H939:K939"/>
    <mergeCell ref="A940:C940"/>
    <mergeCell ref="D940:F940"/>
    <mergeCell ref="H940:I940"/>
    <mergeCell ref="J940:K940"/>
    <mergeCell ref="B941:C941"/>
    <mergeCell ref="D941:F941"/>
    <mergeCell ref="H925:K925"/>
    <mergeCell ref="A926:C926"/>
    <mergeCell ref="D926:F926"/>
    <mergeCell ref="H926:I926"/>
    <mergeCell ref="J926:K926"/>
    <mergeCell ref="B927:C927"/>
    <mergeCell ref="D927:F927"/>
    <mergeCell ref="H927:I927"/>
    <mergeCell ref="J927:K927"/>
    <mergeCell ref="B928:C928"/>
    <mergeCell ref="D928:F928"/>
    <mergeCell ref="H928:I928"/>
    <mergeCell ref="J928:K928"/>
    <mergeCell ref="B929:C929"/>
    <mergeCell ref="D929:F929"/>
    <mergeCell ref="H929:I929"/>
    <mergeCell ref="J929:K929"/>
    <mergeCell ref="H915:I915"/>
    <mergeCell ref="J915:K915"/>
    <mergeCell ref="B916:C916"/>
    <mergeCell ref="D916:F916"/>
    <mergeCell ref="H916:I916"/>
    <mergeCell ref="J916:K916"/>
    <mergeCell ref="H917:K917"/>
    <mergeCell ref="H930:K930"/>
    <mergeCell ref="B919:C919"/>
    <mergeCell ref="D919:F919"/>
    <mergeCell ref="H919:I919"/>
    <mergeCell ref="J919:K919"/>
    <mergeCell ref="B920:C920"/>
    <mergeCell ref="D920:F920"/>
    <mergeCell ref="H920:I920"/>
    <mergeCell ref="J920:K920"/>
    <mergeCell ref="B921:C921"/>
    <mergeCell ref="D921:F921"/>
    <mergeCell ref="H921:I921"/>
    <mergeCell ref="J921:K921"/>
    <mergeCell ref="B922:C922"/>
    <mergeCell ref="D922:F922"/>
    <mergeCell ref="H922:I922"/>
    <mergeCell ref="J922:K922"/>
    <mergeCell ref="B923:C923"/>
    <mergeCell ref="D923:F923"/>
    <mergeCell ref="H923:I923"/>
    <mergeCell ref="J923:K923"/>
    <mergeCell ref="B924:C924"/>
    <mergeCell ref="D924:F924"/>
    <mergeCell ref="H924:I924"/>
    <mergeCell ref="J924:K924"/>
    <mergeCell ref="A918:C918"/>
    <mergeCell ref="D918:F918"/>
    <mergeCell ref="H918:I918"/>
    <mergeCell ref="J918:K918"/>
    <mergeCell ref="H903:K903"/>
    <mergeCell ref="A904:D904"/>
    <mergeCell ref="H904:K904"/>
    <mergeCell ref="H905:L905"/>
    <mergeCell ref="A906:L906"/>
    <mergeCell ref="A907:C907"/>
    <mergeCell ref="D907:F907"/>
    <mergeCell ref="H907:I907"/>
    <mergeCell ref="J907:K907"/>
    <mergeCell ref="B908:C908"/>
    <mergeCell ref="D908:F908"/>
    <mergeCell ref="H908:I908"/>
    <mergeCell ref="J908:K908"/>
    <mergeCell ref="B909:C909"/>
    <mergeCell ref="D909:F909"/>
    <mergeCell ref="H909:I909"/>
    <mergeCell ref="J909:K909"/>
    <mergeCell ref="H910:K910"/>
    <mergeCell ref="A911:D911"/>
    <mergeCell ref="H911:K911"/>
    <mergeCell ref="H912:L912"/>
    <mergeCell ref="A913:L913"/>
    <mergeCell ref="A914:C914"/>
    <mergeCell ref="D914:F914"/>
    <mergeCell ref="H914:I914"/>
    <mergeCell ref="J914:K914"/>
    <mergeCell ref="B915:C915"/>
    <mergeCell ref="D915:F915"/>
    <mergeCell ref="H896:K896"/>
    <mergeCell ref="A897:C897"/>
    <mergeCell ref="D897:F897"/>
    <mergeCell ref="H897:I897"/>
    <mergeCell ref="J897:K897"/>
    <mergeCell ref="B898:C898"/>
    <mergeCell ref="D898:F898"/>
    <mergeCell ref="H898:I898"/>
    <mergeCell ref="J898:K898"/>
    <mergeCell ref="B899:C899"/>
    <mergeCell ref="D899:F899"/>
    <mergeCell ref="H899:I899"/>
    <mergeCell ref="J899:K899"/>
    <mergeCell ref="H900:K900"/>
    <mergeCell ref="A901:C901"/>
    <mergeCell ref="D901:F901"/>
    <mergeCell ref="H901:I901"/>
    <mergeCell ref="J901:K901"/>
    <mergeCell ref="H884:I884"/>
    <mergeCell ref="J884:K884"/>
    <mergeCell ref="B885:F885"/>
    <mergeCell ref="H885:I885"/>
    <mergeCell ref="J885:K885"/>
    <mergeCell ref="B886:F886"/>
    <mergeCell ref="H886:I886"/>
    <mergeCell ref="J886:K886"/>
    <mergeCell ref="H887:K887"/>
    <mergeCell ref="B902:C902"/>
    <mergeCell ref="D902:F902"/>
    <mergeCell ref="H902:I902"/>
    <mergeCell ref="J902:K902"/>
    <mergeCell ref="H889:K889"/>
    <mergeCell ref="H890:L890"/>
    <mergeCell ref="A891:L891"/>
    <mergeCell ref="A892:C892"/>
    <mergeCell ref="D892:F892"/>
    <mergeCell ref="H892:I892"/>
    <mergeCell ref="J892:K892"/>
    <mergeCell ref="B893:C893"/>
    <mergeCell ref="D893:F893"/>
    <mergeCell ref="H893:I893"/>
    <mergeCell ref="J893:K893"/>
    <mergeCell ref="B894:C894"/>
    <mergeCell ref="D894:F894"/>
    <mergeCell ref="H894:I894"/>
    <mergeCell ref="J894:K894"/>
    <mergeCell ref="B895:C895"/>
    <mergeCell ref="D895:F895"/>
    <mergeCell ref="H895:I895"/>
    <mergeCell ref="J895:K895"/>
    <mergeCell ref="H868:K868"/>
    <mergeCell ref="A869:C869"/>
    <mergeCell ref="D869:F869"/>
    <mergeCell ref="H869:I869"/>
    <mergeCell ref="J869:K869"/>
    <mergeCell ref="H888:K888"/>
    <mergeCell ref="B870:C870"/>
    <mergeCell ref="D870:F870"/>
    <mergeCell ref="H870:I870"/>
    <mergeCell ref="J870:K870"/>
    <mergeCell ref="H871:K871"/>
    <mergeCell ref="A872:D873"/>
    <mergeCell ref="H872:K872"/>
    <mergeCell ref="H874:L874"/>
    <mergeCell ref="A875:L875"/>
    <mergeCell ref="A876:F876"/>
    <mergeCell ref="H876:I876"/>
    <mergeCell ref="J876:K876"/>
    <mergeCell ref="B877:F877"/>
    <mergeCell ref="H877:I877"/>
    <mergeCell ref="J877:K877"/>
    <mergeCell ref="B878:F878"/>
    <mergeCell ref="H878:I878"/>
    <mergeCell ref="J878:K878"/>
    <mergeCell ref="H879:K879"/>
    <mergeCell ref="H880:K880"/>
    <mergeCell ref="H881:K881"/>
    <mergeCell ref="H882:K882"/>
    <mergeCell ref="A883:F883"/>
    <mergeCell ref="H883:I883"/>
    <mergeCell ref="J883:K883"/>
    <mergeCell ref="B884:F884"/>
    <mergeCell ref="B862:C862"/>
    <mergeCell ref="D862:F862"/>
    <mergeCell ref="H862:I862"/>
    <mergeCell ref="J862:K862"/>
    <mergeCell ref="H864:K864"/>
    <mergeCell ref="A865:C865"/>
    <mergeCell ref="D865:F865"/>
    <mergeCell ref="H865:I865"/>
    <mergeCell ref="J865:K865"/>
    <mergeCell ref="B866:C866"/>
    <mergeCell ref="D866:F866"/>
    <mergeCell ref="H866:I866"/>
    <mergeCell ref="J866:K866"/>
    <mergeCell ref="B867:C867"/>
    <mergeCell ref="D867:F867"/>
    <mergeCell ref="H867:I867"/>
    <mergeCell ref="J867:K867"/>
    <mergeCell ref="J854:K854"/>
    <mergeCell ref="H855:K855"/>
    <mergeCell ref="A856:D856"/>
    <mergeCell ref="H856:K856"/>
    <mergeCell ref="H857:L857"/>
    <mergeCell ref="A858:L858"/>
    <mergeCell ref="A859:C859"/>
    <mergeCell ref="D859:F859"/>
    <mergeCell ref="H859:I859"/>
    <mergeCell ref="J859:K859"/>
    <mergeCell ref="B860:C860"/>
    <mergeCell ref="D860:F860"/>
    <mergeCell ref="H860:I860"/>
    <mergeCell ref="J860:K860"/>
    <mergeCell ref="B861:C861"/>
    <mergeCell ref="D861:F861"/>
    <mergeCell ref="H861:I861"/>
    <mergeCell ref="J861:K861"/>
    <mergeCell ref="B843:F843"/>
    <mergeCell ref="H843:I843"/>
    <mergeCell ref="J843:K843"/>
    <mergeCell ref="H844:K844"/>
    <mergeCell ref="H845:K845"/>
    <mergeCell ref="H846:K846"/>
    <mergeCell ref="H847:L847"/>
    <mergeCell ref="A848:L848"/>
    <mergeCell ref="A849:C849"/>
    <mergeCell ref="D849:F849"/>
    <mergeCell ref="H849:I849"/>
    <mergeCell ref="J849:K849"/>
    <mergeCell ref="B863:C863"/>
    <mergeCell ref="D863:F863"/>
    <mergeCell ref="H863:I863"/>
    <mergeCell ref="J863:K863"/>
    <mergeCell ref="B850:C850"/>
    <mergeCell ref="D850:F850"/>
    <mergeCell ref="H850:I850"/>
    <mergeCell ref="J850:K850"/>
    <mergeCell ref="H851:K851"/>
    <mergeCell ref="A852:C852"/>
    <mergeCell ref="D852:F852"/>
    <mergeCell ref="H852:I852"/>
    <mergeCell ref="J852:K852"/>
    <mergeCell ref="B853:C853"/>
    <mergeCell ref="D853:F853"/>
    <mergeCell ref="H853:I853"/>
    <mergeCell ref="J853:K853"/>
    <mergeCell ref="B854:C854"/>
    <mergeCell ref="D854:F854"/>
    <mergeCell ref="H854:I854"/>
    <mergeCell ref="H834:K834"/>
    <mergeCell ref="H835:K835"/>
    <mergeCell ref="H836:K836"/>
    <mergeCell ref="H837:K837"/>
    <mergeCell ref="A838:F838"/>
    <mergeCell ref="H838:I838"/>
    <mergeCell ref="J838:K838"/>
    <mergeCell ref="B839:F839"/>
    <mergeCell ref="H839:I839"/>
    <mergeCell ref="J839:K839"/>
    <mergeCell ref="B840:F840"/>
    <mergeCell ref="H840:I840"/>
    <mergeCell ref="J840:K840"/>
    <mergeCell ref="B841:F841"/>
    <mergeCell ref="H841:I841"/>
    <mergeCell ref="J841:K841"/>
    <mergeCell ref="B842:F842"/>
    <mergeCell ref="H842:I842"/>
    <mergeCell ref="J842:K842"/>
    <mergeCell ref="B825:F825"/>
    <mergeCell ref="H825:I825"/>
    <mergeCell ref="J825:K825"/>
    <mergeCell ref="H826:K826"/>
    <mergeCell ref="H827:K827"/>
    <mergeCell ref="H828:K828"/>
    <mergeCell ref="H829:L829"/>
    <mergeCell ref="A830:L830"/>
    <mergeCell ref="A831:F831"/>
    <mergeCell ref="H831:I831"/>
    <mergeCell ref="J831:K831"/>
    <mergeCell ref="B832:F832"/>
    <mergeCell ref="H832:I832"/>
    <mergeCell ref="J832:K832"/>
    <mergeCell ref="B833:F833"/>
    <mergeCell ref="H833:I833"/>
    <mergeCell ref="J833:K833"/>
    <mergeCell ref="A816:L816"/>
    <mergeCell ref="A817:F817"/>
    <mergeCell ref="H817:I817"/>
    <mergeCell ref="J817:K817"/>
    <mergeCell ref="B818:F818"/>
    <mergeCell ref="H818:I818"/>
    <mergeCell ref="J818:K818"/>
    <mergeCell ref="B819:F819"/>
    <mergeCell ref="H819:I819"/>
    <mergeCell ref="J819:K819"/>
    <mergeCell ref="H820:K820"/>
    <mergeCell ref="H821:K821"/>
    <mergeCell ref="H822:K822"/>
    <mergeCell ref="H823:K823"/>
    <mergeCell ref="A824:F824"/>
    <mergeCell ref="H824:I824"/>
    <mergeCell ref="J824:K824"/>
    <mergeCell ref="B805:F805"/>
    <mergeCell ref="H805:I805"/>
    <mergeCell ref="J805:K805"/>
    <mergeCell ref="H806:K806"/>
    <mergeCell ref="H807:K807"/>
    <mergeCell ref="H808:K808"/>
    <mergeCell ref="H809:K809"/>
    <mergeCell ref="A810:F810"/>
    <mergeCell ref="H810:I810"/>
    <mergeCell ref="J810:K810"/>
    <mergeCell ref="B811:F811"/>
    <mergeCell ref="H811:I811"/>
    <mergeCell ref="J811:K811"/>
    <mergeCell ref="H812:K812"/>
    <mergeCell ref="H813:K813"/>
    <mergeCell ref="H814:K814"/>
    <mergeCell ref="H815:L815"/>
    <mergeCell ref="H792:K792"/>
    <mergeCell ref="H793:K793"/>
    <mergeCell ref="H794:K794"/>
    <mergeCell ref="H795:K795"/>
    <mergeCell ref="A796:F796"/>
    <mergeCell ref="H796:I796"/>
    <mergeCell ref="J796:K796"/>
    <mergeCell ref="B797:F797"/>
    <mergeCell ref="H797:I797"/>
    <mergeCell ref="J797:K797"/>
    <mergeCell ref="H800:K800"/>
    <mergeCell ref="H801:L801"/>
    <mergeCell ref="A802:L802"/>
    <mergeCell ref="A803:F803"/>
    <mergeCell ref="H803:I803"/>
    <mergeCell ref="J803:K803"/>
    <mergeCell ref="B804:F804"/>
    <mergeCell ref="H804:I804"/>
    <mergeCell ref="J804:K804"/>
    <mergeCell ref="B776:F776"/>
    <mergeCell ref="H776:I776"/>
    <mergeCell ref="J776:K776"/>
    <mergeCell ref="H798:K798"/>
    <mergeCell ref="H799:K799"/>
    <mergeCell ref="H777:K777"/>
    <mergeCell ref="H778:K778"/>
    <mergeCell ref="H779:K779"/>
    <mergeCell ref="H780:K780"/>
    <mergeCell ref="A781:F781"/>
    <mergeCell ref="H781:I781"/>
    <mergeCell ref="J781:K781"/>
    <mergeCell ref="B782:F782"/>
    <mergeCell ref="H782:I782"/>
    <mergeCell ref="J782:K782"/>
    <mergeCell ref="B783:F783"/>
    <mergeCell ref="H783:I783"/>
    <mergeCell ref="J783:K783"/>
    <mergeCell ref="H784:K784"/>
    <mergeCell ref="H785:K785"/>
    <mergeCell ref="H786:K786"/>
    <mergeCell ref="H787:L787"/>
    <mergeCell ref="A788:L788"/>
    <mergeCell ref="A789:F789"/>
    <mergeCell ref="H789:I789"/>
    <mergeCell ref="J789:K789"/>
    <mergeCell ref="B790:F790"/>
    <mergeCell ref="H790:I790"/>
    <mergeCell ref="J790:K790"/>
    <mergeCell ref="B791:F791"/>
    <mergeCell ref="H791:I791"/>
    <mergeCell ref="J791:K791"/>
    <mergeCell ref="H766:K766"/>
    <mergeCell ref="A767:C767"/>
    <mergeCell ref="D767:F767"/>
    <mergeCell ref="H767:I767"/>
    <mergeCell ref="J767:K767"/>
    <mergeCell ref="B769:C769"/>
    <mergeCell ref="D769:F769"/>
    <mergeCell ref="H769:I769"/>
    <mergeCell ref="J769:K769"/>
    <mergeCell ref="H770:K770"/>
    <mergeCell ref="H771:K771"/>
    <mergeCell ref="H772:L772"/>
    <mergeCell ref="A773:L773"/>
    <mergeCell ref="A774:F774"/>
    <mergeCell ref="H774:I774"/>
    <mergeCell ref="J774:K774"/>
    <mergeCell ref="B775:F775"/>
    <mergeCell ref="H775:I775"/>
    <mergeCell ref="J775:K775"/>
    <mergeCell ref="D758:F758"/>
    <mergeCell ref="H758:I758"/>
    <mergeCell ref="J758:K758"/>
    <mergeCell ref="B759:C759"/>
    <mergeCell ref="D759:F759"/>
    <mergeCell ref="H759:I759"/>
    <mergeCell ref="J759:K759"/>
    <mergeCell ref="H760:K760"/>
    <mergeCell ref="H761:K761"/>
    <mergeCell ref="H762:L762"/>
    <mergeCell ref="A763:L763"/>
    <mergeCell ref="A764:C764"/>
    <mergeCell ref="D764:F764"/>
    <mergeCell ref="H764:I764"/>
    <mergeCell ref="J764:K764"/>
    <mergeCell ref="B765:C765"/>
    <mergeCell ref="D765:F765"/>
    <mergeCell ref="H765:I765"/>
    <mergeCell ref="J765:K765"/>
    <mergeCell ref="B746:F746"/>
    <mergeCell ref="H746:I746"/>
    <mergeCell ref="J746:K746"/>
    <mergeCell ref="B747:F747"/>
    <mergeCell ref="H747:I747"/>
    <mergeCell ref="J747:K747"/>
    <mergeCell ref="B748:F748"/>
    <mergeCell ref="H748:I748"/>
    <mergeCell ref="J748:K748"/>
    <mergeCell ref="H749:K749"/>
    <mergeCell ref="H750:K750"/>
    <mergeCell ref="H751:K751"/>
    <mergeCell ref="H752:L752"/>
    <mergeCell ref="A753:L753"/>
    <mergeCell ref="B768:C768"/>
    <mergeCell ref="D768:F768"/>
    <mergeCell ref="H768:I768"/>
    <mergeCell ref="J768:K768"/>
    <mergeCell ref="A754:C754"/>
    <mergeCell ref="D754:F754"/>
    <mergeCell ref="H754:I754"/>
    <mergeCell ref="J754:K754"/>
    <mergeCell ref="B755:C755"/>
    <mergeCell ref="D755:F755"/>
    <mergeCell ref="H755:I755"/>
    <mergeCell ref="J755:K755"/>
    <mergeCell ref="H756:K756"/>
    <mergeCell ref="A757:C757"/>
    <mergeCell ref="D757:F757"/>
    <mergeCell ref="H757:I757"/>
    <mergeCell ref="J757:K757"/>
    <mergeCell ref="B758:C758"/>
    <mergeCell ref="J736:K736"/>
    <mergeCell ref="B737:F737"/>
    <mergeCell ref="H737:I737"/>
    <mergeCell ref="J737:K737"/>
    <mergeCell ref="H738:K738"/>
    <mergeCell ref="H739:K739"/>
    <mergeCell ref="H740:K740"/>
    <mergeCell ref="H741:K741"/>
    <mergeCell ref="A742:F742"/>
    <mergeCell ref="H742:I742"/>
    <mergeCell ref="J742:K742"/>
    <mergeCell ref="B743:F743"/>
    <mergeCell ref="H743:I743"/>
    <mergeCell ref="J743:K743"/>
    <mergeCell ref="B745:F745"/>
    <mergeCell ref="H745:I745"/>
    <mergeCell ref="J745:K745"/>
    <mergeCell ref="B721:F721"/>
    <mergeCell ref="H721:I721"/>
    <mergeCell ref="J721:K721"/>
    <mergeCell ref="B744:F744"/>
    <mergeCell ref="H744:I744"/>
    <mergeCell ref="J744:K744"/>
    <mergeCell ref="B722:F722"/>
    <mergeCell ref="H722:I722"/>
    <mergeCell ref="J722:K722"/>
    <mergeCell ref="H723:K723"/>
    <mergeCell ref="H724:K724"/>
    <mergeCell ref="H725:K725"/>
    <mergeCell ref="H726:K726"/>
    <mergeCell ref="A727:F727"/>
    <mergeCell ref="H727:I727"/>
    <mergeCell ref="J727:K727"/>
    <mergeCell ref="B728:F728"/>
    <mergeCell ref="H728:I728"/>
    <mergeCell ref="J728:K728"/>
    <mergeCell ref="B729:F729"/>
    <mergeCell ref="H729:I729"/>
    <mergeCell ref="J729:K729"/>
    <mergeCell ref="H730:K730"/>
    <mergeCell ref="H731:K731"/>
    <mergeCell ref="H732:K732"/>
    <mergeCell ref="H733:L733"/>
    <mergeCell ref="A734:L734"/>
    <mergeCell ref="A735:F735"/>
    <mergeCell ref="H735:I735"/>
    <mergeCell ref="J735:K735"/>
    <mergeCell ref="B736:F736"/>
    <mergeCell ref="H736:I736"/>
    <mergeCell ref="B712:F712"/>
    <mergeCell ref="H712:I712"/>
    <mergeCell ref="J712:K712"/>
    <mergeCell ref="B713:F713"/>
    <mergeCell ref="H713:I713"/>
    <mergeCell ref="J713:K713"/>
    <mergeCell ref="B714:F714"/>
    <mergeCell ref="H714:I714"/>
    <mergeCell ref="J714:K714"/>
    <mergeCell ref="H715:K715"/>
    <mergeCell ref="H716:K716"/>
    <mergeCell ref="H717:K717"/>
    <mergeCell ref="H718:L718"/>
    <mergeCell ref="A719:L719"/>
    <mergeCell ref="A720:F720"/>
    <mergeCell ref="H720:I720"/>
    <mergeCell ref="J720:K720"/>
    <mergeCell ref="B702:F702"/>
    <mergeCell ref="H702:I702"/>
    <mergeCell ref="J702:K702"/>
    <mergeCell ref="H706:K706"/>
    <mergeCell ref="H707:K707"/>
    <mergeCell ref="A708:F708"/>
    <mergeCell ref="H708:I708"/>
    <mergeCell ref="J708:K708"/>
    <mergeCell ref="B709:F709"/>
    <mergeCell ref="H709:I709"/>
    <mergeCell ref="J709:K709"/>
    <mergeCell ref="B710:F710"/>
    <mergeCell ref="H710:I710"/>
    <mergeCell ref="J710:K710"/>
    <mergeCell ref="B711:F711"/>
    <mergeCell ref="H711:I711"/>
    <mergeCell ref="J711:K711"/>
    <mergeCell ref="H692:K692"/>
    <mergeCell ref="A693:F693"/>
    <mergeCell ref="H693:I693"/>
    <mergeCell ref="J693:K693"/>
    <mergeCell ref="B694:F694"/>
    <mergeCell ref="H694:I694"/>
    <mergeCell ref="J694:K694"/>
    <mergeCell ref="B695:F695"/>
    <mergeCell ref="H695:I695"/>
    <mergeCell ref="J695:K695"/>
    <mergeCell ref="H696:K696"/>
    <mergeCell ref="H697:K697"/>
    <mergeCell ref="H698:K698"/>
    <mergeCell ref="H699:L699"/>
    <mergeCell ref="A700:L700"/>
    <mergeCell ref="A701:F701"/>
    <mergeCell ref="H701:I701"/>
    <mergeCell ref="J701:K701"/>
    <mergeCell ref="A676:D676"/>
    <mergeCell ref="H676:K676"/>
    <mergeCell ref="H677:L677"/>
    <mergeCell ref="A678:L678"/>
    <mergeCell ref="A679:F679"/>
    <mergeCell ref="H679:I679"/>
    <mergeCell ref="J679:K679"/>
    <mergeCell ref="B680:F680"/>
    <mergeCell ref="H680:I680"/>
    <mergeCell ref="J680:K680"/>
    <mergeCell ref="H681:K681"/>
    <mergeCell ref="H682:K682"/>
    <mergeCell ref="B703:F703"/>
    <mergeCell ref="H703:I703"/>
    <mergeCell ref="J703:K703"/>
    <mergeCell ref="H704:K704"/>
    <mergeCell ref="H705:K705"/>
    <mergeCell ref="H683:K683"/>
    <mergeCell ref="H684:L684"/>
    <mergeCell ref="A685:L685"/>
    <mergeCell ref="A686:F686"/>
    <mergeCell ref="H686:I686"/>
    <mergeCell ref="J686:K686"/>
    <mergeCell ref="B687:F687"/>
    <mergeCell ref="H687:I687"/>
    <mergeCell ref="J687:K687"/>
    <mergeCell ref="B688:F688"/>
    <mergeCell ref="H688:I688"/>
    <mergeCell ref="J688:K688"/>
    <mergeCell ref="H689:K689"/>
    <mergeCell ref="H690:K690"/>
    <mergeCell ref="H691:K691"/>
    <mergeCell ref="D669:F669"/>
    <mergeCell ref="H669:I669"/>
    <mergeCell ref="J669:K669"/>
    <mergeCell ref="B670:C670"/>
    <mergeCell ref="D670:F670"/>
    <mergeCell ref="H670:I670"/>
    <mergeCell ref="J670:K670"/>
    <mergeCell ref="H671:K671"/>
    <mergeCell ref="A672:C672"/>
    <mergeCell ref="D672:F672"/>
    <mergeCell ref="H672:I672"/>
    <mergeCell ref="J672:K672"/>
    <mergeCell ref="B674:C674"/>
    <mergeCell ref="D674:F674"/>
    <mergeCell ref="H674:I674"/>
    <mergeCell ref="J674:K674"/>
    <mergeCell ref="H675:K675"/>
    <mergeCell ref="H655:I655"/>
    <mergeCell ref="J655:K655"/>
    <mergeCell ref="B656:F656"/>
    <mergeCell ref="H656:I656"/>
    <mergeCell ref="J656:K656"/>
    <mergeCell ref="H657:K657"/>
    <mergeCell ref="B673:C673"/>
    <mergeCell ref="D673:F673"/>
    <mergeCell ref="H673:I673"/>
    <mergeCell ref="J673:K673"/>
    <mergeCell ref="B659:F659"/>
    <mergeCell ref="H659:I659"/>
    <mergeCell ref="J659:K659"/>
    <mergeCell ref="B660:F660"/>
    <mergeCell ref="H660:I660"/>
    <mergeCell ref="J660:K660"/>
    <mergeCell ref="B661:F661"/>
    <mergeCell ref="H661:I661"/>
    <mergeCell ref="J661:K661"/>
    <mergeCell ref="B662:F662"/>
    <mergeCell ref="H662:I662"/>
    <mergeCell ref="J662:K662"/>
    <mergeCell ref="H663:K663"/>
    <mergeCell ref="H664:K664"/>
    <mergeCell ref="H665:K665"/>
    <mergeCell ref="H666:L666"/>
    <mergeCell ref="A667:L667"/>
    <mergeCell ref="A668:C668"/>
    <mergeCell ref="D668:F668"/>
    <mergeCell ref="H668:I668"/>
    <mergeCell ref="J668:K668"/>
    <mergeCell ref="B669:C669"/>
    <mergeCell ref="A658:F658"/>
    <mergeCell ref="H658:I658"/>
    <mergeCell ref="J658:K658"/>
    <mergeCell ref="H637:K637"/>
    <mergeCell ref="H638:K638"/>
    <mergeCell ref="H639:K639"/>
    <mergeCell ref="H640:K640"/>
    <mergeCell ref="H641:K641"/>
    <mergeCell ref="H642:K642"/>
    <mergeCell ref="H643:K643"/>
    <mergeCell ref="H644:L644"/>
    <mergeCell ref="A645:L645"/>
    <mergeCell ref="A646:F646"/>
    <mergeCell ref="H646:I646"/>
    <mergeCell ref="J646:K646"/>
    <mergeCell ref="B647:F647"/>
    <mergeCell ref="H647:I647"/>
    <mergeCell ref="J647:K647"/>
    <mergeCell ref="B648:F648"/>
    <mergeCell ref="H648:I648"/>
    <mergeCell ref="J648:K648"/>
    <mergeCell ref="H649:K649"/>
    <mergeCell ref="H650:K650"/>
    <mergeCell ref="H651:K651"/>
    <mergeCell ref="H652:K652"/>
    <mergeCell ref="A653:F653"/>
    <mergeCell ref="H653:I653"/>
    <mergeCell ref="J653:K653"/>
    <mergeCell ref="B654:F654"/>
    <mergeCell ref="H654:I654"/>
    <mergeCell ref="J654:K654"/>
    <mergeCell ref="B655:F655"/>
    <mergeCell ref="B636:F636"/>
    <mergeCell ref="H636:I636"/>
    <mergeCell ref="J636:K636"/>
    <mergeCell ref="H621:K621"/>
    <mergeCell ref="H622:K622"/>
    <mergeCell ref="H623:K623"/>
    <mergeCell ref="H624:L624"/>
    <mergeCell ref="A625:L625"/>
    <mergeCell ref="A626:C627"/>
    <mergeCell ref="D626:E627"/>
    <mergeCell ref="F626:G626"/>
    <mergeCell ref="H626:K626"/>
    <mergeCell ref="L626:L627"/>
    <mergeCell ref="H627:I627"/>
    <mergeCell ref="J627:K627"/>
    <mergeCell ref="B628:C628"/>
    <mergeCell ref="D628:E628"/>
    <mergeCell ref="H628:I628"/>
    <mergeCell ref="J628:K628"/>
    <mergeCell ref="B629:C629"/>
    <mergeCell ref="D629:E629"/>
    <mergeCell ref="H629:I629"/>
    <mergeCell ref="J629:K629"/>
    <mergeCell ref="B630:C630"/>
    <mergeCell ref="D630:E630"/>
    <mergeCell ref="H630:I630"/>
    <mergeCell ref="J630:K630"/>
    <mergeCell ref="B631:C631"/>
    <mergeCell ref="D631:E631"/>
    <mergeCell ref="H631:I631"/>
    <mergeCell ref="J631:K631"/>
    <mergeCell ref="B632:C632"/>
    <mergeCell ref="A616:F616"/>
    <mergeCell ref="H616:I616"/>
    <mergeCell ref="J616:K616"/>
    <mergeCell ref="B617:F617"/>
    <mergeCell ref="H617:I617"/>
    <mergeCell ref="J617:K617"/>
    <mergeCell ref="B618:F618"/>
    <mergeCell ref="H618:I618"/>
    <mergeCell ref="J618:K618"/>
    <mergeCell ref="B619:F619"/>
    <mergeCell ref="H619:I619"/>
    <mergeCell ref="J619:K619"/>
    <mergeCell ref="B620:F620"/>
    <mergeCell ref="H620:I620"/>
    <mergeCell ref="J620:K620"/>
    <mergeCell ref="A635:F635"/>
    <mergeCell ref="H635:I635"/>
    <mergeCell ref="J635:K635"/>
    <mergeCell ref="D632:E632"/>
    <mergeCell ref="H632:I632"/>
    <mergeCell ref="J632:K632"/>
    <mergeCell ref="B633:C633"/>
    <mergeCell ref="D633:E633"/>
    <mergeCell ref="H633:I633"/>
    <mergeCell ref="J633:K633"/>
    <mergeCell ref="H634:K634"/>
    <mergeCell ref="H605:K605"/>
    <mergeCell ref="H606:K606"/>
    <mergeCell ref="H607:L607"/>
    <mergeCell ref="A608:L608"/>
    <mergeCell ref="A609:F609"/>
    <mergeCell ref="H609:I609"/>
    <mergeCell ref="J609:K609"/>
    <mergeCell ref="B610:F610"/>
    <mergeCell ref="H610:I610"/>
    <mergeCell ref="J610:K610"/>
    <mergeCell ref="B611:F611"/>
    <mergeCell ref="H611:I611"/>
    <mergeCell ref="J611:K611"/>
    <mergeCell ref="H612:K612"/>
    <mergeCell ref="H613:K613"/>
    <mergeCell ref="H614:K614"/>
    <mergeCell ref="H615:K615"/>
    <mergeCell ref="D598:F598"/>
    <mergeCell ref="H598:I598"/>
    <mergeCell ref="J598:K598"/>
    <mergeCell ref="B599:C599"/>
    <mergeCell ref="D599:F599"/>
    <mergeCell ref="H599:I599"/>
    <mergeCell ref="J599:K599"/>
    <mergeCell ref="B600:C600"/>
    <mergeCell ref="D600:F600"/>
    <mergeCell ref="H600:I600"/>
    <mergeCell ref="J600:K600"/>
    <mergeCell ref="H601:K601"/>
    <mergeCell ref="A602:C602"/>
    <mergeCell ref="D602:F602"/>
    <mergeCell ref="H602:I602"/>
    <mergeCell ref="J602:K602"/>
    <mergeCell ref="B604:C604"/>
    <mergeCell ref="D604:F604"/>
    <mergeCell ref="H604:I604"/>
    <mergeCell ref="J604:K604"/>
    <mergeCell ref="H582:I582"/>
    <mergeCell ref="J582:K582"/>
    <mergeCell ref="B583:F583"/>
    <mergeCell ref="H583:I583"/>
    <mergeCell ref="J583:K583"/>
    <mergeCell ref="H584:K584"/>
    <mergeCell ref="H585:K585"/>
    <mergeCell ref="H586:K586"/>
    <mergeCell ref="B603:C603"/>
    <mergeCell ref="D603:F603"/>
    <mergeCell ref="H603:I603"/>
    <mergeCell ref="J603:K603"/>
    <mergeCell ref="B589:F589"/>
    <mergeCell ref="H589:I589"/>
    <mergeCell ref="J589:K589"/>
    <mergeCell ref="B590:F590"/>
    <mergeCell ref="H590:I590"/>
    <mergeCell ref="J590:K590"/>
    <mergeCell ref="B591:F591"/>
    <mergeCell ref="H591:I591"/>
    <mergeCell ref="J591:K591"/>
    <mergeCell ref="H592:K592"/>
    <mergeCell ref="H593:K593"/>
    <mergeCell ref="A594:D594"/>
    <mergeCell ref="H594:K594"/>
    <mergeCell ref="H595:L595"/>
    <mergeCell ref="A596:L596"/>
    <mergeCell ref="A597:C597"/>
    <mergeCell ref="D597:F597"/>
    <mergeCell ref="H597:I597"/>
    <mergeCell ref="J597:K597"/>
    <mergeCell ref="B598:C598"/>
    <mergeCell ref="H587:K587"/>
    <mergeCell ref="A588:F588"/>
    <mergeCell ref="H588:I588"/>
    <mergeCell ref="J588:K588"/>
    <mergeCell ref="B567:F567"/>
    <mergeCell ref="H567:I567"/>
    <mergeCell ref="J567:K567"/>
    <mergeCell ref="B568:F568"/>
    <mergeCell ref="H568:I568"/>
    <mergeCell ref="J568:K568"/>
    <mergeCell ref="H569:K569"/>
    <mergeCell ref="H570:K570"/>
    <mergeCell ref="H571:K571"/>
    <mergeCell ref="H572:K572"/>
    <mergeCell ref="A573:F573"/>
    <mergeCell ref="H573:I573"/>
    <mergeCell ref="J573:K573"/>
    <mergeCell ref="B574:F574"/>
    <mergeCell ref="H574:I574"/>
    <mergeCell ref="J574:K574"/>
    <mergeCell ref="B575:F575"/>
    <mergeCell ref="H575:I575"/>
    <mergeCell ref="J575:K575"/>
    <mergeCell ref="H576:K576"/>
    <mergeCell ref="H577:K577"/>
    <mergeCell ref="H578:K578"/>
    <mergeCell ref="H579:L579"/>
    <mergeCell ref="A580:L580"/>
    <mergeCell ref="A581:F581"/>
    <mergeCell ref="H581:I581"/>
    <mergeCell ref="J581:K581"/>
    <mergeCell ref="B582:F582"/>
    <mergeCell ref="B558:F558"/>
    <mergeCell ref="H558:I558"/>
    <mergeCell ref="J558:K558"/>
    <mergeCell ref="B559:F559"/>
    <mergeCell ref="H559:I559"/>
    <mergeCell ref="J559:K559"/>
    <mergeCell ref="B560:F560"/>
    <mergeCell ref="H560:I560"/>
    <mergeCell ref="J560:K560"/>
    <mergeCell ref="H561:K561"/>
    <mergeCell ref="H562:K562"/>
    <mergeCell ref="H563:K563"/>
    <mergeCell ref="H564:L564"/>
    <mergeCell ref="A565:L565"/>
    <mergeCell ref="A566:F566"/>
    <mergeCell ref="H566:I566"/>
    <mergeCell ref="J566:K566"/>
    <mergeCell ref="H548:L548"/>
    <mergeCell ref="A549:L549"/>
    <mergeCell ref="A550:F550"/>
    <mergeCell ref="H550:I550"/>
    <mergeCell ref="J550:K550"/>
    <mergeCell ref="B551:F551"/>
    <mergeCell ref="H551:I551"/>
    <mergeCell ref="J551:K551"/>
    <mergeCell ref="B552:F552"/>
    <mergeCell ref="H552:I552"/>
    <mergeCell ref="J552:K552"/>
    <mergeCell ref="H553:K553"/>
    <mergeCell ref="H554:K554"/>
    <mergeCell ref="H555:K555"/>
    <mergeCell ref="H556:K556"/>
    <mergeCell ref="A557:F557"/>
    <mergeCell ref="H557:I557"/>
    <mergeCell ref="J557:K557"/>
    <mergeCell ref="H538:K538"/>
    <mergeCell ref="H539:K539"/>
    <mergeCell ref="H540:K540"/>
    <mergeCell ref="A541:F541"/>
    <mergeCell ref="H541:I541"/>
    <mergeCell ref="J541:K541"/>
    <mergeCell ref="B542:F542"/>
    <mergeCell ref="H542:I542"/>
    <mergeCell ref="J542:K542"/>
    <mergeCell ref="B543:F543"/>
    <mergeCell ref="H543:I543"/>
    <mergeCell ref="J543:K543"/>
    <mergeCell ref="B544:F544"/>
    <mergeCell ref="H544:I544"/>
    <mergeCell ref="J544:K544"/>
    <mergeCell ref="H545:K545"/>
    <mergeCell ref="H547:K547"/>
    <mergeCell ref="H521:K521"/>
    <mergeCell ref="H522:K522"/>
    <mergeCell ref="H523:K523"/>
    <mergeCell ref="H524:K524"/>
    <mergeCell ref="A525:F525"/>
    <mergeCell ref="H525:I525"/>
    <mergeCell ref="J525:K525"/>
    <mergeCell ref="B526:F526"/>
    <mergeCell ref="H526:I526"/>
    <mergeCell ref="J526:K526"/>
    <mergeCell ref="B527:F527"/>
    <mergeCell ref="H527:I527"/>
    <mergeCell ref="J527:K527"/>
    <mergeCell ref="H546:K546"/>
    <mergeCell ref="B528:F528"/>
    <mergeCell ref="H528:I528"/>
    <mergeCell ref="J528:K528"/>
    <mergeCell ref="H529:K529"/>
    <mergeCell ref="H530:K530"/>
    <mergeCell ref="H531:K531"/>
    <mergeCell ref="H532:L532"/>
    <mergeCell ref="A533:L533"/>
    <mergeCell ref="A534:F534"/>
    <mergeCell ref="H534:I534"/>
    <mergeCell ref="J534:K534"/>
    <mergeCell ref="B535:F535"/>
    <mergeCell ref="H535:I535"/>
    <mergeCell ref="J535:K535"/>
    <mergeCell ref="B536:F536"/>
    <mergeCell ref="H536:I536"/>
    <mergeCell ref="J536:K536"/>
    <mergeCell ref="H537:K537"/>
    <mergeCell ref="B512:F512"/>
    <mergeCell ref="H512:I512"/>
    <mergeCell ref="J512:K512"/>
    <mergeCell ref="H513:K513"/>
    <mergeCell ref="H514:K514"/>
    <mergeCell ref="H515:K515"/>
    <mergeCell ref="H516:L516"/>
    <mergeCell ref="A517:L517"/>
    <mergeCell ref="A518:F518"/>
    <mergeCell ref="H518:I518"/>
    <mergeCell ref="J518:K518"/>
    <mergeCell ref="B519:F519"/>
    <mergeCell ref="H519:I519"/>
    <mergeCell ref="J519:K519"/>
    <mergeCell ref="B520:F520"/>
    <mergeCell ref="H520:I520"/>
    <mergeCell ref="J520:K520"/>
    <mergeCell ref="B503:F503"/>
    <mergeCell ref="H503:I503"/>
    <mergeCell ref="J503:K503"/>
    <mergeCell ref="B504:F504"/>
    <mergeCell ref="H504:I504"/>
    <mergeCell ref="J504:K504"/>
    <mergeCell ref="H505:K505"/>
    <mergeCell ref="H506:K506"/>
    <mergeCell ref="H507:K507"/>
    <mergeCell ref="H508:K508"/>
    <mergeCell ref="A509:F509"/>
    <mergeCell ref="H509:I509"/>
    <mergeCell ref="J509:K509"/>
    <mergeCell ref="B510:F510"/>
    <mergeCell ref="H510:I510"/>
    <mergeCell ref="J510:K510"/>
    <mergeCell ref="B511:F511"/>
    <mergeCell ref="H511:I511"/>
    <mergeCell ref="J511:K511"/>
    <mergeCell ref="H492:I492"/>
    <mergeCell ref="J492:K492"/>
    <mergeCell ref="B493:F493"/>
    <mergeCell ref="H493:I493"/>
    <mergeCell ref="J493:K493"/>
    <mergeCell ref="H494:K494"/>
    <mergeCell ref="A495:F495"/>
    <mergeCell ref="H495:I495"/>
    <mergeCell ref="J495:K495"/>
    <mergeCell ref="B496:F496"/>
    <mergeCell ref="H496:I496"/>
    <mergeCell ref="J496:K496"/>
    <mergeCell ref="H499:K499"/>
    <mergeCell ref="H500:L500"/>
    <mergeCell ref="A501:L501"/>
    <mergeCell ref="A502:F502"/>
    <mergeCell ref="H502:I502"/>
    <mergeCell ref="J502:K502"/>
    <mergeCell ref="H474:K474"/>
    <mergeCell ref="H475:K475"/>
    <mergeCell ref="A476:F476"/>
    <mergeCell ref="H476:I476"/>
    <mergeCell ref="J476:K476"/>
    <mergeCell ref="B477:F477"/>
    <mergeCell ref="H477:I477"/>
    <mergeCell ref="J477:K477"/>
    <mergeCell ref="H497:K497"/>
    <mergeCell ref="H498:K498"/>
    <mergeCell ref="B479:F479"/>
    <mergeCell ref="H479:I479"/>
    <mergeCell ref="J479:K479"/>
    <mergeCell ref="H480:K480"/>
    <mergeCell ref="H481:K481"/>
    <mergeCell ref="H482:K482"/>
    <mergeCell ref="H483:L483"/>
    <mergeCell ref="A484:L484"/>
    <mergeCell ref="A485:F485"/>
    <mergeCell ref="H485:I485"/>
    <mergeCell ref="J485:K485"/>
    <mergeCell ref="B486:F486"/>
    <mergeCell ref="H486:I486"/>
    <mergeCell ref="J486:K486"/>
    <mergeCell ref="B487:F487"/>
    <mergeCell ref="H487:I487"/>
    <mergeCell ref="J487:K487"/>
    <mergeCell ref="H488:K488"/>
    <mergeCell ref="H489:K489"/>
    <mergeCell ref="H490:K490"/>
    <mergeCell ref="H491:K491"/>
    <mergeCell ref="A492:F492"/>
    <mergeCell ref="B478:F478"/>
    <mergeCell ref="H478:I478"/>
    <mergeCell ref="J478:K478"/>
    <mergeCell ref="H461:K461"/>
    <mergeCell ref="A462:C462"/>
    <mergeCell ref="D462:F462"/>
    <mergeCell ref="H462:I462"/>
    <mergeCell ref="J462:K462"/>
    <mergeCell ref="B463:C463"/>
    <mergeCell ref="D463:F463"/>
    <mergeCell ref="H463:I463"/>
    <mergeCell ref="J463:K463"/>
    <mergeCell ref="B464:C464"/>
    <mergeCell ref="D464:F464"/>
    <mergeCell ref="H464:I464"/>
    <mergeCell ref="J464:K464"/>
    <mergeCell ref="H465:K465"/>
    <mergeCell ref="A466:D466"/>
    <mergeCell ref="H466:K466"/>
    <mergeCell ref="H467:L467"/>
    <mergeCell ref="A468:L468"/>
    <mergeCell ref="A469:F469"/>
    <mergeCell ref="H469:I469"/>
    <mergeCell ref="J469:K469"/>
    <mergeCell ref="B470:F470"/>
    <mergeCell ref="H470:I470"/>
    <mergeCell ref="J470:K470"/>
    <mergeCell ref="B471:F471"/>
    <mergeCell ref="H471:I471"/>
    <mergeCell ref="J471:K471"/>
    <mergeCell ref="H472:K472"/>
    <mergeCell ref="H473:K473"/>
    <mergeCell ref="J455:K455"/>
    <mergeCell ref="B456:C456"/>
    <mergeCell ref="D456:F456"/>
    <mergeCell ref="H456:I456"/>
    <mergeCell ref="J456:K456"/>
    <mergeCell ref="B457:C457"/>
    <mergeCell ref="D457:F457"/>
    <mergeCell ref="H457:I457"/>
    <mergeCell ref="J457:K457"/>
    <mergeCell ref="B458:C458"/>
    <mergeCell ref="D458:F458"/>
    <mergeCell ref="H458:I458"/>
    <mergeCell ref="J458:K458"/>
    <mergeCell ref="B459:C459"/>
    <mergeCell ref="D459:F459"/>
    <mergeCell ref="H459:I459"/>
    <mergeCell ref="J459:K459"/>
    <mergeCell ref="H441:K441"/>
    <mergeCell ref="B460:C460"/>
    <mergeCell ref="D460:F460"/>
    <mergeCell ref="H460:I460"/>
    <mergeCell ref="J460:K460"/>
    <mergeCell ref="B446:C446"/>
    <mergeCell ref="D446:F446"/>
    <mergeCell ref="H446:I446"/>
    <mergeCell ref="J446:K446"/>
    <mergeCell ref="B447:C447"/>
    <mergeCell ref="D447:F447"/>
    <mergeCell ref="H447:I447"/>
    <mergeCell ref="J447:K447"/>
    <mergeCell ref="H448:K448"/>
    <mergeCell ref="H449:K449"/>
    <mergeCell ref="H450:L450"/>
    <mergeCell ref="A451:L451"/>
    <mergeCell ref="A452:C452"/>
    <mergeCell ref="D452:F452"/>
    <mergeCell ref="H452:I452"/>
    <mergeCell ref="J452:K452"/>
    <mergeCell ref="B453:C453"/>
    <mergeCell ref="D453:F453"/>
    <mergeCell ref="H453:I453"/>
    <mergeCell ref="J453:K453"/>
    <mergeCell ref="B454:C454"/>
    <mergeCell ref="D454:F454"/>
    <mergeCell ref="H454:I454"/>
    <mergeCell ref="J454:K454"/>
    <mergeCell ref="B455:C455"/>
    <mergeCell ref="D455:F455"/>
    <mergeCell ref="H455:I455"/>
    <mergeCell ref="D436:F436"/>
    <mergeCell ref="H436:I436"/>
    <mergeCell ref="J436:K436"/>
    <mergeCell ref="B437:C437"/>
    <mergeCell ref="D437:F437"/>
    <mergeCell ref="H437:I437"/>
    <mergeCell ref="J437:K437"/>
    <mergeCell ref="B438:C438"/>
    <mergeCell ref="D438:F438"/>
    <mergeCell ref="H438:I438"/>
    <mergeCell ref="J438:K438"/>
    <mergeCell ref="B439:C439"/>
    <mergeCell ref="D439:F439"/>
    <mergeCell ref="H439:I439"/>
    <mergeCell ref="J439:K439"/>
    <mergeCell ref="B440:C440"/>
    <mergeCell ref="D440:F440"/>
    <mergeCell ref="H440:I440"/>
    <mergeCell ref="J440:K440"/>
    <mergeCell ref="H420:K420"/>
    <mergeCell ref="H421:L421"/>
    <mergeCell ref="A422:L422"/>
    <mergeCell ref="A423:F423"/>
    <mergeCell ref="H423:I423"/>
    <mergeCell ref="J423:K423"/>
    <mergeCell ref="B424:F424"/>
    <mergeCell ref="H424:I424"/>
    <mergeCell ref="J424:K424"/>
    <mergeCell ref="H442:K442"/>
    <mergeCell ref="H443:L443"/>
    <mergeCell ref="A444:L444"/>
    <mergeCell ref="A445:C445"/>
    <mergeCell ref="D445:F445"/>
    <mergeCell ref="H445:I445"/>
    <mergeCell ref="J445:K445"/>
    <mergeCell ref="H425:K425"/>
    <mergeCell ref="H426:K426"/>
    <mergeCell ref="H427:K427"/>
    <mergeCell ref="H428:K428"/>
    <mergeCell ref="A429:F429"/>
    <mergeCell ref="H429:I429"/>
    <mergeCell ref="J429:K429"/>
    <mergeCell ref="B430:F430"/>
    <mergeCell ref="H430:I430"/>
    <mergeCell ref="J430:K430"/>
    <mergeCell ref="H431:K431"/>
    <mergeCell ref="H432:K432"/>
    <mergeCell ref="H433:K433"/>
    <mergeCell ref="H434:L434"/>
    <mergeCell ref="A435:L435"/>
    <mergeCell ref="A436:C436"/>
    <mergeCell ref="H409:K409"/>
    <mergeCell ref="H410:L410"/>
    <mergeCell ref="A411:L411"/>
    <mergeCell ref="A412:F412"/>
    <mergeCell ref="H412:I412"/>
    <mergeCell ref="J412:K412"/>
    <mergeCell ref="B413:F413"/>
    <mergeCell ref="H413:I413"/>
    <mergeCell ref="J413:K413"/>
    <mergeCell ref="B414:F414"/>
    <mergeCell ref="H414:I414"/>
    <mergeCell ref="J414:K414"/>
    <mergeCell ref="H415:K415"/>
    <mergeCell ref="H416:K416"/>
    <mergeCell ref="H417:K417"/>
    <mergeCell ref="H418:K418"/>
    <mergeCell ref="H419:K419"/>
    <mergeCell ref="H398:K398"/>
    <mergeCell ref="H399:L399"/>
    <mergeCell ref="A400:L400"/>
    <mergeCell ref="A401:F401"/>
    <mergeCell ref="H401:I401"/>
    <mergeCell ref="J401:K401"/>
    <mergeCell ref="B402:F402"/>
    <mergeCell ref="H402:I402"/>
    <mergeCell ref="J402:K402"/>
    <mergeCell ref="B403:F403"/>
    <mergeCell ref="H403:I403"/>
    <mergeCell ref="J403:K403"/>
    <mergeCell ref="H404:K404"/>
    <mergeCell ref="H405:K405"/>
    <mergeCell ref="H406:K406"/>
    <mergeCell ref="H407:K407"/>
    <mergeCell ref="H408:K408"/>
    <mergeCell ref="H385:K385"/>
    <mergeCell ref="H386:K386"/>
    <mergeCell ref="H387:K387"/>
    <mergeCell ref="H388:K388"/>
    <mergeCell ref="H389:L389"/>
    <mergeCell ref="A390:L390"/>
    <mergeCell ref="A391:F391"/>
    <mergeCell ref="H391:I391"/>
    <mergeCell ref="J391:K391"/>
    <mergeCell ref="B392:F392"/>
    <mergeCell ref="H392:I392"/>
    <mergeCell ref="J392:K392"/>
    <mergeCell ref="H393:K393"/>
    <mergeCell ref="H394:K394"/>
    <mergeCell ref="H395:K395"/>
    <mergeCell ref="H396:K396"/>
    <mergeCell ref="H397:K397"/>
    <mergeCell ref="B375:C375"/>
    <mergeCell ref="D375:F375"/>
    <mergeCell ref="H375:I375"/>
    <mergeCell ref="J375:K375"/>
    <mergeCell ref="H376:K376"/>
    <mergeCell ref="B381:F381"/>
    <mergeCell ref="H381:I381"/>
    <mergeCell ref="J381:K381"/>
    <mergeCell ref="B382:F382"/>
    <mergeCell ref="H382:I382"/>
    <mergeCell ref="J382:K382"/>
    <mergeCell ref="H383:K383"/>
    <mergeCell ref="H384:K384"/>
    <mergeCell ref="H377:K377"/>
    <mergeCell ref="H378:L378"/>
    <mergeCell ref="A379:L379"/>
    <mergeCell ref="A380:F380"/>
    <mergeCell ref="H380:I380"/>
    <mergeCell ref="J380:K380"/>
    <mergeCell ref="B367:C367"/>
    <mergeCell ref="D367:F367"/>
    <mergeCell ref="H367:I367"/>
    <mergeCell ref="J367:K367"/>
    <mergeCell ref="B374:C374"/>
    <mergeCell ref="D374:F374"/>
    <mergeCell ref="H374:I374"/>
    <mergeCell ref="J374:K374"/>
    <mergeCell ref="H368:K368"/>
    <mergeCell ref="A369:D370"/>
    <mergeCell ref="H369:K369"/>
    <mergeCell ref="H371:L371"/>
    <mergeCell ref="A372:L372"/>
    <mergeCell ref="A373:C373"/>
    <mergeCell ref="D373:F373"/>
    <mergeCell ref="H373:I373"/>
    <mergeCell ref="J373:K373"/>
    <mergeCell ref="B360:C360"/>
    <mergeCell ref="D360:F360"/>
    <mergeCell ref="H360:I360"/>
    <mergeCell ref="J360:K360"/>
    <mergeCell ref="H363:L363"/>
    <mergeCell ref="A364:L364"/>
    <mergeCell ref="A365:C365"/>
    <mergeCell ref="D365:F365"/>
    <mergeCell ref="H365:I365"/>
    <mergeCell ref="J365:K365"/>
    <mergeCell ref="B366:C366"/>
    <mergeCell ref="D366:F366"/>
    <mergeCell ref="H366:I366"/>
    <mergeCell ref="J366:K366"/>
    <mergeCell ref="H361:K361"/>
    <mergeCell ref="A362:D362"/>
    <mergeCell ref="H362:K362"/>
    <mergeCell ref="H342:K342"/>
    <mergeCell ref="H343:L343"/>
    <mergeCell ref="A344:L344"/>
    <mergeCell ref="A345:F345"/>
    <mergeCell ref="H345:I345"/>
    <mergeCell ref="J345:K345"/>
    <mergeCell ref="B346:F346"/>
    <mergeCell ref="H346:I346"/>
    <mergeCell ref="J346:K346"/>
    <mergeCell ref="H347:K347"/>
    <mergeCell ref="H348:K348"/>
    <mergeCell ref="H349:K349"/>
    <mergeCell ref="H350:K350"/>
    <mergeCell ref="A351:F351"/>
    <mergeCell ref="H351:I351"/>
    <mergeCell ref="J351:K351"/>
    <mergeCell ref="B359:C359"/>
    <mergeCell ref="D359:F359"/>
    <mergeCell ref="H359:I359"/>
    <mergeCell ref="J359:K359"/>
    <mergeCell ref="B352:F352"/>
    <mergeCell ref="H352:I352"/>
    <mergeCell ref="J352:K352"/>
    <mergeCell ref="H353:K353"/>
    <mergeCell ref="H354:K354"/>
    <mergeCell ref="H355:K355"/>
    <mergeCell ref="H356:L356"/>
    <mergeCell ref="A357:L357"/>
    <mergeCell ref="A358:C358"/>
    <mergeCell ref="D358:F358"/>
    <mergeCell ref="H358:I358"/>
    <mergeCell ref="J358:K358"/>
    <mergeCell ref="H334:I334"/>
    <mergeCell ref="J334:K334"/>
    <mergeCell ref="B335:C335"/>
    <mergeCell ref="D335:F335"/>
    <mergeCell ref="H335:I335"/>
    <mergeCell ref="J335:K335"/>
    <mergeCell ref="B336:C336"/>
    <mergeCell ref="D336:F336"/>
    <mergeCell ref="H336:I336"/>
    <mergeCell ref="J336:K336"/>
    <mergeCell ref="H337:K337"/>
    <mergeCell ref="A338:C338"/>
    <mergeCell ref="D338:F338"/>
    <mergeCell ref="H338:I338"/>
    <mergeCell ref="J338:K338"/>
    <mergeCell ref="B339:C339"/>
    <mergeCell ref="D339:F339"/>
    <mergeCell ref="H339:I339"/>
    <mergeCell ref="J339:K339"/>
    <mergeCell ref="H341:K341"/>
    <mergeCell ref="A321:F321"/>
    <mergeCell ref="H321:I321"/>
    <mergeCell ref="J321:K321"/>
    <mergeCell ref="B322:F322"/>
    <mergeCell ref="H322:I322"/>
    <mergeCell ref="J322:K322"/>
    <mergeCell ref="B323:F323"/>
    <mergeCell ref="H323:I323"/>
    <mergeCell ref="J323:K323"/>
    <mergeCell ref="H324:K324"/>
    <mergeCell ref="H325:K325"/>
    <mergeCell ref="B340:C340"/>
    <mergeCell ref="D340:F340"/>
    <mergeCell ref="H340:I340"/>
    <mergeCell ref="J340:K340"/>
    <mergeCell ref="H326:K326"/>
    <mergeCell ref="H327:K327"/>
    <mergeCell ref="H328:K328"/>
    <mergeCell ref="A329:D329"/>
    <mergeCell ref="H329:K329"/>
    <mergeCell ref="H330:L330"/>
    <mergeCell ref="A331:L331"/>
    <mergeCell ref="A332:C332"/>
    <mergeCell ref="D332:F332"/>
    <mergeCell ref="H332:I332"/>
    <mergeCell ref="J332:K332"/>
    <mergeCell ref="B333:C333"/>
    <mergeCell ref="D333:F333"/>
    <mergeCell ref="H333:I333"/>
    <mergeCell ref="J333:K333"/>
    <mergeCell ref="B334:C334"/>
    <mergeCell ref="D334:F334"/>
    <mergeCell ref="A310:F310"/>
    <mergeCell ref="H310:I310"/>
    <mergeCell ref="J310:K310"/>
    <mergeCell ref="B311:F311"/>
    <mergeCell ref="H311:I311"/>
    <mergeCell ref="J311:K311"/>
    <mergeCell ref="B312:F312"/>
    <mergeCell ref="H312:I312"/>
    <mergeCell ref="J312:K312"/>
    <mergeCell ref="H313:K313"/>
    <mergeCell ref="H314:K314"/>
    <mergeCell ref="H315:K315"/>
    <mergeCell ref="H316:K316"/>
    <mergeCell ref="H317:K317"/>
    <mergeCell ref="H318:K318"/>
    <mergeCell ref="H319:L319"/>
    <mergeCell ref="A320:L320"/>
    <mergeCell ref="A299:F299"/>
    <mergeCell ref="H299:I299"/>
    <mergeCell ref="J299:K299"/>
    <mergeCell ref="B300:F300"/>
    <mergeCell ref="H300:I300"/>
    <mergeCell ref="J300:K300"/>
    <mergeCell ref="B301:F301"/>
    <mergeCell ref="H301:I301"/>
    <mergeCell ref="J301:K301"/>
    <mergeCell ref="H302:K302"/>
    <mergeCell ref="H303:K303"/>
    <mergeCell ref="H304:K304"/>
    <mergeCell ref="H305:K305"/>
    <mergeCell ref="H306:K306"/>
    <mergeCell ref="H307:K307"/>
    <mergeCell ref="H308:L308"/>
    <mergeCell ref="A309:L309"/>
    <mergeCell ref="A288:F288"/>
    <mergeCell ref="H288:I288"/>
    <mergeCell ref="J288:K288"/>
    <mergeCell ref="B289:F289"/>
    <mergeCell ref="H289:I289"/>
    <mergeCell ref="J289:K289"/>
    <mergeCell ref="B290:F290"/>
    <mergeCell ref="H290:I290"/>
    <mergeCell ref="J290:K290"/>
    <mergeCell ref="H291:K291"/>
    <mergeCell ref="H292:K292"/>
    <mergeCell ref="H293:K293"/>
    <mergeCell ref="H294:K294"/>
    <mergeCell ref="H295:K295"/>
    <mergeCell ref="H296:K296"/>
    <mergeCell ref="H297:L297"/>
    <mergeCell ref="A298:L298"/>
    <mergeCell ref="B277:F277"/>
    <mergeCell ref="H277:I277"/>
    <mergeCell ref="J277:K277"/>
    <mergeCell ref="B278:F278"/>
    <mergeCell ref="H278:I278"/>
    <mergeCell ref="J278:K278"/>
    <mergeCell ref="B279:F279"/>
    <mergeCell ref="H279:I279"/>
    <mergeCell ref="J279:K279"/>
    <mergeCell ref="H280:K280"/>
    <mergeCell ref="H281:K281"/>
    <mergeCell ref="H282:K282"/>
    <mergeCell ref="H283:K283"/>
    <mergeCell ref="H284:K284"/>
    <mergeCell ref="H285:K285"/>
    <mergeCell ref="H286:L286"/>
    <mergeCell ref="A287:L287"/>
    <mergeCell ref="B266:F266"/>
    <mergeCell ref="H266:I266"/>
    <mergeCell ref="J266:K266"/>
    <mergeCell ref="B267:F267"/>
    <mergeCell ref="H267:I267"/>
    <mergeCell ref="J267:K267"/>
    <mergeCell ref="H268:K268"/>
    <mergeCell ref="H269:K269"/>
    <mergeCell ref="H270:K270"/>
    <mergeCell ref="H271:K271"/>
    <mergeCell ref="H272:K272"/>
    <mergeCell ref="H273:K273"/>
    <mergeCell ref="H274:L274"/>
    <mergeCell ref="A275:L275"/>
    <mergeCell ref="A276:F276"/>
    <mergeCell ref="H276:I276"/>
    <mergeCell ref="J276:K276"/>
    <mergeCell ref="B255:F255"/>
    <mergeCell ref="H255:I255"/>
    <mergeCell ref="J255:K255"/>
    <mergeCell ref="B256:F256"/>
    <mergeCell ref="H256:I256"/>
    <mergeCell ref="J256:K256"/>
    <mergeCell ref="H257:K257"/>
    <mergeCell ref="H258:K258"/>
    <mergeCell ref="H259:K259"/>
    <mergeCell ref="H260:K260"/>
    <mergeCell ref="H261:K261"/>
    <mergeCell ref="H262:K262"/>
    <mergeCell ref="H263:L263"/>
    <mergeCell ref="A264:L264"/>
    <mergeCell ref="A265:F265"/>
    <mergeCell ref="H265:I265"/>
    <mergeCell ref="J265:K265"/>
    <mergeCell ref="D247:F247"/>
    <mergeCell ref="H247:I247"/>
    <mergeCell ref="J247:K247"/>
    <mergeCell ref="B248:C248"/>
    <mergeCell ref="D248:F248"/>
    <mergeCell ref="H248:I248"/>
    <mergeCell ref="J248:K248"/>
    <mergeCell ref="B249:C249"/>
    <mergeCell ref="D249:F249"/>
    <mergeCell ref="H249:I249"/>
    <mergeCell ref="J249:K249"/>
    <mergeCell ref="H251:K251"/>
    <mergeCell ref="H252:L252"/>
    <mergeCell ref="A253:L253"/>
    <mergeCell ref="A254:F254"/>
    <mergeCell ref="H254:I254"/>
    <mergeCell ref="J254:K254"/>
    <mergeCell ref="H232:K232"/>
    <mergeCell ref="H233:K233"/>
    <mergeCell ref="H234:K234"/>
    <mergeCell ref="A235:F235"/>
    <mergeCell ref="H235:I235"/>
    <mergeCell ref="J235:K235"/>
    <mergeCell ref="H250:K250"/>
    <mergeCell ref="B236:F236"/>
    <mergeCell ref="H236:I236"/>
    <mergeCell ref="J236:K236"/>
    <mergeCell ref="B237:F237"/>
    <mergeCell ref="H237:I237"/>
    <mergeCell ref="J237:K237"/>
    <mergeCell ref="H238:K238"/>
    <mergeCell ref="H239:K239"/>
    <mergeCell ref="H240:K240"/>
    <mergeCell ref="H241:L241"/>
    <mergeCell ref="A242:L242"/>
    <mergeCell ref="A243:C243"/>
    <mergeCell ref="D243:F243"/>
    <mergeCell ref="H243:I243"/>
    <mergeCell ref="J243:K243"/>
    <mergeCell ref="B244:C244"/>
    <mergeCell ref="D244:F244"/>
    <mergeCell ref="H244:I244"/>
    <mergeCell ref="J244:K244"/>
    <mergeCell ref="B245:C245"/>
    <mergeCell ref="D245:F245"/>
    <mergeCell ref="H245:I245"/>
    <mergeCell ref="J245:K245"/>
    <mergeCell ref="H246:K246"/>
    <mergeCell ref="A247:C247"/>
    <mergeCell ref="B223:C223"/>
    <mergeCell ref="D223:F223"/>
    <mergeCell ref="H223:I223"/>
    <mergeCell ref="J223:K223"/>
    <mergeCell ref="H225:K225"/>
    <mergeCell ref="H226:L226"/>
    <mergeCell ref="A227:L227"/>
    <mergeCell ref="A228:F228"/>
    <mergeCell ref="H228:I228"/>
    <mergeCell ref="J228:K228"/>
    <mergeCell ref="B229:F229"/>
    <mergeCell ref="H229:I229"/>
    <mergeCell ref="J229:K229"/>
    <mergeCell ref="B230:F230"/>
    <mergeCell ref="H230:I230"/>
    <mergeCell ref="J230:K230"/>
    <mergeCell ref="H231:K231"/>
    <mergeCell ref="H215:I215"/>
    <mergeCell ref="J215:K215"/>
    <mergeCell ref="B216:C216"/>
    <mergeCell ref="D216:F216"/>
    <mergeCell ref="H216:I216"/>
    <mergeCell ref="J216:K216"/>
    <mergeCell ref="H217:K217"/>
    <mergeCell ref="A218:D218"/>
    <mergeCell ref="H218:K218"/>
    <mergeCell ref="H219:L219"/>
    <mergeCell ref="A220:L220"/>
    <mergeCell ref="A221:C221"/>
    <mergeCell ref="D221:F221"/>
    <mergeCell ref="H221:I221"/>
    <mergeCell ref="J221:K221"/>
    <mergeCell ref="B222:C222"/>
    <mergeCell ref="D222:F222"/>
    <mergeCell ref="H222:I222"/>
    <mergeCell ref="J222:K222"/>
    <mergeCell ref="H203:K203"/>
    <mergeCell ref="H204:K204"/>
    <mergeCell ref="H205:L205"/>
    <mergeCell ref="A206:L206"/>
    <mergeCell ref="A207:C207"/>
    <mergeCell ref="D207:F207"/>
    <mergeCell ref="H207:I207"/>
    <mergeCell ref="J207:K207"/>
    <mergeCell ref="B208:C208"/>
    <mergeCell ref="D208:F208"/>
    <mergeCell ref="H208:I208"/>
    <mergeCell ref="J208:K208"/>
    <mergeCell ref="B209:C209"/>
    <mergeCell ref="D209:F209"/>
    <mergeCell ref="H209:I209"/>
    <mergeCell ref="J209:K209"/>
    <mergeCell ref="H224:K224"/>
    <mergeCell ref="B211:C211"/>
    <mergeCell ref="D211:F211"/>
    <mergeCell ref="H211:I211"/>
    <mergeCell ref="J211:K211"/>
    <mergeCell ref="B212:C212"/>
    <mergeCell ref="D212:F212"/>
    <mergeCell ref="H212:I212"/>
    <mergeCell ref="J212:K212"/>
    <mergeCell ref="H213:K213"/>
    <mergeCell ref="A214:C214"/>
    <mergeCell ref="D214:F214"/>
    <mergeCell ref="H214:I214"/>
    <mergeCell ref="J214:K214"/>
    <mergeCell ref="B215:C215"/>
    <mergeCell ref="D215:F215"/>
    <mergeCell ref="B189:F189"/>
    <mergeCell ref="H189:I189"/>
    <mergeCell ref="J189:K189"/>
    <mergeCell ref="H190:K190"/>
    <mergeCell ref="A191:F191"/>
    <mergeCell ref="H191:I191"/>
    <mergeCell ref="J191:K191"/>
    <mergeCell ref="B192:F192"/>
    <mergeCell ref="H192:I192"/>
    <mergeCell ref="J192:K192"/>
    <mergeCell ref="B210:C210"/>
    <mergeCell ref="D210:F210"/>
    <mergeCell ref="H210:I210"/>
    <mergeCell ref="J210:K210"/>
    <mergeCell ref="B193:F193"/>
    <mergeCell ref="H193:I193"/>
    <mergeCell ref="J193:K193"/>
    <mergeCell ref="B194:F194"/>
    <mergeCell ref="H194:I194"/>
    <mergeCell ref="J194:K194"/>
    <mergeCell ref="H195:K195"/>
    <mergeCell ref="H196:K196"/>
    <mergeCell ref="H197:K197"/>
    <mergeCell ref="H198:L198"/>
    <mergeCell ref="A199:L199"/>
    <mergeCell ref="A200:F200"/>
    <mergeCell ref="H200:I200"/>
    <mergeCell ref="J200:K200"/>
    <mergeCell ref="B201:F201"/>
    <mergeCell ref="H201:I201"/>
    <mergeCell ref="J201:K201"/>
    <mergeCell ref="H202:K202"/>
    <mergeCell ref="H182:K182"/>
    <mergeCell ref="A183:F183"/>
    <mergeCell ref="H183:I183"/>
    <mergeCell ref="J183:K183"/>
    <mergeCell ref="B184:F184"/>
    <mergeCell ref="H184:I184"/>
    <mergeCell ref="J184:K184"/>
    <mergeCell ref="B185:F185"/>
    <mergeCell ref="H185:I185"/>
    <mergeCell ref="J185:K185"/>
    <mergeCell ref="B186:F186"/>
    <mergeCell ref="H186:I186"/>
    <mergeCell ref="J186:K186"/>
    <mergeCell ref="B187:F187"/>
    <mergeCell ref="H187:I187"/>
    <mergeCell ref="J187:K187"/>
    <mergeCell ref="B188:F188"/>
    <mergeCell ref="H188:I188"/>
    <mergeCell ref="J188:K188"/>
    <mergeCell ref="H171:K171"/>
    <mergeCell ref="H172:K172"/>
    <mergeCell ref="H173:K173"/>
    <mergeCell ref="H174:L174"/>
    <mergeCell ref="A175:L175"/>
    <mergeCell ref="A176:F176"/>
    <mergeCell ref="H176:I176"/>
    <mergeCell ref="J176:K176"/>
    <mergeCell ref="B177:F177"/>
    <mergeCell ref="H177:I177"/>
    <mergeCell ref="J177:K177"/>
    <mergeCell ref="B178:F178"/>
    <mergeCell ref="H178:I178"/>
    <mergeCell ref="J178:K178"/>
    <mergeCell ref="H179:K179"/>
    <mergeCell ref="H180:K180"/>
    <mergeCell ref="H181:K181"/>
    <mergeCell ref="A161:L161"/>
    <mergeCell ref="A162:F162"/>
    <mergeCell ref="H162:I162"/>
    <mergeCell ref="J162:K162"/>
    <mergeCell ref="H166:K166"/>
    <mergeCell ref="H167:L167"/>
    <mergeCell ref="A168:L168"/>
    <mergeCell ref="A169:F169"/>
    <mergeCell ref="H169:I169"/>
    <mergeCell ref="J169:K169"/>
    <mergeCell ref="B170:F170"/>
    <mergeCell ref="H170:I170"/>
    <mergeCell ref="J170:K170"/>
    <mergeCell ref="B163:F163"/>
    <mergeCell ref="H163:I163"/>
    <mergeCell ref="J163:K163"/>
    <mergeCell ref="H164:K164"/>
    <mergeCell ref="H165:K165"/>
    <mergeCell ref="B152:F152"/>
    <mergeCell ref="H152:I152"/>
    <mergeCell ref="J152:K152"/>
    <mergeCell ref="J156:K156"/>
    <mergeCell ref="H157:K157"/>
    <mergeCell ref="H158:K158"/>
    <mergeCell ref="H159:K159"/>
    <mergeCell ref="B153:F153"/>
    <mergeCell ref="H153:I153"/>
    <mergeCell ref="J153:K153"/>
    <mergeCell ref="H154:K154"/>
    <mergeCell ref="A155:F155"/>
    <mergeCell ref="H155:I155"/>
    <mergeCell ref="J155:K155"/>
    <mergeCell ref="B156:F156"/>
    <mergeCell ref="H156:I156"/>
    <mergeCell ref="H160:L160"/>
    <mergeCell ref="B146:F146"/>
    <mergeCell ref="H146:I146"/>
    <mergeCell ref="J146:K146"/>
    <mergeCell ref="J148:K148"/>
    <mergeCell ref="B149:F149"/>
    <mergeCell ref="H149:I149"/>
    <mergeCell ref="J149:K149"/>
    <mergeCell ref="B150:F150"/>
    <mergeCell ref="H150:I150"/>
    <mergeCell ref="J150:K150"/>
    <mergeCell ref="B151:F151"/>
    <mergeCell ref="H151:I151"/>
    <mergeCell ref="J151:K151"/>
    <mergeCell ref="B147:F147"/>
    <mergeCell ref="H147:I147"/>
    <mergeCell ref="J147:K147"/>
    <mergeCell ref="B148:F148"/>
    <mergeCell ref="H148:I148"/>
    <mergeCell ref="J136:K136"/>
    <mergeCell ref="B137:F137"/>
    <mergeCell ref="H137:I137"/>
    <mergeCell ref="J137:K137"/>
    <mergeCell ref="B138:F138"/>
    <mergeCell ref="H138:I138"/>
    <mergeCell ref="J138:K138"/>
    <mergeCell ref="B139:F139"/>
    <mergeCell ref="H139:I139"/>
    <mergeCell ref="J139:K139"/>
    <mergeCell ref="B140:F140"/>
    <mergeCell ref="H140:I140"/>
    <mergeCell ref="J140:K140"/>
    <mergeCell ref="B144:F144"/>
    <mergeCell ref="H144:I144"/>
    <mergeCell ref="J144:K144"/>
    <mergeCell ref="B145:F145"/>
    <mergeCell ref="H145:I145"/>
    <mergeCell ref="J145:K145"/>
    <mergeCell ref="B141:F141"/>
    <mergeCell ref="H141:I141"/>
    <mergeCell ref="J141:K141"/>
    <mergeCell ref="B142:F142"/>
    <mergeCell ref="H142:I142"/>
    <mergeCell ref="J142:K142"/>
    <mergeCell ref="B143:F143"/>
    <mergeCell ref="H143:I143"/>
    <mergeCell ref="J143:K143"/>
    <mergeCell ref="B129:F129"/>
    <mergeCell ref="H129:I129"/>
    <mergeCell ref="J129:K129"/>
    <mergeCell ref="B130:F130"/>
    <mergeCell ref="H130:I130"/>
    <mergeCell ref="J130:K130"/>
    <mergeCell ref="B131:F131"/>
    <mergeCell ref="H131:I131"/>
    <mergeCell ref="J131:K131"/>
    <mergeCell ref="B132:F132"/>
    <mergeCell ref="H132:I132"/>
    <mergeCell ref="J132:K132"/>
    <mergeCell ref="B133:F133"/>
    <mergeCell ref="H133:I133"/>
    <mergeCell ref="J133:K133"/>
    <mergeCell ref="B134:F134"/>
    <mergeCell ref="H134:I134"/>
    <mergeCell ref="J134:K134"/>
    <mergeCell ref="B135:F135"/>
    <mergeCell ref="H135:I135"/>
    <mergeCell ref="J135:K135"/>
    <mergeCell ref="B136:F136"/>
    <mergeCell ref="H136:I136"/>
    <mergeCell ref="B123:F123"/>
    <mergeCell ref="H123:I123"/>
    <mergeCell ref="J123:K123"/>
    <mergeCell ref="B124:F124"/>
    <mergeCell ref="H124:I124"/>
    <mergeCell ref="J124:K124"/>
    <mergeCell ref="B125:F125"/>
    <mergeCell ref="H125:I125"/>
    <mergeCell ref="J125:K125"/>
    <mergeCell ref="B126:F126"/>
    <mergeCell ref="H126:I126"/>
    <mergeCell ref="J126:K126"/>
    <mergeCell ref="B127:F127"/>
    <mergeCell ref="H127:I127"/>
    <mergeCell ref="J127:K127"/>
    <mergeCell ref="B128:F128"/>
    <mergeCell ref="H128:I128"/>
    <mergeCell ref="J128:K128"/>
    <mergeCell ref="B117:F117"/>
    <mergeCell ref="H117:I117"/>
    <mergeCell ref="J117:K117"/>
    <mergeCell ref="B118:F118"/>
    <mergeCell ref="H118:I118"/>
    <mergeCell ref="J118:K118"/>
    <mergeCell ref="B119:F119"/>
    <mergeCell ref="H119:I119"/>
    <mergeCell ref="J119:K119"/>
    <mergeCell ref="B120:F120"/>
    <mergeCell ref="H120:I120"/>
    <mergeCell ref="J120:K120"/>
    <mergeCell ref="B121:F121"/>
    <mergeCell ref="H121:I121"/>
    <mergeCell ref="J121:K121"/>
    <mergeCell ref="B122:F122"/>
    <mergeCell ref="H122:I122"/>
    <mergeCell ref="J122:K122"/>
    <mergeCell ref="B111:F111"/>
    <mergeCell ref="H111:I111"/>
    <mergeCell ref="J111:K111"/>
    <mergeCell ref="B112:F112"/>
    <mergeCell ref="H112:I112"/>
    <mergeCell ref="J112:K112"/>
    <mergeCell ref="B113:F113"/>
    <mergeCell ref="H113:I113"/>
    <mergeCell ref="J113:K113"/>
    <mergeCell ref="B114:F114"/>
    <mergeCell ref="H114:I114"/>
    <mergeCell ref="J114:K114"/>
    <mergeCell ref="B115:F115"/>
    <mergeCell ref="H115:I115"/>
    <mergeCell ref="J115:K115"/>
    <mergeCell ref="B116:F116"/>
    <mergeCell ref="H116:I116"/>
    <mergeCell ref="J116:K116"/>
    <mergeCell ref="B105:F105"/>
    <mergeCell ref="H105:I105"/>
    <mergeCell ref="J105:K105"/>
    <mergeCell ref="B106:F106"/>
    <mergeCell ref="H106:I106"/>
    <mergeCell ref="J106:K106"/>
    <mergeCell ref="B107:F107"/>
    <mergeCell ref="H107:I107"/>
    <mergeCell ref="J107:K107"/>
    <mergeCell ref="B108:F108"/>
    <mergeCell ref="H108:I108"/>
    <mergeCell ref="J108:K108"/>
    <mergeCell ref="B109:F109"/>
    <mergeCell ref="H109:I109"/>
    <mergeCell ref="J109:K109"/>
    <mergeCell ref="B110:F110"/>
    <mergeCell ref="H110:I110"/>
    <mergeCell ref="J110:K110"/>
    <mergeCell ref="B99:F99"/>
    <mergeCell ref="H99:I99"/>
    <mergeCell ref="J99:K99"/>
    <mergeCell ref="B100:F100"/>
    <mergeCell ref="H100:I100"/>
    <mergeCell ref="J100:K100"/>
    <mergeCell ref="B101:F101"/>
    <mergeCell ref="H101:I101"/>
    <mergeCell ref="J101:K101"/>
    <mergeCell ref="B102:F102"/>
    <mergeCell ref="H102:I102"/>
    <mergeCell ref="J102:K102"/>
    <mergeCell ref="B103:F103"/>
    <mergeCell ref="H103:I103"/>
    <mergeCell ref="J103:K103"/>
    <mergeCell ref="B104:F104"/>
    <mergeCell ref="H104:I104"/>
    <mergeCell ref="J104:K104"/>
    <mergeCell ref="B93:F93"/>
    <mergeCell ref="H93:I93"/>
    <mergeCell ref="J93:K93"/>
    <mergeCell ref="B94:F94"/>
    <mergeCell ref="H94:I94"/>
    <mergeCell ref="J94:K94"/>
    <mergeCell ref="B95:F95"/>
    <mergeCell ref="H95:I95"/>
    <mergeCell ref="J95:K95"/>
    <mergeCell ref="B96:F96"/>
    <mergeCell ref="H96:I96"/>
    <mergeCell ref="J96:K96"/>
    <mergeCell ref="B97:F97"/>
    <mergeCell ref="H97:I97"/>
    <mergeCell ref="J97:K97"/>
    <mergeCell ref="B98:F98"/>
    <mergeCell ref="H98:I98"/>
    <mergeCell ref="J98:K98"/>
    <mergeCell ref="B87:F87"/>
    <mergeCell ref="H87:I87"/>
    <mergeCell ref="J87:K87"/>
    <mergeCell ref="B88:F88"/>
    <mergeCell ref="H88:I88"/>
    <mergeCell ref="J88:K88"/>
    <mergeCell ref="B89:F89"/>
    <mergeCell ref="H89:I89"/>
    <mergeCell ref="J89:K89"/>
    <mergeCell ref="B90:F90"/>
    <mergeCell ref="H90:I90"/>
    <mergeCell ref="J90:K90"/>
    <mergeCell ref="B91:F91"/>
    <mergeCell ref="H91:I91"/>
    <mergeCell ref="J91:K91"/>
    <mergeCell ref="B92:F92"/>
    <mergeCell ref="H92:I92"/>
    <mergeCell ref="J92:K92"/>
    <mergeCell ref="B78:F78"/>
    <mergeCell ref="H78:I78"/>
    <mergeCell ref="J78:K78"/>
    <mergeCell ref="B79:F79"/>
    <mergeCell ref="H79:I79"/>
    <mergeCell ref="J79:K79"/>
    <mergeCell ref="H80:K80"/>
    <mergeCell ref="H81:K81"/>
    <mergeCell ref="H82:K82"/>
    <mergeCell ref="H83:K83"/>
    <mergeCell ref="A84:F84"/>
    <mergeCell ref="H84:I84"/>
    <mergeCell ref="J84:K84"/>
    <mergeCell ref="B85:F85"/>
    <mergeCell ref="H85:I85"/>
    <mergeCell ref="J85:K85"/>
    <mergeCell ref="B86:F86"/>
    <mergeCell ref="H86:I86"/>
    <mergeCell ref="J86:K86"/>
    <mergeCell ref="B72:F72"/>
    <mergeCell ref="H72:I72"/>
    <mergeCell ref="J72:K72"/>
    <mergeCell ref="B73:F73"/>
    <mergeCell ref="H73:I73"/>
    <mergeCell ref="J73:K73"/>
    <mergeCell ref="B74:F74"/>
    <mergeCell ref="H74:I74"/>
    <mergeCell ref="J74:K74"/>
    <mergeCell ref="B75:F75"/>
    <mergeCell ref="H75:I75"/>
    <mergeCell ref="J75:K75"/>
    <mergeCell ref="B76:F76"/>
    <mergeCell ref="H76:I76"/>
    <mergeCell ref="J76:K76"/>
    <mergeCell ref="B77:F77"/>
    <mergeCell ref="H77:I77"/>
    <mergeCell ref="J77:K77"/>
    <mergeCell ref="B63:F63"/>
    <mergeCell ref="H63:I63"/>
    <mergeCell ref="J63:K63"/>
    <mergeCell ref="B64:F64"/>
    <mergeCell ref="H64:I64"/>
    <mergeCell ref="J64:K64"/>
    <mergeCell ref="B65:F65"/>
    <mergeCell ref="H65:I65"/>
    <mergeCell ref="J65:K65"/>
    <mergeCell ref="H66:K66"/>
    <mergeCell ref="H67:K67"/>
    <mergeCell ref="H68:K68"/>
    <mergeCell ref="H69:L69"/>
    <mergeCell ref="A70:L70"/>
    <mergeCell ref="A71:F71"/>
    <mergeCell ref="H71:I71"/>
    <mergeCell ref="J71:K71"/>
    <mergeCell ref="B57:F57"/>
    <mergeCell ref="H57:I57"/>
    <mergeCell ref="J57:K57"/>
    <mergeCell ref="B58:F58"/>
    <mergeCell ref="H58:I58"/>
    <mergeCell ref="J58:K58"/>
    <mergeCell ref="B59:F59"/>
    <mergeCell ref="H59:I59"/>
    <mergeCell ref="J59:K59"/>
    <mergeCell ref="B60:F60"/>
    <mergeCell ref="H60:I60"/>
    <mergeCell ref="J60:K60"/>
    <mergeCell ref="B61:F61"/>
    <mergeCell ref="H61:I61"/>
    <mergeCell ref="J61:K61"/>
    <mergeCell ref="B62:F62"/>
    <mergeCell ref="H62:I62"/>
    <mergeCell ref="J62:K62"/>
    <mergeCell ref="B51:F51"/>
    <mergeCell ref="H51:I51"/>
    <mergeCell ref="J51:K51"/>
    <mergeCell ref="B52:F52"/>
    <mergeCell ref="H52:I52"/>
    <mergeCell ref="J52:K52"/>
    <mergeCell ref="B53:F53"/>
    <mergeCell ref="H53:I53"/>
    <mergeCell ref="J53:K53"/>
    <mergeCell ref="B54:F54"/>
    <mergeCell ref="H54:I54"/>
    <mergeCell ref="J54:K54"/>
    <mergeCell ref="B55:F55"/>
    <mergeCell ref="H55:I55"/>
    <mergeCell ref="J55:K55"/>
    <mergeCell ref="B56:F56"/>
    <mergeCell ref="H56:I56"/>
    <mergeCell ref="J56:K56"/>
    <mergeCell ref="B45:F45"/>
    <mergeCell ref="H45:I45"/>
    <mergeCell ref="J45:K45"/>
    <mergeCell ref="B46:F46"/>
    <mergeCell ref="H46:I46"/>
    <mergeCell ref="J46:K46"/>
    <mergeCell ref="B47:F47"/>
    <mergeCell ref="H47:I47"/>
    <mergeCell ref="J47:K47"/>
    <mergeCell ref="B48:F48"/>
    <mergeCell ref="H48:I48"/>
    <mergeCell ref="J48:K48"/>
    <mergeCell ref="B49:F49"/>
    <mergeCell ref="H49:I49"/>
    <mergeCell ref="J49:K49"/>
    <mergeCell ref="B50:F50"/>
    <mergeCell ref="H50:I50"/>
    <mergeCell ref="J50:K50"/>
    <mergeCell ref="B39:F39"/>
    <mergeCell ref="H39:I39"/>
    <mergeCell ref="J39:K39"/>
    <mergeCell ref="B40:F40"/>
    <mergeCell ref="H40:I40"/>
    <mergeCell ref="J40:K40"/>
    <mergeCell ref="B41:F41"/>
    <mergeCell ref="H41:I41"/>
    <mergeCell ref="J41:K41"/>
    <mergeCell ref="B42:F42"/>
    <mergeCell ref="H42:I42"/>
    <mergeCell ref="J42:K42"/>
    <mergeCell ref="B43:F43"/>
    <mergeCell ref="H43:I43"/>
    <mergeCell ref="J43:K43"/>
    <mergeCell ref="B44:F44"/>
    <mergeCell ref="H44:I44"/>
    <mergeCell ref="J44:K44"/>
    <mergeCell ref="H30:K30"/>
    <mergeCell ref="H31:K31"/>
    <mergeCell ref="H32:K32"/>
    <mergeCell ref="H33:K33"/>
    <mergeCell ref="A34:F34"/>
    <mergeCell ref="H34:I34"/>
    <mergeCell ref="J34:K34"/>
    <mergeCell ref="B35:F35"/>
    <mergeCell ref="H35:I35"/>
    <mergeCell ref="J35:K35"/>
    <mergeCell ref="B36:F36"/>
    <mergeCell ref="H36:I36"/>
    <mergeCell ref="J36:K36"/>
    <mergeCell ref="B37:F37"/>
    <mergeCell ref="H37:I37"/>
    <mergeCell ref="J37:K37"/>
    <mergeCell ref="B38:F38"/>
    <mergeCell ref="H38:I38"/>
    <mergeCell ref="J38:K38"/>
    <mergeCell ref="A24:F24"/>
    <mergeCell ref="H24:I24"/>
    <mergeCell ref="J24:K24"/>
    <mergeCell ref="B25:F25"/>
    <mergeCell ref="H25:I25"/>
    <mergeCell ref="J25:K25"/>
    <mergeCell ref="B26:F26"/>
    <mergeCell ref="H26:I26"/>
    <mergeCell ref="J26:K26"/>
    <mergeCell ref="B27:F27"/>
    <mergeCell ref="H27:I27"/>
    <mergeCell ref="J27:K27"/>
    <mergeCell ref="B28:F28"/>
    <mergeCell ref="H28:I28"/>
    <mergeCell ref="J28:K28"/>
    <mergeCell ref="B29:F29"/>
    <mergeCell ref="H29:I29"/>
    <mergeCell ref="J29:K29"/>
    <mergeCell ref="B15:F15"/>
    <mergeCell ref="H15:I15"/>
    <mergeCell ref="J15:K15"/>
    <mergeCell ref="B16:F16"/>
    <mergeCell ref="H16:I16"/>
    <mergeCell ref="J16:K16"/>
    <mergeCell ref="B17:F17"/>
    <mergeCell ref="H17:I17"/>
    <mergeCell ref="J17:K17"/>
    <mergeCell ref="B18:F18"/>
    <mergeCell ref="H18:I18"/>
    <mergeCell ref="J18:K18"/>
    <mergeCell ref="H19:K19"/>
    <mergeCell ref="H20:K20"/>
    <mergeCell ref="H21:K21"/>
    <mergeCell ref="H22:L22"/>
    <mergeCell ref="A23:L23"/>
    <mergeCell ref="A1:L1"/>
    <mergeCell ref="A6:L6"/>
    <mergeCell ref="A7:F7"/>
    <mergeCell ref="H7:I7"/>
    <mergeCell ref="J7:K7"/>
    <mergeCell ref="B8:F8"/>
    <mergeCell ref="H8:I8"/>
    <mergeCell ref="J8:K8"/>
    <mergeCell ref="B9:F9"/>
    <mergeCell ref="H9:I9"/>
    <mergeCell ref="J9:K9"/>
    <mergeCell ref="H10:K10"/>
    <mergeCell ref="H11:K11"/>
    <mergeCell ref="H12:K12"/>
    <mergeCell ref="H13:K13"/>
    <mergeCell ref="A14:F14"/>
    <mergeCell ref="H14:I14"/>
    <mergeCell ref="J14:K14"/>
    <mergeCell ref="A2:A5"/>
    <mergeCell ref="B2:I2"/>
    <mergeCell ref="J2:L2"/>
    <mergeCell ref="B3:I3"/>
    <mergeCell ref="J3:L3"/>
    <mergeCell ref="B4:I4"/>
    <mergeCell ref="J4:L4"/>
    <mergeCell ref="B5:L5"/>
  </mergeCells>
  <pageMargins left="0.7" right="0.7" top="0.75" bottom="0.75" header="0.3" footer="0.3"/>
  <pageSetup paperSize="9" scale="59"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90"/>
  <sheetViews>
    <sheetView topLeftCell="A167" workbookViewId="0">
      <selection activeCell="E184" sqref="E184"/>
    </sheetView>
  </sheetViews>
  <sheetFormatPr defaultRowHeight="15" x14ac:dyDescent="0.25"/>
  <cols>
    <col min="1" max="1" width="22" customWidth="1"/>
    <col min="2" max="2" width="68.7109375" customWidth="1"/>
    <col min="3" max="3" width="9.28515625" customWidth="1"/>
    <col min="4" max="4" width="10.28515625" customWidth="1"/>
    <col min="5" max="5" width="9.28515625" customWidth="1"/>
    <col min="6" max="8" width="12.42578125" customWidth="1"/>
    <col min="9" max="10" width="8.7109375" customWidth="1"/>
    <col min="11" max="11" width="4.7109375" customWidth="1"/>
  </cols>
  <sheetData>
    <row r="1" spans="1:11" x14ac:dyDescent="0.25">
      <c r="A1" s="537" t="s">
        <v>4710</v>
      </c>
      <c r="B1" s="538"/>
      <c r="C1" s="538"/>
      <c r="D1" s="538"/>
      <c r="E1" s="538"/>
      <c r="F1" s="538"/>
      <c r="G1" s="538"/>
      <c r="H1" s="538"/>
      <c r="I1" s="538"/>
      <c r="J1" s="538"/>
      <c r="K1" s="539"/>
    </row>
    <row r="2" spans="1:11" ht="24" customHeight="1" x14ac:dyDescent="0.25">
      <c r="A2" s="426"/>
      <c r="B2" s="478" t="s">
        <v>4698</v>
      </c>
      <c r="C2" s="479"/>
      <c r="D2" s="479"/>
      <c r="E2" s="479"/>
      <c r="F2" s="480"/>
      <c r="G2" s="478" t="s">
        <v>4696</v>
      </c>
      <c r="H2" s="479"/>
      <c r="I2" s="479"/>
      <c r="J2" s="479"/>
      <c r="K2" s="552"/>
    </row>
    <row r="3" spans="1:11" ht="30.75" customHeight="1" x14ac:dyDescent="0.25">
      <c r="A3" s="426"/>
      <c r="B3" s="478" t="s">
        <v>4699</v>
      </c>
      <c r="C3" s="479"/>
      <c r="D3" s="479"/>
      <c r="E3" s="479"/>
      <c r="F3" s="480"/>
      <c r="G3" s="478" t="s">
        <v>4709</v>
      </c>
      <c r="H3" s="479"/>
      <c r="I3" s="479"/>
      <c r="J3" s="479"/>
      <c r="K3" s="552"/>
    </row>
    <row r="4" spans="1:11" ht="42" customHeight="1" x14ac:dyDescent="0.25">
      <c r="A4" s="426"/>
      <c r="B4" s="478" t="s">
        <v>4700</v>
      </c>
      <c r="C4" s="479"/>
      <c r="D4" s="479"/>
      <c r="E4" s="479"/>
      <c r="F4" s="480"/>
      <c r="G4" s="478" t="s">
        <v>4697</v>
      </c>
      <c r="H4" s="479"/>
      <c r="I4" s="479"/>
      <c r="J4" s="479"/>
      <c r="K4" s="552"/>
    </row>
    <row r="5" spans="1:11" ht="26.25" customHeight="1" x14ac:dyDescent="0.25">
      <c r="A5" s="426"/>
      <c r="B5" s="549" t="s">
        <v>4701</v>
      </c>
      <c r="C5" s="550"/>
      <c r="D5" s="550"/>
      <c r="E5" s="550"/>
      <c r="F5" s="550"/>
      <c r="G5" s="550"/>
      <c r="H5" s="550"/>
      <c r="I5" s="550"/>
      <c r="J5" s="550"/>
      <c r="K5" s="551"/>
    </row>
    <row r="6" spans="1:11" ht="21.95" customHeight="1" x14ac:dyDescent="0.25">
      <c r="A6" s="385" t="s">
        <v>43</v>
      </c>
      <c r="B6" s="3" t="s">
        <v>27</v>
      </c>
      <c r="C6" s="2" t="s">
        <v>42</v>
      </c>
      <c r="D6" s="2" t="s">
        <v>3915</v>
      </c>
      <c r="E6" s="2" t="s">
        <v>1691</v>
      </c>
      <c r="F6" s="2" t="s">
        <v>45</v>
      </c>
      <c r="G6" s="2" t="s">
        <v>1814</v>
      </c>
      <c r="H6" s="2" t="s">
        <v>3916</v>
      </c>
      <c r="I6" s="2" t="s">
        <v>2301</v>
      </c>
      <c r="J6" s="2" t="s">
        <v>3917</v>
      </c>
      <c r="K6" s="386" t="s">
        <v>3918</v>
      </c>
    </row>
    <row r="7" spans="1:11" ht="27.95" customHeight="1" x14ac:dyDescent="0.25">
      <c r="A7" s="387" t="s">
        <v>706</v>
      </c>
      <c r="B7" s="5" t="s">
        <v>709</v>
      </c>
      <c r="C7" s="4" t="s">
        <v>51</v>
      </c>
      <c r="D7" s="4" t="s">
        <v>1912</v>
      </c>
      <c r="E7" s="4" t="s">
        <v>54</v>
      </c>
      <c r="F7" s="6">
        <v>1286.8599999999999</v>
      </c>
      <c r="G7" s="7">
        <v>195.7</v>
      </c>
      <c r="H7" s="7">
        <f t="shared" ref="H7:H38" si="0">ROUND(F7*G7,2)</f>
        <v>251838.5</v>
      </c>
      <c r="I7" s="8">
        <f t="shared" ref="I7:I38" si="1">H7/VALOR_TOTAL*100</f>
        <v>3.4796394525457166</v>
      </c>
      <c r="J7" s="8">
        <f>I7</f>
        <v>3.4796394525457166</v>
      </c>
      <c r="K7" s="388" t="str">
        <f t="shared" ref="K7:K38" si="2">IF(J7&lt;=50,"A",IF(J7&lt;=80,"B","C"))</f>
        <v>A</v>
      </c>
    </row>
    <row r="8" spans="1:11" ht="20.100000000000001" customHeight="1" x14ac:dyDescent="0.25">
      <c r="A8" s="387" t="s">
        <v>702</v>
      </c>
      <c r="B8" s="5" t="s">
        <v>703</v>
      </c>
      <c r="C8" s="4" t="s">
        <v>82</v>
      </c>
      <c r="D8" s="4" t="s">
        <v>1912</v>
      </c>
      <c r="E8" s="4" t="s">
        <v>122</v>
      </c>
      <c r="F8" s="6">
        <v>1911.18</v>
      </c>
      <c r="G8" s="7">
        <v>111.88</v>
      </c>
      <c r="H8" s="7">
        <f t="shared" si="0"/>
        <v>213822.82</v>
      </c>
      <c r="I8" s="8">
        <f t="shared" si="1"/>
        <v>2.9543787797599705</v>
      </c>
      <c r="J8" s="8">
        <f t="shared" ref="J8:J39" si="3">I8+J7</f>
        <v>6.4340182323056876</v>
      </c>
      <c r="K8" s="388" t="str">
        <f t="shared" si="2"/>
        <v>A</v>
      </c>
    </row>
    <row r="9" spans="1:11" ht="20.100000000000001" customHeight="1" x14ac:dyDescent="0.25">
      <c r="A9" s="387" t="s">
        <v>711</v>
      </c>
      <c r="B9" s="5" t="s">
        <v>712</v>
      </c>
      <c r="C9" s="4" t="s">
        <v>82</v>
      </c>
      <c r="D9" s="4" t="s">
        <v>1912</v>
      </c>
      <c r="E9" s="4" t="s">
        <v>122</v>
      </c>
      <c r="F9" s="6">
        <v>639.83000000000004</v>
      </c>
      <c r="G9" s="7">
        <v>243.67</v>
      </c>
      <c r="H9" s="7">
        <f t="shared" si="0"/>
        <v>155907.38</v>
      </c>
      <c r="I9" s="8">
        <f t="shared" si="1"/>
        <v>2.1541641583436886</v>
      </c>
      <c r="J9" s="8">
        <f t="shared" si="3"/>
        <v>8.5881823906493757</v>
      </c>
      <c r="K9" s="388" t="str">
        <f t="shared" si="2"/>
        <v>A</v>
      </c>
    </row>
    <row r="10" spans="1:11" ht="27.95" customHeight="1" x14ac:dyDescent="0.25">
      <c r="A10" s="387" t="s">
        <v>706</v>
      </c>
      <c r="B10" s="5" t="s">
        <v>707</v>
      </c>
      <c r="C10" s="4" t="s">
        <v>705</v>
      </c>
      <c r="D10" s="4" t="s">
        <v>1912</v>
      </c>
      <c r="E10" s="4" t="s">
        <v>54</v>
      </c>
      <c r="F10" s="6">
        <v>624.32000000000005</v>
      </c>
      <c r="G10" s="7">
        <v>213.39</v>
      </c>
      <c r="H10" s="7">
        <f t="shared" si="0"/>
        <v>133223.64000000001</v>
      </c>
      <c r="I10" s="8">
        <f t="shared" si="1"/>
        <v>1.8407441028903353</v>
      </c>
      <c r="J10" s="8">
        <f t="shared" si="3"/>
        <v>10.428926493539711</v>
      </c>
      <c r="K10" s="388" t="str">
        <f t="shared" si="2"/>
        <v>A</v>
      </c>
    </row>
    <row r="11" spans="1:11" ht="27.95" customHeight="1" x14ac:dyDescent="0.25">
      <c r="A11" s="387" t="s">
        <v>70</v>
      </c>
      <c r="B11" s="5" t="s">
        <v>71</v>
      </c>
      <c r="C11" s="4" t="s">
        <v>51</v>
      </c>
      <c r="D11" s="4" t="s">
        <v>1912</v>
      </c>
      <c r="E11" s="4" t="s">
        <v>72</v>
      </c>
      <c r="F11" s="6">
        <v>457.06</v>
      </c>
      <c r="G11" s="7">
        <v>211.41</v>
      </c>
      <c r="H11" s="7">
        <f t="shared" si="0"/>
        <v>96627.05</v>
      </c>
      <c r="I11" s="8">
        <f t="shared" si="1"/>
        <v>1.3350909228061143</v>
      </c>
      <c r="J11" s="8">
        <f t="shared" si="3"/>
        <v>11.764017416345826</v>
      </c>
      <c r="K11" s="388" t="str">
        <f t="shared" si="2"/>
        <v>A</v>
      </c>
    </row>
    <row r="12" spans="1:11" ht="20.100000000000001" customHeight="1" x14ac:dyDescent="0.25">
      <c r="A12" s="387" t="s">
        <v>329</v>
      </c>
      <c r="B12" s="5" t="s">
        <v>330</v>
      </c>
      <c r="C12" s="4" t="s">
        <v>77</v>
      </c>
      <c r="D12" s="4" t="s">
        <v>1912</v>
      </c>
      <c r="E12" s="4" t="s">
        <v>54</v>
      </c>
      <c r="F12" s="6">
        <v>111.98</v>
      </c>
      <c r="G12" s="7">
        <v>764.06</v>
      </c>
      <c r="H12" s="7">
        <f t="shared" si="0"/>
        <v>85559.44</v>
      </c>
      <c r="I12" s="8">
        <f t="shared" si="1"/>
        <v>1.1821703312309997</v>
      </c>
      <c r="J12" s="8">
        <f t="shared" si="3"/>
        <v>12.946187747576825</v>
      </c>
      <c r="K12" s="388" t="str">
        <f t="shared" si="2"/>
        <v>A</v>
      </c>
    </row>
    <row r="13" spans="1:11" ht="20.100000000000001" customHeight="1" x14ac:dyDescent="0.25">
      <c r="A13" s="387" t="s">
        <v>696</v>
      </c>
      <c r="B13" s="5" t="s">
        <v>697</v>
      </c>
      <c r="C13" s="4" t="s">
        <v>51</v>
      </c>
      <c r="D13" s="4" t="s">
        <v>1912</v>
      </c>
      <c r="E13" s="4" t="s">
        <v>72</v>
      </c>
      <c r="F13" s="6">
        <v>831.4</v>
      </c>
      <c r="G13" s="7">
        <v>96.19</v>
      </c>
      <c r="H13" s="7">
        <f t="shared" si="0"/>
        <v>79972.37</v>
      </c>
      <c r="I13" s="8">
        <f t="shared" si="1"/>
        <v>1.1049740757095659</v>
      </c>
      <c r="J13" s="8">
        <f t="shared" si="3"/>
        <v>14.051161823286391</v>
      </c>
      <c r="K13" s="388" t="str">
        <f t="shared" si="2"/>
        <v>A</v>
      </c>
    </row>
    <row r="14" spans="1:11" ht="15" customHeight="1" x14ac:dyDescent="0.25">
      <c r="A14" s="387" t="s">
        <v>202</v>
      </c>
      <c r="B14" s="5" t="s">
        <v>203</v>
      </c>
      <c r="C14" s="4" t="s">
        <v>77</v>
      </c>
      <c r="D14" s="4" t="s">
        <v>1912</v>
      </c>
      <c r="E14" s="4" t="s">
        <v>122</v>
      </c>
      <c r="F14" s="6">
        <v>113.92</v>
      </c>
      <c r="G14" s="7">
        <v>498.3</v>
      </c>
      <c r="H14" s="7">
        <f t="shared" si="0"/>
        <v>56766.34</v>
      </c>
      <c r="I14" s="8">
        <f t="shared" si="1"/>
        <v>0.7843375664984662</v>
      </c>
      <c r="J14" s="8">
        <f t="shared" si="3"/>
        <v>14.835499389784857</v>
      </c>
      <c r="K14" s="388" t="str">
        <f t="shared" si="2"/>
        <v>A</v>
      </c>
    </row>
    <row r="15" spans="1:11" ht="20.100000000000001" customHeight="1" x14ac:dyDescent="0.25">
      <c r="A15" s="389" t="s">
        <v>158</v>
      </c>
      <c r="B15" s="10" t="s">
        <v>159</v>
      </c>
      <c r="C15" s="9" t="s">
        <v>51</v>
      </c>
      <c r="D15" s="9" t="s">
        <v>1912</v>
      </c>
      <c r="E15" s="9" t="s">
        <v>54</v>
      </c>
      <c r="F15" s="11">
        <v>601.78</v>
      </c>
      <c r="G15" s="12">
        <v>87.89</v>
      </c>
      <c r="H15" s="12">
        <f t="shared" si="0"/>
        <v>52890.44</v>
      </c>
      <c r="I15" s="13">
        <f t="shared" si="1"/>
        <v>0.73078445784303059</v>
      </c>
      <c r="J15" s="13">
        <f t="shared" si="3"/>
        <v>15.566283847627888</v>
      </c>
      <c r="K15" s="390" t="str">
        <f t="shared" si="2"/>
        <v>A</v>
      </c>
    </row>
    <row r="16" spans="1:11" ht="15" customHeight="1" x14ac:dyDescent="0.25">
      <c r="A16" s="389" t="s">
        <v>266</v>
      </c>
      <c r="B16" s="10" t="s">
        <v>267</v>
      </c>
      <c r="C16" s="9" t="s">
        <v>77</v>
      </c>
      <c r="D16" s="9" t="s">
        <v>1912</v>
      </c>
      <c r="E16" s="9" t="s">
        <v>54</v>
      </c>
      <c r="F16" s="11">
        <v>89.5</v>
      </c>
      <c r="G16" s="12">
        <v>461.67</v>
      </c>
      <c r="H16" s="12">
        <f t="shared" si="0"/>
        <v>41319.47</v>
      </c>
      <c r="I16" s="13">
        <f t="shared" si="1"/>
        <v>0.57090896733533258</v>
      </c>
      <c r="J16" s="13">
        <f t="shared" si="3"/>
        <v>16.137192814963221</v>
      </c>
      <c r="K16" s="390" t="str">
        <f t="shared" si="2"/>
        <v>A</v>
      </c>
    </row>
    <row r="17" spans="1:11" ht="20.100000000000001" customHeight="1" x14ac:dyDescent="0.25">
      <c r="A17" s="389" t="s">
        <v>692</v>
      </c>
      <c r="B17" s="10" t="s">
        <v>693</v>
      </c>
      <c r="C17" s="9" t="s">
        <v>194</v>
      </c>
      <c r="D17" s="9" t="s">
        <v>1912</v>
      </c>
      <c r="E17" s="9" t="s">
        <v>694</v>
      </c>
      <c r="F17" s="11">
        <v>114.67</v>
      </c>
      <c r="G17" s="12">
        <v>349.43</v>
      </c>
      <c r="H17" s="12">
        <f t="shared" si="0"/>
        <v>40069.14</v>
      </c>
      <c r="I17" s="13">
        <f t="shared" si="1"/>
        <v>0.55363322277403049</v>
      </c>
      <c r="J17" s="13">
        <f t="shared" si="3"/>
        <v>16.690826037737253</v>
      </c>
      <c r="K17" s="390" t="str">
        <f t="shared" si="2"/>
        <v>A</v>
      </c>
    </row>
    <row r="18" spans="1:11" ht="20.100000000000001" customHeight="1" x14ac:dyDescent="0.25">
      <c r="A18" s="389" t="s">
        <v>165</v>
      </c>
      <c r="B18" s="10" t="s">
        <v>166</v>
      </c>
      <c r="C18" s="9" t="s">
        <v>51</v>
      </c>
      <c r="D18" s="9" t="s">
        <v>1912</v>
      </c>
      <c r="E18" s="9" t="s">
        <v>54</v>
      </c>
      <c r="F18" s="11">
        <v>909.07</v>
      </c>
      <c r="G18" s="12">
        <v>41.03</v>
      </c>
      <c r="H18" s="12">
        <f t="shared" si="0"/>
        <v>37299.14</v>
      </c>
      <c r="I18" s="13">
        <f t="shared" si="1"/>
        <v>0.51536027688389996</v>
      </c>
      <c r="J18" s="13">
        <f t="shared" si="3"/>
        <v>17.206186314621153</v>
      </c>
      <c r="K18" s="390" t="str">
        <f t="shared" si="2"/>
        <v>A</v>
      </c>
    </row>
    <row r="19" spans="1:11" ht="20.100000000000001" customHeight="1" x14ac:dyDescent="0.25">
      <c r="A19" s="389" t="s">
        <v>3919</v>
      </c>
      <c r="B19" s="10" t="s">
        <v>573</v>
      </c>
      <c r="C19" s="9" t="s">
        <v>82</v>
      </c>
      <c r="D19" s="9" t="s">
        <v>1912</v>
      </c>
      <c r="E19" s="9" t="s">
        <v>226</v>
      </c>
      <c r="F19" s="11">
        <v>10</v>
      </c>
      <c r="G19" s="12">
        <v>3721.11</v>
      </c>
      <c r="H19" s="12">
        <f t="shared" si="0"/>
        <v>37211.1</v>
      </c>
      <c r="I19" s="13">
        <f t="shared" si="1"/>
        <v>0.51414383278420062</v>
      </c>
      <c r="J19" s="13">
        <f t="shared" si="3"/>
        <v>17.720330147405353</v>
      </c>
      <c r="K19" s="390" t="str">
        <f t="shared" si="2"/>
        <v>A</v>
      </c>
    </row>
    <row r="20" spans="1:11" ht="27.95" customHeight="1" x14ac:dyDescent="0.25">
      <c r="A20" s="389" t="s">
        <v>338</v>
      </c>
      <c r="B20" s="10" t="s">
        <v>339</v>
      </c>
      <c r="C20" s="9" t="s">
        <v>51</v>
      </c>
      <c r="D20" s="9" t="s">
        <v>1912</v>
      </c>
      <c r="E20" s="9" t="s">
        <v>54</v>
      </c>
      <c r="F20" s="11">
        <v>1081.23</v>
      </c>
      <c r="G20" s="12">
        <v>33.51</v>
      </c>
      <c r="H20" s="12">
        <f t="shared" si="0"/>
        <v>36232.019999999997</v>
      </c>
      <c r="I20" s="13">
        <f t="shared" si="1"/>
        <v>0.50061593536105653</v>
      </c>
      <c r="J20" s="13">
        <f t="shared" si="3"/>
        <v>18.22094608276641</v>
      </c>
      <c r="K20" s="390" t="str">
        <f t="shared" si="2"/>
        <v>A</v>
      </c>
    </row>
    <row r="21" spans="1:11" ht="20.100000000000001" customHeight="1" x14ac:dyDescent="0.25">
      <c r="A21" s="389" t="s">
        <v>626</v>
      </c>
      <c r="B21" s="10" t="s">
        <v>627</v>
      </c>
      <c r="C21" s="9" t="s">
        <v>82</v>
      </c>
      <c r="D21" s="9" t="s">
        <v>1912</v>
      </c>
      <c r="E21" s="9" t="s">
        <v>226</v>
      </c>
      <c r="F21" s="11">
        <v>2</v>
      </c>
      <c r="G21" s="12">
        <v>17978.900000000001</v>
      </c>
      <c r="H21" s="12">
        <f t="shared" si="0"/>
        <v>35957.800000000003</v>
      </c>
      <c r="I21" s="13">
        <f t="shared" si="1"/>
        <v>0.4968270518874135</v>
      </c>
      <c r="J21" s="13">
        <f t="shared" si="3"/>
        <v>18.717773134653825</v>
      </c>
      <c r="K21" s="390" t="str">
        <f t="shared" si="2"/>
        <v>A</v>
      </c>
    </row>
    <row r="22" spans="1:11" ht="20.100000000000001" customHeight="1" x14ac:dyDescent="0.25">
      <c r="A22" s="389" t="s">
        <v>723</v>
      </c>
      <c r="B22" s="10" t="s">
        <v>724</v>
      </c>
      <c r="C22" s="9" t="s">
        <v>51</v>
      </c>
      <c r="D22" s="9" t="s">
        <v>1912</v>
      </c>
      <c r="E22" s="9" t="s">
        <v>54</v>
      </c>
      <c r="F22" s="11">
        <v>753.71</v>
      </c>
      <c r="G22" s="12">
        <v>45.76</v>
      </c>
      <c r="H22" s="12">
        <f t="shared" si="0"/>
        <v>34489.769999999997</v>
      </c>
      <c r="I22" s="13">
        <f t="shared" si="1"/>
        <v>0.47654335775200241</v>
      </c>
      <c r="J22" s="13">
        <f t="shared" si="3"/>
        <v>19.194316492405829</v>
      </c>
      <c r="K22" s="390" t="str">
        <f t="shared" si="2"/>
        <v>A</v>
      </c>
    </row>
    <row r="23" spans="1:11" ht="15" customHeight="1" x14ac:dyDescent="0.25">
      <c r="A23" s="389" t="s">
        <v>481</v>
      </c>
      <c r="B23" s="10" t="s">
        <v>482</v>
      </c>
      <c r="C23" s="9" t="s">
        <v>341</v>
      </c>
      <c r="D23" s="9" t="s">
        <v>1912</v>
      </c>
      <c r="E23" s="9" t="s">
        <v>54</v>
      </c>
      <c r="F23" s="11">
        <v>166.4</v>
      </c>
      <c r="G23" s="12">
        <v>206.84</v>
      </c>
      <c r="H23" s="12">
        <f t="shared" si="0"/>
        <v>34418.18</v>
      </c>
      <c r="I23" s="13">
        <f t="shared" si="1"/>
        <v>0.47555420244648822</v>
      </c>
      <c r="J23" s="13">
        <f t="shared" si="3"/>
        <v>19.669870694852317</v>
      </c>
      <c r="K23" s="390" t="str">
        <f t="shared" si="2"/>
        <v>A</v>
      </c>
    </row>
    <row r="24" spans="1:11" ht="27.95" customHeight="1" x14ac:dyDescent="0.25">
      <c r="A24" s="389" t="s">
        <v>717</v>
      </c>
      <c r="B24" s="10" t="s">
        <v>718</v>
      </c>
      <c r="C24" s="9" t="s">
        <v>51</v>
      </c>
      <c r="D24" s="9" t="s">
        <v>1912</v>
      </c>
      <c r="E24" s="9" t="s">
        <v>54</v>
      </c>
      <c r="F24" s="11">
        <v>229</v>
      </c>
      <c r="G24" s="12">
        <v>122.54</v>
      </c>
      <c r="H24" s="12">
        <f t="shared" si="0"/>
        <v>28061.66</v>
      </c>
      <c r="I24" s="13">
        <f t="shared" si="1"/>
        <v>0.38772649630586281</v>
      </c>
      <c r="J24" s="13">
        <f t="shared" si="3"/>
        <v>20.05759719115818</v>
      </c>
      <c r="K24" s="390" t="str">
        <f t="shared" si="2"/>
        <v>A</v>
      </c>
    </row>
    <row r="25" spans="1:11" ht="15" customHeight="1" x14ac:dyDescent="0.25">
      <c r="A25" s="389" t="s">
        <v>342</v>
      </c>
      <c r="B25" s="10" t="s">
        <v>343</v>
      </c>
      <c r="C25" s="9" t="s">
        <v>341</v>
      </c>
      <c r="D25" s="9" t="s">
        <v>1912</v>
      </c>
      <c r="E25" s="9" t="s">
        <v>54</v>
      </c>
      <c r="F25" s="11">
        <v>53.76</v>
      </c>
      <c r="G25" s="12">
        <v>472.02</v>
      </c>
      <c r="H25" s="12">
        <f t="shared" si="0"/>
        <v>25375.8</v>
      </c>
      <c r="I25" s="13">
        <f t="shared" si="1"/>
        <v>0.35061610841832996</v>
      </c>
      <c r="J25" s="13">
        <f t="shared" si="3"/>
        <v>20.408213299576509</v>
      </c>
      <c r="K25" s="390" t="str">
        <f t="shared" si="2"/>
        <v>A</v>
      </c>
    </row>
    <row r="26" spans="1:11" ht="20.100000000000001" customHeight="1" x14ac:dyDescent="0.25">
      <c r="A26" s="389" t="s">
        <v>629</v>
      </c>
      <c r="B26" s="10" t="s">
        <v>630</v>
      </c>
      <c r="C26" s="9" t="s">
        <v>82</v>
      </c>
      <c r="D26" s="9" t="s">
        <v>1912</v>
      </c>
      <c r="E26" s="9" t="s">
        <v>226</v>
      </c>
      <c r="F26" s="11">
        <v>1</v>
      </c>
      <c r="G26" s="12">
        <v>21888.76</v>
      </c>
      <c r="H26" s="12">
        <f t="shared" si="0"/>
        <v>21888.76</v>
      </c>
      <c r="I26" s="13">
        <f t="shared" si="1"/>
        <v>0.30243585815236579</v>
      </c>
      <c r="J26" s="13">
        <f t="shared" si="3"/>
        <v>20.710649157728874</v>
      </c>
      <c r="K26" s="390" t="str">
        <f t="shared" si="2"/>
        <v>A</v>
      </c>
    </row>
    <row r="27" spans="1:11" ht="20.100000000000001" customHeight="1" x14ac:dyDescent="0.25">
      <c r="A27" s="389" t="s">
        <v>311</v>
      </c>
      <c r="B27" s="10" t="s">
        <v>312</v>
      </c>
      <c r="C27" s="9" t="s">
        <v>51</v>
      </c>
      <c r="D27" s="9" t="s">
        <v>1912</v>
      </c>
      <c r="E27" s="9" t="s">
        <v>54</v>
      </c>
      <c r="F27" s="11">
        <v>44.13</v>
      </c>
      <c r="G27" s="12">
        <v>492.07</v>
      </c>
      <c r="H27" s="12">
        <f t="shared" si="0"/>
        <v>21715.05</v>
      </c>
      <c r="I27" s="13">
        <f t="shared" si="1"/>
        <v>0.30003571611966739</v>
      </c>
      <c r="J27" s="13">
        <f t="shared" si="3"/>
        <v>21.01068487384854</v>
      </c>
      <c r="K27" s="390" t="str">
        <f t="shared" si="2"/>
        <v>A</v>
      </c>
    </row>
    <row r="28" spans="1:11" ht="20.100000000000001" customHeight="1" x14ac:dyDescent="0.25">
      <c r="A28" s="389" t="s">
        <v>604</v>
      </c>
      <c r="B28" s="10" t="s">
        <v>605</v>
      </c>
      <c r="C28" s="9" t="s">
        <v>82</v>
      </c>
      <c r="D28" s="9" t="s">
        <v>1912</v>
      </c>
      <c r="E28" s="9" t="s">
        <v>188</v>
      </c>
      <c r="F28" s="11">
        <v>2378</v>
      </c>
      <c r="G28" s="12">
        <v>8.69</v>
      </c>
      <c r="H28" s="12">
        <f t="shared" si="0"/>
        <v>20664.82</v>
      </c>
      <c r="I28" s="13">
        <f t="shared" si="1"/>
        <v>0.28552474284811802</v>
      </c>
      <c r="J28" s="13">
        <f t="shared" si="3"/>
        <v>21.296209616696657</v>
      </c>
      <c r="K28" s="390" t="str">
        <f t="shared" si="2"/>
        <v>A</v>
      </c>
    </row>
    <row r="29" spans="1:11" ht="27.95" customHeight="1" x14ac:dyDescent="0.25">
      <c r="A29" s="389" t="s">
        <v>62</v>
      </c>
      <c r="B29" s="10" t="s">
        <v>63</v>
      </c>
      <c r="C29" s="9" t="s">
        <v>51</v>
      </c>
      <c r="D29" s="9" t="s">
        <v>1912</v>
      </c>
      <c r="E29" s="9" t="s">
        <v>64</v>
      </c>
      <c r="F29" s="11">
        <v>12</v>
      </c>
      <c r="G29" s="12">
        <v>1598</v>
      </c>
      <c r="H29" s="12">
        <f t="shared" si="0"/>
        <v>19176</v>
      </c>
      <c r="I29" s="13">
        <f t="shared" si="1"/>
        <v>0.26495379436431149</v>
      </c>
      <c r="J29" s="13">
        <f t="shared" si="3"/>
        <v>21.561163411060971</v>
      </c>
      <c r="K29" s="390" t="str">
        <f t="shared" si="2"/>
        <v>A</v>
      </c>
    </row>
    <row r="30" spans="1:11" ht="20.100000000000001" customHeight="1" x14ac:dyDescent="0.25">
      <c r="A30" s="389" t="s">
        <v>118</v>
      </c>
      <c r="B30" s="10" t="s">
        <v>119</v>
      </c>
      <c r="C30" s="9" t="s">
        <v>51</v>
      </c>
      <c r="D30" s="9" t="s">
        <v>1912</v>
      </c>
      <c r="E30" s="9" t="s">
        <v>89</v>
      </c>
      <c r="F30" s="11">
        <v>156.69999999999999</v>
      </c>
      <c r="G30" s="12">
        <v>118.67</v>
      </c>
      <c r="H30" s="12">
        <f t="shared" si="0"/>
        <v>18595.59</v>
      </c>
      <c r="I30" s="13">
        <f t="shared" si="1"/>
        <v>0.25693429959027153</v>
      </c>
      <c r="J30" s="13">
        <f t="shared" si="3"/>
        <v>21.818097710651241</v>
      </c>
      <c r="K30" s="390" t="str">
        <f t="shared" si="2"/>
        <v>A</v>
      </c>
    </row>
    <row r="31" spans="1:11" ht="20.100000000000001" customHeight="1" x14ac:dyDescent="0.25">
      <c r="A31" s="389" t="s">
        <v>609</v>
      </c>
      <c r="B31" s="10" t="s">
        <v>610</v>
      </c>
      <c r="C31" s="9" t="s">
        <v>51</v>
      </c>
      <c r="D31" s="9" t="s">
        <v>1912</v>
      </c>
      <c r="E31" s="9" t="s">
        <v>72</v>
      </c>
      <c r="F31" s="11">
        <v>647</v>
      </c>
      <c r="G31" s="12">
        <v>27.37</v>
      </c>
      <c r="H31" s="12">
        <f t="shared" si="0"/>
        <v>17708.39</v>
      </c>
      <c r="I31" s="13">
        <f t="shared" si="1"/>
        <v>0.24467590334704994</v>
      </c>
      <c r="J31" s="13">
        <f t="shared" si="3"/>
        <v>22.062773613998292</v>
      </c>
      <c r="K31" s="390" t="str">
        <f t="shared" si="2"/>
        <v>A</v>
      </c>
    </row>
    <row r="32" spans="1:11" ht="27.95" customHeight="1" x14ac:dyDescent="0.25">
      <c r="A32" s="389" t="s">
        <v>199</v>
      </c>
      <c r="B32" s="10" t="s">
        <v>200</v>
      </c>
      <c r="C32" s="9" t="s">
        <v>51</v>
      </c>
      <c r="D32" s="9" t="s">
        <v>1912</v>
      </c>
      <c r="E32" s="9" t="s">
        <v>54</v>
      </c>
      <c r="F32" s="11">
        <v>115.92</v>
      </c>
      <c r="G32" s="12">
        <v>148.63</v>
      </c>
      <c r="H32" s="12">
        <f t="shared" si="0"/>
        <v>17229.189999999999</v>
      </c>
      <c r="I32" s="13">
        <f t="shared" si="1"/>
        <v>0.23805482187753713</v>
      </c>
      <c r="J32" s="13">
        <f t="shared" si="3"/>
        <v>22.300828435875829</v>
      </c>
      <c r="K32" s="390" t="str">
        <f t="shared" si="2"/>
        <v>A</v>
      </c>
    </row>
    <row r="33" spans="1:11" ht="27.95" customHeight="1" x14ac:dyDescent="0.25">
      <c r="A33" s="389" t="s">
        <v>59</v>
      </c>
      <c r="B33" s="10" t="s">
        <v>60</v>
      </c>
      <c r="C33" s="9" t="s">
        <v>51</v>
      </c>
      <c r="D33" s="9" t="s">
        <v>1912</v>
      </c>
      <c r="E33" s="9" t="s">
        <v>54</v>
      </c>
      <c r="F33" s="11">
        <v>14.5</v>
      </c>
      <c r="G33" s="12">
        <v>1168.44</v>
      </c>
      <c r="H33" s="12">
        <f t="shared" si="0"/>
        <v>16942.38</v>
      </c>
      <c r="I33" s="13">
        <f t="shared" si="1"/>
        <v>0.23409198302889153</v>
      </c>
      <c r="J33" s="13">
        <f t="shared" si="3"/>
        <v>22.534920418904722</v>
      </c>
      <c r="K33" s="390" t="str">
        <f t="shared" si="2"/>
        <v>A</v>
      </c>
    </row>
    <row r="34" spans="1:11" ht="15" customHeight="1" x14ac:dyDescent="0.25">
      <c r="A34" s="389" t="s">
        <v>726</v>
      </c>
      <c r="B34" s="10" t="s">
        <v>727</v>
      </c>
      <c r="C34" s="9" t="s">
        <v>82</v>
      </c>
      <c r="D34" s="9" t="s">
        <v>1912</v>
      </c>
      <c r="E34" s="9" t="s">
        <v>226</v>
      </c>
      <c r="F34" s="11">
        <v>29</v>
      </c>
      <c r="G34" s="12">
        <v>495.92</v>
      </c>
      <c r="H34" s="12">
        <f t="shared" si="0"/>
        <v>14381.68</v>
      </c>
      <c r="I34" s="13">
        <f t="shared" si="1"/>
        <v>0.19871092434988169</v>
      </c>
      <c r="J34" s="13">
        <f t="shared" si="3"/>
        <v>22.733631343254604</v>
      </c>
      <c r="K34" s="390" t="str">
        <f t="shared" si="2"/>
        <v>A</v>
      </c>
    </row>
    <row r="35" spans="1:11" ht="15" customHeight="1" x14ac:dyDescent="0.25">
      <c r="A35" s="389" t="s">
        <v>478</v>
      </c>
      <c r="B35" s="10" t="s">
        <v>479</v>
      </c>
      <c r="C35" s="9" t="s">
        <v>77</v>
      </c>
      <c r="D35" s="9" t="s">
        <v>1912</v>
      </c>
      <c r="E35" s="9" t="s">
        <v>54</v>
      </c>
      <c r="F35" s="11">
        <v>28</v>
      </c>
      <c r="G35" s="12">
        <v>507.83</v>
      </c>
      <c r="H35" s="12">
        <f t="shared" si="0"/>
        <v>14219.24</v>
      </c>
      <c r="I35" s="13">
        <f t="shared" si="1"/>
        <v>0.19646649932085902</v>
      </c>
      <c r="J35" s="13">
        <f t="shared" si="3"/>
        <v>22.930097842575464</v>
      </c>
      <c r="K35" s="390" t="str">
        <f t="shared" si="2"/>
        <v>A</v>
      </c>
    </row>
    <row r="36" spans="1:11" ht="15" customHeight="1" x14ac:dyDescent="0.25">
      <c r="A36" s="389" t="s">
        <v>684</v>
      </c>
      <c r="B36" s="10" t="s">
        <v>685</v>
      </c>
      <c r="C36" s="9" t="s">
        <v>77</v>
      </c>
      <c r="D36" s="9" t="s">
        <v>1912</v>
      </c>
      <c r="E36" s="9" t="s">
        <v>226</v>
      </c>
      <c r="F36" s="11">
        <v>39</v>
      </c>
      <c r="G36" s="12">
        <v>356.19</v>
      </c>
      <c r="H36" s="12">
        <f t="shared" si="0"/>
        <v>13891.41</v>
      </c>
      <c r="I36" s="13">
        <f t="shared" si="1"/>
        <v>0.19193688926628807</v>
      </c>
      <c r="J36" s="13">
        <f t="shared" si="3"/>
        <v>23.122034731841751</v>
      </c>
      <c r="K36" s="390" t="str">
        <f t="shared" si="2"/>
        <v>A</v>
      </c>
    </row>
    <row r="37" spans="1:11" ht="15" customHeight="1" x14ac:dyDescent="0.25">
      <c r="A37" s="389" t="s">
        <v>496</v>
      </c>
      <c r="B37" s="10" t="s">
        <v>497</v>
      </c>
      <c r="C37" s="9" t="s">
        <v>341</v>
      </c>
      <c r="D37" s="9" t="s">
        <v>1912</v>
      </c>
      <c r="E37" s="9" t="s">
        <v>54</v>
      </c>
      <c r="F37" s="11">
        <v>25.44</v>
      </c>
      <c r="G37" s="12">
        <v>528.29999999999995</v>
      </c>
      <c r="H37" s="12">
        <f t="shared" si="0"/>
        <v>13439.95</v>
      </c>
      <c r="I37" s="13">
        <f t="shared" si="1"/>
        <v>0.18569908993359555</v>
      </c>
      <c r="J37" s="13">
        <f t="shared" si="3"/>
        <v>23.307733821775347</v>
      </c>
      <c r="K37" s="390" t="str">
        <f t="shared" si="2"/>
        <v>A</v>
      </c>
    </row>
    <row r="38" spans="1:11" ht="27.95" customHeight="1" x14ac:dyDescent="0.25">
      <c r="A38" s="389" t="s">
        <v>183</v>
      </c>
      <c r="B38" s="10" t="s">
        <v>184</v>
      </c>
      <c r="C38" s="9" t="s">
        <v>77</v>
      </c>
      <c r="D38" s="9" t="s">
        <v>1912</v>
      </c>
      <c r="E38" s="9" t="s">
        <v>54</v>
      </c>
      <c r="F38" s="11">
        <v>60.82</v>
      </c>
      <c r="G38" s="12">
        <v>207.34</v>
      </c>
      <c r="H38" s="12">
        <f t="shared" si="0"/>
        <v>12610.42</v>
      </c>
      <c r="I38" s="13">
        <f t="shared" si="1"/>
        <v>0.17423751708007931</v>
      </c>
      <c r="J38" s="13">
        <f t="shared" si="3"/>
        <v>23.481971338855427</v>
      </c>
      <c r="K38" s="390" t="str">
        <f t="shared" si="2"/>
        <v>A</v>
      </c>
    </row>
    <row r="39" spans="1:11" ht="20.100000000000001" customHeight="1" x14ac:dyDescent="0.25">
      <c r="A39" s="389" t="s">
        <v>620</v>
      </c>
      <c r="B39" s="10" t="s">
        <v>621</v>
      </c>
      <c r="C39" s="9" t="s">
        <v>51</v>
      </c>
      <c r="D39" s="9" t="s">
        <v>1912</v>
      </c>
      <c r="E39" s="9" t="s">
        <v>89</v>
      </c>
      <c r="F39" s="11">
        <v>134.16999999999999</v>
      </c>
      <c r="G39" s="12">
        <v>91.78</v>
      </c>
      <c r="H39" s="12">
        <f t="shared" ref="H39:H70" si="4">ROUND(F39*G39,2)</f>
        <v>12314.12</v>
      </c>
      <c r="I39" s="13">
        <f t="shared" ref="I39:I70" si="5">H39/VALOR_TOTAL*100</f>
        <v>0.17014355539515311</v>
      </c>
      <c r="J39" s="13">
        <f t="shared" si="3"/>
        <v>23.65211489425058</v>
      </c>
      <c r="K39" s="390" t="str">
        <f t="shared" ref="K39:K70" si="6">IF(J39&lt;=50,"A",IF(J39&lt;=80,"B","C"))</f>
        <v>A</v>
      </c>
    </row>
    <row r="40" spans="1:11" ht="20.100000000000001" customHeight="1" x14ac:dyDescent="0.25">
      <c r="A40" s="389" t="s">
        <v>381</v>
      </c>
      <c r="B40" s="10" t="s">
        <v>382</v>
      </c>
      <c r="C40" s="9" t="s">
        <v>51</v>
      </c>
      <c r="D40" s="9" t="s">
        <v>1912</v>
      </c>
      <c r="E40" s="9" t="s">
        <v>54</v>
      </c>
      <c r="F40" s="11">
        <v>201.46</v>
      </c>
      <c r="G40" s="12">
        <v>57.27</v>
      </c>
      <c r="H40" s="12">
        <f t="shared" si="4"/>
        <v>11537.61</v>
      </c>
      <c r="I40" s="13">
        <f t="shared" si="5"/>
        <v>0.1594145571232595</v>
      </c>
      <c r="J40" s="13">
        <f t="shared" ref="J40:J71" si="7">I40+J39</f>
        <v>23.81152945137384</v>
      </c>
      <c r="K40" s="390" t="str">
        <f t="shared" si="6"/>
        <v>A</v>
      </c>
    </row>
    <row r="41" spans="1:11" ht="15" customHeight="1" x14ac:dyDescent="0.25">
      <c r="A41" s="389" t="s">
        <v>345</v>
      </c>
      <c r="B41" s="10" t="s">
        <v>346</v>
      </c>
      <c r="C41" s="9" t="s">
        <v>341</v>
      </c>
      <c r="D41" s="9" t="s">
        <v>1912</v>
      </c>
      <c r="E41" s="9" t="s">
        <v>54</v>
      </c>
      <c r="F41" s="11">
        <v>53.76</v>
      </c>
      <c r="G41" s="12">
        <v>211</v>
      </c>
      <c r="H41" s="12">
        <f t="shared" si="4"/>
        <v>11343.36</v>
      </c>
      <c r="I41" s="13">
        <f t="shared" si="5"/>
        <v>0.15673061497915919</v>
      </c>
      <c r="J41" s="13">
        <f t="shared" si="7"/>
        <v>23.968260066353</v>
      </c>
      <c r="K41" s="390" t="str">
        <f t="shared" si="6"/>
        <v>A</v>
      </c>
    </row>
    <row r="42" spans="1:11" ht="20.100000000000001" customHeight="1" x14ac:dyDescent="0.25">
      <c r="A42" s="391" t="s">
        <v>324</v>
      </c>
      <c r="B42" s="15" t="s">
        <v>325</v>
      </c>
      <c r="C42" s="14" t="s">
        <v>51</v>
      </c>
      <c r="D42" s="14" t="s">
        <v>1912</v>
      </c>
      <c r="E42" s="14" t="s">
        <v>54</v>
      </c>
      <c r="F42" s="16">
        <v>785.13</v>
      </c>
      <c r="G42" s="17">
        <v>14.3</v>
      </c>
      <c r="H42" s="17">
        <f t="shared" si="4"/>
        <v>11227.36</v>
      </c>
      <c r="I42" s="18">
        <f t="shared" si="5"/>
        <v>0.15512784901408511</v>
      </c>
      <c r="J42" s="18">
        <f t="shared" si="7"/>
        <v>24.123387915367086</v>
      </c>
      <c r="K42" s="392" t="str">
        <f t="shared" si="6"/>
        <v>A</v>
      </c>
    </row>
    <row r="43" spans="1:11" ht="20.100000000000001" customHeight="1" x14ac:dyDescent="0.25">
      <c r="A43" s="391" t="s">
        <v>669</v>
      </c>
      <c r="B43" s="15" t="s">
        <v>670</v>
      </c>
      <c r="C43" s="14" t="s">
        <v>51</v>
      </c>
      <c r="D43" s="14" t="s">
        <v>1912</v>
      </c>
      <c r="E43" s="14" t="s">
        <v>72</v>
      </c>
      <c r="F43" s="16">
        <v>150</v>
      </c>
      <c r="G43" s="17">
        <v>71.400000000000006</v>
      </c>
      <c r="H43" s="17">
        <f t="shared" si="4"/>
        <v>10710</v>
      </c>
      <c r="I43" s="18">
        <f t="shared" si="5"/>
        <v>0.14797951280985483</v>
      </c>
      <c r="J43" s="18">
        <f t="shared" si="7"/>
        <v>24.271367428176941</v>
      </c>
      <c r="K43" s="392" t="str">
        <f t="shared" si="6"/>
        <v>A</v>
      </c>
    </row>
    <row r="44" spans="1:11" ht="20.100000000000001" customHeight="1" x14ac:dyDescent="0.25">
      <c r="A44" s="391" t="s">
        <v>74</v>
      </c>
      <c r="B44" s="15" t="s">
        <v>75</v>
      </c>
      <c r="C44" s="14" t="s">
        <v>51</v>
      </c>
      <c r="D44" s="14" t="s">
        <v>1912</v>
      </c>
      <c r="E44" s="14" t="s">
        <v>72</v>
      </c>
      <c r="F44" s="16">
        <v>354.9</v>
      </c>
      <c r="G44" s="17">
        <v>29.02</v>
      </c>
      <c r="H44" s="17">
        <f t="shared" si="4"/>
        <v>10299.200000000001</v>
      </c>
      <c r="I44" s="18">
        <f t="shared" si="5"/>
        <v>0.1423035105818167</v>
      </c>
      <c r="J44" s="18">
        <f t="shared" si="7"/>
        <v>24.413670938758756</v>
      </c>
      <c r="K44" s="392" t="str">
        <f t="shared" si="6"/>
        <v>A</v>
      </c>
    </row>
    <row r="45" spans="1:11" ht="15" customHeight="1" x14ac:dyDescent="0.25">
      <c r="A45" s="391" t="s">
        <v>288</v>
      </c>
      <c r="B45" s="15" t="s">
        <v>289</v>
      </c>
      <c r="C45" s="14" t="s">
        <v>77</v>
      </c>
      <c r="D45" s="14" t="s">
        <v>1912</v>
      </c>
      <c r="E45" s="14" t="s">
        <v>122</v>
      </c>
      <c r="F45" s="16">
        <v>4.62</v>
      </c>
      <c r="G45" s="17">
        <v>2156.9699999999998</v>
      </c>
      <c r="H45" s="17">
        <f t="shared" si="4"/>
        <v>9965.2000000000007</v>
      </c>
      <c r="I45" s="18">
        <f t="shared" si="5"/>
        <v>0.1376886499582414</v>
      </c>
      <c r="J45" s="18">
        <f t="shared" si="7"/>
        <v>24.551359588716998</v>
      </c>
      <c r="K45" s="392" t="str">
        <f t="shared" si="6"/>
        <v>A</v>
      </c>
    </row>
    <row r="46" spans="1:11" ht="20.100000000000001" customHeight="1" x14ac:dyDescent="0.25">
      <c r="A46" s="391" t="s">
        <v>321</v>
      </c>
      <c r="B46" s="15" t="s">
        <v>322</v>
      </c>
      <c r="C46" s="14" t="s">
        <v>51</v>
      </c>
      <c r="D46" s="14" t="s">
        <v>1912</v>
      </c>
      <c r="E46" s="14" t="s">
        <v>54</v>
      </c>
      <c r="F46" s="16">
        <v>788.36</v>
      </c>
      <c r="G46" s="17">
        <v>12.59</v>
      </c>
      <c r="H46" s="17">
        <f t="shared" si="4"/>
        <v>9925.4500000000007</v>
      </c>
      <c r="I46" s="18">
        <f t="shared" si="5"/>
        <v>0.13713942627624404</v>
      </c>
      <c r="J46" s="18">
        <f t="shared" si="7"/>
        <v>24.688499014993244</v>
      </c>
      <c r="K46" s="392" t="str">
        <f t="shared" si="6"/>
        <v>A</v>
      </c>
    </row>
    <row r="47" spans="1:11" ht="20.100000000000001" customHeight="1" x14ac:dyDescent="0.25">
      <c r="A47" s="391" t="s">
        <v>421</v>
      </c>
      <c r="B47" s="15" t="s">
        <v>422</v>
      </c>
      <c r="C47" s="14" t="s">
        <v>77</v>
      </c>
      <c r="D47" s="14" t="s">
        <v>1912</v>
      </c>
      <c r="E47" s="14" t="s">
        <v>54</v>
      </c>
      <c r="F47" s="16">
        <v>36.78</v>
      </c>
      <c r="G47" s="17">
        <v>262.86</v>
      </c>
      <c r="H47" s="17">
        <f t="shared" si="4"/>
        <v>9667.99</v>
      </c>
      <c r="I47" s="18">
        <f t="shared" si="5"/>
        <v>0.1335821148506581</v>
      </c>
      <c r="J47" s="18">
        <f t="shared" si="7"/>
        <v>24.822081129843902</v>
      </c>
      <c r="K47" s="392" t="str">
        <f t="shared" si="6"/>
        <v>A</v>
      </c>
    </row>
    <row r="48" spans="1:11" ht="20.100000000000001" customHeight="1" x14ac:dyDescent="0.25">
      <c r="A48" s="391" t="s">
        <v>508</v>
      </c>
      <c r="B48" s="15" t="s">
        <v>509</v>
      </c>
      <c r="C48" s="14" t="s">
        <v>51</v>
      </c>
      <c r="D48" s="14" t="s">
        <v>1912</v>
      </c>
      <c r="E48" s="14" t="s">
        <v>72</v>
      </c>
      <c r="F48" s="16">
        <v>900</v>
      </c>
      <c r="G48" s="17">
        <v>10.47</v>
      </c>
      <c r="H48" s="17">
        <f t="shared" si="4"/>
        <v>9423</v>
      </c>
      <c r="I48" s="18">
        <f t="shared" si="5"/>
        <v>0.13019710076631763</v>
      </c>
      <c r="J48" s="18">
        <f t="shared" si="7"/>
        <v>24.952278230610219</v>
      </c>
      <c r="K48" s="392" t="str">
        <f t="shared" si="6"/>
        <v>A</v>
      </c>
    </row>
    <row r="49" spans="1:11" ht="27.95" customHeight="1" x14ac:dyDescent="0.25">
      <c r="A49" s="391" t="s">
        <v>56</v>
      </c>
      <c r="B49" s="15" t="s">
        <v>57</v>
      </c>
      <c r="C49" s="14" t="s">
        <v>51</v>
      </c>
      <c r="D49" s="14" t="s">
        <v>1912</v>
      </c>
      <c r="E49" s="14" t="s">
        <v>54</v>
      </c>
      <c r="F49" s="16">
        <v>10.9</v>
      </c>
      <c r="G49" s="17">
        <v>804.1</v>
      </c>
      <c r="H49" s="17">
        <f t="shared" si="4"/>
        <v>8764.69</v>
      </c>
      <c r="I49" s="18">
        <f t="shared" si="5"/>
        <v>0.12110126574504264</v>
      </c>
      <c r="J49" s="18">
        <f t="shared" si="7"/>
        <v>25.073379496355262</v>
      </c>
      <c r="K49" s="392" t="str">
        <f t="shared" si="6"/>
        <v>A</v>
      </c>
    </row>
    <row r="50" spans="1:11" ht="20.100000000000001" customHeight="1" x14ac:dyDescent="0.25">
      <c r="A50" s="391" t="s">
        <v>332</v>
      </c>
      <c r="B50" s="15" t="s">
        <v>333</v>
      </c>
      <c r="C50" s="14" t="s">
        <v>77</v>
      </c>
      <c r="D50" s="14" t="s">
        <v>1912</v>
      </c>
      <c r="E50" s="14" t="s">
        <v>54</v>
      </c>
      <c r="F50" s="16">
        <v>55.88</v>
      </c>
      <c r="G50" s="17">
        <v>156.81</v>
      </c>
      <c r="H50" s="17">
        <f t="shared" si="4"/>
        <v>8762.5400000000009</v>
      </c>
      <c r="I50" s="18">
        <f t="shared" si="5"/>
        <v>0.12107155930689688</v>
      </c>
      <c r="J50" s="18">
        <f t="shared" si="7"/>
        <v>25.19445105566216</v>
      </c>
      <c r="K50" s="392" t="str">
        <f t="shared" si="6"/>
        <v>A</v>
      </c>
    </row>
    <row r="51" spans="1:11" ht="20.100000000000001" customHeight="1" x14ac:dyDescent="0.25">
      <c r="A51" s="391" t="s">
        <v>353</v>
      </c>
      <c r="B51" s="15" t="s">
        <v>354</v>
      </c>
      <c r="C51" s="14" t="s">
        <v>77</v>
      </c>
      <c r="D51" s="14" t="s">
        <v>1912</v>
      </c>
      <c r="E51" s="14" t="s">
        <v>54</v>
      </c>
      <c r="F51" s="16">
        <v>62.93</v>
      </c>
      <c r="G51" s="17">
        <v>137.69999999999999</v>
      </c>
      <c r="H51" s="17">
        <f t="shared" si="4"/>
        <v>8665.4599999999991</v>
      </c>
      <c r="I51" s="18">
        <f t="shared" si="5"/>
        <v>0.11973020999750555</v>
      </c>
      <c r="J51" s="18">
        <f t="shared" si="7"/>
        <v>25.314181265659666</v>
      </c>
      <c r="K51" s="392" t="str">
        <f t="shared" si="6"/>
        <v>A</v>
      </c>
    </row>
    <row r="52" spans="1:11" ht="15" customHeight="1" x14ac:dyDescent="0.25">
      <c r="A52" s="391" t="s">
        <v>470</v>
      </c>
      <c r="B52" s="15" t="s">
        <v>471</v>
      </c>
      <c r="C52" s="14" t="s">
        <v>77</v>
      </c>
      <c r="D52" s="14" t="s">
        <v>1912</v>
      </c>
      <c r="E52" s="14" t="s">
        <v>54</v>
      </c>
      <c r="F52" s="16">
        <v>151.28</v>
      </c>
      <c r="G52" s="17">
        <v>55.38</v>
      </c>
      <c r="H52" s="17">
        <f t="shared" si="4"/>
        <v>8377.89</v>
      </c>
      <c r="I52" s="18">
        <f t="shared" si="5"/>
        <v>0.11575687026839912</v>
      </c>
      <c r="J52" s="18">
        <f t="shared" si="7"/>
        <v>25.429938135928065</v>
      </c>
      <c r="K52" s="392" t="str">
        <f t="shared" si="6"/>
        <v>A</v>
      </c>
    </row>
    <row r="53" spans="1:11" ht="20.100000000000001" customHeight="1" x14ac:dyDescent="0.25">
      <c r="A53" s="391" t="s">
        <v>207</v>
      </c>
      <c r="B53" s="15" t="s">
        <v>208</v>
      </c>
      <c r="C53" s="14" t="s">
        <v>51</v>
      </c>
      <c r="D53" s="14" t="s">
        <v>1912</v>
      </c>
      <c r="E53" s="14" t="s">
        <v>54</v>
      </c>
      <c r="F53" s="16">
        <v>60.82</v>
      </c>
      <c r="G53" s="17">
        <v>133.19999999999999</v>
      </c>
      <c r="H53" s="17">
        <f t="shared" si="4"/>
        <v>8101.22</v>
      </c>
      <c r="I53" s="18">
        <f t="shared" si="5"/>
        <v>0.11193413527221775</v>
      </c>
      <c r="J53" s="18">
        <f t="shared" si="7"/>
        <v>25.541872271200283</v>
      </c>
      <c r="K53" s="392" t="str">
        <f t="shared" si="6"/>
        <v>A</v>
      </c>
    </row>
    <row r="54" spans="1:11" ht="20.100000000000001" customHeight="1" x14ac:dyDescent="0.25">
      <c r="A54" s="391" t="s">
        <v>365</v>
      </c>
      <c r="B54" s="15" t="s">
        <v>366</v>
      </c>
      <c r="C54" s="14" t="s">
        <v>77</v>
      </c>
      <c r="D54" s="14" t="s">
        <v>1912</v>
      </c>
      <c r="E54" s="14" t="s">
        <v>54</v>
      </c>
      <c r="F54" s="16">
        <v>13.11</v>
      </c>
      <c r="G54" s="17">
        <v>616.11</v>
      </c>
      <c r="H54" s="17">
        <f t="shared" si="4"/>
        <v>8077.2</v>
      </c>
      <c r="I54" s="18">
        <f t="shared" si="5"/>
        <v>0.11160225218186362</v>
      </c>
      <c r="J54" s="18">
        <f t="shared" si="7"/>
        <v>25.653474523382148</v>
      </c>
      <c r="K54" s="392" t="str">
        <f t="shared" si="6"/>
        <v>A</v>
      </c>
    </row>
    <row r="55" spans="1:11" ht="20.100000000000001" customHeight="1" x14ac:dyDescent="0.25">
      <c r="A55" s="391" t="s">
        <v>3920</v>
      </c>
      <c r="B55" s="15" t="s">
        <v>3921</v>
      </c>
      <c r="C55" s="14" t="s">
        <v>82</v>
      </c>
      <c r="D55" s="14" t="s">
        <v>1912</v>
      </c>
      <c r="E55" s="14" t="s">
        <v>226</v>
      </c>
      <c r="F55" s="16">
        <v>10</v>
      </c>
      <c r="G55" s="17">
        <v>767.15</v>
      </c>
      <c r="H55" s="17">
        <f t="shared" si="4"/>
        <v>7671.5</v>
      </c>
      <c r="I55" s="18">
        <f t="shared" si="5"/>
        <v>0.10599671638849685</v>
      </c>
      <c r="J55" s="18">
        <f t="shared" si="7"/>
        <v>25.759471239770644</v>
      </c>
      <c r="K55" s="392" t="str">
        <f t="shared" si="6"/>
        <v>A</v>
      </c>
    </row>
    <row r="56" spans="1:11" ht="20.100000000000001" customHeight="1" x14ac:dyDescent="0.25">
      <c r="A56" s="391" t="s">
        <v>467</v>
      </c>
      <c r="B56" s="15" t="s">
        <v>468</v>
      </c>
      <c r="C56" s="14" t="s">
        <v>77</v>
      </c>
      <c r="D56" s="14" t="s">
        <v>1912</v>
      </c>
      <c r="E56" s="14" t="s">
        <v>122</v>
      </c>
      <c r="F56" s="16">
        <v>34.799999999999997</v>
      </c>
      <c r="G56" s="17">
        <v>216.97</v>
      </c>
      <c r="H56" s="17">
        <f t="shared" si="4"/>
        <v>7550.56</v>
      </c>
      <c r="I56" s="18">
        <f t="shared" si="5"/>
        <v>0.10432569470042741</v>
      </c>
      <c r="J56" s="18">
        <f t="shared" si="7"/>
        <v>25.863796934471072</v>
      </c>
      <c r="K56" s="392" t="str">
        <f t="shared" si="6"/>
        <v>A</v>
      </c>
    </row>
    <row r="57" spans="1:11" ht="20.100000000000001" customHeight="1" x14ac:dyDescent="0.25">
      <c r="A57" s="391" t="s">
        <v>463</v>
      </c>
      <c r="B57" s="15" t="s">
        <v>464</v>
      </c>
      <c r="C57" s="14" t="s">
        <v>51</v>
      </c>
      <c r="D57" s="14" t="s">
        <v>1912</v>
      </c>
      <c r="E57" s="14" t="s">
        <v>54</v>
      </c>
      <c r="F57" s="16">
        <v>207.15</v>
      </c>
      <c r="G57" s="17">
        <v>36.270000000000003</v>
      </c>
      <c r="H57" s="17">
        <f t="shared" si="4"/>
        <v>7513.33</v>
      </c>
      <c r="I57" s="18">
        <f t="shared" si="5"/>
        <v>0.10381128972732646</v>
      </c>
      <c r="J57" s="18">
        <f t="shared" si="7"/>
        <v>25.967608224198397</v>
      </c>
      <c r="K57" s="392" t="str">
        <f t="shared" si="6"/>
        <v>A</v>
      </c>
    </row>
    <row r="58" spans="1:11" ht="20.100000000000001" customHeight="1" x14ac:dyDescent="0.25">
      <c r="A58" s="391" t="s">
        <v>672</v>
      </c>
      <c r="B58" s="15" t="s">
        <v>673</v>
      </c>
      <c r="C58" s="14" t="s">
        <v>51</v>
      </c>
      <c r="D58" s="14" t="s">
        <v>1912</v>
      </c>
      <c r="E58" s="14" t="s">
        <v>72</v>
      </c>
      <c r="F58" s="16">
        <v>80</v>
      </c>
      <c r="G58" s="17">
        <v>92.28</v>
      </c>
      <c r="H58" s="17">
        <f t="shared" si="4"/>
        <v>7382.4</v>
      </c>
      <c r="I58" s="18">
        <f t="shared" si="5"/>
        <v>0.102002236728989</v>
      </c>
      <c r="J58" s="18">
        <f t="shared" si="7"/>
        <v>26.069610460927386</v>
      </c>
      <c r="K58" s="392" t="str">
        <f t="shared" si="6"/>
        <v>A</v>
      </c>
    </row>
    <row r="59" spans="1:11" ht="27.95" customHeight="1" x14ac:dyDescent="0.25">
      <c r="A59" s="391" t="s">
        <v>335</v>
      </c>
      <c r="B59" s="15" t="s">
        <v>336</v>
      </c>
      <c r="C59" s="14" t="s">
        <v>51</v>
      </c>
      <c r="D59" s="14" t="s">
        <v>1912</v>
      </c>
      <c r="E59" s="14" t="s">
        <v>54</v>
      </c>
      <c r="F59" s="16">
        <v>191.96</v>
      </c>
      <c r="G59" s="17">
        <v>38.119999999999997</v>
      </c>
      <c r="H59" s="17">
        <f t="shared" si="4"/>
        <v>7317.52</v>
      </c>
      <c r="I59" s="18">
        <f t="shared" si="5"/>
        <v>0.10110579314438553</v>
      </c>
      <c r="J59" s="18">
        <f t="shared" si="7"/>
        <v>26.17071625407177</v>
      </c>
      <c r="K59" s="392" t="str">
        <f t="shared" si="6"/>
        <v>A</v>
      </c>
    </row>
    <row r="60" spans="1:11" ht="15" customHeight="1" x14ac:dyDescent="0.25">
      <c r="A60" s="391" t="s">
        <v>1809</v>
      </c>
      <c r="B60" s="15" t="s">
        <v>1810</v>
      </c>
      <c r="C60" s="14" t="s">
        <v>77</v>
      </c>
      <c r="D60" s="14" t="s">
        <v>1912</v>
      </c>
      <c r="E60" s="14" t="s">
        <v>122</v>
      </c>
      <c r="F60" s="16">
        <v>869.67</v>
      </c>
      <c r="G60" s="17">
        <v>8.2899999999999991</v>
      </c>
      <c r="H60" s="17">
        <f t="shared" si="4"/>
        <v>7209.56</v>
      </c>
      <c r="I60" s="18">
        <f t="shared" si="5"/>
        <v>9.9614115441028675E-2</v>
      </c>
      <c r="J60" s="18">
        <f t="shared" si="7"/>
        <v>26.270330369512799</v>
      </c>
      <c r="K60" s="392" t="str">
        <f t="shared" si="6"/>
        <v>A</v>
      </c>
    </row>
    <row r="61" spans="1:11" ht="20.100000000000001" customHeight="1" x14ac:dyDescent="0.25">
      <c r="A61" s="391" t="s">
        <v>554</v>
      </c>
      <c r="B61" s="15" t="s">
        <v>555</v>
      </c>
      <c r="C61" s="14" t="s">
        <v>82</v>
      </c>
      <c r="D61" s="14" t="s">
        <v>1912</v>
      </c>
      <c r="E61" s="14" t="s">
        <v>188</v>
      </c>
      <c r="F61" s="16">
        <v>160</v>
      </c>
      <c r="G61" s="17">
        <v>44.88</v>
      </c>
      <c r="H61" s="17">
        <f t="shared" si="4"/>
        <v>7180.8</v>
      </c>
      <c r="I61" s="18">
        <f t="shared" si="5"/>
        <v>9.921674001727411E-2</v>
      </c>
      <c r="J61" s="18">
        <f t="shared" si="7"/>
        <v>26.369547109530071</v>
      </c>
      <c r="K61" s="392" t="str">
        <f t="shared" si="6"/>
        <v>A</v>
      </c>
    </row>
    <row r="62" spans="1:11" ht="15" customHeight="1" x14ac:dyDescent="0.25">
      <c r="A62" s="391" t="s">
        <v>641</v>
      </c>
      <c r="B62" s="15" t="s">
        <v>642</v>
      </c>
      <c r="C62" s="14" t="s">
        <v>77</v>
      </c>
      <c r="D62" s="14" t="s">
        <v>1912</v>
      </c>
      <c r="E62" s="14" t="s">
        <v>226</v>
      </c>
      <c r="F62" s="16">
        <v>6</v>
      </c>
      <c r="G62" s="17">
        <v>1190.5</v>
      </c>
      <c r="H62" s="17">
        <f t="shared" si="4"/>
        <v>7143</v>
      </c>
      <c r="I62" s="18">
        <f t="shared" si="5"/>
        <v>9.8694459383827537E-2</v>
      </c>
      <c r="J62" s="18">
        <f t="shared" si="7"/>
        <v>26.4682415689139</v>
      </c>
      <c r="K62" s="392" t="str">
        <f t="shared" si="6"/>
        <v>A</v>
      </c>
    </row>
    <row r="63" spans="1:11" ht="20.100000000000001" customHeight="1" x14ac:dyDescent="0.25">
      <c r="A63" s="391" t="s">
        <v>180</v>
      </c>
      <c r="B63" s="15" t="s">
        <v>181</v>
      </c>
      <c r="C63" s="14" t="s">
        <v>51</v>
      </c>
      <c r="D63" s="14" t="s">
        <v>1912</v>
      </c>
      <c r="E63" s="14" t="s">
        <v>54</v>
      </c>
      <c r="F63" s="16">
        <v>186.68</v>
      </c>
      <c r="G63" s="17">
        <v>37.11</v>
      </c>
      <c r="H63" s="17">
        <f t="shared" si="4"/>
        <v>6927.69</v>
      </c>
      <c r="I63" s="18">
        <f t="shared" si="5"/>
        <v>9.5719532315378442E-2</v>
      </c>
      <c r="J63" s="18">
        <f t="shared" si="7"/>
        <v>26.563961101229278</v>
      </c>
      <c r="K63" s="392" t="str">
        <f t="shared" si="6"/>
        <v>A</v>
      </c>
    </row>
    <row r="64" spans="1:11" ht="36" customHeight="1" x14ac:dyDescent="0.25">
      <c r="A64" s="391" t="s">
        <v>278</v>
      </c>
      <c r="B64" s="15" t="s">
        <v>279</v>
      </c>
      <c r="C64" s="14" t="s">
        <v>77</v>
      </c>
      <c r="D64" s="14" t="s">
        <v>1912</v>
      </c>
      <c r="E64" s="14" t="s">
        <v>122</v>
      </c>
      <c r="F64" s="16">
        <v>44.75</v>
      </c>
      <c r="G64" s="17">
        <v>152.01</v>
      </c>
      <c r="H64" s="17">
        <f t="shared" si="4"/>
        <v>6802.45</v>
      </c>
      <c r="I64" s="18">
        <f t="shared" si="5"/>
        <v>9.398909775101745E-2</v>
      </c>
      <c r="J64" s="18">
        <f t="shared" si="7"/>
        <v>26.657950198980295</v>
      </c>
      <c r="K64" s="392" t="str">
        <f t="shared" si="6"/>
        <v>A</v>
      </c>
    </row>
    <row r="65" spans="1:11" ht="20.100000000000001" customHeight="1" x14ac:dyDescent="0.25">
      <c r="A65" s="391" t="s">
        <v>632</v>
      </c>
      <c r="B65" s="15" t="s">
        <v>633</v>
      </c>
      <c r="C65" s="14" t="s">
        <v>82</v>
      </c>
      <c r="D65" s="14" t="s">
        <v>1912</v>
      </c>
      <c r="E65" s="14" t="s">
        <v>226</v>
      </c>
      <c r="F65" s="16">
        <v>1</v>
      </c>
      <c r="G65" s="17">
        <v>6731.18</v>
      </c>
      <c r="H65" s="17">
        <f t="shared" si="4"/>
        <v>6731.18</v>
      </c>
      <c r="I65" s="18">
        <f t="shared" si="5"/>
        <v>9.3004363868855147E-2</v>
      </c>
      <c r="J65" s="18">
        <f t="shared" si="7"/>
        <v>26.750954562849149</v>
      </c>
      <c r="K65" s="392" t="str">
        <f t="shared" si="6"/>
        <v>A</v>
      </c>
    </row>
    <row r="66" spans="1:11" ht="15" customHeight="1" x14ac:dyDescent="0.25">
      <c r="A66" s="391" t="s">
        <v>729</v>
      </c>
      <c r="B66" s="15" t="s">
        <v>730</v>
      </c>
      <c r="C66" s="14" t="s">
        <v>82</v>
      </c>
      <c r="D66" s="14" t="s">
        <v>1912</v>
      </c>
      <c r="E66" s="14" t="s">
        <v>226</v>
      </c>
      <c r="F66" s="16">
        <v>86</v>
      </c>
      <c r="G66" s="17">
        <v>77.069999999999993</v>
      </c>
      <c r="H66" s="17">
        <f t="shared" si="4"/>
        <v>6628.02</v>
      </c>
      <c r="I66" s="18">
        <f t="shared" si="5"/>
        <v>9.157900751577723E-2</v>
      </c>
      <c r="J66" s="18">
        <f t="shared" si="7"/>
        <v>26.842533570364925</v>
      </c>
      <c r="K66" s="392" t="str">
        <f t="shared" si="6"/>
        <v>A</v>
      </c>
    </row>
    <row r="67" spans="1:11" ht="20.100000000000001" customHeight="1" x14ac:dyDescent="0.25">
      <c r="A67" s="391" t="s">
        <v>308</v>
      </c>
      <c r="B67" s="15" t="s">
        <v>309</v>
      </c>
      <c r="C67" s="14" t="s">
        <v>51</v>
      </c>
      <c r="D67" s="14" t="s">
        <v>1912</v>
      </c>
      <c r="E67" s="14" t="s">
        <v>54</v>
      </c>
      <c r="F67" s="16">
        <v>6.6</v>
      </c>
      <c r="G67" s="17">
        <v>975.68</v>
      </c>
      <c r="H67" s="17">
        <f t="shared" si="4"/>
        <v>6439.49</v>
      </c>
      <c r="I67" s="18">
        <f t="shared" si="5"/>
        <v>8.8974098314092628E-2</v>
      </c>
      <c r="J67" s="18">
        <f t="shared" si="7"/>
        <v>26.931507668679018</v>
      </c>
      <c r="K67" s="392" t="str">
        <f t="shared" si="6"/>
        <v>A</v>
      </c>
    </row>
    <row r="68" spans="1:11" ht="20.100000000000001" customHeight="1" x14ac:dyDescent="0.25">
      <c r="A68" s="391" t="s">
        <v>741</v>
      </c>
      <c r="B68" s="15" t="s">
        <v>742</v>
      </c>
      <c r="C68" s="14" t="s">
        <v>51</v>
      </c>
      <c r="D68" s="14" t="s">
        <v>1912</v>
      </c>
      <c r="E68" s="14" t="s">
        <v>54</v>
      </c>
      <c r="F68" s="16">
        <v>480.02</v>
      </c>
      <c r="G68" s="17">
        <v>13.17</v>
      </c>
      <c r="H68" s="17">
        <f t="shared" si="4"/>
        <v>6321.86</v>
      </c>
      <c r="I68" s="18">
        <f t="shared" si="5"/>
        <v>8.7348810723819684E-2</v>
      </c>
      <c r="J68" s="18">
        <f t="shared" si="7"/>
        <v>27.018856479402839</v>
      </c>
      <c r="K68" s="392" t="str">
        <f t="shared" si="6"/>
        <v>A</v>
      </c>
    </row>
    <row r="69" spans="1:11" ht="15" customHeight="1" x14ac:dyDescent="0.25">
      <c r="A69" s="391" t="s">
        <v>650</v>
      </c>
      <c r="B69" s="15" t="s">
        <v>651</v>
      </c>
      <c r="C69" s="14" t="s">
        <v>77</v>
      </c>
      <c r="D69" s="14" t="s">
        <v>1912</v>
      </c>
      <c r="E69" s="14" t="s">
        <v>72</v>
      </c>
      <c r="F69" s="16">
        <v>320</v>
      </c>
      <c r="G69" s="17">
        <v>17.829999999999998</v>
      </c>
      <c r="H69" s="17">
        <f t="shared" si="4"/>
        <v>5705.6</v>
      </c>
      <c r="I69" s="18">
        <f t="shared" si="5"/>
        <v>7.8833978364884011E-2</v>
      </c>
      <c r="J69" s="18">
        <f t="shared" si="7"/>
        <v>27.097690457767722</v>
      </c>
      <c r="K69" s="392" t="str">
        <f t="shared" si="6"/>
        <v>A</v>
      </c>
    </row>
    <row r="70" spans="1:11" ht="20.100000000000001" customHeight="1" x14ac:dyDescent="0.25">
      <c r="A70" s="391" t="s">
        <v>172</v>
      </c>
      <c r="B70" s="15" t="s">
        <v>173</v>
      </c>
      <c r="C70" s="14" t="s">
        <v>51</v>
      </c>
      <c r="D70" s="14" t="s">
        <v>1912</v>
      </c>
      <c r="E70" s="14" t="s">
        <v>54</v>
      </c>
      <c r="F70" s="16">
        <v>62.81</v>
      </c>
      <c r="G70" s="17">
        <v>89.6</v>
      </c>
      <c r="H70" s="17">
        <f t="shared" si="4"/>
        <v>5627.78</v>
      </c>
      <c r="I70" s="18">
        <f t="shared" si="5"/>
        <v>7.7758743473486908E-2</v>
      </c>
      <c r="J70" s="18">
        <f t="shared" si="7"/>
        <v>27.175449201241211</v>
      </c>
      <c r="K70" s="392" t="str">
        <f t="shared" si="6"/>
        <v>A</v>
      </c>
    </row>
    <row r="71" spans="1:11" ht="20.100000000000001" customHeight="1" x14ac:dyDescent="0.25">
      <c r="A71" s="391" t="s">
        <v>738</v>
      </c>
      <c r="B71" s="15" t="s">
        <v>739</v>
      </c>
      <c r="C71" s="14" t="s">
        <v>51</v>
      </c>
      <c r="D71" s="14" t="s">
        <v>1912</v>
      </c>
      <c r="E71" s="14" t="s">
        <v>54</v>
      </c>
      <c r="F71" s="16">
        <v>3071.79</v>
      </c>
      <c r="G71" s="17">
        <v>1.83</v>
      </c>
      <c r="H71" s="17">
        <f t="shared" ref="H71:H102" si="8">ROUND(F71*G71,2)</f>
        <v>5621.38</v>
      </c>
      <c r="I71" s="18">
        <f t="shared" ref="I71:I102" si="9">H71/VALOR_TOTAL*100</f>
        <v>7.7670315006448346E-2</v>
      </c>
      <c r="J71" s="18">
        <f t="shared" si="7"/>
        <v>27.253119516247658</v>
      </c>
      <c r="K71" s="392" t="str">
        <f t="shared" ref="K71:K102" si="10">IF(J71&lt;=50,"A",IF(J71&lt;=80,"B","C"))</f>
        <v>A</v>
      </c>
    </row>
    <row r="72" spans="1:11" ht="20.100000000000001" customHeight="1" x14ac:dyDescent="0.25">
      <c r="A72" s="391" t="s">
        <v>373</v>
      </c>
      <c r="B72" s="15" t="s">
        <v>374</v>
      </c>
      <c r="C72" s="14" t="s">
        <v>82</v>
      </c>
      <c r="D72" s="14" t="s">
        <v>1912</v>
      </c>
      <c r="E72" s="14" t="s">
        <v>85</v>
      </c>
      <c r="F72" s="16">
        <v>0.95</v>
      </c>
      <c r="G72" s="17">
        <v>5914.23</v>
      </c>
      <c r="H72" s="17">
        <f t="shared" si="8"/>
        <v>5618.52</v>
      </c>
      <c r="I72" s="18">
        <f t="shared" si="9"/>
        <v>7.7630798535240492E-2</v>
      </c>
      <c r="J72" s="18">
        <f t="shared" ref="J72:J103" si="11">I72+J71</f>
        <v>27.330750314782897</v>
      </c>
      <c r="K72" s="392" t="str">
        <f t="shared" si="10"/>
        <v>A</v>
      </c>
    </row>
    <row r="73" spans="1:11" ht="20.100000000000001" customHeight="1" x14ac:dyDescent="0.25">
      <c r="A73" s="391" t="s">
        <v>149</v>
      </c>
      <c r="B73" s="15" t="s">
        <v>150</v>
      </c>
      <c r="C73" s="14" t="s">
        <v>82</v>
      </c>
      <c r="D73" s="14" t="s">
        <v>1912</v>
      </c>
      <c r="E73" s="14" t="s">
        <v>151</v>
      </c>
      <c r="F73" s="16">
        <v>2162.9</v>
      </c>
      <c r="G73" s="17">
        <v>2.56</v>
      </c>
      <c r="H73" s="17">
        <f t="shared" si="8"/>
        <v>5537.02</v>
      </c>
      <c r="I73" s="18">
        <f t="shared" si="9"/>
        <v>7.6504717275296216E-2</v>
      </c>
      <c r="J73" s="18">
        <f t="shared" si="11"/>
        <v>27.407255032058192</v>
      </c>
      <c r="K73" s="392" t="str">
        <f t="shared" si="10"/>
        <v>A</v>
      </c>
    </row>
    <row r="74" spans="1:11" ht="20.100000000000001" customHeight="1" x14ac:dyDescent="0.25">
      <c r="A74" s="391" t="s">
        <v>526</v>
      </c>
      <c r="B74" s="15" t="s">
        <v>527</v>
      </c>
      <c r="C74" s="14" t="s">
        <v>51</v>
      </c>
      <c r="D74" s="14" t="s">
        <v>1912</v>
      </c>
      <c r="E74" s="14" t="s">
        <v>72</v>
      </c>
      <c r="F74" s="16">
        <v>600</v>
      </c>
      <c r="G74" s="17">
        <v>8.7899999999999991</v>
      </c>
      <c r="H74" s="17">
        <f t="shared" si="8"/>
        <v>5274</v>
      </c>
      <c r="I74" s="18">
        <f t="shared" si="9"/>
        <v>7.2870583618970516E-2</v>
      </c>
      <c r="J74" s="18">
        <f t="shared" si="11"/>
        <v>27.480125615677164</v>
      </c>
      <c r="K74" s="392" t="str">
        <f t="shared" si="10"/>
        <v>A</v>
      </c>
    </row>
    <row r="75" spans="1:11" ht="20.100000000000001" customHeight="1" x14ac:dyDescent="0.25">
      <c r="A75" s="391" t="s">
        <v>653</v>
      </c>
      <c r="B75" s="15" t="s">
        <v>654</v>
      </c>
      <c r="C75" s="14" t="s">
        <v>51</v>
      </c>
      <c r="D75" s="14" t="s">
        <v>1912</v>
      </c>
      <c r="E75" s="14" t="s">
        <v>72</v>
      </c>
      <c r="F75" s="16">
        <v>150</v>
      </c>
      <c r="G75" s="17">
        <v>34.76</v>
      </c>
      <c r="H75" s="17">
        <f t="shared" si="8"/>
        <v>5214</v>
      </c>
      <c r="I75" s="18">
        <f t="shared" si="9"/>
        <v>7.2041566740483953E-2</v>
      </c>
      <c r="J75" s="18">
        <f t="shared" si="11"/>
        <v>27.552167182417648</v>
      </c>
      <c r="K75" s="392" t="str">
        <f t="shared" si="10"/>
        <v>A</v>
      </c>
    </row>
    <row r="76" spans="1:11" ht="15" customHeight="1" x14ac:dyDescent="0.25">
      <c r="A76" s="391" t="s">
        <v>473</v>
      </c>
      <c r="B76" s="15" t="s">
        <v>474</v>
      </c>
      <c r="C76" s="14" t="s">
        <v>77</v>
      </c>
      <c r="D76" s="14" t="s">
        <v>1912</v>
      </c>
      <c r="E76" s="14" t="s">
        <v>54</v>
      </c>
      <c r="F76" s="16">
        <v>157.15</v>
      </c>
      <c r="G76" s="17">
        <v>32.78</v>
      </c>
      <c r="H76" s="17">
        <f t="shared" si="8"/>
        <v>5151.38</v>
      </c>
      <c r="I76" s="18">
        <f t="shared" si="9"/>
        <v>7.1176349458303451E-2</v>
      </c>
      <c r="J76" s="18">
        <f t="shared" si="11"/>
        <v>27.62334353187595</v>
      </c>
      <c r="K76" s="392" t="str">
        <f t="shared" si="10"/>
        <v>A</v>
      </c>
    </row>
    <row r="77" spans="1:11" ht="15" customHeight="1" x14ac:dyDescent="0.25">
      <c r="A77" s="391" t="s">
        <v>493</v>
      </c>
      <c r="B77" s="15" t="s">
        <v>494</v>
      </c>
      <c r="C77" s="14" t="s">
        <v>77</v>
      </c>
      <c r="D77" s="14" t="s">
        <v>1912</v>
      </c>
      <c r="E77" s="14" t="s">
        <v>54</v>
      </c>
      <c r="F77" s="16">
        <v>20.96</v>
      </c>
      <c r="G77" s="17">
        <v>244.82</v>
      </c>
      <c r="H77" s="17">
        <f t="shared" si="8"/>
        <v>5131.43</v>
      </c>
      <c r="I77" s="18">
        <f t="shared" si="9"/>
        <v>7.0900701346206657E-2</v>
      </c>
      <c r="J77" s="18">
        <f t="shared" si="11"/>
        <v>27.694244233222157</v>
      </c>
      <c r="K77" s="392" t="str">
        <f t="shared" si="10"/>
        <v>A</v>
      </c>
    </row>
    <row r="78" spans="1:11" ht="27.95" customHeight="1" x14ac:dyDescent="0.25">
      <c r="A78" s="391" t="s">
        <v>215</v>
      </c>
      <c r="B78" s="15" t="s">
        <v>216</v>
      </c>
      <c r="C78" s="14" t="s">
        <v>51</v>
      </c>
      <c r="D78" s="14" t="s">
        <v>1912</v>
      </c>
      <c r="E78" s="14" t="s">
        <v>68</v>
      </c>
      <c r="F78" s="16">
        <v>2</v>
      </c>
      <c r="G78" s="17">
        <v>2545.9</v>
      </c>
      <c r="H78" s="17">
        <f t="shared" si="8"/>
        <v>5091.8</v>
      </c>
      <c r="I78" s="18">
        <f t="shared" si="9"/>
        <v>7.0353135697966279E-2</v>
      </c>
      <c r="J78" s="18">
        <f t="shared" si="11"/>
        <v>27.764597368920125</v>
      </c>
      <c r="K78" s="392" t="str">
        <f t="shared" si="10"/>
        <v>A</v>
      </c>
    </row>
    <row r="79" spans="1:11" ht="20.100000000000001" customHeight="1" x14ac:dyDescent="0.25">
      <c r="A79" s="391" t="s">
        <v>195</v>
      </c>
      <c r="B79" s="15" t="s">
        <v>196</v>
      </c>
      <c r="C79" s="14" t="s">
        <v>194</v>
      </c>
      <c r="D79" s="14" t="s">
        <v>1912</v>
      </c>
      <c r="E79" s="14" t="s">
        <v>197</v>
      </c>
      <c r="F79" s="16">
        <v>2027.1</v>
      </c>
      <c r="G79" s="17">
        <v>2.44</v>
      </c>
      <c r="H79" s="17">
        <f t="shared" si="8"/>
        <v>4946.12</v>
      </c>
      <c r="I79" s="18">
        <f t="shared" si="9"/>
        <v>6.834028271700085E-2</v>
      </c>
      <c r="J79" s="18">
        <f t="shared" si="11"/>
        <v>27.832937651637124</v>
      </c>
      <c r="K79" s="392" t="str">
        <f t="shared" si="10"/>
        <v>A</v>
      </c>
    </row>
    <row r="80" spans="1:11" ht="20.100000000000001" customHeight="1" x14ac:dyDescent="0.25">
      <c r="A80" s="391" t="s">
        <v>269</v>
      </c>
      <c r="B80" s="15" t="s">
        <v>270</v>
      </c>
      <c r="C80" s="14" t="s">
        <v>77</v>
      </c>
      <c r="D80" s="14" t="s">
        <v>1912</v>
      </c>
      <c r="E80" s="14" t="s">
        <v>226</v>
      </c>
      <c r="F80" s="16">
        <v>1</v>
      </c>
      <c r="G80" s="17">
        <v>4837</v>
      </c>
      <c r="H80" s="17">
        <f t="shared" si="8"/>
        <v>4837</v>
      </c>
      <c r="I80" s="18">
        <f t="shared" si="9"/>
        <v>6.6832577353993255E-2</v>
      </c>
      <c r="J80" s="18">
        <f t="shared" si="11"/>
        <v>27.899770228991116</v>
      </c>
      <c r="K80" s="392" t="str">
        <f t="shared" si="10"/>
        <v>A</v>
      </c>
    </row>
    <row r="81" spans="1:11" ht="20.100000000000001" customHeight="1" x14ac:dyDescent="0.25">
      <c r="A81" s="391" t="s">
        <v>129</v>
      </c>
      <c r="B81" s="15" t="s">
        <v>130</v>
      </c>
      <c r="C81" s="14" t="s">
        <v>51</v>
      </c>
      <c r="D81" s="14" t="s">
        <v>1912</v>
      </c>
      <c r="E81" s="14" t="s">
        <v>72</v>
      </c>
      <c r="F81" s="16">
        <v>314.25</v>
      </c>
      <c r="G81" s="17">
        <v>14.84</v>
      </c>
      <c r="H81" s="17">
        <f t="shared" si="8"/>
        <v>4663.47</v>
      </c>
      <c r="I81" s="18">
        <f t="shared" si="9"/>
        <v>6.4434922371930312E-2</v>
      </c>
      <c r="J81" s="18">
        <f t="shared" si="11"/>
        <v>27.964205151363046</v>
      </c>
      <c r="K81" s="392" t="str">
        <f t="shared" si="10"/>
        <v>A</v>
      </c>
    </row>
    <row r="82" spans="1:11" ht="20.100000000000001" customHeight="1" x14ac:dyDescent="0.25">
      <c r="A82" s="391" t="s">
        <v>272</v>
      </c>
      <c r="B82" s="15" t="s">
        <v>273</v>
      </c>
      <c r="C82" s="14" t="s">
        <v>77</v>
      </c>
      <c r="D82" s="14" t="s">
        <v>1912</v>
      </c>
      <c r="E82" s="14" t="s">
        <v>226</v>
      </c>
      <c r="F82" s="16">
        <v>1</v>
      </c>
      <c r="G82" s="17">
        <v>4576.1400000000003</v>
      </c>
      <c r="H82" s="17">
        <f t="shared" si="8"/>
        <v>4576.1400000000003</v>
      </c>
      <c r="I82" s="18">
        <f t="shared" si="9"/>
        <v>6.3228288305293104E-2</v>
      </c>
      <c r="J82" s="18">
        <f t="shared" si="11"/>
        <v>28.027433439668339</v>
      </c>
      <c r="K82" s="392" t="str">
        <f t="shared" si="10"/>
        <v>A</v>
      </c>
    </row>
    <row r="83" spans="1:11" ht="20.100000000000001" customHeight="1" x14ac:dyDescent="0.25">
      <c r="A83" s="391" t="s">
        <v>699</v>
      </c>
      <c r="B83" s="15" t="s">
        <v>700</v>
      </c>
      <c r="C83" s="14" t="s">
        <v>51</v>
      </c>
      <c r="D83" s="14" t="s">
        <v>1912</v>
      </c>
      <c r="E83" s="14" t="s">
        <v>54</v>
      </c>
      <c r="F83" s="16">
        <v>266.05</v>
      </c>
      <c r="G83" s="17">
        <v>16.600000000000001</v>
      </c>
      <c r="H83" s="17">
        <f t="shared" si="8"/>
        <v>4416.43</v>
      </c>
      <c r="I83" s="18">
        <f t="shared" si="9"/>
        <v>6.1021583544241566E-2</v>
      </c>
      <c r="J83" s="18">
        <f t="shared" si="11"/>
        <v>28.088455023212582</v>
      </c>
      <c r="K83" s="392" t="str">
        <f t="shared" si="10"/>
        <v>A</v>
      </c>
    </row>
    <row r="84" spans="1:11" ht="15" customHeight="1" x14ac:dyDescent="0.25">
      <c r="A84" s="391" t="s">
        <v>425</v>
      </c>
      <c r="B84" s="15" t="s">
        <v>426</v>
      </c>
      <c r="C84" s="14" t="s">
        <v>77</v>
      </c>
      <c r="D84" s="14" t="s">
        <v>1912</v>
      </c>
      <c r="E84" s="14" t="s">
        <v>72</v>
      </c>
      <c r="F84" s="16">
        <v>21.25</v>
      </c>
      <c r="G84" s="17">
        <v>202.45</v>
      </c>
      <c r="H84" s="17">
        <f t="shared" si="8"/>
        <v>4302.0600000000004</v>
      </c>
      <c r="I84" s="18">
        <f t="shared" si="9"/>
        <v>5.9441339204366395E-2</v>
      </c>
      <c r="J84" s="18">
        <f t="shared" si="11"/>
        <v>28.147896362416947</v>
      </c>
      <c r="K84" s="392" t="str">
        <f t="shared" si="10"/>
        <v>A</v>
      </c>
    </row>
    <row r="85" spans="1:11" ht="27.95" customHeight="1" x14ac:dyDescent="0.25">
      <c r="A85" s="391" t="s">
        <v>623</v>
      </c>
      <c r="B85" s="15" t="s">
        <v>624</v>
      </c>
      <c r="C85" s="14" t="s">
        <v>77</v>
      </c>
      <c r="D85" s="14" t="s">
        <v>1912</v>
      </c>
      <c r="E85" s="14" t="s">
        <v>85</v>
      </c>
      <c r="F85" s="16">
        <v>22.55</v>
      </c>
      <c r="G85" s="17">
        <v>187.11</v>
      </c>
      <c r="H85" s="17">
        <f t="shared" si="8"/>
        <v>4219.33</v>
      </c>
      <c r="I85" s="18">
        <f t="shared" si="9"/>
        <v>5.8298263098413142E-2</v>
      </c>
      <c r="J85" s="18">
        <f t="shared" si="11"/>
        <v>28.206194625515362</v>
      </c>
      <c r="K85" s="392" t="str">
        <f t="shared" si="10"/>
        <v>A</v>
      </c>
    </row>
    <row r="86" spans="1:11" ht="15" customHeight="1" x14ac:dyDescent="0.25">
      <c r="A86" s="391" t="s">
        <v>186</v>
      </c>
      <c r="B86" s="15" t="s">
        <v>187</v>
      </c>
      <c r="C86" s="14" t="s">
        <v>82</v>
      </c>
      <c r="D86" s="14" t="s">
        <v>1912</v>
      </c>
      <c r="E86" s="14" t="s">
        <v>188</v>
      </c>
      <c r="F86" s="16">
        <v>53.93</v>
      </c>
      <c r="G86" s="17">
        <v>75.14</v>
      </c>
      <c r="H86" s="17">
        <f t="shared" si="8"/>
        <v>4052.3</v>
      </c>
      <c r="I86" s="18">
        <f t="shared" si="9"/>
        <v>5.5990418278186252E-2</v>
      </c>
      <c r="J86" s="18">
        <f t="shared" si="11"/>
        <v>28.262185043793547</v>
      </c>
      <c r="K86" s="392" t="str">
        <f t="shared" si="10"/>
        <v>A</v>
      </c>
    </row>
    <row r="87" spans="1:11" ht="15" customHeight="1" x14ac:dyDescent="0.25">
      <c r="A87" s="391" t="s">
        <v>1807</v>
      </c>
      <c r="B87" s="15" t="s">
        <v>1808</v>
      </c>
      <c r="C87" s="14" t="s">
        <v>77</v>
      </c>
      <c r="D87" s="14" t="s">
        <v>1912</v>
      </c>
      <c r="E87" s="14" t="s">
        <v>54</v>
      </c>
      <c r="F87" s="16">
        <v>1181.5</v>
      </c>
      <c r="G87" s="17">
        <v>3.41</v>
      </c>
      <c r="H87" s="17">
        <f t="shared" si="8"/>
        <v>4028.92</v>
      </c>
      <c r="I87" s="18">
        <f t="shared" si="9"/>
        <v>5.5667378034535975E-2</v>
      </c>
      <c r="J87" s="18">
        <f t="shared" si="11"/>
        <v>28.317852421828082</v>
      </c>
      <c r="K87" s="392" t="str">
        <f t="shared" si="10"/>
        <v>A</v>
      </c>
    </row>
    <row r="88" spans="1:11" ht="15" customHeight="1" x14ac:dyDescent="0.25">
      <c r="A88" s="391" t="s">
        <v>490</v>
      </c>
      <c r="B88" s="15" t="s">
        <v>491</v>
      </c>
      <c r="C88" s="14" t="s">
        <v>77</v>
      </c>
      <c r="D88" s="14" t="s">
        <v>1912</v>
      </c>
      <c r="E88" s="14" t="s">
        <v>89</v>
      </c>
      <c r="F88" s="16">
        <v>87.65</v>
      </c>
      <c r="G88" s="17">
        <v>43.19</v>
      </c>
      <c r="H88" s="17">
        <f t="shared" si="8"/>
        <v>3785.6</v>
      </c>
      <c r="I88" s="18">
        <f t="shared" si="9"/>
        <v>5.2305438253313387E-2</v>
      </c>
      <c r="J88" s="18">
        <f t="shared" si="11"/>
        <v>28.370157860081395</v>
      </c>
      <c r="K88" s="392" t="str">
        <f t="shared" si="10"/>
        <v>A</v>
      </c>
    </row>
    <row r="89" spans="1:11" ht="15" customHeight="1" x14ac:dyDescent="0.25">
      <c r="A89" s="391" t="s">
        <v>360</v>
      </c>
      <c r="B89" s="15" t="s">
        <v>361</v>
      </c>
      <c r="C89" s="14" t="s">
        <v>341</v>
      </c>
      <c r="D89" s="14" t="s">
        <v>1912</v>
      </c>
      <c r="E89" s="14" t="s">
        <v>72</v>
      </c>
      <c r="F89" s="16">
        <v>23.02</v>
      </c>
      <c r="G89" s="17">
        <v>164.11</v>
      </c>
      <c r="H89" s="17">
        <f t="shared" si="8"/>
        <v>3777.81</v>
      </c>
      <c r="I89" s="18">
        <f t="shared" si="9"/>
        <v>5.2197804228589884E-2</v>
      </c>
      <c r="J89" s="18">
        <f t="shared" si="11"/>
        <v>28.422355664309986</v>
      </c>
      <c r="K89" s="392" t="str">
        <f t="shared" si="10"/>
        <v>A</v>
      </c>
    </row>
    <row r="90" spans="1:11" ht="20.100000000000001" customHeight="1" x14ac:dyDescent="0.25">
      <c r="A90" s="391" t="s">
        <v>281</v>
      </c>
      <c r="B90" s="15" t="s">
        <v>284</v>
      </c>
      <c r="C90" s="14" t="s">
        <v>77</v>
      </c>
      <c r="D90" s="14" t="s">
        <v>1912</v>
      </c>
      <c r="E90" s="14" t="s">
        <v>122</v>
      </c>
      <c r="F90" s="16">
        <v>8.3000000000000007</v>
      </c>
      <c r="G90" s="17">
        <v>442.27</v>
      </c>
      <c r="H90" s="17">
        <f t="shared" si="8"/>
        <v>3670.84</v>
      </c>
      <c r="I90" s="18">
        <f t="shared" si="9"/>
        <v>5.0719805303728056E-2</v>
      </c>
      <c r="J90" s="18">
        <f t="shared" si="11"/>
        <v>28.473075469613715</v>
      </c>
      <c r="K90" s="392" t="str">
        <f t="shared" si="10"/>
        <v>A</v>
      </c>
    </row>
    <row r="91" spans="1:11" ht="20.100000000000001" customHeight="1" x14ac:dyDescent="0.25">
      <c r="A91" s="391" t="s">
        <v>314</v>
      </c>
      <c r="B91" s="15" t="s">
        <v>315</v>
      </c>
      <c r="C91" s="14" t="s">
        <v>51</v>
      </c>
      <c r="D91" s="14" t="s">
        <v>1912</v>
      </c>
      <c r="E91" s="14" t="s">
        <v>54</v>
      </c>
      <c r="F91" s="16">
        <v>50.73</v>
      </c>
      <c r="G91" s="17">
        <v>70.7</v>
      </c>
      <c r="H91" s="17">
        <f t="shared" si="8"/>
        <v>3586.61</v>
      </c>
      <c r="I91" s="18">
        <f t="shared" si="9"/>
        <v>4.9556003775812638E-2</v>
      </c>
      <c r="J91" s="18">
        <f t="shared" si="11"/>
        <v>28.522631473389527</v>
      </c>
      <c r="K91" s="392" t="str">
        <f t="shared" si="10"/>
        <v>A</v>
      </c>
    </row>
    <row r="92" spans="1:11" ht="27.95" customHeight="1" x14ac:dyDescent="0.25">
      <c r="A92" s="391" t="s">
        <v>161</v>
      </c>
      <c r="B92" s="15" t="s">
        <v>162</v>
      </c>
      <c r="C92" s="14" t="s">
        <v>51</v>
      </c>
      <c r="D92" s="14" t="s">
        <v>1912</v>
      </c>
      <c r="E92" s="14" t="s">
        <v>54</v>
      </c>
      <c r="F92" s="16">
        <v>36.06</v>
      </c>
      <c r="G92" s="17">
        <v>94.71</v>
      </c>
      <c r="H92" s="17">
        <f t="shared" si="8"/>
        <v>3415.24</v>
      </c>
      <c r="I92" s="18">
        <f t="shared" si="9"/>
        <v>4.7188193401375214E-2</v>
      </c>
      <c r="J92" s="18">
        <f t="shared" si="11"/>
        <v>28.569819666790902</v>
      </c>
      <c r="K92" s="392" t="str">
        <f t="shared" si="10"/>
        <v>A</v>
      </c>
    </row>
    <row r="93" spans="1:11" ht="20.100000000000001" customHeight="1" x14ac:dyDescent="0.25">
      <c r="A93" s="391" t="s">
        <v>87</v>
      </c>
      <c r="B93" s="15" t="s">
        <v>88</v>
      </c>
      <c r="C93" s="14" t="s">
        <v>51</v>
      </c>
      <c r="D93" s="14" t="s">
        <v>1912</v>
      </c>
      <c r="E93" s="14" t="s">
        <v>89</v>
      </c>
      <c r="F93" s="16">
        <v>25.73</v>
      </c>
      <c r="G93" s="17">
        <v>127.68</v>
      </c>
      <c r="H93" s="17">
        <f t="shared" si="8"/>
        <v>3285.21</v>
      </c>
      <c r="I93" s="18">
        <f t="shared" si="9"/>
        <v>4.5391575656215051E-2</v>
      </c>
      <c r="J93" s="18">
        <f t="shared" si="11"/>
        <v>28.615211242447117</v>
      </c>
      <c r="K93" s="392" t="str">
        <f t="shared" si="10"/>
        <v>A</v>
      </c>
    </row>
    <row r="94" spans="1:11" ht="15" customHeight="1" x14ac:dyDescent="0.25">
      <c r="A94" s="391" t="s">
        <v>535</v>
      </c>
      <c r="B94" s="15" t="s">
        <v>536</v>
      </c>
      <c r="C94" s="14" t="s">
        <v>77</v>
      </c>
      <c r="D94" s="14" t="s">
        <v>1912</v>
      </c>
      <c r="E94" s="14" t="s">
        <v>68</v>
      </c>
      <c r="F94" s="16">
        <v>135</v>
      </c>
      <c r="G94" s="17">
        <v>22.28</v>
      </c>
      <c r="H94" s="17">
        <f t="shared" si="8"/>
        <v>3007.8</v>
      </c>
      <c r="I94" s="18">
        <f t="shared" si="9"/>
        <v>4.1558616118532343E-2</v>
      </c>
      <c r="J94" s="18">
        <f t="shared" si="11"/>
        <v>28.656769858565649</v>
      </c>
      <c r="K94" s="392" t="str">
        <f t="shared" si="10"/>
        <v>A</v>
      </c>
    </row>
    <row r="95" spans="1:11" ht="20.100000000000001" customHeight="1" x14ac:dyDescent="0.25">
      <c r="A95" s="391" t="s">
        <v>138</v>
      </c>
      <c r="B95" s="15" t="s">
        <v>139</v>
      </c>
      <c r="C95" s="14" t="s">
        <v>51</v>
      </c>
      <c r="D95" s="14" t="s">
        <v>1912</v>
      </c>
      <c r="E95" s="14" t="s">
        <v>89</v>
      </c>
      <c r="F95" s="16">
        <v>8.6300000000000008</v>
      </c>
      <c r="G95" s="17">
        <v>347.42</v>
      </c>
      <c r="H95" s="17">
        <f t="shared" si="8"/>
        <v>2998.23</v>
      </c>
      <c r="I95" s="18">
        <f t="shared" si="9"/>
        <v>4.1426387926413732E-2</v>
      </c>
      <c r="J95" s="18">
        <f t="shared" si="11"/>
        <v>28.698196246492063</v>
      </c>
      <c r="K95" s="392" t="str">
        <f t="shared" si="10"/>
        <v>A</v>
      </c>
    </row>
    <row r="96" spans="1:11" ht="20.100000000000001" customHeight="1" x14ac:dyDescent="0.25">
      <c r="A96" s="391" t="s">
        <v>281</v>
      </c>
      <c r="B96" s="15" t="s">
        <v>282</v>
      </c>
      <c r="C96" s="14" t="s">
        <v>77</v>
      </c>
      <c r="D96" s="14" t="s">
        <v>1912</v>
      </c>
      <c r="E96" s="14" t="s">
        <v>122</v>
      </c>
      <c r="F96" s="16">
        <v>6.39</v>
      </c>
      <c r="G96" s="17">
        <v>442.27</v>
      </c>
      <c r="H96" s="17">
        <f t="shared" si="8"/>
        <v>2826.11</v>
      </c>
      <c r="I96" s="18">
        <f t="shared" si="9"/>
        <v>3.9048214840995223E-2</v>
      </c>
      <c r="J96" s="18">
        <f t="shared" si="11"/>
        <v>28.737244461333059</v>
      </c>
      <c r="K96" s="392" t="str">
        <f t="shared" si="10"/>
        <v>A</v>
      </c>
    </row>
    <row r="97" spans="1:11" ht="20.100000000000001" customHeight="1" x14ac:dyDescent="0.25">
      <c r="A97" s="391" t="s">
        <v>675</v>
      </c>
      <c r="B97" s="15" t="s">
        <v>676</v>
      </c>
      <c r="C97" s="14" t="s">
        <v>51</v>
      </c>
      <c r="D97" s="14" t="s">
        <v>1912</v>
      </c>
      <c r="E97" s="14" t="s">
        <v>68</v>
      </c>
      <c r="F97" s="16">
        <v>8</v>
      </c>
      <c r="G97" s="17">
        <v>339.6</v>
      </c>
      <c r="H97" s="17">
        <f t="shared" si="8"/>
        <v>2716.8</v>
      </c>
      <c r="I97" s="18">
        <f t="shared" si="9"/>
        <v>3.7537884257872418E-2</v>
      </c>
      <c r="J97" s="18">
        <f t="shared" si="11"/>
        <v>28.774782345590932</v>
      </c>
      <c r="K97" s="392" t="str">
        <f t="shared" si="10"/>
        <v>A</v>
      </c>
    </row>
    <row r="98" spans="1:11" ht="20.100000000000001" customHeight="1" x14ac:dyDescent="0.25">
      <c r="A98" s="391" t="s">
        <v>523</v>
      </c>
      <c r="B98" s="15" t="s">
        <v>524</v>
      </c>
      <c r="C98" s="14" t="s">
        <v>77</v>
      </c>
      <c r="D98" s="14" t="s">
        <v>1912</v>
      </c>
      <c r="E98" s="14" t="s">
        <v>72</v>
      </c>
      <c r="F98" s="16">
        <v>40</v>
      </c>
      <c r="G98" s="17">
        <v>66.63</v>
      </c>
      <c r="H98" s="17">
        <f t="shared" si="8"/>
        <v>2665.2</v>
      </c>
      <c r="I98" s="18">
        <f t="shared" si="9"/>
        <v>3.6824929742373953E-2</v>
      </c>
      <c r="J98" s="18">
        <f t="shared" si="11"/>
        <v>28.811607275333305</v>
      </c>
      <c r="K98" s="392" t="str">
        <f t="shared" si="10"/>
        <v>A</v>
      </c>
    </row>
    <row r="99" spans="1:11" ht="20.100000000000001" customHeight="1" x14ac:dyDescent="0.25">
      <c r="A99" s="391" t="s">
        <v>257</v>
      </c>
      <c r="B99" s="15" t="s">
        <v>258</v>
      </c>
      <c r="C99" s="14" t="s">
        <v>51</v>
      </c>
      <c r="D99" s="14" t="s">
        <v>1912</v>
      </c>
      <c r="E99" s="14" t="s">
        <v>54</v>
      </c>
      <c r="F99" s="16">
        <v>1.89</v>
      </c>
      <c r="G99" s="17">
        <v>1351.25</v>
      </c>
      <c r="H99" s="17">
        <f t="shared" si="8"/>
        <v>2553.86</v>
      </c>
      <c r="I99" s="18">
        <f t="shared" si="9"/>
        <v>3.528655075486236E-2</v>
      </c>
      <c r="J99" s="18">
        <f t="shared" si="11"/>
        <v>28.846893826088166</v>
      </c>
      <c r="K99" s="392" t="str">
        <f t="shared" si="10"/>
        <v>A</v>
      </c>
    </row>
    <row r="100" spans="1:11" ht="20.100000000000001" customHeight="1" x14ac:dyDescent="0.25">
      <c r="A100" s="391" t="s">
        <v>517</v>
      </c>
      <c r="B100" s="15" t="s">
        <v>518</v>
      </c>
      <c r="C100" s="14" t="s">
        <v>51</v>
      </c>
      <c r="D100" s="14" t="s">
        <v>1912</v>
      </c>
      <c r="E100" s="14" t="s">
        <v>72</v>
      </c>
      <c r="F100" s="16">
        <v>30</v>
      </c>
      <c r="G100" s="17">
        <v>84.83</v>
      </c>
      <c r="H100" s="17">
        <f t="shared" si="8"/>
        <v>2544.9</v>
      </c>
      <c r="I100" s="18">
        <f t="shared" si="9"/>
        <v>3.5162750901008365E-2</v>
      </c>
      <c r="J100" s="18">
        <f t="shared" si="11"/>
        <v>28.882056576989175</v>
      </c>
      <c r="K100" s="392" t="str">
        <f t="shared" si="10"/>
        <v>A</v>
      </c>
    </row>
    <row r="101" spans="1:11" ht="20.100000000000001" customHeight="1" x14ac:dyDescent="0.25">
      <c r="A101" s="391" t="s">
        <v>505</v>
      </c>
      <c r="B101" s="15" t="s">
        <v>506</v>
      </c>
      <c r="C101" s="14" t="s">
        <v>51</v>
      </c>
      <c r="D101" s="14" t="s">
        <v>1912</v>
      </c>
      <c r="E101" s="14" t="s">
        <v>72</v>
      </c>
      <c r="F101" s="16">
        <v>200</v>
      </c>
      <c r="G101" s="17">
        <v>12.69</v>
      </c>
      <c r="H101" s="17">
        <f t="shared" si="8"/>
        <v>2538</v>
      </c>
      <c r="I101" s="18">
        <f t="shared" si="9"/>
        <v>3.5067413959982405E-2</v>
      </c>
      <c r="J101" s="18">
        <f t="shared" si="11"/>
        <v>28.917123990949158</v>
      </c>
      <c r="K101" s="392" t="str">
        <f t="shared" si="10"/>
        <v>A</v>
      </c>
    </row>
    <row r="102" spans="1:11" ht="15" customHeight="1" x14ac:dyDescent="0.25">
      <c r="A102" s="391" t="s">
        <v>263</v>
      </c>
      <c r="B102" s="15" t="s">
        <v>264</v>
      </c>
      <c r="C102" s="14" t="s">
        <v>77</v>
      </c>
      <c r="D102" s="14" t="s">
        <v>1912</v>
      </c>
      <c r="E102" s="14" t="s">
        <v>54</v>
      </c>
      <c r="F102" s="16">
        <v>29.11</v>
      </c>
      <c r="G102" s="17">
        <v>87.13</v>
      </c>
      <c r="H102" s="17">
        <f t="shared" si="8"/>
        <v>2536.35</v>
      </c>
      <c r="I102" s="18">
        <f t="shared" si="9"/>
        <v>3.5044615995824022E-2</v>
      </c>
      <c r="J102" s="18">
        <f t="shared" si="11"/>
        <v>28.95216860694498</v>
      </c>
      <c r="K102" s="392" t="str">
        <f t="shared" si="10"/>
        <v>A</v>
      </c>
    </row>
    <row r="103" spans="1:11" ht="15" customHeight="1" x14ac:dyDescent="0.25">
      <c r="A103" s="391" t="s">
        <v>303</v>
      </c>
      <c r="B103" s="15" t="s">
        <v>304</v>
      </c>
      <c r="C103" s="14" t="s">
        <v>77</v>
      </c>
      <c r="D103" s="14" t="s">
        <v>1912</v>
      </c>
      <c r="E103" s="14" t="s">
        <v>122</v>
      </c>
      <c r="F103" s="16">
        <v>3.43</v>
      </c>
      <c r="G103" s="17">
        <v>734.11</v>
      </c>
      <c r="H103" s="17">
        <f t="shared" ref="H103:H134" si="12">ROUND(F103*G103,2)</f>
        <v>2518</v>
      </c>
      <c r="I103" s="18">
        <f t="shared" ref="I103:I134" si="13">H103/VALOR_TOTAL*100</f>
        <v>3.4791075000486872E-2</v>
      </c>
      <c r="J103" s="18">
        <f t="shared" si="11"/>
        <v>28.986959681945468</v>
      </c>
      <c r="K103" s="392" t="str">
        <f t="shared" ref="K103:K134" si="14">IF(J103&lt;=50,"A",IF(J103&lt;=80,"B","C"))</f>
        <v>A</v>
      </c>
    </row>
    <row r="104" spans="1:11" ht="20.100000000000001" customHeight="1" x14ac:dyDescent="0.25">
      <c r="A104" s="391" t="s">
        <v>249</v>
      </c>
      <c r="B104" s="15" t="s">
        <v>250</v>
      </c>
      <c r="C104" s="14" t="s">
        <v>77</v>
      </c>
      <c r="D104" s="14" t="s">
        <v>1912</v>
      </c>
      <c r="E104" s="14" t="s">
        <v>251</v>
      </c>
      <c r="F104" s="16">
        <v>2</v>
      </c>
      <c r="G104" s="17">
        <v>1252.47</v>
      </c>
      <c r="H104" s="17">
        <f t="shared" si="12"/>
        <v>2504.94</v>
      </c>
      <c r="I104" s="18">
        <f t="shared" si="13"/>
        <v>3.4610625659936292E-2</v>
      </c>
      <c r="J104" s="18">
        <f t="shared" ref="J104:J135" si="15">I104+J103</f>
        <v>29.021570307605405</v>
      </c>
      <c r="K104" s="392" t="str">
        <f t="shared" si="14"/>
        <v>A</v>
      </c>
    </row>
    <row r="105" spans="1:11" ht="15" customHeight="1" x14ac:dyDescent="0.25">
      <c r="A105" s="391" t="s">
        <v>577</v>
      </c>
      <c r="B105" s="15" t="s">
        <v>578</v>
      </c>
      <c r="C105" s="14" t="s">
        <v>77</v>
      </c>
      <c r="D105" s="14" t="s">
        <v>1912</v>
      </c>
      <c r="E105" s="14" t="s">
        <v>579</v>
      </c>
      <c r="F105" s="16">
        <v>20</v>
      </c>
      <c r="G105" s="17">
        <v>125.1</v>
      </c>
      <c r="H105" s="17">
        <f t="shared" si="12"/>
        <v>2502</v>
      </c>
      <c r="I105" s="18">
        <f t="shared" si="13"/>
        <v>3.4570003832890453E-2</v>
      </c>
      <c r="J105" s="18">
        <f t="shared" si="15"/>
        <v>29.056140311438295</v>
      </c>
      <c r="K105" s="392" t="str">
        <f t="shared" si="14"/>
        <v>A</v>
      </c>
    </row>
    <row r="106" spans="1:11" ht="27.95" customHeight="1" x14ac:dyDescent="0.25">
      <c r="A106" s="391" t="s">
        <v>297</v>
      </c>
      <c r="B106" s="15" t="s">
        <v>298</v>
      </c>
      <c r="C106" s="14" t="s">
        <v>77</v>
      </c>
      <c r="D106" s="14" t="s">
        <v>1912</v>
      </c>
      <c r="E106" s="14" t="s">
        <v>54</v>
      </c>
      <c r="F106" s="16">
        <v>2.21</v>
      </c>
      <c r="G106" s="17">
        <v>1099.58</v>
      </c>
      <c r="H106" s="17">
        <f t="shared" si="12"/>
        <v>2430.0700000000002</v>
      </c>
      <c r="I106" s="18">
        <f t="shared" si="13"/>
        <v>3.3576150765064795E-2</v>
      </c>
      <c r="J106" s="18">
        <f t="shared" si="15"/>
        <v>29.089716462203359</v>
      </c>
      <c r="K106" s="392" t="str">
        <f t="shared" si="14"/>
        <v>A</v>
      </c>
    </row>
    <row r="107" spans="1:11" ht="20.100000000000001" customHeight="1" x14ac:dyDescent="0.25">
      <c r="A107" s="391" t="s">
        <v>66</v>
      </c>
      <c r="B107" s="15" t="s">
        <v>67</v>
      </c>
      <c r="C107" s="14" t="s">
        <v>51</v>
      </c>
      <c r="D107" s="14" t="s">
        <v>1912</v>
      </c>
      <c r="E107" s="14" t="s">
        <v>68</v>
      </c>
      <c r="F107" s="16">
        <v>1</v>
      </c>
      <c r="G107" s="17">
        <v>2354.09</v>
      </c>
      <c r="H107" s="17">
        <f t="shared" si="12"/>
        <v>2354.09</v>
      </c>
      <c r="I107" s="18">
        <f t="shared" si="13"/>
        <v>3.2526339057941285E-2</v>
      </c>
      <c r="J107" s="18">
        <f t="shared" si="15"/>
        <v>29.122242801261301</v>
      </c>
      <c r="K107" s="392" t="str">
        <f t="shared" si="14"/>
        <v>A</v>
      </c>
    </row>
    <row r="108" spans="1:11" ht="20.100000000000001" customHeight="1" x14ac:dyDescent="0.25">
      <c r="A108" s="391" t="s">
        <v>83</v>
      </c>
      <c r="B108" s="15" t="s">
        <v>84</v>
      </c>
      <c r="C108" s="14" t="s">
        <v>82</v>
      </c>
      <c r="D108" s="14" t="s">
        <v>1912</v>
      </c>
      <c r="E108" s="14" t="s">
        <v>85</v>
      </c>
      <c r="F108" s="16">
        <v>22.85</v>
      </c>
      <c r="G108" s="17">
        <v>101.87</v>
      </c>
      <c r="H108" s="17">
        <f t="shared" si="12"/>
        <v>2327.73</v>
      </c>
      <c r="I108" s="18">
        <f t="shared" si="13"/>
        <v>3.2162124309326176E-2</v>
      </c>
      <c r="J108" s="18">
        <f t="shared" si="15"/>
        <v>29.154404925570628</v>
      </c>
      <c r="K108" s="392" t="str">
        <f t="shared" si="14"/>
        <v>A</v>
      </c>
    </row>
    <row r="109" spans="1:11" ht="20.100000000000001" customHeight="1" x14ac:dyDescent="0.25">
      <c r="A109" s="391" t="s">
        <v>487</v>
      </c>
      <c r="B109" s="15" t="s">
        <v>488</v>
      </c>
      <c r="C109" s="14" t="s">
        <v>77</v>
      </c>
      <c r="D109" s="14" t="s">
        <v>1912</v>
      </c>
      <c r="E109" s="14" t="s">
        <v>54</v>
      </c>
      <c r="F109" s="16">
        <v>10.79</v>
      </c>
      <c r="G109" s="17">
        <v>210.51</v>
      </c>
      <c r="H109" s="17">
        <f t="shared" si="12"/>
        <v>2271.4</v>
      </c>
      <c r="I109" s="18">
        <f t="shared" si="13"/>
        <v>3.1383815629907032E-2</v>
      </c>
      <c r="J109" s="18">
        <f t="shared" si="15"/>
        <v>29.185788741200536</v>
      </c>
      <c r="K109" s="392" t="str">
        <f t="shared" si="14"/>
        <v>A</v>
      </c>
    </row>
    <row r="110" spans="1:11" ht="27.95" customHeight="1" x14ac:dyDescent="0.25">
      <c r="A110" s="391" t="s">
        <v>638</v>
      </c>
      <c r="B110" s="15" t="s">
        <v>639</v>
      </c>
      <c r="C110" s="14" t="s">
        <v>51</v>
      </c>
      <c r="D110" s="14" t="s">
        <v>1912</v>
      </c>
      <c r="E110" s="14" t="s">
        <v>72</v>
      </c>
      <c r="F110" s="16">
        <v>22.57</v>
      </c>
      <c r="G110" s="17">
        <v>94.74</v>
      </c>
      <c r="H110" s="17">
        <f t="shared" si="12"/>
        <v>2138.2800000000002</v>
      </c>
      <c r="I110" s="18">
        <f t="shared" si="13"/>
        <v>2.9544503515504802E-2</v>
      </c>
      <c r="J110" s="18">
        <f t="shared" si="15"/>
        <v>29.215333244716042</v>
      </c>
      <c r="K110" s="392" t="str">
        <f t="shared" si="14"/>
        <v>A</v>
      </c>
    </row>
    <row r="111" spans="1:11" ht="27.95" customHeight="1" x14ac:dyDescent="0.25">
      <c r="A111" s="391" t="s">
        <v>221</v>
      </c>
      <c r="B111" s="15" t="s">
        <v>222</v>
      </c>
      <c r="C111" s="14" t="s">
        <v>51</v>
      </c>
      <c r="D111" s="14" t="s">
        <v>1912</v>
      </c>
      <c r="E111" s="14" t="s">
        <v>68</v>
      </c>
      <c r="F111" s="16">
        <v>1</v>
      </c>
      <c r="G111" s="17">
        <v>2051.98</v>
      </c>
      <c r="H111" s="17">
        <f t="shared" si="12"/>
        <v>2051.98</v>
      </c>
      <c r="I111" s="18">
        <f t="shared" si="13"/>
        <v>2.8352100905281598E-2</v>
      </c>
      <c r="J111" s="18">
        <f t="shared" si="15"/>
        <v>29.243685345621323</v>
      </c>
      <c r="K111" s="392" t="str">
        <f t="shared" si="14"/>
        <v>A</v>
      </c>
    </row>
    <row r="112" spans="1:11" ht="20.100000000000001" customHeight="1" x14ac:dyDescent="0.25">
      <c r="A112" s="391" t="s">
        <v>511</v>
      </c>
      <c r="B112" s="15" t="s">
        <v>512</v>
      </c>
      <c r="C112" s="14" t="s">
        <v>51</v>
      </c>
      <c r="D112" s="14" t="s">
        <v>1912</v>
      </c>
      <c r="E112" s="14" t="s">
        <v>72</v>
      </c>
      <c r="F112" s="16">
        <v>120</v>
      </c>
      <c r="G112" s="17">
        <v>16.75</v>
      </c>
      <c r="H112" s="17">
        <f t="shared" si="12"/>
        <v>2010</v>
      </c>
      <c r="I112" s="18">
        <f t="shared" si="13"/>
        <v>2.7772065429300483E-2</v>
      </c>
      <c r="J112" s="18">
        <f t="shared" si="15"/>
        <v>29.271457411050623</v>
      </c>
      <c r="K112" s="392" t="str">
        <f t="shared" si="14"/>
        <v>A</v>
      </c>
    </row>
    <row r="113" spans="1:11" ht="15" customHeight="1" x14ac:dyDescent="0.25">
      <c r="A113" s="391" t="s">
        <v>613</v>
      </c>
      <c r="B113" s="15" t="s">
        <v>614</v>
      </c>
      <c r="C113" s="14" t="s">
        <v>77</v>
      </c>
      <c r="D113" s="14" t="s">
        <v>1912</v>
      </c>
      <c r="E113" s="14" t="s">
        <v>68</v>
      </c>
      <c r="F113" s="16">
        <v>8</v>
      </c>
      <c r="G113" s="17">
        <v>250.66</v>
      </c>
      <c r="H113" s="17">
        <f t="shared" si="12"/>
        <v>2005.28</v>
      </c>
      <c r="I113" s="18">
        <f t="shared" si="13"/>
        <v>2.7706849434859543E-2</v>
      </c>
      <c r="J113" s="18">
        <f t="shared" si="15"/>
        <v>29.299164260485483</v>
      </c>
      <c r="K113" s="392" t="str">
        <f t="shared" si="14"/>
        <v>A</v>
      </c>
    </row>
    <row r="114" spans="1:11" ht="20.100000000000001" customHeight="1" x14ac:dyDescent="0.25">
      <c r="A114" s="391" t="s">
        <v>635</v>
      </c>
      <c r="B114" s="15" t="s">
        <v>636</v>
      </c>
      <c r="C114" s="14" t="s">
        <v>77</v>
      </c>
      <c r="D114" s="14" t="s">
        <v>1912</v>
      </c>
      <c r="E114" s="14" t="s">
        <v>226</v>
      </c>
      <c r="F114" s="16">
        <v>2</v>
      </c>
      <c r="G114" s="17">
        <v>999.39</v>
      </c>
      <c r="H114" s="17">
        <f t="shared" si="12"/>
        <v>1998.78</v>
      </c>
      <c r="I114" s="18">
        <f t="shared" si="13"/>
        <v>2.7617039273023496E-2</v>
      </c>
      <c r="J114" s="18">
        <f t="shared" si="15"/>
        <v>29.326781299758508</v>
      </c>
      <c r="K114" s="392" t="str">
        <f t="shared" si="14"/>
        <v>A</v>
      </c>
    </row>
    <row r="115" spans="1:11" ht="20.100000000000001" customHeight="1" x14ac:dyDescent="0.25">
      <c r="A115" s="391" t="s">
        <v>583</v>
      </c>
      <c r="B115" s="15" t="s">
        <v>584</v>
      </c>
      <c r="C115" s="14" t="s">
        <v>82</v>
      </c>
      <c r="D115" s="14" t="s">
        <v>1912</v>
      </c>
      <c r="E115" s="14" t="s">
        <v>226</v>
      </c>
      <c r="F115" s="16">
        <v>1</v>
      </c>
      <c r="G115" s="17">
        <v>1992.89</v>
      </c>
      <c r="H115" s="17">
        <f t="shared" si="12"/>
        <v>1992.89</v>
      </c>
      <c r="I115" s="18">
        <f t="shared" si="13"/>
        <v>2.7535657449452064E-2</v>
      </c>
      <c r="J115" s="18">
        <f t="shared" si="15"/>
        <v>29.35431695720796</v>
      </c>
      <c r="K115" s="392" t="str">
        <f t="shared" si="14"/>
        <v>A</v>
      </c>
    </row>
    <row r="116" spans="1:11" ht="44.1" customHeight="1" x14ac:dyDescent="0.25">
      <c r="A116" s="391" t="s">
        <v>155</v>
      </c>
      <c r="B116" s="15" t="s">
        <v>156</v>
      </c>
      <c r="C116" s="14" t="s">
        <v>77</v>
      </c>
      <c r="D116" s="14" t="s">
        <v>1912</v>
      </c>
      <c r="E116" s="14" t="s">
        <v>122</v>
      </c>
      <c r="F116" s="16">
        <v>11.55</v>
      </c>
      <c r="G116" s="17">
        <v>165.86</v>
      </c>
      <c r="H116" s="17">
        <f t="shared" si="12"/>
        <v>1915.68</v>
      </c>
      <c r="I116" s="18">
        <f t="shared" si="13"/>
        <v>2.6468850896319583E-2</v>
      </c>
      <c r="J116" s="18">
        <f t="shared" si="15"/>
        <v>29.380785808104278</v>
      </c>
      <c r="K116" s="392" t="str">
        <f t="shared" si="14"/>
        <v>A</v>
      </c>
    </row>
    <row r="117" spans="1:11" ht="20.100000000000001" customHeight="1" x14ac:dyDescent="0.25">
      <c r="A117" s="391" t="s">
        <v>732</v>
      </c>
      <c r="B117" s="15" t="s">
        <v>733</v>
      </c>
      <c r="C117" s="14" t="s">
        <v>82</v>
      </c>
      <c r="D117" s="14" t="s">
        <v>1912</v>
      </c>
      <c r="E117" s="14" t="s">
        <v>226</v>
      </c>
      <c r="F117" s="16">
        <v>8</v>
      </c>
      <c r="G117" s="17">
        <v>239.44</v>
      </c>
      <c r="H117" s="17">
        <f t="shared" si="12"/>
        <v>1915.52</v>
      </c>
      <c r="I117" s="18">
        <f t="shared" si="13"/>
        <v>2.6466640184643616E-2</v>
      </c>
      <c r="J117" s="18">
        <f t="shared" si="15"/>
        <v>29.407252448288922</v>
      </c>
      <c r="K117" s="392" t="str">
        <f t="shared" si="14"/>
        <v>A</v>
      </c>
    </row>
    <row r="118" spans="1:11" ht="20.100000000000001" customHeight="1" x14ac:dyDescent="0.25">
      <c r="A118" s="391" t="s">
        <v>560</v>
      </c>
      <c r="B118" s="15" t="s">
        <v>561</v>
      </c>
      <c r="C118" s="14" t="s">
        <v>82</v>
      </c>
      <c r="D118" s="14" t="s">
        <v>1912</v>
      </c>
      <c r="E118" s="14" t="s">
        <v>188</v>
      </c>
      <c r="F118" s="16">
        <v>104</v>
      </c>
      <c r="G118" s="17">
        <v>17.96</v>
      </c>
      <c r="H118" s="17">
        <f t="shared" si="12"/>
        <v>1867.84</v>
      </c>
      <c r="I118" s="18">
        <f t="shared" si="13"/>
        <v>2.5807848105206279E-2</v>
      </c>
      <c r="J118" s="18">
        <f t="shared" si="15"/>
        <v>29.433060296394128</v>
      </c>
      <c r="K118" s="392" t="str">
        <f t="shared" si="14"/>
        <v>A</v>
      </c>
    </row>
    <row r="119" spans="1:11" ht="20.100000000000001" customHeight="1" x14ac:dyDescent="0.25">
      <c r="A119" s="391" t="s">
        <v>557</v>
      </c>
      <c r="B119" s="15" t="s">
        <v>558</v>
      </c>
      <c r="C119" s="14" t="s">
        <v>82</v>
      </c>
      <c r="D119" s="14" t="s">
        <v>1912</v>
      </c>
      <c r="E119" s="14" t="s">
        <v>188</v>
      </c>
      <c r="F119" s="16">
        <v>143</v>
      </c>
      <c r="G119" s="17">
        <v>12.78</v>
      </c>
      <c r="H119" s="17">
        <f t="shared" si="12"/>
        <v>1827.54</v>
      </c>
      <c r="I119" s="18">
        <f t="shared" si="13"/>
        <v>2.525102510182279E-2</v>
      </c>
      <c r="J119" s="18">
        <f t="shared" si="15"/>
        <v>29.458311321495952</v>
      </c>
      <c r="K119" s="392" t="str">
        <f t="shared" si="14"/>
        <v>A</v>
      </c>
    </row>
    <row r="120" spans="1:11" ht="27.95" customHeight="1" x14ac:dyDescent="0.25">
      <c r="A120" s="391" t="s">
        <v>145</v>
      </c>
      <c r="B120" s="15" t="s">
        <v>146</v>
      </c>
      <c r="C120" s="14" t="s">
        <v>82</v>
      </c>
      <c r="D120" s="14" t="s">
        <v>1912</v>
      </c>
      <c r="E120" s="14" t="s">
        <v>147</v>
      </c>
      <c r="F120" s="16">
        <v>262.32</v>
      </c>
      <c r="G120" s="17">
        <v>6.85</v>
      </c>
      <c r="H120" s="17">
        <f t="shared" si="12"/>
        <v>1796.89</v>
      </c>
      <c r="I120" s="18">
        <f t="shared" si="13"/>
        <v>2.4827535646395893E-2</v>
      </c>
      <c r="J120" s="18">
        <f t="shared" si="15"/>
        <v>29.483138857142347</v>
      </c>
      <c r="K120" s="392" t="str">
        <f t="shared" si="14"/>
        <v>A</v>
      </c>
    </row>
    <row r="121" spans="1:11" ht="27.95" customHeight="1" x14ac:dyDescent="0.25">
      <c r="A121" s="391" t="s">
        <v>678</v>
      </c>
      <c r="B121" s="15" t="s">
        <v>679</v>
      </c>
      <c r="C121" s="14" t="s">
        <v>51</v>
      </c>
      <c r="D121" s="14" t="s">
        <v>1912</v>
      </c>
      <c r="E121" s="14" t="s">
        <v>68</v>
      </c>
      <c r="F121" s="16">
        <v>7</v>
      </c>
      <c r="G121" s="17">
        <v>239.02</v>
      </c>
      <c r="H121" s="17">
        <f t="shared" si="12"/>
        <v>1673.14</v>
      </c>
      <c r="I121" s="18">
        <f t="shared" si="13"/>
        <v>2.3117688334517321E-2</v>
      </c>
      <c r="J121" s="18">
        <f t="shared" si="15"/>
        <v>29.506256545476862</v>
      </c>
      <c r="K121" s="392" t="str">
        <f t="shared" si="14"/>
        <v>A</v>
      </c>
    </row>
    <row r="122" spans="1:11" ht="20.100000000000001" customHeight="1" x14ac:dyDescent="0.25">
      <c r="A122" s="391" t="s">
        <v>714</v>
      </c>
      <c r="B122" s="15" t="s">
        <v>715</v>
      </c>
      <c r="C122" s="14" t="s">
        <v>82</v>
      </c>
      <c r="D122" s="14" t="s">
        <v>1912</v>
      </c>
      <c r="E122" s="14" t="s">
        <v>122</v>
      </c>
      <c r="F122" s="16">
        <v>9</v>
      </c>
      <c r="G122" s="17">
        <v>185.16</v>
      </c>
      <c r="H122" s="17">
        <f t="shared" si="12"/>
        <v>1666.44</v>
      </c>
      <c r="I122" s="18">
        <f t="shared" si="13"/>
        <v>2.3025114783086321E-2</v>
      </c>
      <c r="J122" s="18">
        <f t="shared" si="15"/>
        <v>29.529281660259947</v>
      </c>
      <c r="K122" s="392" t="str">
        <f t="shared" si="14"/>
        <v>A</v>
      </c>
    </row>
    <row r="123" spans="1:11" ht="15" customHeight="1" x14ac:dyDescent="0.25">
      <c r="A123" s="391" t="s">
        <v>662</v>
      </c>
      <c r="B123" s="15" t="s">
        <v>663</v>
      </c>
      <c r="C123" s="14" t="s">
        <v>77</v>
      </c>
      <c r="D123" s="14" t="s">
        <v>1912</v>
      </c>
      <c r="E123" s="14" t="s">
        <v>664</v>
      </c>
      <c r="F123" s="16">
        <v>3</v>
      </c>
      <c r="G123" s="17">
        <v>550.30999999999995</v>
      </c>
      <c r="H123" s="17">
        <f t="shared" si="12"/>
        <v>1650.93</v>
      </c>
      <c r="I123" s="18">
        <f t="shared" si="13"/>
        <v>2.2810813919997539E-2</v>
      </c>
      <c r="J123" s="18">
        <f t="shared" si="15"/>
        <v>29.552092474179943</v>
      </c>
      <c r="K123" s="392" t="str">
        <f t="shared" si="14"/>
        <v>A</v>
      </c>
    </row>
    <row r="124" spans="1:11" ht="20.100000000000001" customHeight="1" x14ac:dyDescent="0.25">
      <c r="A124" s="391" t="s">
        <v>440</v>
      </c>
      <c r="B124" s="15" t="s">
        <v>441</v>
      </c>
      <c r="C124" s="14" t="s">
        <v>82</v>
      </c>
      <c r="D124" s="14" t="s">
        <v>1912</v>
      </c>
      <c r="E124" s="14" t="s">
        <v>122</v>
      </c>
      <c r="F124" s="16">
        <v>18.39</v>
      </c>
      <c r="G124" s="17">
        <v>88</v>
      </c>
      <c r="H124" s="17">
        <f t="shared" si="12"/>
        <v>1618.32</v>
      </c>
      <c r="I124" s="18">
        <f t="shared" si="13"/>
        <v>2.2360243246540082E-2</v>
      </c>
      <c r="J124" s="18">
        <f t="shared" si="15"/>
        <v>29.574452717426482</v>
      </c>
      <c r="K124" s="392" t="str">
        <f t="shared" si="14"/>
        <v>A</v>
      </c>
    </row>
    <row r="125" spans="1:11" ht="27.95" customHeight="1" x14ac:dyDescent="0.25">
      <c r="A125" s="391" t="s">
        <v>617</v>
      </c>
      <c r="B125" s="15" t="s">
        <v>618</v>
      </c>
      <c r="C125" s="14" t="s">
        <v>82</v>
      </c>
      <c r="D125" s="14" t="s">
        <v>1912</v>
      </c>
      <c r="E125" s="14" t="s">
        <v>85</v>
      </c>
      <c r="F125" s="16">
        <v>157.85</v>
      </c>
      <c r="G125" s="17">
        <v>10.25</v>
      </c>
      <c r="H125" s="17">
        <f t="shared" si="12"/>
        <v>1617.96</v>
      </c>
      <c r="I125" s="18">
        <f t="shared" si="13"/>
        <v>2.2355269145269162E-2</v>
      </c>
      <c r="J125" s="18">
        <f t="shared" si="15"/>
        <v>29.596807986571751</v>
      </c>
      <c r="K125" s="392" t="str">
        <f t="shared" si="14"/>
        <v>A</v>
      </c>
    </row>
    <row r="126" spans="1:11" ht="27.95" customHeight="1" x14ac:dyDescent="0.25">
      <c r="A126" s="391" t="s">
        <v>687</v>
      </c>
      <c r="B126" s="15" t="s">
        <v>688</v>
      </c>
      <c r="C126" s="14" t="s">
        <v>51</v>
      </c>
      <c r="D126" s="14" t="s">
        <v>1912</v>
      </c>
      <c r="E126" s="14" t="s">
        <v>68</v>
      </c>
      <c r="F126" s="16">
        <v>40</v>
      </c>
      <c r="G126" s="17">
        <v>40.29</v>
      </c>
      <c r="H126" s="17">
        <f t="shared" si="12"/>
        <v>1611.6</v>
      </c>
      <c r="I126" s="18">
        <f t="shared" si="13"/>
        <v>2.2267393356149582E-2</v>
      </c>
      <c r="J126" s="18">
        <f t="shared" si="15"/>
        <v>29.619075379927899</v>
      </c>
      <c r="K126" s="392" t="str">
        <f t="shared" si="14"/>
        <v>A</v>
      </c>
    </row>
    <row r="127" spans="1:11" ht="20.100000000000001" customHeight="1" x14ac:dyDescent="0.25">
      <c r="A127" s="391" t="s">
        <v>115</v>
      </c>
      <c r="B127" s="15" t="s">
        <v>116</v>
      </c>
      <c r="C127" s="14" t="s">
        <v>82</v>
      </c>
      <c r="D127" s="14" t="s">
        <v>1912</v>
      </c>
      <c r="E127" s="14" t="s">
        <v>85</v>
      </c>
      <c r="F127" s="16">
        <v>9.27</v>
      </c>
      <c r="G127" s="17">
        <v>172.6</v>
      </c>
      <c r="H127" s="17">
        <f t="shared" si="12"/>
        <v>1600</v>
      </c>
      <c r="I127" s="18">
        <f t="shared" si="13"/>
        <v>2.2107116759642179E-2</v>
      </c>
      <c r="J127" s="18">
        <f t="shared" si="15"/>
        <v>29.641182496687541</v>
      </c>
      <c r="K127" s="392" t="str">
        <f t="shared" si="14"/>
        <v>A</v>
      </c>
    </row>
    <row r="128" spans="1:11" ht="20.100000000000001" customHeight="1" x14ac:dyDescent="0.25">
      <c r="A128" s="391" t="s">
        <v>210</v>
      </c>
      <c r="B128" s="15" t="s">
        <v>211</v>
      </c>
      <c r="C128" s="14" t="s">
        <v>51</v>
      </c>
      <c r="D128" s="14" t="s">
        <v>1912</v>
      </c>
      <c r="E128" s="14" t="s">
        <v>72</v>
      </c>
      <c r="F128" s="16">
        <v>27.5</v>
      </c>
      <c r="G128" s="17">
        <v>54.54</v>
      </c>
      <c r="H128" s="17">
        <f t="shared" si="12"/>
        <v>1499.85</v>
      </c>
      <c r="I128" s="18">
        <f t="shared" si="13"/>
        <v>2.0723349419968323E-2</v>
      </c>
      <c r="J128" s="18">
        <f t="shared" si="15"/>
        <v>29.661905846107508</v>
      </c>
      <c r="K128" s="392" t="str">
        <f t="shared" si="14"/>
        <v>A</v>
      </c>
    </row>
    <row r="129" spans="1:11" ht="20.100000000000001" customHeight="1" x14ac:dyDescent="0.25">
      <c r="A129" s="391" t="s">
        <v>408</v>
      </c>
      <c r="B129" s="15" t="s">
        <v>409</v>
      </c>
      <c r="C129" s="14" t="s">
        <v>82</v>
      </c>
      <c r="D129" s="14" t="s">
        <v>1912</v>
      </c>
      <c r="E129" s="14" t="s">
        <v>122</v>
      </c>
      <c r="F129" s="16">
        <v>32.68</v>
      </c>
      <c r="G129" s="17">
        <v>40.950000000000003</v>
      </c>
      <c r="H129" s="17">
        <f t="shared" si="12"/>
        <v>1338.25</v>
      </c>
      <c r="I129" s="18">
        <f t="shared" si="13"/>
        <v>1.8490530627244466E-2</v>
      </c>
      <c r="J129" s="18">
        <f t="shared" si="15"/>
        <v>29.680396376734752</v>
      </c>
      <c r="K129" s="392" t="str">
        <f t="shared" si="14"/>
        <v>A</v>
      </c>
    </row>
    <row r="130" spans="1:11" ht="15" customHeight="1" x14ac:dyDescent="0.25">
      <c r="A130" s="391" t="s">
        <v>260</v>
      </c>
      <c r="B130" s="15" t="s">
        <v>261</v>
      </c>
      <c r="C130" s="14" t="s">
        <v>77</v>
      </c>
      <c r="D130" s="14" t="s">
        <v>1912</v>
      </c>
      <c r="E130" s="14" t="s">
        <v>122</v>
      </c>
      <c r="F130" s="16">
        <v>1.68</v>
      </c>
      <c r="G130" s="17">
        <v>793.7</v>
      </c>
      <c r="H130" s="17">
        <f t="shared" si="12"/>
        <v>1333.42</v>
      </c>
      <c r="I130" s="18">
        <f t="shared" si="13"/>
        <v>1.8423794768526295E-2</v>
      </c>
      <c r="J130" s="18">
        <f t="shared" si="15"/>
        <v>29.698820171503279</v>
      </c>
      <c r="K130" s="392" t="str">
        <f t="shared" si="14"/>
        <v>A</v>
      </c>
    </row>
    <row r="131" spans="1:11" ht="20.100000000000001" customHeight="1" x14ac:dyDescent="0.25">
      <c r="A131" s="391" t="s">
        <v>520</v>
      </c>
      <c r="B131" s="15" t="s">
        <v>521</v>
      </c>
      <c r="C131" s="14" t="s">
        <v>51</v>
      </c>
      <c r="D131" s="14" t="s">
        <v>1912</v>
      </c>
      <c r="E131" s="14" t="s">
        <v>72</v>
      </c>
      <c r="F131" s="16">
        <v>30</v>
      </c>
      <c r="G131" s="17">
        <v>43.95</v>
      </c>
      <c r="H131" s="17">
        <f t="shared" si="12"/>
        <v>1318.5</v>
      </c>
      <c r="I131" s="18">
        <f t="shared" si="13"/>
        <v>1.8217645904742629E-2</v>
      </c>
      <c r="J131" s="18">
        <f t="shared" si="15"/>
        <v>29.71703781740802</v>
      </c>
      <c r="K131" s="392" t="str">
        <f t="shared" si="14"/>
        <v>A</v>
      </c>
    </row>
    <row r="132" spans="1:11" ht="20.100000000000001" customHeight="1" x14ac:dyDescent="0.25">
      <c r="A132" s="391" t="s">
        <v>175</v>
      </c>
      <c r="B132" s="15" t="s">
        <v>176</v>
      </c>
      <c r="C132" s="14" t="s">
        <v>51</v>
      </c>
      <c r="D132" s="14" t="s">
        <v>1912</v>
      </c>
      <c r="E132" s="14" t="s">
        <v>54</v>
      </c>
      <c r="F132" s="16">
        <v>30</v>
      </c>
      <c r="G132" s="17">
        <v>41.69</v>
      </c>
      <c r="H132" s="17">
        <f t="shared" si="12"/>
        <v>1250.7</v>
      </c>
      <c r="I132" s="18">
        <f t="shared" si="13"/>
        <v>1.7280856832052795E-2</v>
      </c>
      <c r="J132" s="18">
        <f t="shared" si="15"/>
        <v>29.734318674240072</v>
      </c>
      <c r="K132" s="392" t="str">
        <f t="shared" si="14"/>
        <v>A</v>
      </c>
    </row>
    <row r="133" spans="1:11" ht="27.95" customHeight="1" x14ac:dyDescent="0.25">
      <c r="A133" s="391" t="s">
        <v>168</v>
      </c>
      <c r="B133" s="15" t="s">
        <v>169</v>
      </c>
      <c r="C133" s="14" t="s">
        <v>51</v>
      </c>
      <c r="D133" s="14" t="s">
        <v>1912</v>
      </c>
      <c r="E133" s="14" t="s">
        <v>54</v>
      </c>
      <c r="F133" s="16">
        <v>10.02</v>
      </c>
      <c r="G133" s="17">
        <v>117.81</v>
      </c>
      <c r="H133" s="17">
        <f t="shared" si="12"/>
        <v>1180.46</v>
      </c>
      <c r="I133" s="18">
        <f t="shared" si="13"/>
        <v>1.6310354406304503E-2</v>
      </c>
      <c r="J133" s="18">
        <f t="shared" si="15"/>
        <v>29.750629028646376</v>
      </c>
      <c r="K133" s="392" t="str">
        <f t="shared" si="14"/>
        <v>A</v>
      </c>
    </row>
    <row r="134" spans="1:11" ht="15" customHeight="1" x14ac:dyDescent="0.25">
      <c r="A134" s="391" t="s">
        <v>644</v>
      </c>
      <c r="B134" s="15" t="s">
        <v>645</v>
      </c>
      <c r="C134" s="14" t="s">
        <v>77</v>
      </c>
      <c r="D134" s="14" t="s">
        <v>1912</v>
      </c>
      <c r="E134" s="14" t="s">
        <v>251</v>
      </c>
      <c r="F134" s="16">
        <v>7</v>
      </c>
      <c r="G134" s="17">
        <v>164.42</v>
      </c>
      <c r="H134" s="17">
        <f t="shared" si="12"/>
        <v>1150.94</v>
      </c>
      <c r="I134" s="18">
        <f t="shared" si="13"/>
        <v>1.5902478102089106E-2</v>
      </c>
      <c r="J134" s="18">
        <f t="shared" si="15"/>
        <v>29.766531506748464</v>
      </c>
      <c r="K134" s="392" t="str">
        <f t="shared" si="14"/>
        <v>A</v>
      </c>
    </row>
    <row r="135" spans="1:11" ht="27.95" customHeight="1" x14ac:dyDescent="0.25">
      <c r="A135" s="391" t="s">
        <v>539</v>
      </c>
      <c r="B135" s="15" t="s">
        <v>540</v>
      </c>
      <c r="C135" s="14" t="s">
        <v>82</v>
      </c>
      <c r="D135" s="14" t="s">
        <v>1912</v>
      </c>
      <c r="E135" s="14" t="s">
        <v>226</v>
      </c>
      <c r="F135" s="16">
        <v>2</v>
      </c>
      <c r="G135" s="17">
        <v>546.72</v>
      </c>
      <c r="H135" s="17">
        <f t="shared" ref="H135:H166" si="16">ROUND(F135*G135,2)</f>
        <v>1093.44</v>
      </c>
      <c r="I135" s="18">
        <f t="shared" ref="I135:I166" si="17">H135/VALOR_TOTAL*100</f>
        <v>1.5108003593539466E-2</v>
      </c>
      <c r="J135" s="18">
        <f t="shared" si="15"/>
        <v>29.781639510342004</v>
      </c>
      <c r="K135" s="392" t="str">
        <f t="shared" ref="K135:K166" si="18">IF(J135&lt;=50,"A",IF(J135&lt;=80,"B","C"))</f>
        <v>A</v>
      </c>
    </row>
    <row r="136" spans="1:11" ht="20.100000000000001" customHeight="1" x14ac:dyDescent="0.25">
      <c r="A136" s="391" t="s">
        <v>412</v>
      </c>
      <c r="B136" s="15" t="s">
        <v>413</v>
      </c>
      <c r="C136" s="14" t="s">
        <v>51</v>
      </c>
      <c r="D136" s="14" t="s">
        <v>1912</v>
      </c>
      <c r="E136" s="14" t="s">
        <v>54</v>
      </c>
      <c r="F136" s="16">
        <v>36.79</v>
      </c>
      <c r="G136" s="17">
        <v>28.16</v>
      </c>
      <c r="H136" s="17">
        <f t="shared" si="16"/>
        <v>1036.01</v>
      </c>
      <c r="I136" s="18">
        <f t="shared" si="17"/>
        <v>1.4314496271348058E-2</v>
      </c>
      <c r="J136" s="18">
        <f t="shared" ref="J136:J167" si="19">I136+J135</f>
        <v>29.79595400661335</v>
      </c>
      <c r="K136" s="392" t="str">
        <f t="shared" si="18"/>
        <v>A</v>
      </c>
    </row>
    <row r="137" spans="1:11" ht="20.100000000000001" customHeight="1" x14ac:dyDescent="0.25">
      <c r="A137" s="391" t="s">
        <v>502</v>
      </c>
      <c r="B137" s="15" t="s">
        <v>503</v>
      </c>
      <c r="C137" s="14" t="s">
        <v>51</v>
      </c>
      <c r="D137" s="14" t="s">
        <v>1912</v>
      </c>
      <c r="E137" s="14" t="s">
        <v>72</v>
      </c>
      <c r="F137" s="16">
        <v>120</v>
      </c>
      <c r="G137" s="17">
        <v>8.57</v>
      </c>
      <c r="H137" s="17">
        <f t="shared" si="16"/>
        <v>1028.4000000000001</v>
      </c>
      <c r="I137" s="18">
        <f t="shared" si="17"/>
        <v>1.4209349297260011E-2</v>
      </c>
      <c r="J137" s="18">
        <f t="shared" si="19"/>
        <v>29.810163355910611</v>
      </c>
      <c r="K137" s="392" t="str">
        <f t="shared" si="18"/>
        <v>A</v>
      </c>
    </row>
    <row r="138" spans="1:11" ht="20.100000000000001" customHeight="1" x14ac:dyDescent="0.25">
      <c r="A138" s="391" t="s">
        <v>681</v>
      </c>
      <c r="B138" s="15" t="s">
        <v>682</v>
      </c>
      <c r="C138" s="14" t="s">
        <v>82</v>
      </c>
      <c r="D138" s="14" t="s">
        <v>1912</v>
      </c>
      <c r="E138" s="14" t="s">
        <v>226</v>
      </c>
      <c r="F138" s="16">
        <v>1</v>
      </c>
      <c r="G138" s="17">
        <v>1001.75</v>
      </c>
      <c r="H138" s="17">
        <f t="shared" si="16"/>
        <v>1001.75</v>
      </c>
      <c r="I138" s="18">
        <f t="shared" si="17"/>
        <v>1.3841127633732221E-2</v>
      </c>
      <c r="J138" s="18">
        <f t="shared" si="19"/>
        <v>29.824004483544343</v>
      </c>
      <c r="K138" s="392" t="str">
        <f t="shared" si="18"/>
        <v>A</v>
      </c>
    </row>
    <row r="139" spans="1:11" ht="15" customHeight="1" x14ac:dyDescent="0.25">
      <c r="A139" s="391" t="s">
        <v>484</v>
      </c>
      <c r="B139" s="15" t="s">
        <v>485</v>
      </c>
      <c r="C139" s="14" t="s">
        <v>77</v>
      </c>
      <c r="D139" s="14" t="s">
        <v>1912</v>
      </c>
      <c r="E139" s="14" t="s">
        <v>54</v>
      </c>
      <c r="F139" s="16">
        <v>4</v>
      </c>
      <c r="G139" s="17">
        <v>243.79</v>
      </c>
      <c r="H139" s="17">
        <f t="shared" si="16"/>
        <v>975.16</v>
      </c>
      <c r="I139" s="18">
        <f t="shared" si="17"/>
        <v>1.3473734987082915E-2</v>
      </c>
      <c r="J139" s="18">
        <f t="shared" si="19"/>
        <v>29.837478218531427</v>
      </c>
      <c r="K139" s="392" t="str">
        <f t="shared" si="18"/>
        <v>A</v>
      </c>
    </row>
    <row r="140" spans="1:11" ht="20.100000000000001" customHeight="1" x14ac:dyDescent="0.25">
      <c r="A140" s="391" t="s">
        <v>231</v>
      </c>
      <c r="B140" s="15" t="s">
        <v>232</v>
      </c>
      <c r="C140" s="14" t="s">
        <v>51</v>
      </c>
      <c r="D140" s="14" t="s">
        <v>1912</v>
      </c>
      <c r="E140" s="14" t="s">
        <v>68</v>
      </c>
      <c r="F140" s="16">
        <v>2</v>
      </c>
      <c r="G140" s="17">
        <v>454.53</v>
      </c>
      <c r="H140" s="17">
        <f t="shared" si="16"/>
        <v>909.06</v>
      </c>
      <c r="I140" s="18">
        <f t="shared" si="17"/>
        <v>1.2560434725950196E-2</v>
      </c>
      <c r="J140" s="18">
        <f t="shared" si="19"/>
        <v>29.850038653257378</v>
      </c>
      <c r="K140" s="392" t="str">
        <f t="shared" si="18"/>
        <v>A</v>
      </c>
    </row>
    <row r="141" spans="1:11" ht="20.100000000000001" customHeight="1" x14ac:dyDescent="0.25">
      <c r="A141" s="391" t="s">
        <v>529</v>
      </c>
      <c r="B141" s="15" t="s">
        <v>530</v>
      </c>
      <c r="C141" s="14" t="s">
        <v>51</v>
      </c>
      <c r="D141" s="14" t="s">
        <v>1912</v>
      </c>
      <c r="E141" s="14" t="s">
        <v>72</v>
      </c>
      <c r="F141" s="16">
        <v>80</v>
      </c>
      <c r="G141" s="17">
        <v>10.7</v>
      </c>
      <c r="H141" s="17">
        <f t="shared" si="16"/>
        <v>856</v>
      </c>
      <c r="I141" s="18">
        <f t="shared" si="17"/>
        <v>1.1827307466408565E-2</v>
      </c>
      <c r="J141" s="18">
        <f t="shared" si="19"/>
        <v>29.861865960723787</v>
      </c>
      <c r="K141" s="392" t="str">
        <f t="shared" si="18"/>
        <v>A</v>
      </c>
    </row>
    <row r="142" spans="1:11" ht="20.100000000000001" customHeight="1" x14ac:dyDescent="0.25">
      <c r="A142" s="391" t="s">
        <v>563</v>
      </c>
      <c r="B142" s="15" t="s">
        <v>564</v>
      </c>
      <c r="C142" s="14" t="s">
        <v>77</v>
      </c>
      <c r="D142" s="14" t="s">
        <v>1912</v>
      </c>
      <c r="E142" s="14" t="s">
        <v>188</v>
      </c>
      <c r="F142" s="16">
        <v>26</v>
      </c>
      <c r="G142" s="17">
        <v>31.53</v>
      </c>
      <c r="H142" s="17">
        <f t="shared" si="16"/>
        <v>819.78</v>
      </c>
      <c r="I142" s="18">
        <f t="shared" si="17"/>
        <v>1.1326857610762166E-2</v>
      </c>
      <c r="J142" s="18">
        <f t="shared" si="19"/>
        <v>29.873192818334548</v>
      </c>
      <c r="K142" s="392" t="str">
        <f t="shared" si="18"/>
        <v>A</v>
      </c>
    </row>
    <row r="143" spans="1:11" ht="20.100000000000001" customHeight="1" x14ac:dyDescent="0.25">
      <c r="A143" s="391" t="s">
        <v>532</v>
      </c>
      <c r="B143" s="15" t="s">
        <v>533</v>
      </c>
      <c r="C143" s="14" t="s">
        <v>51</v>
      </c>
      <c r="D143" s="14" t="s">
        <v>1912</v>
      </c>
      <c r="E143" s="14" t="s">
        <v>68</v>
      </c>
      <c r="F143" s="16">
        <v>60</v>
      </c>
      <c r="G143" s="17">
        <v>13.22</v>
      </c>
      <c r="H143" s="17">
        <f t="shared" si="16"/>
        <v>793.2</v>
      </c>
      <c r="I143" s="18">
        <f t="shared" si="17"/>
        <v>1.0959603133592609E-2</v>
      </c>
      <c r="J143" s="18">
        <f t="shared" si="19"/>
        <v>29.884152421468141</v>
      </c>
      <c r="K143" s="392" t="str">
        <f t="shared" si="18"/>
        <v>A</v>
      </c>
    </row>
    <row r="144" spans="1:11" ht="20.100000000000001" customHeight="1" x14ac:dyDescent="0.25">
      <c r="A144" s="391" t="s">
        <v>218</v>
      </c>
      <c r="B144" s="15" t="s">
        <v>219</v>
      </c>
      <c r="C144" s="14" t="s">
        <v>51</v>
      </c>
      <c r="D144" s="14" t="s">
        <v>1912</v>
      </c>
      <c r="E144" s="14" t="s">
        <v>68</v>
      </c>
      <c r="F144" s="16">
        <v>2</v>
      </c>
      <c r="G144" s="17">
        <v>379.32</v>
      </c>
      <c r="H144" s="17">
        <f t="shared" si="16"/>
        <v>758.64</v>
      </c>
      <c r="I144" s="18">
        <f t="shared" si="17"/>
        <v>1.0482089411584338E-2</v>
      </c>
      <c r="J144" s="18">
        <f t="shared" si="19"/>
        <v>29.894634510879726</v>
      </c>
      <c r="K144" s="392" t="str">
        <f t="shared" si="18"/>
        <v>A</v>
      </c>
    </row>
    <row r="145" spans="1:11" ht="20.100000000000001" customHeight="1" x14ac:dyDescent="0.25">
      <c r="A145" s="391" t="s">
        <v>126</v>
      </c>
      <c r="B145" s="15" t="s">
        <v>127</v>
      </c>
      <c r="C145" s="14" t="s">
        <v>82</v>
      </c>
      <c r="D145" s="14" t="s">
        <v>1912</v>
      </c>
      <c r="E145" s="14" t="s">
        <v>85</v>
      </c>
      <c r="F145" s="16">
        <v>9.66</v>
      </c>
      <c r="G145" s="17">
        <v>78.08</v>
      </c>
      <c r="H145" s="17">
        <f t="shared" si="16"/>
        <v>754.25</v>
      </c>
      <c r="I145" s="18">
        <f t="shared" si="17"/>
        <v>1.042143300997507E-2</v>
      </c>
      <c r="J145" s="18">
        <f t="shared" si="19"/>
        <v>29.9050559438897</v>
      </c>
      <c r="K145" s="392" t="str">
        <f t="shared" si="18"/>
        <v>A</v>
      </c>
    </row>
    <row r="146" spans="1:11" ht="20.100000000000001" customHeight="1" x14ac:dyDescent="0.25">
      <c r="A146" s="391" t="s">
        <v>514</v>
      </c>
      <c r="B146" s="15" t="s">
        <v>515</v>
      </c>
      <c r="C146" s="14" t="s">
        <v>51</v>
      </c>
      <c r="D146" s="14" t="s">
        <v>1912</v>
      </c>
      <c r="E146" s="14" t="s">
        <v>72</v>
      </c>
      <c r="F146" s="16">
        <v>30</v>
      </c>
      <c r="G146" s="17">
        <v>22.68</v>
      </c>
      <c r="H146" s="17">
        <f t="shared" si="16"/>
        <v>680.4</v>
      </c>
      <c r="I146" s="18">
        <f t="shared" si="17"/>
        <v>9.4010514020378359E-3</v>
      </c>
      <c r="J146" s="18">
        <f t="shared" si="19"/>
        <v>29.914456995291737</v>
      </c>
      <c r="K146" s="392" t="str">
        <f t="shared" si="18"/>
        <v>A</v>
      </c>
    </row>
    <row r="147" spans="1:11" ht="27.95" customHeight="1" x14ac:dyDescent="0.25">
      <c r="A147" s="391" t="s">
        <v>78</v>
      </c>
      <c r="B147" s="15" t="s">
        <v>79</v>
      </c>
      <c r="C147" s="14" t="s">
        <v>77</v>
      </c>
      <c r="D147" s="14" t="s">
        <v>1912</v>
      </c>
      <c r="E147" s="14" t="s">
        <v>72</v>
      </c>
      <c r="F147" s="16">
        <v>15</v>
      </c>
      <c r="G147" s="17">
        <v>44</v>
      </c>
      <c r="H147" s="17">
        <f t="shared" si="16"/>
        <v>660</v>
      </c>
      <c r="I147" s="18">
        <f t="shared" si="17"/>
        <v>9.1191856633523975E-3</v>
      </c>
      <c r="J147" s="18">
        <f t="shared" si="19"/>
        <v>29.923576180955088</v>
      </c>
      <c r="K147" s="392" t="str">
        <f t="shared" si="18"/>
        <v>A</v>
      </c>
    </row>
    <row r="148" spans="1:11" ht="15" customHeight="1" x14ac:dyDescent="0.25">
      <c r="A148" s="391" t="s">
        <v>246</v>
      </c>
      <c r="B148" s="15" t="s">
        <v>247</v>
      </c>
      <c r="C148" s="14" t="s">
        <v>77</v>
      </c>
      <c r="D148" s="14" t="s">
        <v>1912</v>
      </c>
      <c r="E148" s="14" t="s">
        <v>54</v>
      </c>
      <c r="F148" s="16">
        <v>0.96</v>
      </c>
      <c r="G148" s="17">
        <v>641.16</v>
      </c>
      <c r="H148" s="17">
        <f t="shared" si="16"/>
        <v>615.51</v>
      </c>
      <c r="I148" s="18">
        <f t="shared" si="17"/>
        <v>8.5044696479545968E-3</v>
      </c>
      <c r="J148" s="18">
        <f t="shared" si="19"/>
        <v>29.932080650603044</v>
      </c>
      <c r="K148" s="392" t="str">
        <f t="shared" si="18"/>
        <v>A</v>
      </c>
    </row>
    <row r="149" spans="1:11" ht="20.100000000000001" customHeight="1" x14ac:dyDescent="0.25">
      <c r="A149" s="391" t="s">
        <v>656</v>
      </c>
      <c r="B149" s="15" t="s">
        <v>657</v>
      </c>
      <c r="C149" s="14" t="s">
        <v>77</v>
      </c>
      <c r="D149" s="14" t="s">
        <v>1912</v>
      </c>
      <c r="E149" s="14" t="s">
        <v>226</v>
      </c>
      <c r="F149" s="16">
        <v>20</v>
      </c>
      <c r="G149" s="17">
        <v>30.39</v>
      </c>
      <c r="H149" s="17">
        <f t="shared" si="16"/>
        <v>607.79999999999995</v>
      </c>
      <c r="I149" s="18">
        <f t="shared" si="17"/>
        <v>8.3979409790690702E-3</v>
      </c>
      <c r="J149" s="18">
        <f t="shared" si="19"/>
        <v>29.940478591582114</v>
      </c>
      <c r="K149" s="392" t="str">
        <f t="shared" si="18"/>
        <v>A</v>
      </c>
    </row>
    <row r="150" spans="1:11" ht="15" customHeight="1" x14ac:dyDescent="0.25">
      <c r="A150" s="391" t="s">
        <v>599</v>
      </c>
      <c r="B150" s="15" t="s">
        <v>600</v>
      </c>
      <c r="C150" s="14" t="s">
        <v>82</v>
      </c>
      <c r="D150" s="14" t="s">
        <v>1912</v>
      </c>
      <c r="E150" s="14" t="s">
        <v>226</v>
      </c>
      <c r="F150" s="16">
        <v>3</v>
      </c>
      <c r="G150" s="17">
        <v>200.25</v>
      </c>
      <c r="H150" s="17">
        <f t="shared" si="16"/>
        <v>600.75</v>
      </c>
      <c r="I150" s="18">
        <f t="shared" si="17"/>
        <v>8.3005314958468981E-3</v>
      </c>
      <c r="J150" s="18">
        <f t="shared" si="19"/>
        <v>29.948779123077962</v>
      </c>
      <c r="K150" s="392" t="str">
        <f t="shared" si="18"/>
        <v>A</v>
      </c>
    </row>
    <row r="151" spans="1:11" ht="15" customHeight="1" x14ac:dyDescent="0.25">
      <c r="A151" s="391" t="s">
        <v>300</v>
      </c>
      <c r="B151" s="15" t="s">
        <v>301</v>
      </c>
      <c r="C151" s="14" t="s">
        <v>77</v>
      </c>
      <c r="D151" s="14" t="s">
        <v>1912</v>
      </c>
      <c r="E151" s="14" t="s">
        <v>188</v>
      </c>
      <c r="F151" s="16">
        <v>5.65</v>
      </c>
      <c r="G151" s="17">
        <v>103.04</v>
      </c>
      <c r="H151" s="17">
        <f t="shared" si="16"/>
        <v>582.17999999999995</v>
      </c>
      <c r="I151" s="18">
        <f t="shared" si="17"/>
        <v>8.0439507719553011E-3</v>
      </c>
      <c r="J151" s="18">
        <f t="shared" si="19"/>
        <v>29.956823073849918</v>
      </c>
      <c r="K151" s="392" t="str">
        <f t="shared" si="18"/>
        <v>A</v>
      </c>
    </row>
    <row r="152" spans="1:11" ht="20.100000000000001" customHeight="1" x14ac:dyDescent="0.25">
      <c r="A152" s="391" t="s">
        <v>545</v>
      </c>
      <c r="B152" s="15" t="s">
        <v>546</v>
      </c>
      <c r="C152" s="14" t="s">
        <v>82</v>
      </c>
      <c r="D152" s="14" t="s">
        <v>1912</v>
      </c>
      <c r="E152" s="14" t="s">
        <v>226</v>
      </c>
      <c r="F152" s="16">
        <v>8</v>
      </c>
      <c r="G152" s="17">
        <v>70.25</v>
      </c>
      <c r="H152" s="17">
        <f t="shared" si="16"/>
        <v>562</v>
      </c>
      <c r="I152" s="18">
        <f t="shared" si="17"/>
        <v>7.7651247618243146E-3</v>
      </c>
      <c r="J152" s="18">
        <f t="shared" si="19"/>
        <v>29.964588198611743</v>
      </c>
      <c r="K152" s="392" t="str">
        <f t="shared" si="18"/>
        <v>A</v>
      </c>
    </row>
    <row r="153" spans="1:11" ht="20.100000000000001" customHeight="1" x14ac:dyDescent="0.25">
      <c r="A153" s="391" t="s">
        <v>240</v>
      </c>
      <c r="B153" s="15" t="s">
        <v>241</v>
      </c>
      <c r="C153" s="14" t="s">
        <v>51</v>
      </c>
      <c r="D153" s="14" t="s">
        <v>1912</v>
      </c>
      <c r="E153" s="14" t="s">
        <v>68</v>
      </c>
      <c r="F153" s="16">
        <v>2</v>
      </c>
      <c r="G153" s="17">
        <v>237.45</v>
      </c>
      <c r="H153" s="17">
        <f t="shared" si="16"/>
        <v>474.9</v>
      </c>
      <c r="I153" s="18">
        <f t="shared" si="17"/>
        <v>6.5616685932212929E-3</v>
      </c>
      <c r="J153" s="18">
        <f t="shared" si="19"/>
        <v>29.971149867204964</v>
      </c>
      <c r="K153" s="392" t="str">
        <f t="shared" si="18"/>
        <v>A</v>
      </c>
    </row>
    <row r="154" spans="1:11" ht="27.95" customHeight="1" x14ac:dyDescent="0.25">
      <c r="A154" s="391" t="s">
        <v>243</v>
      </c>
      <c r="B154" s="15" t="s">
        <v>244</v>
      </c>
      <c r="C154" s="14" t="s">
        <v>51</v>
      </c>
      <c r="D154" s="14" t="s">
        <v>1912</v>
      </c>
      <c r="E154" s="14" t="s">
        <v>68</v>
      </c>
      <c r="F154" s="16">
        <v>1</v>
      </c>
      <c r="G154" s="17">
        <v>473.2</v>
      </c>
      <c r="H154" s="17">
        <f t="shared" si="16"/>
        <v>473.2</v>
      </c>
      <c r="I154" s="18">
        <f t="shared" si="17"/>
        <v>6.5381797816641734E-3</v>
      </c>
      <c r="J154" s="18">
        <f t="shared" si="19"/>
        <v>29.977688046986628</v>
      </c>
      <c r="K154" s="392" t="str">
        <f t="shared" si="18"/>
        <v>A</v>
      </c>
    </row>
    <row r="155" spans="1:11" ht="20.100000000000001" customHeight="1" x14ac:dyDescent="0.25">
      <c r="A155" s="391" t="s">
        <v>132</v>
      </c>
      <c r="B155" s="15" t="s">
        <v>133</v>
      </c>
      <c r="C155" s="14" t="s">
        <v>51</v>
      </c>
      <c r="D155" s="14" t="s">
        <v>1912</v>
      </c>
      <c r="E155" s="14" t="s">
        <v>68</v>
      </c>
      <c r="F155" s="16">
        <v>6</v>
      </c>
      <c r="G155" s="17">
        <v>78.67</v>
      </c>
      <c r="H155" s="17">
        <f t="shared" si="16"/>
        <v>472.02</v>
      </c>
      <c r="I155" s="18">
        <f t="shared" si="17"/>
        <v>6.5218757830539384E-3</v>
      </c>
      <c r="J155" s="18">
        <f t="shared" si="19"/>
        <v>29.984209922769683</v>
      </c>
      <c r="K155" s="392" t="str">
        <f t="shared" si="18"/>
        <v>A</v>
      </c>
    </row>
    <row r="156" spans="1:11" ht="20.100000000000001" customHeight="1" x14ac:dyDescent="0.25">
      <c r="A156" s="391" t="s">
        <v>190</v>
      </c>
      <c r="B156" s="15" t="s">
        <v>191</v>
      </c>
      <c r="C156" s="14" t="s">
        <v>51</v>
      </c>
      <c r="D156" s="14" t="s">
        <v>1912</v>
      </c>
      <c r="E156" s="14" t="s">
        <v>72</v>
      </c>
      <c r="F156" s="16">
        <v>5.5</v>
      </c>
      <c r="G156" s="17">
        <v>68.94</v>
      </c>
      <c r="H156" s="17">
        <f t="shared" si="16"/>
        <v>379.17</v>
      </c>
      <c r="I156" s="18">
        <f t="shared" si="17"/>
        <v>5.2389721635959525E-3</v>
      </c>
      <c r="J156" s="18">
        <f t="shared" si="19"/>
        <v>29.989448894933279</v>
      </c>
      <c r="K156" s="392" t="str">
        <f t="shared" si="18"/>
        <v>A</v>
      </c>
    </row>
    <row r="157" spans="1:11" ht="20.100000000000001" customHeight="1" x14ac:dyDescent="0.25">
      <c r="A157" s="391" t="s">
        <v>234</v>
      </c>
      <c r="B157" s="15" t="s">
        <v>235</v>
      </c>
      <c r="C157" s="14" t="s">
        <v>51</v>
      </c>
      <c r="D157" s="14" t="s">
        <v>1912</v>
      </c>
      <c r="E157" s="14" t="s">
        <v>68</v>
      </c>
      <c r="F157" s="16">
        <v>2</v>
      </c>
      <c r="G157" s="17">
        <v>180.89</v>
      </c>
      <c r="H157" s="17">
        <f t="shared" si="16"/>
        <v>361.78</v>
      </c>
      <c r="I157" s="18">
        <f t="shared" si="17"/>
        <v>4.9986954383145913E-3</v>
      </c>
      <c r="J157" s="18">
        <f t="shared" si="19"/>
        <v>29.994447590371593</v>
      </c>
      <c r="K157" s="392" t="str">
        <f t="shared" si="18"/>
        <v>A</v>
      </c>
    </row>
    <row r="158" spans="1:11" ht="20.100000000000001" customHeight="1" x14ac:dyDescent="0.25">
      <c r="A158" s="391" t="s">
        <v>586</v>
      </c>
      <c r="B158" s="15" t="s">
        <v>587</v>
      </c>
      <c r="C158" s="14" t="s">
        <v>82</v>
      </c>
      <c r="D158" s="14" t="s">
        <v>1912</v>
      </c>
      <c r="E158" s="14" t="s">
        <v>226</v>
      </c>
      <c r="F158" s="16">
        <v>2</v>
      </c>
      <c r="G158" s="17">
        <v>167.38</v>
      </c>
      <c r="H158" s="17">
        <f t="shared" si="16"/>
        <v>334.76</v>
      </c>
      <c r="I158" s="18">
        <f t="shared" si="17"/>
        <v>4.6253615040361346E-3</v>
      </c>
      <c r="J158" s="18">
        <f t="shared" si="19"/>
        <v>29.999072951875629</v>
      </c>
      <c r="K158" s="392" t="str">
        <f t="shared" si="18"/>
        <v>A</v>
      </c>
    </row>
    <row r="159" spans="1:11" ht="20.100000000000001" customHeight="1" x14ac:dyDescent="0.25">
      <c r="A159" s="391" t="s">
        <v>52</v>
      </c>
      <c r="B159" s="15" t="s">
        <v>53</v>
      </c>
      <c r="C159" s="14" t="s">
        <v>51</v>
      </c>
      <c r="D159" s="14" t="s">
        <v>1912</v>
      </c>
      <c r="E159" s="14" t="s">
        <v>54</v>
      </c>
      <c r="F159" s="16">
        <v>1</v>
      </c>
      <c r="G159" s="17">
        <v>322.37</v>
      </c>
      <c r="H159" s="17">
        <f t="shared" si="16"/>
        <v>322.37</v>
      </c>
      <c r="I159" s="18">
        <f t="shared" si="17"/>
        <v>4.4541695186286557E-3</v>
      </c>
      <c r="J159" s="18">
        <f t="shared" si="19"/>
        <v>30.003527121394256</v>
      </c>
      <c r="K159" s="392" t="str">
        <f t="shared" si="18"/>
        <v>A</v>
      </c>
    </row>
    <row r="160" spans="1:11" ht="20.100000000000001" customHeight="1" x14ac:dyDescent="0.25">
      <c r="A160" s="391" t="s">
        <v>100</v>
      </c>
      <c r="B160" s="15" t="s">
        <v>101</v>
      </c>
      <c r="C160" s="14" t="s">
        <v>51</v>
      </c>
      <c r="D160" s="14" t="s">
        <v>1912</v>
      </c>
      <c r="E160" s="14" t="s">
        <v>54</v>
      </c>
      <c r="F160" s="16">
        <v>18.04</v>
      </c>
      <c r="G160" s="17">
        <v>17.510000000000002</v>
      </c>
      <c r="H160" s="17">
        <f t="shared" si="16"/>
        <v>315.88</v>
      </c>
      <c r="I160" s="18">
        <f t="shared" si="17"/>
        <v>4.3644975262723575E-3</v>
      </c>
      <c r="J160" s="18">
        <f t="shared" si="19"/>
        <v>30.007891618920528</v>
      </c>
      <c r="K160" s="392" t="str">
        <f t="shared" si="18"/>
        <v>A</v>
      </c>
    </row>
    <row r="161" spans="1:11" ht="20.100000000000001" customHeight="1" x14ac:dyDescent="0.25">
      <c r="A161" s="391" t="s">
        <v>97</v>
      </c>
      <c r="B161" s="15" t="s">
        <v>98</v>
      </c>
      <c r="C161" s="14" t="s">
        <v>51</v>
      </c>
      <c r="D161" s="14" t="s">
        <v>1912</v>
      </c>
      <c r="E161" s="14" t="s">
        <v>54</v>
      </c>
      <c r="F161" s="16">
        <v>15</v>
      </c>
      <c r="G161" s="17">
        <v>20.88</v>
      </c>
      <c r="H161" s="17">
        <f t="shared" si="16"/>
        <v>313.2</v>
      </c>
      <c r="I161" s="18">
        <f t="shared" si="17"/>
        <v>4.3274681056999558E-3</v>
      </c>
      <c r="J161" s="18">
        <f t="shared" si="19"/>
        <v>30.012219087026228</v>
      </c>
      <c r="K161" s="392" t="str">
        <f t="shared" si="18"/>
        <v>A</v>
      </c>
    </row>
    <row r="162" spans="1:11" ht="20.100000000000001" customHeight="1" x14ac:dyDescent="0.25">
      <c r="A162" s="391" t="s">
        <v>659</v>
      </c>
      <c r="B162" s="15" t="s">
        <v>660</v>
      </c>
      <c r="C162" s="14" t="s">
        <v>82</v>
      </c>
      <c r="D162" s="14" t="s">
        <v>1912</v>
      </c>
      <c r="E162" s="14" t="s">
        <v>226</v>
      </c>
      <c r="F162" s="16">
        <v>6</v>
      </c>
      <c r="G162" s="17">
        <v>50.33</v>
      </c>
      <c r="H162" s="17">
        <f t="shared" si="16"/>
        <v>301.98</v>
      </c>
      <c r="I162" s="18">
        <f t="shared" si="17"/>
        <v>4.1724419494229663E-3</v>
      </c>
      <c r="J162" s="18">
        <f t="shared" si="19"/>
        <v>30.01639152897565</v>
      </c>
      <c r="K162" s="392" t="str">
        <f t="shared" si="18"/>
        <v>A</v>
      </c>
    </row>
    <row r="163" spans="1:11" ht="15" customHeight="1" x14ac:dyDescent="0.25">
      <c r="A163" s="391" t="s">
        <v>735</v>
      </c>
      <c r="B163" s="15" t="s">
        <v>736</v>
      </c>
      <c r="C163" s="14" t="s">
        <v>77</v>
      </c>
      <c r="D163" s="14" t="s">
        <v>1912</v>
      </c>
      <c r="E163" s="14" t="s">
        <v>251</v>
      </c>
      <c r="F163" s="16">
        <v>65</v>
      </c>
      <c r="G163" s="17">
        <v>4.5199999999999996</v>
      </c>
      <c r="H163" s="17">
        <f t="shared" si="16"/>
        <v>293.8</v>
      </c>
      <c r="I163" s="18">
        <f t="shared" si="17"/>
        <v>4.0594193149892949E-3</v>
      </c>
      <c r="J163" s="18">
        <f t="shared" si="19"/>
        <v>30.020450948290637</v>
      </c>
      <c r="K163" s="392" t="str">
        <f t="shared" si="18"/>
        <v>A</v>
      </c>
    </row>
    <row r="164" spans="1:11" ht="15" customHeight="1" x14ac:dyDescent="0.25">
      <c r="A164" s="391" t="s">
        <v>551</v>
      </c>
      <c r="B164" s="15" t="s">
        <v>552</v>
      </c>
      <c r="C164" s="14" t="s">
        <v>82</v>
      </c>
      <c r="D164" s="14" t="s">
        <v>1912</v>
      </c>
      <c r="E164" s="14" t="s">
        <v>226</v>
      </c>
      <c r="F164" s="16">
        <v>3</v>
      </c>
      <c r="G164" s="17">
        <v>94.13</v>
      </c>
      <c r="H164" s="17">
        <f t="shared" si="16"/>
        <v>282.39</v>
      </c>
      <c r="I164" s="18">
        <f t="shared" si="17"/>
        <v>3.9017679385970967E-3</v>
      </c>
      <c r="J164" s="18">
        <f t="shared" si="19"/>
        <v>30.024352716229235</v>
      </c>
      <c r="K164" s="392" t="str">
        <f t="shared" si="18"/>
        <v>A</v>
      </c>
    </row>
    <row r="165" spans="1:11" ht="20.100000000000001" customHeight="1" x14ac:dyDescent="0.25">
      <c r="A165" s="391" t="s">
        <v>548</v>
      </c>
      <c r="B165" s="15" t="s">
        <v>549</v>
      </c>
      <c r="C165" s="14" t="s">
        <v>82</v>
      </c>
      <c r="D165" s="14" t="s">
        <v>1912</v>
      </c>
      <c r="E165" s="14" t="s">
        <v>226</v>
      </c>
      <c r="F165" s="16">
        <v>3</v>
      </c>
      <c r="G165" s="17">
        <v>76.95</v>
      </c>
      <c r="H165" s="17">
        <f t="shared" si="16"/>
        <v>230.85</v>
      </c>
      <c r="I165" s="18">
        <f t="shared" si="17"/>
        <v>3.1896424399771228E-3</v>
      </c>
      <c r="J165" s="18">
        <f t="shared" si="19"/>
        <v>30.027542358669212</v>
      </c>
      <c r="K165" s="392" t="str">
        <f t="shared" si="18"/>
        <v>A</v>
      </c>
    </row>
    <row r="166" spans="1:11" ht="15" customHeight="1" x14ac:dyDescent="0.25">
      <c r="A166" s="391" t="s">
        <v>224</v>
      </c>
      <c r="B166" s="15" t="s">
        <v>225</v>
      </c>
      <c r="C166" s="14" t="s">
        <v>82</v>
      </c>
      <c r="D166" s="14" t="s">
        <v>1912</v>
      </c>
      <c r="E166" s="14" t="s">
        <v>226</v>
      </c>
      <c r="F166" s="16">
        <v>2</v>
      </c>
      <c r="G166" s="17">
        <v>108.13</v>
      </c>
      <c r="H166" s="17">
        <f t="shared" si="16"/>
        <v>216.26</v>
      </c>
      <c r="I166" s="18">
        <f t="shared" si="17"/>
        <v>2.988053169025136E-3</v>
      </c>
      <c r="J166" s="18">
        <f t="shared" si="19"/>
        <v>30.030530411838239</v>
      </c>
      <c r="K166" s="392" t="str">
        <f t="shared" si="18"/>
        <v>A</v>
      </c>
    </row>
    <row r="167" spans="1:11" ht="20.100000000000001" customHeight="1" x14ac:dyDescent="0.25">
      <c r="A167" s="391" t="s">
        <v>142</v>
      </c>
      <c r="B167" s="15" t="s">
        <v>143</v>
      </c>
      <c r="C167" s="14" t="s">
        <v>51</v>
      </c>
      <c r="D167" s="14" t="s">
        <v>1912</v>
      </c>
      <c r="E167" s="14" t="s">
        <v>89</v>
      </c>
      <c r="F167" s="16">
        <v>9.27</v>
      </c>
      <c r="G167" s="17">
        <v>23.29</v>
      </c>
      <c r="H167" s="17">
        <f t="shared" ref="H167:H185" si="20">ROUND(F167*G167,2)</f>
        <v>215.9</v>
      </c>
      <c r="I167" s="18">
        <f t="shared" ref="I167:I185" si="21">H167/VALOR_TOTAL*100</f>
        <v>2.9830790677542163E-3</v>
      </c>
      <c r="J167" s="18">
        <f t="shared" si="19"/>
        <v>30.033513490905992</v>
      </c>
      <c r="K167" s="392" t="str">
        <f t="shared" ref="K167:K185" si="22">IF(J167&lt;=50,"A",IF(J167&lt;=80,"B","C"))</f>
        <v>A</v>
      </c>
    </row>
    <row r="168" spans="1:11" ht="20.100000000000001" customHeight="1" x14ac:dyDescent="0.25">
      <c r="A168" s="391" t="s">
        <v>237</v>
      </c>
      <c r="B168" s="15" t="s">
        <v>238</v>
      </c>
      <c r="C168" s="14" t="s">
        <v>51</v>
      </c>
      <c r="D168" s="14" t="s">
        <v>1912</v>
      </c>
      <c r="E168" s="14" t="s">
        <v>68</v>
      </c>
      <c r="F168" s="16">
        <v>1</v>
      </c>
      <c r="G168" s="17">
        <v>215.64</v>
      </c>
      <c r="H168" s="17">
        <f t="shared" si="20"/>
        <v>215.64</v>
      </c>
      <c r="I168" s="18">
        <f t="shared" si="21"/>
        <v>2.9794866612807744E-3</v>
      </c>
      <c r="J168" s="18">
        <f t="shared" ref="J168:J185" si="23">I168+J167</f>
        <v>30.036492977567274</v>
      </c>
      <c r="K168" s="392" t="str">
        <f t="shared" si="22"/>
        <v>A</v>
      </c>
    </row>
    <row r="169" spans="1:11" ht="20.100000000000001" customHeight="1" x14ac:dyDescent="0.25">
      <c r="A169" s="391" t="s">
        <v>350</v>
      </c>
      <c r="B169" s="15" t="s">
        <v>351</v>
      </c>
      <c r="C169" s="14" t="s">
        <v>51</v>
      </c>
      <c r="D169" s="14" t="s">
        <v>1912</v>
      </c>
      <c r="E169" s="14" t="s">
        <v>54</v>
      </c>
      <c r="F169" s="16">
        <v>13.09</v>
      </c>
      <c r="G169" s="17">
        <v>15.88</v>
      </c>
      <c r="H169" s="17">
        <f t="shared" si="20"/>
        <v>207.87</v>
      </c>
      <c r="I169" s="18">
        <f t="shared" si="21"/>
        <v>2.8721289755167623E-3</v>
      </c>
      <c r="J169" s="18">
        <f t="shared" si="23"/>
        <v>30.039365106542792</v>
      </c>
      <c r="K169" s="392" t="str">
        <f t="shared" si="22"/>
        <v>A</v>
      </c>
    </row>
    <row r="170" spans="1:11" ht="20.100000000000001" customHeight="1" x14ac:dyDescent="0.25">
      <c r="A170" s="391" t="s">
        <v>228</v>
      </c>
      <c r="B170" s="15" t="s">
        <v>229</v>
      </c>
      <c r="C170" s="14" t="s">
        <v>82</v>
      </c>
      <c r="D170" s="14" t="s">
        <v>1912</v>
      </c>
      <c r="E170" s="14" t="s">
        <v>226</v>
      </c>
      <c r="F170" s="16">
        <v>2</v>
      </c>
      <c r="G170" s="17">
        <v>94.06</v>
      </c>
      <c r="H170" s="17">
        <f t="shared" si="20"/>
        <v>188.12</v>
      </c>
      <c r="I170" s="18">
        <f t="shared" si="21"/>
        <v>2.599244253014929E-3</v>
      </c>
      <c r="J170" s="18">
        <f t="shared" si="23"/>
        <v>30.041964350795809</v>
      </c>
      <c r="K170" s="392" t="str">
        <f t="shared" si="22"/>
        <v>A</v>
      </c>
    </row>
    <row r="171" spans="1:11" ht="20.100000000000001" customHeight="1" x14ac:dyDescent="0.25">
      <c r="A171" s="391" t="s">
        <v>566</v>
      </c>
      <c r="B171" s="15" t="s">
        <v>567</v>
      </c>
      <c r="C171" s="14" t="s">
        <v>51</v>
      </c>
      <c r="D171" s="14" t="s">
        <v>1912</v>
      </c>
      <c r="E171" s="14" t="s">
        <v>68</v>
      </c>
      <c r="F171" s="16">
        <v>1</v>
      </c>
      <c r="G171" s="17">
        <v>162.27000000000001</v>
      </c>
      <c r="H171" s="17">
        <f t="shared" si="20"/>
        <v>162.27000000000001</v>
      </c>
      <c r="I171" s="18">
        <f t="shared" si="21"/>
        <v>2.24207614786696E-3</v>
      </c>
      <c r="J171" s="18">
        <f t="shared" si="23"/>
        <v>30.044206426943674</v>
      </c>
      <c r="K171" s="392" t="str">
        <f t="shared" si="22"/>
        <v>A</v>
      </c>
    </row>
    <row r="172" spans="1:11" ht="20.100000000000001" customHeight="1" x14ac:dyDescent="0.25">
      <c r="A172" s="391" t="s">
        <v>94</v>
      </c>
      <c r="B172" s="15" t="s">
        <v>95</v>
      </c>
      <c r="C172" s="14" t="s">
        <v>51</v>
      </c>
      <c r="D172" s="14" t="s">
        <v>1912</v>
      </c>
      <c r="E172" s="14" t="s">
        <v>54</v>
      </c>
      <c r="F172" s="16">
        <v>15</v>
      </c>
      <c r="G172" s="17">
        <v>10.42</v>
      </c>
      <c r="H172" s="17">
        <f t="shared" si="20"/>
        <v>156.30000000000001</v>
      </c>
      <c r="I172" s="18">
        <f t="shared" si="21"/>
        <v>2.1595889684575455E-3</v>
      </c>
      <c r="J172" s="18">
        <f t="shared" si="23"/>
        <v>30.046366015912131</v>
      </c>
      <c r="K172" s="392" t="str">
        <f t="shared" si="22"/>
        <v>A</v>
      </c>
    </row>
    <row r="173" spans="1:11" ht="20.100000000000001" customHeight="1" x14ac:dyDescent="0.25">
      <c r="A173" s="391" t="s">
        <v>595</v>
      </c>
      <c r="B173" s="15" t="s">
        <v>596</v>
      </c>
      <c r="C173" s="14" t="s">
        <v>51</v>
      </c>
      <c r="D173" s="14" t="s">
        <v>1912</v>
      </c>
      <c r="E173" s="14" t="s">
        <v>68</v>
      </c>
      <c r="F173" s="16">
        <v>1</v>
      </c>
      <c r="G173" s="17">
        <v>152.33000000000001</v>
      </c>
      <c r="H173" s="17">
        <f t="shared" si="20"/>
        <v>152.33000000000001</v>
      </c>
      <c r="I173" s="18">
        <f t="shared" si="21"/>
        <v>2.1047356849976831E-3</v>
      </c>
      <c r="J173" s="18">
        <f t="shared" si="23"/>
        <v>30.048470751597129</v>
      </c>
      <c r="K173" s="392" t="str">
        <f t="shared" si="22"/>
        <v>A</v>
      </c>
    </row>
    <row r="174" spans="1:11" ht="15" customHeight="1" x14ac:dyDescent="0.25">
      <c r="A174" s="391" t="s">
        <v>542</v>
      </c>
      <c r="B174" s="15" t="s">
        <v>543</v>
      </c>
      <c r="C174" s="14" t="s">
        <v>82</v>
      </c>
      <c r="D174" s="14" t="s">
        <v>1912</v>
      </c>
      <c r="E174" s="14" t="s">
        <v>226</v>
      </c>
      <c r="F174" s="16">
        <v>1</v>
      </c>
      <c r="G174" s="17">
        <v>150.59</v>
      </c>
      <c r="H174" s="17">
        <f t="shared" si="20"/>
        <v>150.59</v>
      </c>
      <c r="I174" s="18">
        <f t="shared" si="21"/>
        <v>2.0806941955215721E-3</v>
      </c>
      <c r="J174" s="18">
        <f t="shared" si="23"/>
        <v>30.050551445792649</v>
      </c>
      <c r="K174" s="392" t="str">
        <f t="shared" si="22"/>
        <v>A</v>
      </c>
    </row>
    <row r="175" spans="1:11" ht="20.100000000000001" customHeight="1" x14ac:dyDescent="0.25">
      <c r="A175" s="391" t="s">
        <v>415</v>
      </c>
      <c r="B175" s="15" t="s">
        <v>416</v>
      </c>
      <c r="C175" s="14" t="s">
        <v>82</v>
      </c>
      <c r="D175" s="14" t="s">
        <v>1912</v>
      </c>
      <c r="E175" s="14" t="s">
        <v>122</v>
      </c>
      <c r="F175" s="16">
        <v>36.78</v>
      </c>
      <c r="G175" s="17">
        <v>3.65</v>
      </c>
      <c r="H175" s="17">
        <f t="shared" si="20"/>
        <v>134.25</v>
      </c>
      <c r="I175" s="18">
        <f t="shared" si="21"/>
        <v>1.8549252656137264E-3</v>
      </c>
      <c r="J175" s="18">
        <f t="shared" si="23"/>
        <v>30.052406371058265</v>
      </c>
      <c r="K175" s="392" t="str">
        <f t="shared" si="22"/>
        <v>A</v>
      </c>
    </row>
    <row r="176" spans="1:11" ht="20.100000000000001" customHeight="1" x14ac:dyDescent="0.25">
      <c r="A176" s="391" t="s">
        <v>135</v>
      </c>
      <c r="B176" s="15" t="s">
        <v>136</v>
      </c>
      <c r="C176" s="14" t="s">
        <v>51</v>
      </c>
      <c r="D176" s="14" t="s">
        <v>1912</v>
      </c>
      <c r="E176" s="14" t="s">
        <v>89</v>
      </c>
      <c r="F176" s="16">
        <v>0.43</v>
      </c>
      <c r="G176" s="17">
        <v>300.89</v>
      </c>
      <c r="H176" s="17">
        <f t="shared" si="20"/>
        <v>129.38</v>
      </c>
      <c r="I176" s="18">
        <f t="shared" si="21"/>
        <v>1.7876367289765655E-3</v>
      </c>
      <c r="J176" s="18">
        <f t="shared" si="23"/>
        <v>30.054194007787242</v>
      </c>
      <c r="K176" s="392" t="str">
        <f t="shared" si="22"/>
        <v>A</v>
      </c>
    </row>
    <row r="177" spans="1:11" ht="20.100000000000001" customHeight="1" x14ac:dyDescent="0.25">
      <c r="A177" s="391" t="s">
        <v>112</v>
      </c>
      <c r="B177" s="15" t="s">
        <v>113</v>
      </c>
      <c r="C177" s="14" t="s">
        <v>77</v>
      </c>
      <c r="D177" s="14" t="s">
        <v>1912</v>
      </c>
      <c r="E177" s="14" t="s">
        <v>68</v>
      </c>
      <c r="F177" s="16">
        <v>1</v>
      </c>
      <c r="G177" s="17">
        <v>89.49</v>
      </c>
      <c r="H177" s="17">
        <f t="shared" si="20"/>
        <v>89.49</v>
      </c>
      <c r="I177" s="18">
        <f t="shared" si="21"/>
        <v>1.2364786742627366E-3</v>
      </c>
      <c r="J177" s="18">
        <f t="shared" si="23"/>
        <v>30.055430486461503</v>
      </c>
      <c r="K177" s="392" t="str">
        <f t="shared" si="22"/>
        <v>A</v>
      </c>
    </row>
    <row r="178" spans="1:11" ht="20.100000000000001" customHeight="1" x14ac:dyDescent="0.25">
      <c r="A178" s="391" t="s">
        <v>103</v>
      </c>
      <c r="B178" s="15" t="s">
        <v>104</v>
      </c>
      <c r="C178" s="14" t="s">
        <v>51</v>
      </c>
      <c r="D178" s="14" t="s">
        <v>1912</v>
      </c>
      <c r="E178" s="14" t="s">
        <v>54</v>
      </c>
      <c r="F178" s="16">
        <v>2.73</v>
      </c>
      <c r="G178" s="17">
        <v>31.37</v>
      </c>
      <c r="H178" s="17">
        <f t="shared" si="20"/>
        <v>85.64</v>
      </c>
      <c r="I178" s="18">
        <f t="shared" si="21"/>
        <v>1.1832834245598476E-3</v>
      </c>
      <c r="J178" s="18">
        <f t="shared" si="23"/>
        <v>30.056613769886063</v>
      </c>
      <c r="K178" s="392" t="str">
        <f t="shared" si="22"/>
        <v>A</v>
      </c>
    </row>
    <row r="179" spans="1:11" ht="15" customHeight="1" x14ac:dyDescent="0.25">
      <c r="A179" s="391" t="s">
        <v>592</v>
      </c>
      <c r="B179" s="15" t="s">
        <v>593</v>
      </c>
      <c r="C179" s="14" t="s">
        <v>77</v>
      </c>
      <c r="D179" s="14" t="s">
        <v>1912</v>
      </c>
      <c r="E179" s="14" t="s">
        <v>226</v>
      </c>
      <c r="F179" s="16">
        <v>1</v>
      </c>
      <c r="G179" s="17">
        <v>77.63</v>
      </c>
      <c r="H179" s="17">
        <f t="shared" si="20"/>
        <v>77.63</v>
      </c>
      <c r="I179" s="18">
        <f t="shared" si="21"/>
        <v>1.072609671281889E-3</v>
      </c>
      <c r="J179" s="18">
        <f t="shared" si="23"/>
        <v>30.057686379557346</v>
      </c>
      <c r="K179" s="392" t="str">
        <f t="shared" si="22"/>
        <v>A</v>
      </c>
    </row>
    <row r="180" spans="1:11" ht="20.100000000000001" customHeight="1" x14ac:dyDescent="0.25">
      <c r="A180" s="391" t="s">
        <v>109</v>
      </c>
      <c r="B180" s="15" t="s">
        <v>110</v>
      </c>
      <c r="C180" s="14" t="s">
        <v>51</v>
      </c>
      <c r="D180" s="14" t="s">
        <v>1912</v>
      </c>
      <c r="E180" s="14" t="s">
        <v>68</v>
      </c>
      <c r="F180" s="16">
        <v>4</v>
      </c>
      <c r="G180" s="17">
        <v>18.309999999999999</v>
      </c>
      <c r="H180" s="17">
        <f t="shared" si="20"/>
        <v>73.239999999999995</v>
      </c>
      <c r="I180" s="18">
        <f t="shared" si="21"/>
        <v>1.0119532696726207E-3</v>
      </c>
      <c r="J180" s="18">
        <f t="shared" si="23"/>
        <v>30.058698332827017</v>
      </c>
      <c r="K180" s="392" t="str">
        <f t="shared" si="22"/>
        <v>A</v>
      </c>
    </row>
    <row r="181" spans="1:11" ht="20.100000000000001" customHeight="1" x14ac:dyDescent="0.25">
      <c r="A181" s="391" t="s">
        <v>91</v>
      </c>
      <c r="B181" s="15" t="s">
        <v>92</v>
      </c>
      <c r="C181" s="14" t="s">
        <v>82</v>
      </c>
      <c r="D181" s="14" t="s">
        <v>1912</v>
      </c>
      <c r="E181" s="14" t="s">
        <v>85</v>
      </c>
      <c r="F181" s="16">
        <v>0.19</v>
      </c>
      <c r="G181" s="17">
        <v>323.69</v>
      </c>
      <c r="H181" s="17">
        <f t="shared" si="20"/>
        <v>61.5</v>
      </c>
      <c r="I181" s="18">
        <f t="shared" si="21"/>
        <v>8.497423004487463E-4</v>
      </c>
      <c r="J181" s="18">
        <f t="shared" si="23"/>
        <v>30.059548075127466</v>
      </c>
      <c r="K181" s="392" t="str">
        <f t="shared" si="22"/>
        <v>A</v>
      </c>
    </row>
    <row r="182" spans="1:11" ht="20.100000000000001" customHeight="1" x14ac:dyDescent="0.25">
      <c r="A182" s="391" t="s">
        <v>106</v>
      </c>
      <c r="B182" s="15" t="s">
        <v>107</v>
      </c>
      <c r="C182" s="14" t="s">
        <v>51</v>
      </c>
      <c r="D182" s="14" t="s">
        <v>1912</v>
      </c>
      <c r="E182" s="14" t="s">
        <v>68</v>
      </c>
      <c r="F182" s="16">
        <v>2</v>
      </c>
      <c r="G182" s="17">
        <v>28.44</v>
      </c>
      <c r="H182" s="17">
        <f t="shared" si="20"/>
        <v>56.88</v>
      </c>
      <c r="I182" s="18">
        <f t="shared" si="21"/>
        <v>7.8590800080527944E-4</v>
      </c>
      <c r="J182" s="18">
        <f t="shared" si="23"/>
        <v>30.06033398312827</v>
      </c>
      <c r="K182" s="392" t="str">
        <f t="shared" si="22"/>
        <v>A</v>
      </c>
    </row>
    <row r="183" spans="1:11" ht="15" customHeight="1" x14ac:dyDescent="0.25">
      <c r="A183" s="391" t="s">
        <v>666</v>
      </c>
      <c r="B183" s="15" t="s">
        <v>667</v>
      </c>
      <c r="C183" s="14" t="s">
        <v>77</v>
      </c>
      <c r="D183" s="14" t="s">
        <v>1912</v>
      </c>
      <c r="E183" s="14" t="s">
        <v>579</v>
      </c>
      <c r="F183" s="16">
        <v>1</v>
      </c>
      <c r="G183" s="17">
        <v>41.12</v>
      </c>
      <c r="H183" s="17">
        <f t="shared" si="20"/>
        <v>41.12</v>
      </c>
      <c r="I183" s="18">
        <f t="shared" si="21"/>
        <v>5.68152900722804E-4</v>
      </c>
      <c r="J183" s="18">
        <f t="shared" si="23"/>
        <v>30.060902136028993</v>
      </c>
      <c r="K183" s="392" t="str">
        <f t="shared" si="22"/>
        <v>A</v>
      </c>
    </row>
    <row r="184" spans="1:11" ht="20.100000000000001" customHeight="1" x14ac:dyDescent="0.25">
      <c r="A184" s="391" t="s">
        <v>370</v>
      </c>
      <c r="B184" s="15" t="s">
        <v>371</v>
      </c>
      <c r="C184" s="14" t="s">
        <v>51</v>
      </c>
      <c r="D184" s="14" t="s">
        <v>1912</v>
      </c>
      <c r="E184" s="14" t="s">
        <v>54</v>
      </c>
      <c r="F184" s="16">
        <v>4.3</v>
      </c>
      <c r="G184" s="17">
        <v>4.5</v>
      </c>
      <c r="H184" s="17">
        <f t="shared" si="20"/>
        <v>19.350000000000001</v>
      </c>
      <c r="I184" s="18">
        <f t="shared" si="21"/>
        <v>2.6735794331192263E-4</v>
      </c>
      <c r="J184" s="18">
        <f t="shared" si="23"/>
        <v>30.061169493972304</v>
      </c>
      <c r="K184" s="392" t="str">
        <f t="shared" si="22"/>
        <v>A</v>
      </c>
    </row>
    <row r="185" spans="1:11" ht="20.100000000000001" customHeight="1" x14ac:dyDescent="0.25">
      <c r="A185" s="391" t="s">
        <v>275</v>
      </c>
      <c r="B185" s="15" t="s">
        <v>276</v>
      </c>
      <c r="C185" s="14" t="s">
        <v>77</v>
      </c>
      <c r="D185" s="14" t="s">
        <v>1912</v>
      </c>
      <c r="E185" s="14" t="s">
        <v>54</v>
      </c>
      <c r="F185" s="16">
        <v>0.04</v>
      </c>
      <c r="G185" s="17">
        <v>98.46</v>
      </c>
      <c r="H185" s="17">
        <f t="shared" si="20"/>
        <v>3.94</v>
      </c>
      <c r="I185" s="18">
        <f t="shared" si="21"/>
        <v>5.4438775020618865E-5</v>
      </c>
      <c r="J185" s="18">
        <f t="shared" si="23"/>
        <v>30.061223932747325</v>
      </c>
      <c r="K185" s="392" t="str">
        <f t="shared" si="22"/>
        <v>A</v>
      </c>
    </row>
    <row r="186" spans="1:11" ht="18" customHeight="1" x14ac:dyDescent="0.25">
      <c r="A186" s="167"/>
      <c r="B186" s="178"/>
      <c r="C186" s="546" t="s">
        <v>1804</v>
      </c>
      <c r="D186" s="546"/>
      <c r="E186" s="546"/>
      <c r="F186" s="546"/>
      <c r="G186" s="178"/>
      <c r="H186" s="178"/>
      <c r="I186" s="178"/>
      <c r="J186" s="178"/>
      <c r="K186" s="168"/>
    </row>
    <row r="187" spans="1:11" ht="18" customHeight="1" x14ac:dyDescent="0.25">
      <c r="A187" s="167"/>
      <c r="B187" s="178"/>
      <c r="C187" s="178"/>
      <c r="D187" s="178"/>
      <c r="E187" s="178"/>
      <c r="F187" s="178"/>
      <c r="G187" s="546" t="str">
        <f>"Subtotal até "&amp;TRUNC(J185,2)&amp;"%"</f>
        <v>Subtotal até 30,06%</v>
      </c>
      <c r="H187" s="546"/>
      <c r="I187" s="547">
        <f>SUM(H7:H185)</f>
        <v>2175677.5799999991</v>
      </c>
      <c r="J187" s="547"/>
      <c r="K187" s="548"/>
    </row>
    <row r="188" spans="1:11" ht="18" customHeight="1" x14ac:dyDescent="0.25">
      <c r="A188" s="167"/>
      <c r="B188" s="178"/>
      <c r="C188" s="178"/>
      <c r="D188" s="178"/>
      <c r="E188" s="178"/>
      <c r="F188" s="178"/>
      <c r="G188" s="546" t="s">
        <v>3922</v>
      </c>
      <c r="H188" s="546"/>
      <c r="I188" s="547">
        <f>I189-I187</f>
        <v>323.86000000080094</v>
      </c>
      <c r="J188" s="547"/>
      <c r="K188" s="548"/>
    </row>
    <row r="189" spans="1:11" ht="18" customHeight="1" x14ac:dyDescent="0.25">
      <c r="A189" s="167"/>
      <c r="B189" s="178"/>
      <c r="C189" s="178"/>
      <c r="D189" s="178"/>
      <c r="E189" s="178"/>
      <c r="F189" s="178"/>
      <c r="G189" s="546" t="s">
        <v>3923</v>
      </c>
      <c r="H189" s="546"/>
      <c r="I189" s="547">
        <v>2176001.44</v>
      </c>
      <c r="J189" s="547"/>
      <c r="K189" s="548"/>
    </row>
    <row r="190" spans="1:11" ht="26.1" customHeight="1" thickBot="1" x14ac:dyDescent="0.3">
      <c r="A190" s="468" t="s">
        <v>25</v>
      </c>
      <c r="B190" s="469"/>
      <c r="C190" s="469"/>
      <c r="D190" s="469"/>
      <c r="E190" s="469"/>
      <c r="F190" s="469"/>
      <c r="G190" s="469"/>
      <c r="H190" s="469"/>
      <c r="I190" s="469"/>
      <c r="J190" s="469"/>
      <c r="K190" s="470"/>
    </row>
  </sheetData>
  <mergeCells count="17">
    <mergeCell ref="G188:H188"/>
    <mergeCell ref="I188:K188"/>
    <mergeCell ref="G189:H189"/>
    <mergeCell ref="I189:K189"/>
    <mergeCell ref="A190:K190"/>
    <mergeCell ref="C186:F186"/>
    <mergeCell ref="G187:H187"/>
    <mergeCell ref="I187:K187"/>
    <mergeCell ref="A1:K1"/>
    <mergeCell ref="A2:A5"/>
    <mergeCell ref="B5:K5"/>
    <mergeCell ref="B2:F2"/>
    <mergeCell ref="B3:F3"/>
    <mergeCell ref="B4:F4"/>
    <mergeCell ref="G2:K2"/>
    <mergeCell ref="G3:K3"/>
    <mergeCell ref="G4:K4"/>
  </mergeCells>
  <pageMargins left="0.7" right="0.7" top="0.75" bottom="0.75" header="0.3" footer="0.3"/>
  <pageSetup paperSize="9" scale="48"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57"/>
  <sheetViews>
    <sheetView view="pageBreakPreview" topLeftCell="A544" zoomScale="60" zoomScaleNormal="100" workbookViewId="0">
      <selection activeCell="A557" sqref="A557:K557"/>
    </sheetView>
  </sheetViews>
  <sheetFormatPr defaultRowHeight="15" x14ac:dyDescent="0.25"/>
  <cols>
    <col min="1" max="1" width="22.85546875" customWidth="1"/>
    <col min="2" max="2" width="68.7109375" customWidth="1"/>
    <col min="3" max="3" width="9.28515625" customWidth="1"/>
    <col min="4" max="4" width="10.28515625" customWidth="1"/>
    <col min="5" max="5" width="9.28515625" customWidth="1"/>
    <col min="6" max="6" width="18.7109375" customWidth="1"/>
    <col min="7" max="8" width="12.42578125" customWidth="1"/>
    <col min="9" max="10" width="8.7109375" customWidth="1"/>
    <col min="11" max="11" width="4.7109375" customWidth="1"/>
  </cols>
  <sheetData>
    <row r="1" spans="1:11" x14ac:dyDescent="0.25">
      <c r="A1" s="537" t="s">
        <v>4711</v>
      </c>
      <c r="B1" s="538"/>
      <c r="C1" s="538"/>
      <c r="D1" s="538"/>
      <c r="E1" s="538"/>
      <c r="F1" s="538"/>
      <c r="G1" s="538"/>
      <c r="H1" s="538"/>
      <c r="I1" s="538"/>
      <c r="J1" s="538"/>
      <c r="K1" s="539"/>
    </row>
    <row r="2" spans="1:11" x14ac:dyDescent="0.25">
      <c r="A2" s="426"/>
      <c r="B2" s="478" t="s">
        <v>4698</v>
      </c>
      <c r="C2" s="479"/>
      <c r="D2" s="479"/>
      <c r="E2" s="479"/>
      <c r="F2" s="480"/>
      <c r="G2" s="478" t="s">
        <v>4696</v>
      </c>
      <c r="H2" s="479"/>
      <c r="I2" s="479"/>
      <c r="J2" s="479"/>
      <c r="K2" s="552"/>
    </row>
    <row r="3" spans="1:11" x14ac:dyDescent="0.25">
      <c r="A3" s="426"/>
      <c r="B3" s="478" t="s">
        <v>4699</v>
      </c>
      <c r="C3" s="479"/>
      <c r="D3" s="479"/>
      <c r="E3" s="479"/>
      <c r="F3" s="480"/>
      <c r="G3" s="478" t="s">
        <v>4709</v>
      </c>
      <c r="H3" s="479"/>
      <c r="I3" s="479"/>
      <c r="J3" s="479"/>
      <c r="K3" s="552"/>
    </row>
    <row r="4" spans="1:11" ht="83.25" customHeight="1" x14ac:dyDescent="0.25">
      <c r="A4" s="426"/>
      <c r="B4" s="478" t="s">
        <v>4700</v>
      </c>
      <c r="C4" s="479"/>
      <c r="D4" s="479"/>
      <c r="E4" s="479"/>
      <c r="F4" s="480"/>
      <c r="G4" s="478" t="s">
        <v>4697</v>
      </c>
      <c r="H4" s="479"/>
      <c r="I4" s="479"/>
      <c r="J4" s="479"/>
      <c r="K4" s="552"/>
    </row>
    <row r="5" spans="1:11" ht="21.75" customHeight="1" x14ac:dyDescent="0.25">
      <c r="A5" s="426"/>
      <c r="B5" s="549" t="s">
        <v>4701</v>
      </c>
      <c r="C5" s="550"/>
      <c r="D5" s="550"/>
      <c r="E5" s="550"/>
      <c r="F5" s="550"/>
      <c r="G5" s="550"/>
      <c r="H5" s="550"/>
      <c r="I5" s="550"/>
      <c r="J5" s="550"/>
      <c r="K5" s="551"/>
    </row>
    <row r="6" spans="1:11" ht="21.95" customHeight="1" x14ac:dyDescent="0.25">
      <c r="A6" s="385" t="s">
        <v>43</v>
      </c>
      <c r="B6" s="3" t="s">
        <v>27</v>
      </c>
      <c r="C6" s="2" t="s">
        <v>42</v>
      </c>
      <c r="D6" s="2" t="s">
        <v>3915</v>
      </c>
      <c r="E6" s="2" t="s">
        <v>1691</v>
      </c>
      <c r="F6" s="2" t="s">
        <v>45</v>
      </c>
      <c r="G6" s="2" t="s">
        <v>1814</v>
      </c>
      <c r="H6" s="2" t="s">
        <v>3916</v>
      </c>
      <c r="I6" s="2" t="s">
        <v>2301</v>
      </c>
      <c r="J6" s="2" t="s">
        <v>3917</v>
      </c>
      <c r="K6" s="386" t="s">
        <v>3918</v>
      </c>
    </row>
    <row r="7" spans="1:11" ht="20.100000000000001" customHeight="1" x14ac:dyDescent="0.25">
      <c r="A7" s="387" t="s">
        <v>1830</v>
      </c>
      <c r="B7" s="5" t="s">
        <v>1831</v>
      </c>
      <c r="C7" s="4" t="s">
        <v>51</v>
      </c>
      <c r="D7" s="4" t="s">
        <v>1827</v>
      </c>
      <c r="E7" s="4" t="s">
        <v>1024</v>
      </c>
      <c r="F7" s="6">
        <v>9099.4010317600005</v>
      </c>
      <c r="G7" s="7">
        <v>19.68</v>
      </c>
      <c r="H7" s="7">
        <f t="shared" ref="H7:H70" si="0">ROUND(F7*G7,2)</f>
        <v>179076.21</v>
      </c>
      <c r="I7" s="8">
        <f t="shared" ref="I7:I70" si="1">H7/VALOR_TOTAL*100</f>
        <v>2.4742866770901264</v>
      </c>
      <c r="J7" s="8">
        <f>I7</f>
        <v>2.4742866770901264</v>
      </c>
      <c r="K7" s="388" t="str">
        <f t="shared" ref="K7:K70" si="2">IF(J7&lt;=50,"A",IF(J7&lt;=80,"B","C"))</f>
        <v>A</v>
      </c>
    </row>
    <row r="8" spans="1:11" ht="20.100000000000001" customHeight="1" x14ac:dyDescent="0.25">
      <c r="A8" s="387" t="s">
        <v>1851</v>
      </c>
      <c r="B8" s="5" t="s">
        <v>1852</v>
      </c>
      <c r="C8" s="4" t="s">
        <v>51</v>
      </c>
      <c r="D8" s="4" t="s">
        <v>1827</v>
      </c>
      <c r="E8" s="4" t="s">
        <v>1024</v>
      </c>
      <c r="F8" s="6">
        <v>3450.8367488560002</v>
      </c>
      <c r="G8" s="7">
        <v>26.03</v>
      </c>
      <c r="H8" s="7">
        <f t="shared" si="0"/>
        <v>89825.279999999999</v>
      </c>
      <c r="I8" s="8">
        <f t="shared" si="1"/>
        <v>1.2411112205797195</v>
      </c>
      <c r="J8" s="8">
        <f t="shared" ref="J8:J71" si="3">I8+J7</f>
        <v>3.7153978976698459</v>
      </c>
      <c r="K8" s="388" t="str">
        <f t="shared" si="2"/>
        <v>A</v>
      </c>
    </row>
    <row r="9" spans="1:11" ht="20.100000000000001" customHeight="1" x14ac:dyDescent="0.25">
      <c r="A9" s="387" t="s">
        <v>3868</v>
      </c>
      <c r="B9" s="5" t="s">
        <v>3869</v>
      </c>
      <c r="C9" s="4" t="s">
        <v>82</v>
      </c>
      <c r="D9" s="4" t="s">
        <v>1812</v>
      </c>
      <c r="E9" s="4" t="s">
        <v>85</v>
      </c>
      <c r="F9" s="6">
        <v>141.23620199999999</v>
      </c>
      <c r="G9" s="7">
        <v>587.5</v>
      </c>
      <c r="H9" s="7">
        <f t="shared" si="0"/>
        <v>82976.27</v>
      </c>
      <c r="I9" s="8">
        <f t="shared" si="1"/>
        <v>1.1464788057309967</v>
      </c>
      <c r="J9" s="8">
        <f t="shared" si="3"/>
        <v>4.8618767034008421</v>
      </c>
      <c r="K9" s="388" t="str">
        <f t="shared" si="2"/>
        <v>A</v>
      </c>
    </row>
    <row r="10" spans="1:11" ht="20.100000000000001" customHeight="1" x14ac:dyDescent="0.25">
      <c r="A10" s="387" t="s">
        <v>2992</v>
      </c>
      <c r="B10" s="5" t="s">
        <v>2993</v>
      </c>
      <c r="C10" s="4" t="s">
        <v>82</v>
      </c>
      <c r="D10" s="4" t="s">
        <v>1812</v>
      </c>
      <c r="E10" s="4" t="s">
        <v>226</v>
      </c>
      <c r="F10" s="6">
        <v>4122.2461679937496</v>
      </c>
      <c r="G10" s="7">
        <v>17.100000000000001</v>
      </c>
      <c r="H10" s="7">
        <f t="shared" si="0"/>
        <v>70490.41</v>
      </c>
      <c r="I10" s="8">
        <f t="shared" si="1"/>
        <v>0.97396232769065538</v>
      </c>
      <c r="J10" s="8">
        <f t="shared" si="3"/>
        <v>5.8358390310914974</v>
      </c>
      <c r="K10" s="388" t="str">
        <f t="shared" si="2"/>
        <v>A</v>
      </c>
    </row>
    <row r="11" spans="1:11" ht="15" customHeight="1" x14ac:dyDescent="0.25">
      <c r="A11" s="387" t="s">
        <v>2039</v>
      </c>
      <c r="B11" s="5" t="s">
        <v>2040</v>
      </c>
      <c r="C11" s="4" t="s">
        <v>341</v>
      </c>
      <c r="D11" s="4" t="s">
        <v>1812</v>
      </c>
      <c r="E11" s="4" t="s">
        <v>54</v>
      </c>
      <c r="F11" s="6">
        <v>117.57899999999999</v>
      </c>
      <c r="G11" s="7">
        <v>522.28</v>
      </c>
      <c r="H11" s="7">
        <f t="shared" si="0"/>
        <v>61409.16</v>
      </c>
      <c r="I11" s="8">
        <f t="shared" si="1"/>
        <v>0.84848716889471754</v>
      </c>
      <c r="J11" s="8">
        <f t="shared" si="3"/>
        <v>6.6843261999862147</v>
      </c>
      <c r="K11" s="388" t="str">
        <f t="shared" si="2"/>
        <v>A</v>
      </c>
    </row>
    <row r="12" spans="1:11" ht="20.100000000000001" customHeight="1" x14ac:dyDescent="0.25">
      <c r="A12" s="387" t="s">
        <v>2035</v>
      </c>
      <c r="B12" s="5" t="s">
        <v>2036</v>
      </c>
      <c r="C12" s="4" t="s">
        <v>51</v>
      </c>
      <c r="D12" s="4" t="s">
        <v>1827</v>
      </c>
      <c r="E12" s="4" t="s">
        <v>1024</v>
      </c>
      <c r="F12" s="6">
        <v>2204.1435040000001</v>
      </c>
      <c r="G12" s="7">
        <v>26.03</v>
      </c>
      <c r="H12" s="7">
        <f t="shared" si="0"/>
        <v>57373.86</v>
      </c>
      <c r="I12" s="8">
        <f t="shared" si="1"/>
        <v>0.79273163873210239</v>
      </c>
      <c r="J12" s="8">
        <f t="shared" si="3"/>
        <v>7.4770578387183173</v>
      </c>
      <c r="K12" s="388" t="str">
        <f t="shared" si="2"/>
        <v>A</v>
      </c>
    </row>
    <row r="13" spans="1:11" ht="20.100000000000001" customHeight="1" x14ac:dyDescent="0.25">
      <c r="A13" s="387" t="s">
        <v>3872</v>
      </c>
      <c r="B13" s="5" t="s">
        <v>3873</v>
      </c>
      <c r="C13" s="4" t="s">
        <v>82</v>
      </c>
      <c r="D13" s="4" t="s">
        <v>1812</v>
      </c>
      <c r="E13" s="4" t="s">
        <v>122</v>
      </c>
      <c r="F13" s="6">
        <v>2067.1322879999998</v>
      </c>
      <c r="G13" s="7">
        <v>25.47</v>
      </c>
      <c r="H13" s="7">
        <f t="shared" si="0"/>
        <v>52649.86</v>
      </c>
      <c r="I13" s="8">
        <f t="shared" si="1"/>
        <v>0.72746037649925899</v>
      </c>
      <c r="J13" s="8">
        <f t="shared" si="3"/>
        <v>8.2045182152175755</v>
      </c>
      <c r="K13" s="388" t="str">
        <f t="shared" si="2"/>
        <v>A</v>
      </c>
    </row>
    <row r="14" spans="1:11" ht="20.100000000000001" customHeight="1" x14ac:dyDescent="0.25">
      <c r="A14" s="387" t="s">
        <v>1840</v>
      </c>
      <c r="B14" s="5" t="s">
        <v>1841</v>
      </c>
      <c r="C14" s="4" t="s">
        <v>51</v>
      </c>
      <c r="D14" s="4" t="s">
        <v>1827</v>
      </c>
      <c r="E14" s="4" t="s">
        <v>1024</v>
      </c>
      <c r="F14" s="6">
        <v>2188.2704491260001</v>
      </c>
      <c r="G14" s="7">
        <v>21.94</v>
      </c>
      <c r="H14" s="7">
        <f t="shared" si="0"/>
        <v>48010.65</v>
      </c>
      <c r="I14" s="8">
        <f t="shared" si="1"/>
        <v>0.66336065328519667</v>
      </c>
      <c r="J14" s="8">
        <f t="shared" si="3"/>
        <v>8.867878868502773</v>
      </c>
      <c r="K14" s="388" t="str">
        <f t="shared" si="2"/>
        <v>A</v>
      </c>
    </row>
    <row r="15" spans="1:11" ht="20.100000000000001" customHeight="1" x14ac:dyDescent="0.25">
      <c r="A15" s="387" t="s">
        <v>1983</v>
      </c>
      <c r="B15" s="5" t="s">
        <v>1984</v>
      </c>
      <c r="C15" s="4" t="s">
        <v>51</v>
      </c>
      <c r="D15" s="4" t="s">
        <v>1827</v>
      </c>
      <c r="E15" s="4" t="s">
        <v>1024</v>
      </c>
      <c r="F15" s="6">
        <v>1709.1956849999999</v>
      </c>
      <c r="G15" s="7">
        <v>26.03</v>
      </c>
      <c r="H15" s="7">
        <f t="shared" si="0"/>
        <v>44490.36</v>
      </c>
      <c r="I15" s="8">
        <f t="shared" si="1"/>
        <v>0.61472098949907128</v>
      </c>
      <c r="J15" s="8">
        <f t="shared" si="3"/>
        <v>9.4825998580018442</v>
      </c>
      <c r="K15" s="388" t="str">
        <f t="shared" si="2"/>
        <v>A</v>
      </c>
    </row>
    <row r="16" spans="1:11" ht="20.100000000000001" customHeight="1" x14ac:dyDescent="0.25">
      <c r="A16" s="387" t="s">
        <v>2261</v>
      </c>
      <c r="B16" s="5" t="s">
        <v>2262</v>
      </c>
      <c r="C16" s="4" t="s">
        <v>51</v>
      </c>
      <c r="D16" s="4" t="s">
        <v>1812</v>
      </c>
      <c r="E16" s="4" t="s">
        <v>1817</v>
      </c>
      <c r="F16" s="6">
        <v>30578.880000000001</v>
      </c>
      <c r="G16" s="7">
        <v>1.24</v>
      </c>
      <c r="H16" s="7">
        <f t="shared" si="0"/>
        <v>37917.81</v>
      </c>
      <c r="I16" s="8">
        <f t="shared" si="1"/>
        <v>0.52390840808745476</v>
      </c>
      <c r="J16" s="8">
        <f t="shared" si="3"/>
        <v>10.006508266089298</v>
      </c>
      <c r="K16" s="388" t="str">
        <f t="shared" si="2"/>
        <v>A</v>
      </c>
    </row>
    <row r="17" spans="1:11" ht="20.100000000000001" customHeight="1" x14ac:dyDescent="0.25">
      <c r="A17" s="387" t="s">
        <v>1894</v>
      </c>
      <c r="B17" s="5" t="s">
        <v>1895</v>
      </c>
      <c r="C17" s="4" t="s">
        <v>1896</v>
      </c>
      <c r="D17" s="4" t="s">
        <v>1812</v>
      </c>
      <c r="E17" s="4" t="s">
        <v>122</v>
      </c>
      <c r="F17" s="6">
        <v>120.7552</v>
      </c>
      <c r="G17" s="7">
        <v>309.68</v>
      </c>
      <c r="H17" s="7">
        <f t="shared" si="0"/>
        <v>37395.47</v>
      </c>
      <c r="I17" s="8">
        <f t="shared" si="1"/>
        <v>0.5166912634823102</v>
      </c>
      <c r="J17" s="8">
        <f t="shared" si="3"/>
        <v>10.523199529571608</v>
      </c>
      <c r="K17" s="388" t="str">
        <f t="shared" si="2"/>
        <v>A</v>
      </c>
    </row>
    <row r="18" spans="1:11" ht="20.100000000000001" customHeight="1" x14ac:dyDescent="0.25">
      <c r="A18" s="387" t="s">
        <v>3411</v>
      </c>
      <c r="B18" s="5" t="s">
        <v>3412</v>
      </c>
      <c r="C18" s="4" t="s">
        <v>51</v>
      </c>
      <c r="D18" s="4" t="s">
        <v>1812</v>
      </c>
      <c r="E18" s="4" t="s">
        <v>122</v>
      </c>
      <c r="F18" s="6">
        <v>527.90430000000003</v>
      </c>
      <c r="G18" s="7">
        <v>65.040000000000006</v>
      </c>
      <c r="H18" s="7">
        <f t="shared" si="0"/>
        <v>34334.9</v>
      </c>
      <c r="I18" s="8">
        <f t="shared" si="1"/>
        <v>0.4744035270191489</v>
      </c>
      <c r="J18" s="8">
        <f t="shared" si="3"/>
        <v>10.997603056590757</v>
      </c>
      <c r="K18" s="388" t="str">
        <f t="shared" si="2"/>
        <v>A</v>
      </c>
    </row>
    <row r="19" spans="1:11" ht="20.100000000000001" customHeight="1" x14ac:dyDescent="0.25">
      <c r="A19" s="389" t="s">
        <v>2263</v>
      </c>
      <c r="B19" s="10" t="s">
        <v>2264</v>
      </c>
      <c r="C19" s="9" t="s">
        <v>51</v>
      </c>
      <c r="D19" s="9" t="s">
        <v>1812</v>
      </c>
      <c r="E19" s="9" t="s">
        <v>1817</v>
      </c>
      <c r="F19" s="11">
        <v>57833.889632420003</v>
      </c>
      <c r="G19" s="12">
        <v>0.56999999999999995</v>
      </c>
      <c r="H19" s="12">
        <f t="shared" si="0"/>
        <v>32965.32</v>
      </c>
      <c r="I19" s="13">
        <f t="shared" si="1"/>
        <v>0.45548011141185468</v>
      </c>
      <c r="J19" s="13">
        <f t="shared" si="3"/>
        <v>11.453083168002612</v>
      </c>
      <c r="K19" s="390" t="str">
        <f t="shared" si="2"/>
        <v>A</v>
      </c>
    </row>
    <row r="20" spans="1:11" ht="15" customHeight="1" x14ac:dyDescent="0.25">
      <c r="A20" s="389" t="s">
        <v>1954</v>
      </c>
      <c r="B20" s="10" t="s">
        <v>1955</v>
      </c>
      <c r="C20" s="9" t="s">
        <v>341</v>
      </c>
      <c r="D20" s="9" t="s">
        <v>1827</v>
      </c>
      <c r="E20" s="9" t="s">
        <v>1935</v>
      </c>
      <c r="F20" s="11">
        <v>434.9</v>
      </c>
      <c r="G20" s="12">
        <v>74.599999999999994</v>
      </c>
      <c r="H20" s="12">
        <f t="shared" si="0"/>
        <v>32443.54</v>
      </c>
      <c r="I20" s="13">
        <f t="shared" si="1"/>
        <v>0.44827070429757593</v>
      </c>
      <c r="J20" s="13">
        <f t="shared" si="3"/>
        <v>11.901353872300188</v>
      </c>
      <c r="K20" s="390" t="str">
        <f t="shared" si="2"/>
        <v>A</v>
      </c>
    </row>
    <row r="21" spans="1:11" ht="20.100000000000001" customHeight="1" x14ac:dyDescent="0.25">
      <c r="A21" s="389" t="s">
        <v>3860</v>
      </c>
      <c r="B21" s="10" t="s">
        <v>3861</v>
      </c>
      <c r="C21" s="9" t="s">
        <v>51</v>
      </c>
      <c r="D21" s="9" t="s">
        <v>1812</v>
      </c>
      <c r="E21" s="9" t="s">
        <v>188</v>
      </c>
      <c r="F21" s="11">
        <v>831.4</v>
      </c>
      <c r="G21" s="12">
        <v>36.880000000000003</v>
      </c>
      <c r="H21" s="12">
        <f t="shared" si="0"/>
        <v>30662.03</v>
      </c>
      <c r="I21" s="13">
        <f t="shared" si="1"/>
        <v>0.42365567331103199</v>
      </c>
      <c r="J21" s="13">
        <f t="shared" si="3"/>
        <v>12.32500954561122</v>
      </c>
      <c r="K21" s="390" t="str">
        <f t="shared" si="2"/>
        <v>A</v>
      </c>
    </row>
    <row r="22" spans="1:11" ht="20.100000000000001" customHeight="1" x14ac:dyDescent="0.25">
      <c r="A22" s="389" t="s">
        <v>3768</v>
      </c>
      <c r="B22" s="10" t="s">
        <v>3769</v>
      </c>
      <c r="C22" s="9" t="s">
        <v>82</v>
      </c>
      <c r="D22" s="9" t="s">
        <v>2443</v>
      </c>
      <c r="E22" s="9" t="s">
        <v>226</v>
      </c>
      <c r="F22" s="11">
        <v>2</v>
      </c>
      <c r="G22" s="12">
        <v>12737.4</v>
      </c>
      <c r="H22" s="12">
        <f t="shared" si="0"/>
        <v>25474.799999999999</v>
      </c>
      <c r="I22" s="13">
        <f t="shared" si="1"/>
        <v>0.35198398626783284</v>
      </c>
      <c r="J22" s="13">
        <f t="shared" si="3"/>
        <v>12.676993531879052</v>
      </c>
      <c r="K22" s="390" t="str">
        <f t="shared" si="2"/>
        <v>A</v>
      </c>
    </row>
    <row r="23" spans="1:11" ht="15" customHeight="1" x14ac:dyDescent="0.25">
      <c r="A23" s="389" t="s">
        <v>2632</v>
      </c>
      <c r="B23" s="10" t="s">
        <v>2633</v>
      </c>
      <c r="C23" s="9" t="s">
        <v>82</v>
      </c>
      <c r="D23" s="9" t="s">
        <v>1827</v>
      </c>
      <c r="E23" s="9" t="s">
        <v>1024</v>
      </c>
      <c r="F23" s="11">
        <v>1397.6359706889377</v>
      </c>
      <c r="G23" s="12">
        <v>16.690000000000001</v>
      </c>
      <c r="H23" s="12">
        <f t="shared" si="0"/>
        <v>23326.54</v>
      </c>
      <c r="I23" s="13">
        <f t="shared" si="1"/>
        <v>0.32230158961153976</v>
      </c>
      <c r="J23" s="13">
        <f t="shared" si="3"/>
        <v>12.999295121490592</v>
      </c>
      <c r="K23" s="390" t="str">
        <f t="shared" si="2"/>
        <v>A</v>
      </c>
    </row>
    <row r="24" spans="1:11" ht="27.95" customHeight="1" x14ac:dyDescent="0.25">
      <c r="A24" s="389" t="s">
        <v>2336</v>
      </c>
      <c r="B24" s="10" t="s">
        <v>2337</v>
      </c>
      <c r="C24" s="9" t="s">
        <v>82</v>
      </c>
      <c r="D24" s="9" t="s">
        <v>1932</v>
      </c>
      <c r="E24" s="9" t="s">
        <v>1024</v>
      </c>
      <c r="F24" s="11">
        <v>2654.7242804576199</v>
      </c>
      <c r="G24" s="12">
        <v>7.63</v>
      </c>
      <c r="H24" s="12">
        <f t="shared" si="0"/>
        <v>20255.55</v>
      </c>
      <c r="I24" s="13">
        <f t="shared" si="1"/>
        <v>0.27986988055048129</v>
      </c>
      <c r="J24" s="13">
        <f t="shared" si="3"/>
        <v>13.279165002041074</v>
      </c>
      <c r="K24" s="390" t="str">
        <f t="shared" si="2"/>
        <v>A</v>
      </c>
    </row>
    <row r="25" spans="1:11" ht="20.100000000000001" customHeight="1" x14ac:dyDescent="0.25">
      <c r="A25" s="389" t="s">
        <v>1828</v>
      </c>
      <c r="B25" s="10" t="s">
        <v>1829</v>
      </c>
      <c r="C25" s="9" t="s">
        <v>51</v>
      </c>
      <c r="D25" s="9" t="s">
        <v>1827</v>
      </c>
      <c r="E25" s="9" t="s">
        <v>1024</v>
      </c>
      <c r="F25" s="11">
        <v>736.35772693800004</v>
      </c>
      <c r="G25" s="12">
        <v>26.03</v>
      </c>
      <c r="H25" s="12">
        <f t="shared" si="0"/>
        <v>19167.39</v>
      </c>
      <c r="I25" s="13">
        <f t="shared" si="1"/>
        <v>0.2648348304422487</v>
      </c>
      <c r="J25" s="13">
        <f t="shared" si="3"/>
        <v>13.543999832483323</v>
      </c>
      <c r="K25" s="390" t="str">
        <f t="shared" si="2"/>
        <v>A</v>
      </c>
    </row>
    <row r="26" spans="1:11" ht="20.100000000000001" customHeight="1" x14ac:dyDescent="0.25">
      <c r="A26" s="389" t="s">
        <v>2178</v>
      </c>
      <c r="B26" s="10" t="s">
        <v>2179</v>
      </c>
      <c r="C26" s="9" t="s">
        <v>51</v>
      </c>
      <c r="D26" s="9" t="s">
        <v>1827</v>
      </c>
      <c r="E26" s="9" t="s">
        <v>1024</v>
      </c>
      <c r="F26" s="11">
        <v>736.01517049999995</v>
      </c>
      <c r="G26" s="12">
        <v>26.03</v>
      </c>
      <c r="H26" s="12">
        <f t="shared" si="0"/>
        <v>19158.47</v>
      </c>
      <c r="I26" s="13">
        <f t="shared" si="1"/>
        <v>0.26471158326631372</v>
      </c>
      <c r="J26" s="13">
        <f t="shared" si="3"/>
        <v>13.808711415749636</v>
      </c>
      <c r="K26" s="390" t="str">
        <f t="shared" si="2"/>
        <v>A</v>
      </c>
    </row>
    <row r="27" spans="1:11" ht="20.100000000000001" customHeight="1" x14ac:dyDescent="0.25">
      <c r="A27" s="389" t="s">
        <v>3729</v>
      </c>
      <c r="B27" s="10" t="s">
        <v>3730</v>
      </c>
      <c r="C27" s="9" t="s">
        <v>82</v>
      </c>
      <c r="D27" s="9" t="s">
        <v>1812</v>
      </c>
      <c r="E27" s="9" t="s">
        <v>226</v>
      </c>
      <c r="F27" s="11">
        <v>10</v>
      </c>
      <c r="G27" s="12">
        <v>1859.57</v>
      </c>
      <c r="H27" s="12">
        <f t="shared" si="0"/>
        <v>18595.7</v>
      </c>
      <c r="I27" s="13">
        <f t="shared" si="1"/>
        <v>0.25693581945454874</v>
      </c>
      <c r="J27" s="13">
        <f t="shared" si="3"/>
        <v>14.065647235204185</v>
      </c>
      <c r="K27" s="390" t="str">
        <f t="shared" si="2"/>
        <v>A</v>
      </c>
    </row>
    <row r="28" spans="1:11" ht="20.100000000000001" customHeight="1" x14ac:dyDescent="0.25">
      <c r="A28" s="389" t="s">
        <v>2170</v>
      </c>
      <c r="B28" s="10" t="s">
        <v>2171</v>
      </c>
      <c r="C28" s="9" t="s">
        <v>51</v>
      </c>
      <c r="D28" s="9" t="s">
        <v>1812</v>
      </c>
      <c r="E28" s="9" t="s">
        <v>85</v>
      </c>
      <c r="F28" s="11">
        <v>115.71535897</v>
      </c>
      <c r="G28" s="12">
        <v>152</v>
      </c>
      <c r="H28" s="12">
        <f t="shared" si="0"/>
        <v>17588.73</v>
      </c>
      <c r="I28" s="13">
        <f t="shared" si="1"/>
        <v>0.24302256735238822</v>
      </c>
      <c r="J28" s="13">
        <f t="shared" si="3"/>
        <v>14.308669802556574</v>
      </c>
      <c r="K28" s="390" t="str">
        <f t="shared" si="2"/>
        <v>A</v>
      </c>
    </row>
    <row r="29" spans="1:11" ht="20.100000000000001" customHeight="1" x14ac:dyDescent="0.25">
      <c r="A29" s="389" t="s">
        <v>3787</v>
      </c>
      <c r="B29" s="10" t="s">
        <v>3788</v>
      </c>
      <c r="C29" s="9" t="s">
        <v>82</v>
      </c>
      <c r="D29" s="9" t="s">
        <v>2443</v>
      </c>
      <c r="E29" s="9" t="s">
        <v>226</v>
      </c>
      <c r="F29" s="11">
        <v>1</v>
      </c>
      <c r="G29" s="12">
        <v>15697.27</v>
      </c>
      <c r="H29" s="12">
        <f t="shared" si="0"/>
        <v>15697.27</v>
      </c>
      <c r="I29" s="13">
        <f t="shared" si="1"/>
        <v>0.21688836293601771</v>
      </c>
      <c r="J29" s="13">
        <f t="shared" si="3"/>
        <v>14.525558165492592</v>
      </c>
      <c r="K29" s="390" t="str">
        <f t="shared" si="2"/>
        <v>A</v>
      </c>
    </row>
    <row r="30" spans="1:11" ht="20.100000000000001" customHeight="1" x14ac:dyDescent="0.25">
      <c r="A30" s="389" t="s">
        <v>3883</v>
      </c>
      <c r="B30" s="10" t="s">
        <v>3884</v>
      </c>
      <c r="C30" s="9" t="s">
        <v>51</v>
      </c>
      <c r="D30" s="9" t="s">
        <v>1812</v>
      </c>
      <c r="E30" s="9" t="s">
        <v>226</v>
      </c>
      <c r="F30" s="11">
        <v>10992</v>
      </c>
      <c r="G30" s="12">
        <v>1.41</v>
      </c>
      <c r="H30" s="12">
        <f t="shared" si="0"/>
        <v>15498.72</v>
      </c>
      <c r="I30" s="13">
        <f t="shared" si="1"/>
        <v>0.21414500791562588</v>
      </c>
      <c r="J30" s="13">
        <f t="shared" si="3"/>
        <v>14.739703173408218</v>
      </c>
      <c r="K30" s="390" t="str">
        <f t="shared" si="2"/>
        <v>A</v>
      </c>
    </row>
    <row r="31" spans="1:11" ht="20.100000000000001" customHeight="1" x14ac:dyDescent="0.25">
      <c r="A31" s="389" t="s">
        <v>3398</v>
      </c>
      <c r="B31" s="10" t="s">
        <v>3399</v>
      </c>
      <c r="C31" s="9" t="s">
        <v>51</v>
      </c>
      <c r="D31" s="9" t="s">
        <v>1812</v>
      </c>
      <c r="E31" s="9" t="s">
        <v>3400</v>
      </c>
      <c r="F31" s="11">
        <v>12</v>
      </c>
      <c r="G31" s="12">
        <v>1199.25</v>
      </c>
      <c r="H31" s="12">
        <f t="shared" si="0"/>
        <v>14391</v>
      </c>
      <c r="I31" s="13">
        <f t="shared" si="1"/>
        <v>0.19883969830500661</v>
      </c>
      <c r="J31" s="13">
        <f t="shared" si="3"/>
        <v>14.938542871713224</v>
      </c>
      <c r="K31" s="390" t="str">
        <f t="shared" si="2"/>
        <v>A</v>
      </c>
    </row>
    <row r="32" spans="1:11" ht="15" customHeight="1" x14ac:dyDescent="0.25">
      <c r="A32" s="389" t="s">
        <v>2626</v>
      </c>
      <c r="B32" s="10" t="s">
        <v>2627</v>
      </c>
      <c r="C32" s="9" t="s">
        <v>82</v>
      </c>
      <c r="D32" s="9" t="s">
        <v>1827</v>
      </c>
      <c r="E32" s="9" t="s">
        <v>1024</v>
      </c>
      <c r="F32" s="11">
        <v>575.25239710587323</v>
      </c>
      <c r="G32" s="12">
        <v>23.81</v>
      </c>
      <c r="H32" s="12">
        <f t="shared" si="0"/>
        <v>13696.76</v>
      </c>
      <c r="I32" s="13">
        <f t="shared" si="1"/>
        <v>0.18924742034299788</v>
      </c>
      <c r="J32" s="13">
        <f t="shared" si="3"/>
        <v>15.127790292056222</v>
      </c>
      <c r="K32" s="390" t="str">
        <f t="shared" si="2"/>
        <v>A</v>
      </c>
    </row>
    <row r="33" spans="1:11" ht="20.100000000000001" customHeight="1" x14ac:dyDescent="0.25">
      <c r="A33" s="389" t="s">
        <v>3520</v>
      </c>
      <c r="B33" s="10" t="s">
        <v>3521</v>
      </c>
      <c r="C33" s="9" t="s">
        <v>51</v>
      </c>
      <c r="D33" s="9" t="s">
        <v>1827</v>
      </c>
      <c r="E33" s="9" t="s">
        <v>1024</v>
      </c>
      <c r="F33" s="11">
        <v>492.35364399999997</v>
      </c>
      <c r="G33" s="12">
        <v>26.03</v>
      </c>
      <c r="H33" s="12">
        <f t="shared" si="0"/>
        <v>12815.97</v>
      </c>
      <c r="I33" s="13">
        <f t="shared" si="1"/>
        <v>0.17707759073629459</v>
      </c>
      <c r="J33" s="13">
        <f t="shared" si="3"/>
        <v>15.304867882792516</v>
      </c>
      <c r="K33" s="390" t="str">
        <f t="shared" si="2"/>
        <v>A</v>
      </c>
    </row>
    <row r="34" spans="1:11" ht="20.100000000000001" customHeight="1" x14ac:dyDescent="0.25">
      <c r="A34" s="389" t="s">
        <v>2269</v>
      </c>
      <c r="B34" s="10" t="s">
        <v>2270</v>
      </c>
      <c r="C34" s="9" t="s">
        <v>51</v>
      </c>
      <c r="D34" s="9" t="s">
        <v>1812</v>
      </c>
      <c r="E34" s="9" t="s">
        <v>226</v>
      </c>
      <c r="F34" s="11">
        <v>344.01240000000001</v>
      </c>
      <c r="G34" s="12">
        <v>37.06</v>
      </c>
      <c r="H34" s="12">
        <f t="shared" si="0"/>
        <v>12749.1</v>
      </c>
      <c r="I34" s="13">
        <f t="shared" si="1"/>
        <v>0.1761536514252213</v>
      </c>
      <c r="J34" s="13">
        <f t="shared" si="3"/>
        <v>15.481021534217737</v>
      </c>
      <c r="K34" s="390" t="str">
        <f t="shared" si="2"/>
        <v>A</v>
      </c>
    </row>
    <row r="35" spans="1:11" ht="20.100000000000001" customHeight="1" x14ac:dyDescent="0.25">
      <c r="A35" s="389" t="s">
        <v>3888</v>
      </c>
      <c r="B35" s="10" t="s">
        <v>3889</v>
      </c>
      <c r="C35" s="9" t="s">
        <v>51</v>
      </c>
      <c r="D35" s="9" t="s">
        <v>1812</v>
      </c>
      <c r="E35" s="9" t="s">
        <v>85</v>
      </c>
      <c r="F35" s="11">
        <v>56.52825</v>
      </c>
      <c r="G35" s="12">
        <v>222.78</v>
      </c>
      <c r="H35" s="12">
        <f t="shared" si="0"/>
        <v>12593.36</v>
      </c>
      <c r="I35" s="13">
        <f t="shared" si="1"/>
        <v>0.17400179994762963</v>
      </c>
      <c r="J35" s="13">
        <f t="shared" si="3"/>
        <v>15.655023334165367</v>
      </c>
      <c r="K35" s="390" t="str">
        <f t="shared" si="2"/>
        <v>A</v>
      </c>
    </row>
    <row r="36" spans="1:11" ht="20.100000000000001" customHeight="1" x14ac:dyDescent="0.25">
      <c r="A36" s="389" t="s">
        <v>3087</v>
      </c>
      <c r="B36" s="10" t="s">
        <v>3088</v>
      </c>
      <c r="C36" s="9" t="s">
        <v>194</v>
      </c>
      <c r="D36" s="9" t="s">
        <v>1812</v>
      </c>
      <c r="E36" s="9" t="s">
        <v>694</v>
      </c>
      <c r="F36" s="11">
        <v>60.862249200000001</v>
      </c>
      <c r="G36" s="12">
        <v>201.93</v>
      </c>
      <c r="H36" s="12">
        <f t="shared" si="0"/>
        <v>12289.91</v>
      </c>
      <c r="I36" s="13">
        <f t="shared" si="1"/>
        <v>0.16980904708468375</v>
      </c>
      <c r="J36" s="13">
        <f t="shared" si="3"/>
        <v>15.824832381250051</v>
      </c>
      <c r="K36" s="390" t="str">
        <f t="shared" si="2"/>
        <v>A</v>
      </c>
    </row>
    <row r="37" spans="1:11" ht="15" customHeight="1" x14ac:dyDescent="0.25">
      <c r="A37" s="389" t="s">
        <v>3623</v>
      </c>
      <c r="B37" s="10" t="s">
        <v>3624</v>
      </c>
      <c r="C37" s="9" t="s">
        <v>341</v>
      </c>
      <c r="D37" s="9" t="s">
        <v>1812</v>
      </c>
      <c r="E37" s="9" t="s">
        <v>786</v>
      </c>
      <c r="F37" s="11">
        <v>64.512</v>
      </c>
      <c r="G37" s="12">
        <v>189.97</v>
      </c>
      <c r="H37" s="12">
        <f t="shared" si="0"/>
        <v>12255.34</v>
      </c>
      <c r="I37" s="13">
        <f t="shared" si="1"/>
        <v>0.16933139519319573</v>
      </c>
      <c r="J37" s="13">
        <f t="shared" si="3"/>
        <v>15.994163776443246</v>
      </c>
      <c r="K37" s="390" t="str">
        <f t="shared" si="2"/>
        <v>A</v>
      </c>
    </row>
    <row r="38" spans="1:11" ht="20.100000000000001" customHeight="1" x14ac:dyDescent="0.25">
      <c r="A38" s="389" t="s">
        <v>3447</v>
      </c>
      <c r="B38" s="10" t="s">
        <v>3448</v>
      </c>
      <c r="C38" s="9" t="s">
        <v>51</v>
      </c>
      <c r="D38" s="9" t="s">
        <v>1812</v>
      </c>
      <c r="E38" s="9" t="s">
        <v>85</v>
      </c>
      <c r="F38" s="11">
        <v>156.69999999999999</v>
      </c>
      <c r="G38" s="12">
        <v>76.67</v>
      </c>
      <c r="H38" s="12">
        <f t="shared" si="0"/>
        <v>12014.19</v>
      </c>
      <c r="I38" s="13">
        <f t="shared" si="1"/>
        <v>0.16599943818907842</v>
      </c>
      <c r="J38" s="13">
        <f t="shared" si="3"/>
        <v>16.160163214632323</v>
      </c>
      <c r="K38" s="390" t="str">
        <f t="shared" si="2"/>
        <v>A</v>
      </c>
    </row>
    <row r="39" spans="1:11" ht="20.100000000000001" customHeight="1" x14ac:dyDescent="0.25">
      <c r="A39" s="389" t="s">
        <v>3757</v>
      </c>
      <c r="B39" s="10" t="s">
        <v>3758</v>
      </c>
      <c r="C39" s="9" t="s">
        <v>82</v>
      </c>
      <c r="D39" s="9" t="s">
        <v>1812</v>
      </c>
      <c r="E39" s="9" t="s">
        <v>188</v>
      </c>
      <c r="F39" s="11">
        <v>2956.8051999999998</v>
      </c>
      <c r="G39" s="12">
        <v>3.45</v>
      </c>
      <c r="H39" s="12">
        <f t="shared" si="0"/>
        <v>10200.98</v>
      </c>
      <c r="I39" s="13">
        <f t="shared" si="1"/>
        <v>0.14094640995173413</v>
      </c>
      <c r="J39" s="13">
        <f t="shared" si="3"/>
        <v>16.301109624584058</v>
      </c>
      <c r="K39" s="390" t="str">
        <f t="shared" si="2"/>
        <v>A</v>
      </c>
    </row>
    <row r="40" spans="1:11" ht="15" customHeight="1" x14ac:dyDescent="0.25">
      <c r="A40" s="389" t="s">
        <v>2257</v>
      </c>
      <c r="B40" s="10" t="s">
        <v>2258</v>
      </c>
      <c r="C40" s="9" t="s">
        <v>341</v>
      </c>
      <c r="D40" s="9" t="s">
        <v>1812</v>
      </c>
      <c r="E40" s="9" t="s">
        <v>579</v>
      </c>
      <c r="F40" s="11">
        <v>39</v>
      </c>
      <c r="G40" s="12">
        <v>259.8</v>
      </c>
      <c r="H40" s="12">
        <f t="shared" si="0"/>
        <v>10132.200000000001</v>
      </c>
      <c r="I40" s="13">
        <f t="shared" si="1"/>
        <v>0.13999608027002905</v>
      </c>
      <c r="J40" s="13">
        <f t="shared" si="3"/>
        <v>16.441105704854088</v>
      </c>
      <c r="K40" s="390" t="str">
        <f t="shared" si="2"/>
        <v>A</v>
      </c>
    </row>
    <row r="41" spans="1:11" ht="20.100000000000001" customHeight="1" x14ac:dyDescent="0.25">
      <c r="A41" s="389" t="s">
        <v>3886</v>
      </c>
      <c r="B41" s="10" t="s">
        <v>3887</v>
      </c>
      <c r="C41" s="9" t="s">
        <v>51</v>
      </c>
      <c r="D41" s="9" t="s">
        <v>1812</v>
      </c>
      <c r="E41" s="9" t="s">
        <v>122</v>
      </c>
      <c r="F41" s="11">
        <v>678.33900000000006</v>
      </c>
      <c r="G41" s="12">
        <v>14.83</v>
      </c>
      <c r="H41" s="12">
        <f t="shared" si="0"/>
        <v>10059.77</v>
      </c>
      <c r="I41" s="13">
        <f t="shared" si="1"/>
        <v>0.13899531872821599</v>
      </c>
      <c r="J41" s="13">
        <f t="shared" si="3"/>
        <v>16.580101023582305</v>
      </c>
      <c r="K41" s="390" t="str">
        <f t="shared" si="2"/>
        <v>A</v>
      </c>
    </row>
    <row r="42" spans="1:11" ht="20.100000000000001" customHeight="1" x14ac:dyDescent="0.25">
      <c r="A42" s="389" t="s">
        <v>3522</v>
      </c>
      <c r="B42" s="10" t="s">
        <v>3523</v>
      </c>
      <c r="C42" s="9" t="s">
        <v>51</v>
      </c>
      <c r="D42" s="9" t="s">
        <v>1812</v>
      </c>
      <c r="E42" s="9" t="s">
        <v>226</v>
      </c>
      <c r="F42" s="11">
        <v>5564.16</v>
      </c>
      <c r="G42" s="12">
        <v>1.74</v>
      </c>
      <c r="H42" s="12">
        <f t="shared" si="0"/>
        <v>9681.64</v>
      </c>
      <c r="I42" s="13">
        <f t="shared" si="1"/>
        <v>0.13377071619051381</v>
      </c>
      <c r="J42" s="13">
        <f t="shared" si="3"/>
        <v>16.71387173977282</v>
      </c>
      <c r="K42" s="390" t="str">
        <f t="shared" si="2"/>
        <v>A</v>
      </c>
    </row>
    <row r="43" spans="1:11" ht="20.100000000000001" customHeight="1" x14ac:dyDescent="0.25">
      <c r="A43" s="389" t="s">
        <v>3257</v>
      </c>
      <c r="B43" s="10" t="s">
        <v>3258</v>
      </c>
      <c r="C43" s="9" t="s">
        <v>51</v>
      </c>
      <c r="D43" s="9" t="s">
        <v>1812</v>
      </c>
      <c r="E43" s="9" t="s">
        <v>188</v>
      </c>
      <c r="F43" s="11">
        <v>974.61959999999999</v>
      </c>
      <c r="G43" s="12">
        <v>8.6999999999999993</v>
      </c>
      <c r="H43" s="12">
        <f t="shared" si="0"/>
        <v>8479.19</v>
      </c>
      <c r="I43" s="13">
        <f t="shared" si="1"/>
        <v>0.11715652709824396</v>
      </c>
      <c r="J43" s="13">
        <f t="shared" si="3"/>
        <v>16.831028266871066</v>
      </c>
      <c r="K43" s="390" t="str">
        <f t="shared" si="2"/>
        <v>A</v>
      </c>
    </row>
    <row r="44" spans="1:11" ht="20.100000000000001" customHeight="1" x14ac:dyDescent="0.25">
      <c r="A44" s="389" t="s">
        <v>2271</v>
      </c>
      <c r="B44" s="10" t="s">
        <v>2272</v>
      </c>
      <c r="C44" s="9" t="s">
        <v>51</v>
      </c>
      <c r="D44" s="9" t="s">
        <v>1812</v>
      </c>
      <c r="E44" s="9" t="s">
        <v>1817</v>
      </c>
      <c r="F44" s="11">
        <v>124.864</v>
      </c>
      <c r="G44" s="12">
        <v>66.260000000000005</v>
      </c>
      <c r="H44" s="12">
        <f t="shared" si="0"/>
        <v>8273.49</v>
      </c>
      <c r="I44" s="13">
        <f t="shared" si="1"/>
        <v>0.11431438089983247</v>
      </c>
      <c r="J44" s="13">
        <f t="shared" si="3"/>
        <v>16.945342647770897</v>
      </c>
      <c r="K44" s="390" t="str">
        <f t="shared" si="2"/>
        <v>A</v>
      </c>
    </row>
    <row r="45" spans="1:11" ht="20.100000000000001" customHeight="1" x14ac:dyDescent="0.25">
      <c r="A45" s="389" t="s">
        <v>2267</v>
      </c>
      <c r="B45" s="10" t="s">
        <v>2268</v>
      </c>
      <c r="C45" s="9" t="s">
        <v>51</v>
      </c>
      <c r="D45" s="9" t="s">
        <v>1812</v>
      </c>
      <c r="E45" s="9" t="s">
        <v>1024</v>
      </c>
      <c r="F45" s="11">
        <v>2197.857</v>
      </c>
      <c r="G45" s="12">
        <v>3.62</v>
      </c>
      <c r="H45" s="12">
        <f t="shared" si="0"/>
        <v>7956.24</v>
      </c>
      <c r="I45" s="13">
        <f t="shared" si="1"/>
        <v>0.10993095415483467</v>
      </c>
      <c r="J45" s="13">
        <f t="shared" si="3"/>
        <v>17.05527360192573</v>
      </c>
      <c r="K45" s="390" t="str">
        <f t="shared" si="2"/>
        <v>A</v>
      </c>
    </row>
    <row r="46" spans="1:11" ht="20.100000000000001" customHeight="1" x14ac:dyDescent="0.25">
      <c r="A46" s="389" t="s">
        <v>3418</v>
      </c>
      <c r="B46" s="10" t="s">
        <v>3419</v>
      </c>
      <c r="C46" s="9" t="s">
        <v>51</v>
      </c>
      <c r="D46" s="9" t="s">
        <v>1812</v>
      </c>
      <c r="E46" s="9" t="s">
        <v>188</v>
      </c>
      <c r="F46" s="11">
        <v>354.9</v>
      </c>
      <c r="G46" s="12">
        <v>21.78</v>
      </c>
      <c r="H46" s="12">
        <f t="shared" si="0"/>
        <v>7729.72</v>
      </c>
      <c r="I46" s="13">
        <f t="shared" si="1"/>
        <v>0.10680113909958833</v>
      </c>
      <c r="J46" s="13">
        <f t="shared" si="3"/>
        <v>17.162074741025318</v>
      </c>
      <c r="K46" s="390" t="str">
        <f t="shared" si="2"/>
        <v>A</v>
      </c>
    </row>
    <row r="47" spans="1:11" ht="15" customHeight="1" x14ac:dyDescent="0.25">
      <c r="A47" s="389" t="s">
        <v>2990</v>
      </c>
      <c r="B47" s="10" t="s">
        <v>2991</v>
      </c>
      <c r="C47" s="9" t="s">
        <v>82</v>
      </c>
      <c r="D47" s="9" t="s">
        <v>1812</v>
      </c>
      <c r="E47" s="9" t="s">
        <v>1817</v>
      </c>
      <c r="F47" s="11">
        <v>5519.8076843660001</v>
      </c>
      <c r="G47" s="12">
        <v>1.34</v>
      </c>
      <c r="H47" s="12">
        <f t="shared" si="0"/>
        <v>7396.54</v>
      </c>
      <c r="I47" s="13">
        <f t="shared" si="1"/>
        <v>0.10219760837335233</v>
      </c>
      <c r="J47" s="13">
        <f t="shared" si="3"/>
        <v>17.26427234939867</v>
      </c>
      <c r="K47" s="390" t="str">
        <f t="shared" si="2"/>
        <v>A</v>
      </c>
    </row>
    <row r="48" spans="1:11" ht="15" customHeight="1" x14ac:dyDescent="0.25">
      <c r="A48" s="389" t="s">
        <v>2091</v>
      </c>
      <c r="B48" s="10" t="s">
        <v>2092</v>
      </c>
      <c r="C48" s="9" t="s">
        <v>341</v>
      </c>
      <c r="D48" s="9" t="s">
        <v>1827</v>
      </c>
      <c r="E48" s="9" t="s">
        <v>1935</v>
      </c>
      <c r="F48" s="11">
        <v>193.4725</v>
      </c>
      <c r="G48" s="12">
        <v>37.31</v>
      </c>
      <c r="H48" s="12">
        <f t="shared" si="0"/>
        <v>7218.46</v>
      </c>
      <c r="I48" s="13">
        <f t="shared" si="1"/>
        <v>9.9737086278004164E-2</v>
      </c>
      <c r="J48" s="13">
        <f t="shared" si="3"/>
        <v>17.364009435676675</v>
      </c>
      <c r="K48" s="390" t="str">
        <f t="shared" si="2"/>
        <v>A</v>
      </c>
    </row>
    <row r="49" spans="1:11" ht="15" customHeight="1" x14ac:dyDescent="0.25">
      <c r="A49" s="389" t="s">
        <v>3625</v>
      </c>
      <c r="B49" s="10" t="s">
        <v>3626</v>
      </c>
      <c r="C49" s="9" t="s">
        <v>341</v>
      </c>
      <c r="D49" s="9" t="s">
        <v>1812</v>
      </c>
      <c r="E49" s="9" t="s">
        <v>786</v>
      </c>
      <c r="F49" s="11">
        <v>6.72</v>
      </c>
      <c r="G49" s="12">
        <v>1058</v>
      </c>
      <c r="H49" s="12">
        <f t="shared" si="0"/>
        <v>7109.76</v>
      </c>
      <c r="I49" s="13">
        <f t="shared" si="1"/>
        <v>9.8235184033145975E-2</v>
      </c>
      <c r="J49" s="13">
        <f t="shared" si="3"/>
        <v>17.462244619709821</v>
      </c>
      <c r="K49" s="390" t="str">
        <f t="shared" si="2"/>
        <v>A</v>
      </c>
    </row>
    <row r="50" spans="1:11" ht="15" customHeight="1" x14ac:dyDescent="0.25">
      <c r="A50" s="389" t="s">
        <v>1952</v>
      </c>
      <c r="B50" s="10" t="s">
        <v>1953</v>
      </c>
      <c r="C50" s="9" t="s">
        <v>341</v>
      </c>
      <c r="D50" s="9" t="s">
        <v>1827</v>
      </c>
      <c r="E50" s="9" t="s">
        <v>1935</v>
      </c>
      <c r="F50" s="11">
        <v>442.71300000000002</v>
      </c>
      <c r="G50" s="12">
        <v>15.88</v>
      </c>
      <c r="H50" s="12">
        <f t="shared" si="0"/>
        <v>7030.28</v>
      </c>
      <c r="I50" s="13">
        <f t="shared" si="1"/>
        <v>9.7137013008110756E-2</v>
      </c>
      <c r="J50" s="13">
        <f t="shared" si="3"/>
        <v>17.559381632717933</v>
      </c>
      <c r="K50" s="390" t="str">
        <f t="shared" si="2"/>
        <v>A</v>
      </c>
    </row>
    <row r="51" spans="1:11" ht="20.100000000000001" customHeight="1" x14ac:dyDescent="0.25">
      <c r="A51" s="389" t="s">
        <v>2265</v>
      </c>
      <c r="B51" s="10" t="s">
        <v>2266</v>
      </c>
      <c r="C51" s="9" t="s">
        <v>51</v>
      </c>
      <c r="D51" s="9" t="s">
        <v>1812</v>
      </c>
      <c r="E51" s="9" t="s">
        <v>188</v>
      </c>
      <c r="F51" s="11">
        <v>3822.36</v>
      </c>
      <c r="G51" s="12">
        <v>1.78</v>
      </c>
      <c r="H51" s="12">
        <f t="shared" si="0"/>
        <v>6803.8</v>
      </c>
      <c r="I51" s="13">
        <f t="shared" si="1"/>
        <v>9.4007750630783413E-2</v>
      </c>
      <c r="J51" s="13">
        <f t="shared" si="3"/>
        <v>17.653389383348717</v>
      </c>
      <c r="K51" s="390" t="str">
        <f t="shared" si="2"/>
        <v>A</v>
      </c>
    </row>
    <row r="52" spans="1:11" ht="20.100000000000001" customHeight="1" x14ac:dyDescent="0.25">
      <c r="A52" s="389" t="s">
        <v>3827</v>
      </c>
      <c r="B52" s="10" t="s">
        <v>3828</v>
      </c>
      <c r="C52" s="9" t="s">
        <v>51</v>
      </c>
      <c r="D52" s="9" t="s">
        <v>1812</v>
      </c>
      <c r="E52" s="9" t="s">
        <v>188</v>
      </c>
      <c r="F52" s="11">
        <v>153</v>
      </c>
      <c r="G52" s="12">
        <v>42.67</v>
      </c>
      <c r="H52" s="12">
        <f t="shared" si="0"/>
        <v>6528.51</v>
      </c>
      <c r="I52" s="13">
        <f t="shared" si="1"/>
        <v>9.0204083022807233E-2</v>
      </c>
      <c r="J52" s="13">
        <f t="shared" si="3"/>
        <v>17.743593466371525</v>
      </c>
      <c r="K52" s="390" t="str">
        <f t="shared" si="2"/>
        <v>A</v>
      </c>
    </row>
    <row r="53" spans="1:11" ht="20.100000000000001" customHeight="1" x14ac:dyDescent="0.25">
      <c r="A53" s="389" t="s">
        <v>3479</v>
      </c>
      <c r="B53" s="10" t="s">
        <v>3480</v>
      </c>
      <c r="C53" s="9" t="s">
        <v>51</v>
      </c>
      <c r="D53" s="9" t="s">
        <v>1812</v>
      </c>
      <c r="E53" s="9" t="s">
        <v>1006</v>
      </c>
      <c r="F53" s="11">
        <v>218.17679999999999</v>
      </c>
      <c r="G53" s="12">
        <v>29.62</v>
      </c>
      <c r="H53" s="12">
        <f t="shared" si="0"/>
        <v>6462.4</v>
      </c>
      <c r="I53" s="13">
        <f t="shared" si="1"/>
        <v>8.9290644592194754E-2</v>
      </c>
      <c r="J53" s="13">
        <f t="shared" si="3"/>
        <v>17.832884110963718</v>
      </c>
      <c r="K53" s="390" t="str">
        <f t="shared" si="2"/>
        <v>A</v>
      </c>
    </row>
    <row r="54" spans="1:11" ht="15" customHeight="1" x14ac:dyDescent="0.25">
      <c r="A54" s="389" t="s">
        <v>3032</v>
      </c>
      <c r="B54" s="10" t="s">
        <v>3033</v>
      </c>
      <c r="C54" s="9" t="s">
        <v>341</v>
      </c>
      <c r="D54" s="9" t="s">
        <v>1827</v>
      </c>
      <c r="E54" s="9" t="s">
        <v>1935</v>
      </c>
      <c r="F54" s="11">
        <v>304.79649999999998</v>
      </c>
      <c r="G54" s="12">
        <v>20.45</v>
      </c>
      <c r="H54" s="12">
        <f t="shared" si="0"/>
        <v>6233.09</v>
      </c>
      <c r="I54" s="13">
        <f t="shared" si="1"/>
        <v>8.6122280252098782E-2</v>
      </c>
      <c r="J54" s="13">
        <f t="shared" si="3"/>
        <v>17.919006391215817</v>
      </c>
      <c r="K54" s="390" t="str">
        <f t="shared" si="2"/>
        <v>A</v>
      </c>
    </row>
    <row r="55" spans="1:11" ht="20.100000000000001" customHeight="1" x14ac:dyDescent="0.25">
      <c r="A55" s="389" t="s">
        <v>3535</v>
      </c>
      <c r="B55" s="10" t="s">
        <v>3536</v>
      </c>
      <c r="C55" s="9" t="s">
        <v>51</v>
      </c>
      <c r="D55" s="9" t="s">
        <v>1812</v>
      </c>
      <c r="E55" s="9" t="s">
        <v>122</v>
      </c>
      <c r="F55" s="11">
        <v>60.82</v>
      </c>
      <c r="G55" s="12">
        <v>99.96</v>
      </c>
      <c r="H55" s="12">
        <f t="shared" si="0"/>
        <v>6079.57</v>
      </c>
      <c r="I55" s="13">
        <f t="shared" si="1"/>
        <v>8.400110239901111E-2</v>
      </c>
      <c r="J55" s="13">
        <f t="shared" si="3"/>
        <v>18.003007493614827</v>
      </c>
      <c r="K55" s="390" t="str">
        <f t="shared" si="2"/>
        <v>A</v>
      </c>
    </row>
    <row r="56" spans="1:11" ht="20.100000000000001" customHeight="1" x14ac:dyDescent="0.25">
      <c r="A56" s="391" t="s">
        <v>3494</v>
      </c>
      <c r="B56" s="15" t="s">
        <v>3495</v>
      </c>
      <c r="C56" s="14" t="s">
        <v>51</v>
      </c>
      <c r="D56" s="14" t="s">
        <v>1812</v>
      </c>
      <c r="E56" s="14" t="s">
        <v>1006</v>
      </c>
      <c r="F56" s="16">
        <v>191.00909999999999</v>
      </c>
      <c r="G56" s="17">
        <v>31.69</v>
      </c>
      <c r="H56" s="17">
        <f t="shared" si="0"/>
        <v>6053.08</v>
      </c>
      <c r="I56" s="18">
        <f t="shared" si="1"/>
        <v>8.363509144715929E-2</v>
      </c>
      <c r="J56" s="18">
        <f t="shared" si="3"/>
        <v>18.086642585061988</v>
      </c>
      <c r="K56" s="392" t="str">
        <f t="shared" si="2"/>
        <v>A</v>
      </c>
    </row>
    <row r="57" spans="1:11" ht="20.100000000000001" customHeight="1" x14ac:dyDescent="0.25">
      <c r="A57" s="391" t="s">
        <v>1885</v>
      </c>
      <c r="B57" s="15" t="s">
        <v>1886</v>
      </c>
      <c r="C57" s="14" t="s">
        <v>82</v>
      </c>
      <c r="D57" s="14" t="s">
        <v>1812</v>
      </c>
      <c r="E57" s="14" t="s">
        <v>122</v>
      </c>
      <c r="F57" s="16">
        <v>62.0364</v>
      </c>
      <c r="G57" s="17">
        <v>96.53</v>
      </c>
      <c r="H57" s="17">
        <f t="shared" si="0"/>
        <v>5988.37</v>
      </c>
      <c r="I57" s="18">
        <f t="shared" si="1"/>
        <v>8.2740996743711506E-2</v>
      </c>
      <c r="J57" s="18">
        <f t="shared" si="3"/>
        <v>18.1693835818057</v>
      </c>
      <c r="K57" s="392" t="str">
        <f t="shared" si="2"/>
        <v>A</v>
      </c>
    </row>
    <row r="58" spans="1:11" ht="20.100000000000001" customHeight="1" x14ac:dyDescent="0.25">
      <c r="A58" s="391" t="s">
        <v>3093</v>
      </c>
      <c r="B58" s="15" t="s">
        <v>3094</v>
      </c>
      <c r="C58" s="14" t="s">
        <v>194</v>
      </c>
      <c r="D58" s="14" t="s">
        <v>1812</v>
      </c>
      <c r="E58" s="14" t="s">
        <v>694</v>
      </c>
      <c r="F58" s="16">
        <v>60.579014299999997</v>
      </c>
      <c r="G58" s="17">
        <v>98.73</v>
      </c>
      <c r="H58" s="17">
        <f t="shared" si="0"/>
        <v>5980.97</v>
      </c>
      <c r="I58" s="18">
        <f t="shared" si="1"/>
        <v>8.2638751328698176E-2</v>
      </c>
      <c r="J58" s="18">
        <f t="shared" si="3"/>
        <v>18.252022333134398</v>
      </c>
      <c r="K58" s="392" t="str">
        <f t="shared" si="2"/>
        <v>A</v>
      </c>
    </row>
    <row r="59" spans="1:11" ht="20.100000000000001" customHeight="1" x14ac:dyDescent="0.25">
      <c r="A59" s="391" t="s">
        <v>2999</v>
      </c>
      <c r="B59" s="15" t="s">
        <v>3000</v>
      </c>
      <c r="C59" s="14" t="s">
        <v>51</v>
      </c>
      <c r="D59" s="14" t="s">
        <v>1812</v>
      </c>
      <c r="E59" s="14" t="s">
        <v>1006</v>
      </c>
      <c r="F59" s="16">
        <v>121.04588</v>
      </c>
      <c r="G59" s="17">
        <v>47.36</v>
      </c>
      <c r="H59" s="17">
        <f t="shared" si="0"/>
        <v>5732.73</v>
      </c>
      <c r="I59" s="18">
        <f t="shared" si="1"/>
        <v>7.9208832163439671E-2</v>
      </c>
      <c r="J59" s="18">
        <f t="shared" si="3"/>
        <v>18.331231165297837</v>
      </c>
      <c r="K59" s="392" t="str">
        <f t="shared" si="2"/>
        <v>A</v>
      </c>
    </row>
    <row r="60" spans="1:11" ht="15" customHeight="1" x14ac:dyDescent="0.25">
      <c r="A60" s="391" t="s">
        <v>2501</v>
      </c>
      <c r="B60" s="15" t="s">
        <v>2502</v>
      </c>
      <c r="C60" s="14" t="s">
        <v>82</v>
      </c>
      <c r="D60" s="14" t="s">
        <v>1827</v>
      </c>
      <c r="E60" s="14" t="s">
        <v>1024</v>
      </c>
      <c r="F60" s="16">
        <v>220.11405599741281</v>
      </c>
      <c r="G60" s="17">
        <v>26.02</v>
      </c>
      <c r="H60" s="17">
        <f t="shared" si="0"/>
        <v>5727.37</v>
      </c>
      <c r="I60" s="18">
        <f t="shared" si="1"/>
        <v>7.9134773322294877E-2</v>
      </c>
      <c r="J60" s="18">
        <f t="shared" si="3"/>
        <v>18.410365938620131</v>
      </c>
      <c r="K60" s="392" t="str">
        <f t="shared" si="2"/>
        <v>A</v>
      </c>
    </row>
    <row r="61" spans="1:11" ht="20.100000000000001" customHeight="1" x14ac:dyDescent="0.25">
      <c r="A61" s="391" t="s">
        <v>2001</v>
      </c>
      <c r="B61" s="15" t="s">
        <v>2002</v>
      </c>
      <c r="C61" s="14" t="s">
        <v>1963</v>
      </c>
      <c r="D61" s="14" t="s">
        <v>1812</v>
      </c>
      <c r="E61" s="14" t="s">
        <v>122</v>
      </c>
      <c r="F61" s="16">
        <v>4.62</v>
      </c>
      <c r="G61" s="17">
        <v>1239.4100000000001</v>
      </c>
      <c r="H61" s="17">
        <f t="shared" si="0"/>
        <v>5726.07</v>
      </c>
      <c r="I61" s="18">
        <f t="shared" si="1"/>
        <v>7.9116811289927674E-2</v>
      </c>
      <c r="J61" s="18">
        <f t="shared" si="3"/>
        <v>18.48948274991006</v>
      </c>
      <c r="K61" s="392" t="str">
        <f t="shared" si="2"/>
        <v>A</v>
      </c>
    </row>
    <row r="62" spans="1:11" ht="27.95" customHeight="1" x14ac:dyDescent="0.25">
      <c r="A62" s="391" t="s">
        <v>2228</v>
      </c>
      <c r="B62" s="15" t="s">
        <v>2229</v>
      </c>
      <c r="C62" s="14" t="s">
        <v>2230</v>
      </c>
      <c r="D62" s="14" t="s">
        <v>1812</v>
      </c>
      <c r="E62" s="14" t="s">
        <v>226</v>
      </c>
      <c r="F62" s="16">
        <v>6</v>
      </c>
      <c r="G62" s="17">
        <v>866.68</v>
      </c>
      <c r="H62" s="17">
        <f t="shared" si="0"/>
        <v>5200.08</v>
      </c>
      <c r="I62" s="18">
        <f t="shared" si="1"/>
        <v>7.1849234824675062E-2</v>
      </c>
      <c r="J62" s="18">
        <f t="shared" si="3"/>
        <v>18.561331984734736</v>
      </c>
      <c r="K62" s="392" t="str">
        <f t="shared" si="2"/>
        <v>A</v>
      </c>
    </row>
    <row r="63" spans="1:11" ht="15" customHeight="1" x14ac:dyDescent="0.25">
      <c r="A63" s="391" t="s">
        <v>2045</v>
      </c>
      <c r="B63" s="15" t="s">
        <v>2046</v>
      </c>
      <c r="C63" s="14" t="s">
        <v>341</v>
      </c>
      <c r="D63" s="14" t="s">
        <v>1812</v>
      </c>
      <c r="E63" s="14" t="s">
        <v>54</v>
      </c>
      <c r="F63" s="16">
        <v>58.673999999999999</v>
      </c>
      <c r="G63" s="17">
        <v>88.26</v>
      </c>
      <c r="H63" s="17">
        <f t="shared" si="0"/>
        <v>5178.57</v>
      </c>
      <c r="I63" s="18">
        <f t="shared" si="1"/>
        <v>7.1552032273737617E-2</v>
      </c>
      <c r="J63" s="18">
        <f t="shared" si="3"/>
        <v>18.632884017008472</v>
      </c>
      <c r="K63" s="392" t="str">
        <f t="shared" si="2"/>
        <v>A</v>
      </c>
    </row>
    <row r="64" spans="1:11" ht="15" customHeight="1" x14ac:dyDescent="0.25">
      <c r="A64" s="391" t="s">
        <v>2427</v>
      </c>
      <c r="B64" s="15" t="s">
        <v>2428</v>
      </c>
      <c r="C64" s="14" t="s">
        <v>341</v>
      </c>
      <c r="D64" s="14" t="s">
        <v>1827</v>
      </c>
      <c r="E64" s="14" t="s">
        <v>1935</v>
      </c>
      <c r="F64" s="16">
        <v>327.82619</v>
      </c>
      <c r="G64" s="17">
        <v>15.59</v>
      </c>
      <c r="H64" s="17">
        <f t="shared" si="0"/>
        <v>5110.8100000000004</v>
      </c>
      <c r="I64" s="18">
        <f t="shared" si="1"/>
        <v>7.0615795878966783E-2</v>
      </c>
      <c r="J64" s="18">
        <f t="shared" si="3"/>
        <v>18.70349981288744</v>
      </c>
      <c r="K64" s="392" t="str">
        <f t="shared" si="2"/>
        <v>A</v>
      </c>
    </row>
    <row r="65" spans="1:11" ht="15" customHeight="1" x14ac:dyDescent="0.25">
      <c r="A65" s="391" t="s">
        <v>1995</v>
      </c>
      <c r="B65" s="15" t="s">
        <v>1996</v>
      </c>
      <c r="C65" s="14" t="s">
        <v>82</v>
      </c>
      <c r="D65" s="14" t="s">
        <v>1812</v>
      </c>
      <c r="E65" s="14" t="s">
        <v>122</v>
      </c>
      <c r="F65" s="16">
        <v>17</v>
      </c>
      <c r="G65" s="17">
        <v>294.05</v>
      </c>
      <c r="H65" s="17">
        <f t="shared" si="0"/>
        <v>4998.8500000000004</v>
      </c>
      <c r="I65" s="18">
        <f t="shared" si="1"/>
        <v>6.9068850383710814E-2</v>
      </c>
      <c r="J65" s="18">
        <f t="shared" si="3"/>
        <v>18.772568663271151</v>
      </c>
      <c r="K65" s="392" t="str">
        <f t="shared" si="2"/>
        <v>A</v>
      </c>
    </row>
    <row r="66" spans="1:11" ht="20.100000000000001" customHeight="1" x14ac:dyDescent="0.25">
      <c r="A66" s="391" t="s">
        <v>3732</v>
      </c>
      <c r="B66" s="15" t="s">
        <v>3733</v>
      </c>
      <c r="C66" s="14" t="s">
        <v>82</v>
      </c>
      <c r="D66" s="14" t="s">
        <v>1812</v>
      </c>
      <c r="E66" s="14" t="s">
        <v>226</v>
      </c>
      <c r="F66" s="16">
        <v>10</v>
      </c>
      <c r="G66" s="17">
        <v>493.03</v>
      </c>
      <c r="H66" s="17">
        <f t="shared" si="0"/>
        <v>4930.3</v>
      </c>
      <c r="I66" s="18">
        <f t="shared" si="1"/>
        <v>6.8121698600039901E-2</v>
      </c>
      <c r="J66" s="18">
        <f t="shared" si="3"/>
        <v>18.840690361871193</v>
      </c>
      <c r="K66" s="392" t="str">
        <f t="shared" si="2"/>
        <v>A</v>
      </c>
    </row>
    <row r="67" spans="1:11" ht="20.100000000000001" customHeight="1" x14ac:dyDescent="0.25">
      <c r="A67" s="391" t="s">
        <v>3091</v>
      </c>
      <c r="B67" s="15" t="s">
        <v>3092</v>
      </c>
      <c r="C67" s="14" t="s">
        <v>194</v>
      </c>
      <c r="D67" s="14" t="s">
        <v>1812</v>
      </c>
      <c r="E67" s="14" t="s">
        <v>694</v>
      </c>
      <c r="F67" s="16">
        <v>29.883002000000001</v>
      </c>
      <c r="G67" s="17">
        <v>164.98</v>
      </c>
      <c r="H67" s="17">
        <f t="shared" si="0"/>
        <v>4930.1000000000004</v>
      </c>
      <c r="I67" s="18">
        <f t="shared" si="1"/>
        <v>6.8118935210444945E-2</v>
      </c>
      <c r="J67" s="18">
        <f t="shared" si="3"/>
        <v>18.908809297081639</v>
      </c>
      <c r="K67" s="392" t="str">
        <f t="shared" si="2"/>
        <v>A</v>
      </c>
    </row>
    <row r="68" spans="1:11" ht="15" customHeight="1" x14ac:dyDescent="0.25">
      <c r="A68" s="391" t="s">
        <v>2498</v>
      </c>
      <c r="B68" s="15" t="s">
        <v>2499</v>
      </c>
      <c r="C68" s="14" t="s">
        <v>82</v>
      </c>
      <c r="D68" s="14" t="s">
        <v>1812</v>
      </c>
      <c r="E68" s="14" t="s">
        <v>1006</v>
      </c>
      <c r="F68" s="16">
        <v>713.79531763154</v>
      </c>
      <c r="G68" s="17">
        <v>6.89</v>
      </c>
      <c r="H68" s="17">
        <f t="shared" si="0"/>
        <v>4918.05</v>
      </c>
      <c r="I68" s="18">
        <f t="shared" si="1"/>
        <v>6.7952440987348886E-2</v>
      </c>
      <c r="J68" s="18">
        <f t="shared" si="3"/>
        <v>18.976761738068987</v>
      </c>
      <c r="K68" s="392" t="str">
        <f t="shared" si="2"/>
        <v>A</v>
      </c>
    </row>
    <row r="69" spans="1:11" ht="20.100000000000001" customHeight="1" x14ac:dyDescent="0.25">
      <c r="A69" s="391" t="s">
        <v>3900</v>
      </c>
      <c r="B69" s="15" t="s">
        <v>3901</v>
      </c>
      <c r="C69" s="14" t="s">
        <v>82</v>
      </c>
      <c r="D69" s="14" t="s">
        <v>1812</v>
      </c>
      <c r="E69" s="14" t="s">
        <v>226</v>
      </c>
      <c r="F69" s="16">
        <v>86</v>
      </c>
      <c r="G69" s="17">
        <v>55.94</v>
      </c>
      <c r="H69" s="17">
        <f t="shared" si="0"/>
        <v>4810.84</v>
      </c>
      <c r="I69" s="18">
        <f t="shared" si="1"/>
        <v>6.647112599497311E-2</v>
      </c>
      <c r="J69" s="18">
        <f t="shared" si="3"/>
        <v>19.04323286406396</v>
      </c>
      <c r="K69" s="392" t="str">
        <f t="shared" si="2"/>
        <v>A</v>
      </c>
    </row>
    <row r="70" spans="1:11" ht="15" customHeight="1" x14ac:dyDescent="0.25">
      <c r="A70" s="391" t="s">
        <v>2089</v>
      </c>
      <c r="B70" s="15" t="s">
        <v>2090</v>
      </c>
      <c r="C70" s="14" t="s">
        <v>341</v>
      </c>
      <c r="D70" s="14" t="s">
        <v>1827</v>
      </c>
      <c r="E70" s="14" t="s">
        <v>1935</v>
      </c>
      <c r="F70" s="16">
        <v>110.498</v>
      </c>
      <c r="G70" s="17">
        <v>43.53</v>
      </c>
      <c r="H70" s="17">
        <f t="shared" si="0"/>
        <v>4809.9799999999996</v>
      </c>
      <c r="I70" s="18">
        <f t="shared" si="1"/>
        <v>6.6459243419714792E-2</v>
      </c>
      <c r="J70" s="18">
        <f t="shared" si="3"/>
        <v>19.109692107483674</v>
      </c>
      <c r="K70" s="392" t="str">
        <f t="shared" si="2"/>
        <v>A</v>
      </c>
    </row>
    <row r="71" spans="1:11" ht="20.100000000000001" customHeight="1" x14ac:dyDescent="0.25">
      <c r="A71" s="391" t="s">
        <v>3796</v>
      </c>
      <c r="B71" s="15" t="s">
        <v>3797</v>
      </c>
      <c r="C71" s="14" t="s">
        <v>82</v>
      </c>
      <c r="D71" s="14" t="s">
        <v>2443</v>
      </c>
      <c r="E71" s="14" t="s">
        <v>226</v>
      </c>
      <c r="F71" s="16">
        <v>1</v>
      </c>
      <c r="G71" s="17">
        <v>4805.4799999999996</v>
      </c>
      <c r="H71" s="17">
        <f t="shared" ref="H71:H134" si="4">ROUND(F71*G71,2)</f>
        <v>4805.4799999999996</v>
      </c>
      <c r="I71" s="18">
        <f t="shared" ref="I71:I134" si="5">H71/VALOR_TOTAL*100</f>
        <v>6.6397067153828301E-2</v>
      </c>
      <c r="J71" s="18">
        <f t="shared" si="3"/>
        <v>19.176089174637504</v>
      </c>
      <c r="K71" s="392" t="str">
        <f t="shared" ref="K71:K134" si="6">IF(J71&lt;=50,"A",IF(J71&lt;=80,"B","C"))</f>
        <v>A</v>
      </c>
    </row>
    <row r="72" spans="1:11" ht="20.100000000000001" customHeight="1" x14ac:dyDescent="0.25">
      <c r="A72" s="391" t="s">
        <v>2062</v>
      </c>
      <c r="B72" s="15" t="s">
        <v>2063</v>
      </c>
      <c r="C72" s="14" t="s">
        <v>2206</v>
      </c>
      <c r="D72" s="14" t="s">
        <v>1812</v>
      </c>
      <c r="E72" s="14" t="s">
        <v>54</v>
      </c>
      <c r="F72" s="16">
        <v>13.11</v>
      </c>
      <c r="G72" s="17">
        <v>359.88</v>
      </c>
      <c r="H72" s="17">
        <f t="shared" si="4"/>
        <v>4718.03</v>
      </c>
      <c r="I72" s="18">
        <f t="shared" si="5"/>
        <v>6.5188775053434109E-2</v>
      </c>
      <c r="J72" s="18">
        <f t="shared" ref="J72:J135" si="7">I72+J71</f>
        <v>19.241277949690939</v>
      </c>
      <c r="K72" s="392" t="str">
        <f t="shared" si="6"/>
        <v>A</v>
      </c>
    </row>
    <row r="73" spans="1:11" ht="27.95" customHeight="1" x14ac:dyDescent="0.25">
      <c r="A73" s="391" t="s">
        <v>2073</v>
      </c>
      <c r="B73" s="15" t="s">
        <v>2074</v>
      </c>
      <c r="C73" s="14" t="s">
        <v>2206</v>
      </c>
      <c r="D73" s="14" t="s">
        <v>1812</v>
      </c>
      <c r="E73" s="14" t="s">
        <v>54</v>
      </c>
      <c r="F73" s="16">
        <v>40.457999999999998</v>
      </c>
      <c r="G73" s="17">
        <v>115</v>
      </c>
      <c r="H73" s="17">
        <f t="shared" si="4"/>
        <v>4652.67</v>
      </c>
      <c r="I73" s="18">
        <f t="shared" si="5"/>
        <v>6.4285699333802737E-2</v>
      </c>
      <c r="J73" s="18">
        <f t="shared" si="7"/>
        <v>19.305563649024741</v>
      </c>
      <c r="K73" s="392" t="str">
        <f t="shared" si="6"/>
        <v>A</v>
      </c>
    </row>
    <row r="74" spans="1:11" ht="20.100000000000001" customHeight="1" x14ac:dyDescent="0.25">
      <c r="A74" s="391" t="s">
        <v>2471</v>
      </c>
      <c r="B74" s="15" t="s">
        <v>2472</v>
      </c>
      <c r="C74" s="14" t="s">
        <v>82</v>
      </c>
      <c r="D74" s="14" t="s">
        <v>1812</v>
      </c>
      <c r="E74" s="14" t="s">
        <v>188</v>
      </c>
      <c r="F74" s="16">
        <v>223.56332</v>
      </c>
      <c r="G74" s="17">
        <v>20.100000000000001</v>
      </c>
      <c r="H74" s="17">
        <f t="shared" si="4"/>
        <v>4493.62</v>
      </c>
      <c r="I74" s="18">
        <f t="shared" si="5"/>
        <v>6.2088113758414547E-2</v>
      </c>
      <c r="J74" s="18">
        <f t="shared" si="7"/>
        <v>19.367651762783154</v>
      </c>
      <c r="K74" s="392" t="str">
        <f t="shared" si="6"/>
        <v>A</v>
      </c>
    </row>
    <row r="75" spans="1:11" ht="20.100000000000001" customHeight="1" x14ac:dyDescent="0.25">
      <c r="A75" s="391" t="s">
        <v>3830</v>
      </c>
      <c r="B75" s="15" t="s">
        <v>3831</v>
      </c>
      <c r="C75" s="14" t="s">
        <v>51</v>
      </c>
      <c r="D75" s="14" t="s">
        <v>1812</v>
      </c>
      <c r="E75" s="14" t="s">
        <v>188</v>
      </c>
      <c r="F75" s="16">
        <v>81.599999999999994</v>
      </c>
      <c r="G75" s="17">
        <v>53.33</v>
      </c>
      <c r="H75" s="17">
        <f t="shared" si="4"/>
        <v>4351.7299999999996</v>
      </c>
      <c r="I75" s="18">
        <f t="shared" si="5"/>
        <v>6.0127627010273528E-2</v>
      </c>
      <c r="J75" s="18">
        <f t="shared" si="7"/>
        <v>19.427779389793429</v>
      </c>
      <c r="K75" s="392" t="str">
        <f t="shared" si="6"/>
        <v>A</v>
      </c>
    </row>
    <row r="76" spans="1:11" ht="15" customHeight="1" x14ac:dyDescent="0.25">
      <c r="A76" s="391" t="s">
        <v>3725</v>
      </c>
      <c r="B76" s="15" t="s">
        <v>3726</v>
      </c>
      <c r="C76" s="14" t="s">
        <v>82</v>
      </c>
      <c r="D76" s="14" t="s">
        <v>1812</v>
      </c>
      <c r="E76" s="14" t="s">
        <v>188</v>
      </c>
      <c r="F76" s="16">
        <v>90</v>
      </c>
      <c r="G76" s="17">
        <v>48.08</v>
      </c>
      <c r="H76" s="17">
        <f t="shared" si="4"/>
        <v>4327.2</v>
      </c>
      <c r="I76" s="18">
        <f t="shared" si="5"/>
        <v>5.9788697276452266E-2</v>
      </c>
      <c r="J76" s="18">
        <f t="shared" si="7"/>
        <v>19.487568087069882</v>
      </c>
      <c r="K76" s="392" t="str">
        <f t="shared" si="6"/>
        <v>A</v>
      </c>
    </row>
    <row r="77" spans="1:11" ht="27.95" customHeight="1" x14ac:dyDescent="0.25">
      <c r="A77" s="391" t="s">
        <v>2340</v>
      </c>
      <c r="B77" s="15" t="s">
        <v>2341</v>
      </c>
      <c r="C77" s="14" t="s">
        <v>82</v>
      </c>
      <c r="D77" s="14" t="s">
        <v>1932</v>
      </c>
      <c r="E77" s="14" t="s">
        <v>1024</v>
      </c>
      <c r="F77" s="16">
        <v>2654.7242804576199</v>
      </c>
      <c r="G77" s="17">
        <v>1.62</v>
      </c>
      <c r="H77" s="17">
        <f t="shared" si="4"/>
        <v>4300.6499999999996</v>
      </c>
      <c r="I77" s="18">
        <f t="shared" si="5"/>
        <v>5.9421857307721954E-2</v>
      </c>
      <c r="J77" s="18">
        <f t="shared" si="7"/>
        <v>19.546989944377604</v>
      </c>
      <c r="K77" s="392" t="str">
        <f t="shared" si="6"/>
        <v>A</v>
      </c>
    </row>
    <row r="78" spans="1:11" ht="15" customHeight="1" x14ac:dyDescent="0.25">
      <c r="A78" s="391" t="s">
        <v>2584</v>
      </c>
      <c r="B78" s="15" t="s">
        <v>2585</v>
      </c>
      <c r="C78" s="14" t="s">
        <v>82</v>
      </c>
      <c r="D78" s="14" t="s">
        <v>1827</v>
      </c>
      <c r="E78" s="14" t="s">
        <v>1024</v>
      </c>
      <c r="F78" s="16">
        <v>135.32992007744801</v>
      </c>
      <c r="G78" s="17">
        <v>31.02</v>
      </c>
      <c r="H78" s="17">
        <f t="shared" si="4"/>
        <v>4197.93</v>
      </c>
      <c r="I78" s="18">
        <f t="shared" si="5"/>
        <v>5.8002580411752935E-2</v>
      </c>
      <c r="J78" s="18">
        <f t="shared" si="7"/>
        <v>19.604992524789356</v>
      </c>
      <c r="K78" s="392" t="str">
        <f t="shared" si="6"/>
        <v>A</v>
      </c>
    </row>
    <row r="79" spans="1:11" ht="15" customHeight="1" x14ac:dyDescent="0.25">
      <c r="A79" s="391" t="s">
        <v>1941</v>
      </c>
      <c r="B79" s="15" t="s">
        <v>1942</v>
      </c>
      <c r="C79" s="14" t="s">
        <v>341</v>
      </c>
      <c r="D79" s="14" t="s">
        <v>1812</v>
      </c>
      <c r="E79" s="14" t="s">
        <v>579</v>
      </c>
      <c r="F79" s="16">
        <v>48.33</v>
      </c>
      <c r="G79" s="17">
        <v>85.75</v>
      </c>
      <c r="H79" s="17">
        <f t="shared" si="4"/>
        <v>4144.3</v>
      </c>
      <c r="I79" s="18">
        <f t="shared" si="5"/>
        <v>5.7261577491865674E-2</v>
      </c>
      <c r="J79" s="18">
        <f t="shared" si="7"/>
        <v>19.662254102281221</v>
      </c>
      <c r="K79" s="392" t="str">
        <f t="shared" si="6"/>
        <v>A</v>
      </c>
    </row>
    <row r="80" spans="1:11" ht="15" customHeight="1" x14ac:dyDescent="0.25">
      <c r="A80" s="391" t="s">
        <v>2049</v>
      </c>
      <c r="B80" s="15" t="s">
        <v>2050</v>
      </c>
      <c r="C80" s="14" t="s">
        <v>341</v>
      </c>
      <c r="D80" s="14" t="s">
        <v>1812</v>
      </c>
      <c r="E80" s="14" t="s">
        <v>786</v>
      </c>
      <c r="F80" s="16">
        <v>75.636499999999998</v>
      </c>
      <c r="G80" s="17">
        <v>53.56</v>
      </c>
      <c r="H80" s="17">
        <f t="shared" si="4"/>
        <v>4051.09</v>
      </c>
      <c r="I80" s="18">
        <f t="shared" si="5"/>
        <v>5.5973699771136767E-2</v>
      </c>
      <c r="J80" s="18">
        <f t="shared" si="7"/>
        <v>19.718227802052358</v>
      </c>
      <c r="K80" s="392" t="str">
        <f t="shared" si="6"/>
        <v>A</v>
      </c>
    </row>
    <row r="81" spans="1:11" ht="20.100000000000001" customHeight="1" x14ac:dyDescent="0.25">
      <c r="A81" s="391" t="s">
        <v>3760</v>
      </c>
      <c r="B81" s="15" t="s">
        <v>3761</v>
      </c>
      <c r="C81" s="14" t="s">
        <v>51</v>
      </c>
      <c r="D81" s="14" t="s">
        <v>1812</v>
      </c>
      <c r="E81" s="14" t="s">
        <v>188</v>
      </c>
      <c r="F81" s="16">
        <v>711.7</v>
      </c>
      <c r="G81" s="17">
        <v>5.6</v>
      </c>
      <c r="H81" s="17">
        <f t="shared" si="4"/>
        <v>3985.52</v>
      </c>
      <c r="I81" s="18">
        <f t="shared" si="5"/>
        <v>5.5067722492430679E-2</v>
      </c>
      <c r="J81" s="18">
        <f t="shared" si="7"/>
        <v>19.773295524544789</v>
      </c>
      <c r="K81" s="392" t="str">
        <f t="shared" si="6"/>
        <v>A</v>
      </c>
    </row>
    <row r="82" spans="1:11" ht="15" customHeight="1" x14ac:dyDescent="0.25">
      <c r="A82" s="391" t="s">
        <v>3895</v>
      </c>
      <c r="B82" s="15" t="s">
        <v>3896</v>
      </c>
      <c r="C82" s="14" t="s">
        <v>82</v>
      </c>
      <c r="D82" s="14" t="s">
        <v>1812</v>
      </c>
      <c r="E82" s="14" t="s">
        <v>226</v>
      </c>
      <c r="F82" s="16">
        <v>29</v>
      </c>
      <c r="G82" s="17">
        <v>135.34</v>
      </c>
      <c r="H82" s="17">
        <f t="shared" si="4"/>
        <v>3924.86</v>
      </c>
      <c r="I82" s="18">
        <f t="shared" si="5"/>
        <v>5.4229586428280747E-2</v>
      </c>
      <c r="J82" s="18">
        <f t="shared" si="7"/>
        <v>19.82752511097307</v>
      </c>
      <c r="K82" s="392" t="str">
        <f t="shared" si="6"/>
        <v>A</v>
      </c>
    </row>
    <row r="83" spans="1:11" ht="20.100000000000001" customHeight="1" x14ac:dyDescent="0.25">
      <c r="A83" s="391" t="s">
        <v>3524</v>
      </c>
      <c r="B83" s="15" t="s">
        <v>3525</v>
      </c>
      <c r="C83" s="14" t="s">
        <v>51</v>
      </c>
      <c r="D83" s="14" t="s">
        <v>1812</v>
      </c>
      <c r="E83" s="14" t="s">
        <v>85</v>
      </c>
      <c r="F83" s="16">
        <v>34.491999999999997</v>
      </c>
      <c r="G83" s="17">
        <v>105.85</v>
      </c>
      <c r="H83" s="17">
        <f t="shared" si="4"/>
        <v>3650.98</v>
      </c>
      <c r="I83" s="18">
        <f t="shared" si="5"/>
        <v>5.0445400716948995E-2</v>
      </c>
      <c r="J83" s="18">
        <f t="shared" si="7"/>
        <v>19.87797051169002</v>
      </c>
      <c r="K83" s="392" t="str">
        <f t="shared" si="6"/>
        <v>A</v>
      </c>
    </row>
    <row r="84" spans="1:11" ht="20.100000000000001" customHeight="1" x14ac:dyDescent="0.25">
      <c r="A84" s="391" t="s">
        <v>1964</v>
      </c>
      <c r="B84" s="15" t="s">
        <v>1965</v>
      </c>
      <c r="C84" s="14" t="s">
        <v>82</v>
      </c>
      <c r="D84" s="14" t="s">
        <v>1812</v>
      </c>
      <c r="E84" s="14" t="s">
        <v>226</v>
      </c>
      <c r="F84" s="16">
        <v>4</v>
      </c>
      <c r="G84" s="17">
        <v>857.05</v>
      </c>
      <c r="H84" s="17">
        <f t="shared" si="4"/>
        <v>3428.2</v>
      </c>
      <c r="I84" s="18">
        <f t="shared" si="5"/>
        <v>4.7367261047128316E-2</v>
      </c>
      <c r="J84" s="18">
        <f t="shared" si="7"/>
        <v>19.925337772737148</v>
      </c>
      <c r="K84" s="392" t="str">
        <f t="shared" si="6"/>
        <v>A</v>
      </c>
    </row>
    <row r="85" spans="1:11" ht="20.100000000000001" customHeight="1" x14ac:dyDescent="0.25">
      <c r="A85" s="391" t="s">
        <v>3261</v>
      </c>
      <c r="B85" s="15" t="s">
        <v>3262</v>
      </c>
      <c r="C85" s="14" t="s">
        <v>51</v>
      </c>
      <c r="D85" s="14" t="s">
        <v>1812</v>
      </c>
      <c r="E85" s="14" t="s">
        <v>188</v>
      </c>
      <c r="F85" s="16">
        <v>829.88495</v>
      </c>
      <c r="G85" s="17">
        <v>4.01</v>
      </c>
      <c r="H85" s="17">
        <f t="shared" si="4"/>
        <v>3327.84</v>
      </c>
      <c r="I85" s="18">
        <f t="shared" si="5"/>
        <v>4.5980592148379767E-2</v>
      </c>
      <c r="J85" s="18">
        <f t="shared" si="7"/>
        <v>19.971318364885526</v>
      </c>
      <c r="K85" s="392" t="str">
        <f t="shared" si="6"/>
        <v>A</v>
      </c>
    </row>
    <row r="86" spans="1:11" ht="20.100000000000001" customHeight="1" x14ac:dyDescent="0.25">
      <c r="A86" s="391" t="s">
        <v>3543</v>
      </c>
      <c r="B86" s="15" t="s">
        <v>3544</v>
      </c>
      <c r="C86" s="14" t="s">
        <v>51</v>
      </c>
      <c r="D86" s="14" t="s">
        <v>1812</v>
      </c>
      <c r="E86" s="14" t="s">
        <v>226</v>
      </c>
      <c r="F86" s="16">
        <v>2</v>
      </c>
      <c r="G86" s="17">
        <v>1561.81</v>
      </c>
      <c r="H86" s="17">
        <f t="shared" si="4"/>
        <v>3123.62</v>
      </c>
      <c r="I86" s="18">
        <f t="shared" si="5"/>
        <v>4.3158895032970934E-2</v>
      </c>
      <c r="J86" s="18">
        <f t="shared" si="7"/>
        <v>20.014477259918497</v>
      </c>
      <c r="K86" s="392" t="str">
        <f t="shared" si="6"/>
        <v>A</v>
      </c>
    </row>
    <row r="87" spans="1:11" ht="20.100000000000001" customHeight="1" x14ac:dyDescent="0.25">
      <c r="A87" s="391" t="s">
        <v>3607</v>
      </c>
      <c r="B87" s="15" t="s">
        <v>3608</v>
      </c>
      <c r="C87" s="14" t="s">
        <v>51</v>
      </c>
      <c r="D87" s="14" t="s">
        <v>1812</v>
      </c>
      <c r="E87" s="14" t="s">
        <v>188</v>
      </c>
      <c r="F87" s="16">
        <v>331.95128799000003</v>
      </c>
      <c r="G87" s="17">
        <v>9.36</v>
      </c>
      <c r="H87" s="17">
        <f t="shared" si="4"/>
        <v>3107.06</v>
      </c>
      <c r="I87" s="18">
        <f t="shared" si="5"/>
        <v>4.2930086374508639E-2</v>
      </c>
      <c r="J87" s="18">
        <f t="shared" si="7"/>
        <v>20.057407346293004</v>
      </c>
      <c r="K87" s="392" t="str">
        <f t="shared" si="6"/>
        <v>A</v>
      </c>
    </row>
    <row r="88" spans="1:11" ht="15" customHeight="1" x14ac:dyDescent="0.25">
      <c r="A88" s="391" t="s">
        <v>2134</v>
      </c>
      <c r="B88" s="15" t="s">
        <v>2135</v>
      </c>
      <c r="C88" s="14" t="s">
        <v>82</v>
      </c>
      <c r="D88" s="14" t="s">
        <v>1812</v>
      </c>
      <c r="E88" s="14" t="s">
        <v>1817</v>
      </c>
      <c r="F88" s="16">
        <v>2100</v>
      </c>
      <c r="G88" s="17">
        <v>1.46</v>
      </c>
      <c r="H88" s="17">
        <f t="shared" si="4"/>
        <v>3066</v>
      </c>
      <c r="I88" s="18">
        <f t="shared" si="5"/>
        <v>4.2362762490664327E-2</v>
      </c>
      <c r="J88" s="18">
        <f t="shared" si="7"/>
        <v>20.09977010878367</v>
      </c>
      <c r="K88" s="392" t="str">
        <f t="shared" si="6"/>
        <v>A</v>
      </c>
    </row>
    <row r="89" spans="1:11" ht="20.100000000000001" customHeight="1" x14ac:dyDescent="0.25">
      <c r="A89" s="391" t="s">
        <v>3157</v>
      </c>
      <c r="B89" s="15" t="s">
        <v>3924</v>
      </c>
      <c r="C89" s="14" t="s">
        <v>51</v>
      </c>
      <c r="D89" s="14" t="s">
        <v>1827</v>
      </c>
      <c r="E89" s="14" t="s">
        <v>1024</v>
      </c>
      <c r="F89" s="16">
        <v>108.27320400000001</v>
      </c>
      <c r="G89" s="17">
        <v>28.29</v>
      </c>
      <c r="H89" s="17">
        <f t="shared" si="4"/>
        <v>3063.05</v>
      </c>
      <c r="I89" s="18">
        <f t="shared" si="5"/>
        <v>4.2322002494138734E-2</v>
      </c>
      <c r="J89" s="18">
        <f t="shared" si="7"/>
        <v>20.142092111277808</v>
      </c>
      <c r="K89" s="392" t="str">
        <f t="shared" si="6"/>
        <v>A</v>
      </c>
    </row>
    <row r="90" spans="1:11" ht="20.100000000000001" customHeight="1" x14ac:dyDescent="0.25">
      <c r="A90" s="391" t="s">
        <v>3284</v>
      </c>
      <c r="B90" s="15" t="s">
        <v>3285</v>
      </c>
      <c r="C90" s="14" t="s">
        <v>51</v>
      </c>
      <c r="D90" s="14" t="s">
        <v>1812</v>
      </c>
      <c r="E90" s="14" t="s">
        <v>122</v>
      </c>
      <c r="F90" s="16">
        <v>85.138000000000005</v>
      </c>
      <c r="G90" s="17">
        <v>35.659999999999997</v>
      </c>
      <c r="H90" s="17">
        <f t="shared" si="4"/>
        <v>3036.02</v>
      </c>
      <c r="I90" s="18">
        <f t="shared" si="5"/>
        <v>4.1948530390380524E-2</v>
      </c>
      <c r="J90" s="18">
        <f t="shared" si="7"/>
        <v>20.18404064166819</v>
      </c>
      <c r="K90" s="392" t="str">
        <f t="shared" si="6"/>
        <v>A</v>
      </c>
    </row>
    <row r="91" spans="1:11" ht="20.100000000000001" customHeight="1" x14ac:dyDescent="0.25">
      <c r="A91" s="391" t="s">
        <v>3727</v>
      </c>
      <c r="B91" s="15" t="s">
        <v>3728</v>
      </c>
      <c r="C91" s="14" t="s">
        <v>82</v>
      </c>
      <c r="D91" s="14" t="s">
        <v>1812</v>
      </c>
      <c r="E91" s="14" t="s">
        <v>226</v>
      </c>
      <c r="F91" s="16">
        <v>40</v>
      </c>
      <c r="G91" s="17">
        <v>75.55</v>
      </c>
      <c r="H91" s="17">
        <f t="shared" si="4"/>
        <v>3022</v>
      </c>
      <c r="I91" s="18">
        <f t="shared" si="5"/>
        <v>4.1754816779774162E-2</v>
      </c>
      <c r="J91" s="18">
        <f t="shared" si="7"/>
        <v>20.225795458447966</v>
      </c>
      <c r="K91" s="392" t="str">
        <f t="shared" si="6"/>
        <v>A</v>
      </c>
    </row>
    <row r="92" spans="1:11" ht="20.100000000000001" customHeight="1" x14ac:dyDescent="0.25">
      <c r="A92" s="391" t="s">
        <v>3601</v>
      </c>
      <c r="B92" s="15" t="s">
        <v>3602</v>
      </c>
      <c r="C92" s="14" t="s">
        <v>51</v>
      </c>
      <c r="D92" s="14" t="s">
        <v>1812</v>
      </c>
      <c r="E92" s="14" t="s">
        <v>1817</v>
      </c>
      <c r="F92" s="16">
        <v>816.36720000000003</v>
      </c>
      <c r="G92" s="17">
        <v>3.7</v>
      </c>
      <c r="H92" s="17">
        <f t="shared" si="4"/>
        <v>3020.56</v>
      </c>
      <c r="I92" s="18">
        <f t="shared" si="5"/>
        <v>4.1734920374690482E-2</v>
      </c>
      <c r="J92" s="18">
        <f t="shared" si="7"/>
        <v>20.267530378822656</v>
      </c>
      <c r="K92" s="392" t="str">
        <f t="shared" si="6"/>
        <v>A</v>
      </c>
    </row>
    <row r="93" spans="1:11" ht="15" customHeight="1" x14ac:dyDescent="0.25">
      <c r="A93" s="391" t="s">
        <v>2210</v>
      </c>
      <c r="B93" s="15" t="s">
        <v>2211</v>
      </c>
      <c r="C93" s="14" t="s">
        <v>82</v>
      </c>
      <c r="D93" s="14" t="s">
        <v>1827</v>
      </c>
      <c r="E93" s="14" t="s">
        <v>1024</v>
      </c>
      <c r="F93" s="16">
        <v>149.59369820900801</v>
      </c>
      <c r="G93" s="17">
        <v>18.940000000000001</v>
      </c>
      <c r="H93" s="17">
        <f t="shared" si="4"/>
        <v>2833.3</v>
      </c>
      <c r="I93" s="18">
        <f t="shared" si="5"/>
        <v>3.9147558696933864E-2</v>
      </c>
      <c r="J93" s="18">
        <f t="shared" si="7"/>
        <v>20.306677937519588</v>
      </c>
      <c r="K93" s="392" t="str">
        <f t="shared" si="6"/>
        <v>A</v>
      </c>
    </row>
    <row r="94" spans="1:11" ht="20.100000000000001" customHeight="1" x14ac:dyDescent="0.25">
      <c r="A94" s="391" t="s">
        <v>3089</v>
      </c>
      <c r="B94" s="15" t="s">
        <v>3090</v>
      </c>
      <c r="C94" s="14" t="s">
        <v>194</v>
      </c>
      <c r="D94" s="14" t="s">
        <v>1812</v>
      </c>
      <c r="E94" s="14" t="s">
        <v>694</v>
      </c>
      <c r="F94" s="16">
        <v>16.856490000000001</v>
      </c>
      <c r="G94" s="17">
        <v>167.9</v>
      </c>
      <c r="H94" s="17">
        <f t="shared" si="4"/>
        <v>2830.2</v>
      </c>
      <c r="I94" s="18">
        <f t="shared" si="5"/>
        <v>3.9104726158212054E-2</v>
      </c>
      <c r="J94" s="18">
        <f t="shared" si="7"/>
        <v>20.345782663677799</v>
      </c>
      <c r="K94" s="392" t="str">
        <f t="shared" si="6"/>
        <v>A</v>
      </c>
    </row>
    <row r="95" spans="1:11" ht="15" customHeight="1" x14ac:dyDescent="0.25">
      <c r="A95" s="391" t="s">
        <v>2138</v>
      </c>
      <c r="B95" s="15" t="s">
        <v>2139</v>
      </c>
      <c r="C95" s="14" t="s">
        <v>341</v>
      </c>
      <c r="D95" s="14" t="s">
        <v>1812</v>
      </c>
      <c r="E95" s="14" t="s">
        <v>664</v>
      </c>
      <c r="F95" s="16">
        <v>42</v>
      </c>
      <c r="G95" s="17">
        <v>62.61</v>
      </c>
      <c r="H95" s="17">
        <f t="shared" si="4"/>
        <v>2629.62</v>
      </c>
      <c r="I95" s="18">
        <f t="shared" si="5"/>
        <v>3.6333322733431414E-2</v>
      </c>
      <c r="J95" s="18">
        <f t="shared" si="7"/>
        <v>20.382115986411229</v>
      </c>
      <c r="K95" s="392" t="str">
        <f t="shared" si="6"/>
        <v>A</v>
      </c>
    </row>
    <row r="96" spans="1:11" ht="27.95" customHeight="1" x14ac:dyDescent="0.25">
      <c r="A96" s="391" t="s">
        <v>2714</v>
      </c>
      <c r="B96" s="15" t="s">
        <v>2715</v>
      </c>
      <c r="C96" s="14" t="s">
        <v>341</v>
      </c>
      <c r="D96" s="14" t="s">
        <v>1932</v>
      </c>
      <c r="E96" s="14" t="s">
        <v>579</v>
      </c>
      <c r="F96" s="16">
        <v>186.333823142</v>
      </c>
      <c r="G96" s="17">
        <v>14</v>
      </c>
      <c r="H96" s="17">
        <f t="shared" si="4"/>
        <v>2608.67</v>
      </c>
      <c r="I96" s="18">
        <f t="shared" si="5"/>
        <v>3.6043857673359853E-2</v>
      </c>
      <c r="J96" s="18">
        <f t="shared" si="7"/>
        <v>20.418159844084588</v>
      </c>
      <c r="K96" s="392" t="str">
        <f t="shared" si="6"/>
        <v>A</v>
      </c>
    </row>
    <row r="97" spans="1:11" ht="20.100000000000001" customHeight="1" x14ac:dyDescent="0.25">
      <c r="A97" s="391" t="s">
        <v>3278</v>
      </c>
      <c r="B97" s="15" t="s">
        <v>3279</v>
      </c>
      <c r="C97" s="14" t="s">
        <v>51</v>
      </c>
      <c r="D97" s="14" t="s">
        <v>1812</v>
      </c>
      <c r="E97" s="14" t="s">
        <v>188</v>
      </c>
      <c r="F97" s="16">
        <v>992.17439999999999</v>
      </c>
      <c r="G97" s="17">
        <v>2.54</v>
      </c>
      <c r="H97" s="17">
        <f t="shared" si="4"/>
        <v>2520.12</v>
      </c>
      <c r="I97" s="18">
        <f t="shared" si="5"/>
        <v>3.48203669301934E-2</v>
      </c>
      <c r="J97" s="18">
        <f t="shared" si="7"/>
        <v>20.452980211014783</v>
      </c>
      <c r="K97" s="392" t="str">
        <f t="shared" si="6"/>
        <v>A</v>
      </c>
    </row>
    <row r="98" spans="1:11" ht="15" customHeight="1" x14ac:dyDescent="0.25">
      <c r="A98" s="391" t="s">
        <v>2109</v>
      </c>
      <c r="B98" s="15" t="s">
        <v>2110</v>
      </c>
      <c r="C98" s="14" t="s">
        <v>341</v>
      </c>
      <c r="D98" s="14" t="s">
        <v>1812</v>
      </c>
      <c r="E98" s="14" t="s">
        <v>786</v>
      </c>
      <c r="F98" s="16">
        <v>22.692</v>
      </c>
      <c r="G98" s="17">
        <v>110</v>
      </c>
      <c r="H98" s="17">
        <f t="shared" si="4"/>
        <v>2496.12</v>
      </c>
      <c r="I98" s="18">
        <f t="shared" si="5"/>
        <v>3.4488760178798768E-2</v>
      </c>
      <c r="J98" s="18">
        <f t="shared" si="7"/>
        <v>20.487468971193582</v>
      </c>
      <c r="K98" s="392" t="str">
        <f t="shared" si="6"/>
        <v>A</v>
      </c>
    </row>
    <row r="99" spans="1:11" ht="15" customHeight="1" x14ac:dyDescent="0.25">
      <c r="A99" s="391" t="s">
        <v>2803</v>
      </c>
      <c r="B99" s="15" t="s">
        <v>2804</v>
      </c>
      <c r="C99" s="14" t="s">
        <v>82</v>
      </c>
      <c r="D99" s="14" t="s">
        <v>1812</v>
      </c>
      <c r="E99" s="14" t="s">
        <v>188</v>
      </c>
      <c r="F99" s="16">
        <v>867.41135087999999</v>
      </c>
      <c r="G99" s="17">
        <v>2.81</v>
      </c>
      <c r="H99" s="17">
        <f t="shared" si="4"/>
        <v>2437.4299999999998</v>
      </c>
      <c r="I99" s="18">
        <f t="shared" si="5"/>
        <v>3.367784350215914E-2</v>
      </c>
      <c r="J99" s="18">
        <f t="shared" si="7"/>
        <v>20.52114681469574</v>
      </c>
      <c r="K99" s="392" t="str">
        <f t="shared" si="6"/>
        <v>A</v>
      </c>
    </row>
    <row r="100" spans="1:11" ht="15" customHeight="1" x14ac:dyDescent="0.25">
      <c r="A100" s="391" t="s">
        <v>1892</v>
      </c>
      <c r="B100" s="15" t="s">
        <v>1893</v>
      </c>
      <c r="C100" s="14" t="s">
        <v>82</v>
      </c>
      <c r="D100" s="14" t="s">
        <v>1812</v>
      </c>
      <c r="E100" s="14" t="s">
        <v>1817</v>
      </c>
      <c r="F100" s="16">
        <v>1089.3276900000001</v>
      </c>
      <c r="G100" s="17">
        <v>2.21</v>
      </c>
      <c r="H100" s="17">
        <f t="shared" si="4"/>
        <v>2407.41</v>
      </c>
      <c r="I100" s="18">
        <f t="shared" si="5"/>
        <v>3.3263058723956358E-2</v>
      </c>
      <c r="J100" s="18">
        <f t="shared" si="7"/>
        <v>20.554409873419697</v>
      </c>
      <c r="K100" s="392" t="str">
        <f t="shared" si="6"/>
        <v>A</v>
      </c>
    </row>
    <row r="101" spans="1:11" ht="15" customHeight="1" x14ac:dyDescent="0.25">
      <c r="A101" s="391" t="s">
        <v>2099</v>
      </c>
      <c r="B101" s="15" t="s">
        <v>3925</v>
      </c>
      <c r="C101" s="14" t="s">
        <v>1859</v>
      </c>
      <c r="D101" s="14" t="s">
        <v>1812</v>
      </c>
      <c r="E101" s="14" t="s">
        <v>1817</v>
      </c>
      <c r="F101" s="16">
        <v>67.588560000000001</v>
      </c>
      <c r="G101" s="17">
        <v>35.29</v>
      </c>
      <c r="H101" s="17">
        <f t="shared" si="4"/>
        <v>2385.1999999999998</v>
      </c>
      <c r="I101" s="18">
        <f t="shared" si="5"/>
        <v>3.2956184309436573E-2</v>
      </c>
      <c r="J101" s="18">
        <f t="shared" si="7"/>
        <v>20.587366057729135</v>
      </c>
      <c r="K101" s="392" t="str">
        <f t="shared" si="6"/>
        <v>A</v>
      </c>
    </row>
    <row r="102" spans="1:11" ht="15" customHeight="1" x14ac:dyDescent="0.25">
      <c r="A102" s="391" t="s">
        <v>2220</v>
      </c>
      <c r="B102" s="15" t="s">
        <v>2221</v>
      </c>
      <c r="C102" s="14" t="s">
        <v>82</v>
      </c>
      <c r="D102" s="14" t="s">
        <v>1812</v>
      </c>
      <c r="E102" s="14" t="s">
        <v>85</v>
      </c>
      <c r="F102" s="16">
        <v>25.625499781470001</v>
      </c>
      <c r="G102" s="17">
        <v>90</v>
      </c>
      <c r="H102" s="17">
        <f t="shared" si="4"/>
        <v>2306.29</v>
      </c>
      <c r="I102" s="18">
        <f t="shared" si="5"/>
        <v>3.186588894474697E-2</v>
      </c>
      <c r="J102" s="18">
        <f t="shared" si="7"/>
        <v>20.619231946673882</v>
      </c>
      <c r="K102" s="392" t="str">
        <f t="shared" si="6"/>
        <v>A</v>
      </c>
    </row>
    <row r="103" spans="1:11" ht="15" customHeight="1" x14ac:dyDescent="0.25">
      <c r="A103" s="391" t="s">
        <v>1966</v>
      </c>
      <c r="B103" s="15" t="s">
        <v>1967</v>
      </c>
      <c r="C103" s="14" t="s">
        <v>82</v>
      </c>
      <c r="D103" s="14" t="s">
        <v>1812</v>
      </c>
      <c r="E103" s="14" t="s">
        <v>122</v>
      </c>
      <c r="F103" s="16">
        <v>5.67</v>
      </c>
      <c r="G103" s="17">
        <v>383.86</v>
      </c>
      <c r="H103" s="17">
        <f t="shared" si="4"/>
        <v>2176.4899999999998</v>
      </c>
      <c r="I103" s="18">
        <f t="shared" si="5"/>
        <v>3.0072449097620999E-2</v>
      </c>
      <c r="J103" s="18">
        <f t="shared" si="7"/>
        <v>20.649304395771502</v>
      </c>
      <c r="K103" s="392" t="str">
        <f t="shared" si="6"/>
        <v>A</v>
      </c>
    </row>
    <row r="104" spans="1:11" ht="20.100000000000001" customHeight="1" x14ac:dyDescent="0.25">
      <c r="A104" s="391" t="s">
        <v>3008</v>
      </c>
      <c r="B104" s="15" t="s">
        <v>3009</v>
      </c>
      <c r="C104" s="14" t="s">
        <v>51</v>
      </c>
      <c r="D104" s="14" t="s">
        <v>1812</v>
      </c>
      <c r="E104" s="14" t="s">
        <v>1006</v>
      </c>
      <c r="F104" s="16">
        <v>156.3828</v>
      </c>
      <c r="G104" s="17">
        <v>13.72</v>
      </c>
      <c r="H104" s="17">
        <f t="shared" si="4"/>
        <v>2145.5700000000002</v>
      </c>
      <c r="I104" s="18">
        <f t="shared" si="5"/>
        <v>2.9645229066240918E-2</v>
      </c>
      <c r="J104" s="18">
        <f t="shared" si="7"/>
        <v>20.678949624837742</v>
      </c>
      <c r="K104" s="392" t="str">
        <f t="shared" si="6"/>
        <v>A</v>
      </c>
    </row>
    <row r="105" spans="1:11" ht="27.95" customHeight="1" x14ac:dyDescent="0.25">
      <c r="A105" s="391" t="s">
        <v>2362</v>
      </c>
      <c r="B105" s="15" t="s">
        <v>2363</v>
      </c>
      <c r="C105" s="14" t="s">
        <v>82</v>
      </c>
      <c r="D105" s="14" t="s">
        <v>1932</v>
      </c>
      <c r="E105" s="14" t="s">
        <v>1024</v>
      </c>
      <c r="F105" s="16">
        <v>1385.84780122301</v>
      </c>
      <c r="G105" s="17">
        <v>1.34</v>
      </c>
      <c r="H105" s="17">
        <f t="shared" si="4"/>
        <v>1857.04</v>
      </c>
      <c r="I105" s="18">
        <f t="shared" si="5"/>
        <v>2.5658625067078691E-2</v>
      </c>
      <c r="J105" s="18">
        <f t="shared" si="7"/>
        <v>20.704608249904819</v>
      </c>
      <c r="K105" s="392" t="str">
        <f t="shared" si="6"/>
        <v>A</v>
      </c>
    </row>
    <row r="106" spans="1:11" ht="20.100000000000001" customHeight="1" x14ac:dyDescent="0.25">
      <c r="A106" s="391" t="s">
        <v>3498</v>
      </c>
      <c r="B106" s="15" t="s">
        <v>3499</v>
      </c>
      <c r="C106" s="14" t="s">
        <v>82</v>
      </c>
      <c r="D106" s="14" t="s">
        <v>1812</v>
      </c>
      <c r="E106" s="14" t="s">
        <v>188</v>
      </c>
      <c r="F106" s="16">
        <v>56.087200000000003</v>
      </c>
      <c r="G106" s="17">
        <v>32.29</v>
      </c>
      <c r="H106" s="17">
        <f t="shared" si="4"/>
        <v>1811.06</v>
      </c>
      <c r="I106" s="18">
        <f t="shared" si="5"/>
        <v>2.5023321799198476E-2</v>
      </c>
      <c r="J106" s="18">
        <f t="shared" si="7"/>
        <v>20.729631571704019</v>
      </c>
      <c r="K106" s="392" t="str">
        <f t="shared" si="6"/>
        <v>A</v>
      </c>
    </row>
    <row r="107" spans="1:11" ht="20.100000000000001" customHeight="1" x14ac:dyDescent="0.25">
      <c r="A107" s="391" t="s">
        <v>3585</v>
      </c>
      <c r="B107" s="15" t="s">
        <v>3586</v>
      </c>
      <c r="C107" s="14" t="s">
        <v>51</v>
      </c>
      <c r="D107" s="14" t="s">
        <v>1812</v>
      </c>
      <c r="E107" s="14" t="s">
        <v>122</v>
      </c>
      <c r="F107" s="16">
        <v>1.89</v>
      </c>
      <c r="G107" s="17">
        <v>953.49</v>
      </c>
      <c r="H107" s="17">
        <f t="shared" si="4"/>
        <v>1802.1</v>
      </c>
      <c r="I107" s="18">
        <f t="shared" si="5"/>
        <v>2.4899521945344481E-2</v>
      </c>
      <c r="J107" s="18">
        <f t="shared" si="7"/>
        <v>20.754531093649362</v>
      </c>
      <c r="K107" s="392" t="str">
        <f t="shared" si="6"/>
        <v>A</v>
      </c>
    </row>
    <row r="108" spans="1:11" ht="20.100000000000001" customHeight="1" x14ac:dyDescent="0.25">
      <c r="A108" s="391" t="s">
        <v>2239</v>
      </c>
      <c r="B108" s="15" t="s">
        <v>2240</v>
      </c>
      <c r="C108" s="14" t="s">
        <v>51</v>
      </c>
      <c r="D108" s="14" t="s">
        <v>1812</v>
      </c>
      <c r="E108" s="14" t="s">
        <v>188</v>
      </c>
      <c r="F108" s="16">
        <v>336</v>
      </c>
      <c r="G108" s="17">
        <v>5.28</v>
      </c>
      <c r="H108" s="17">
        <f t="shared" si="4"/>
        <v>1774.08</v>
      </c>
      <c r="I108" s="18">
        <f t="shared" si="5"/>
        <v>2.4512371063091242E-2</v>
      </c>
      <c r="J108" s="18">
        <f t="shared" si="7"/>
        <v>20.779043464712455</v>
      </c>
      <c r="K108" s="392" t="str">
        <f t="shared" si="6"/>
        <v>A</v>
      </c>
    </row>
    <row r="109" spans="1:11" ht="20.100000000000001" customHeight="1" x14ac:dyDescent="0.25">
      <c r="A109" s="391" t="s">
        <v>3402</v>
      </c>
      <c r="B109" s="15" t="s">
        <v>3403</v>
      </c>
      <c r="C109" s="14" t="s">
        <v>51</v>
      </c>
      <c r="D109" s="14" t="s">
        <v>1812</v>
      </c>
      <c r="E109" s="14" t="s">
        <v>226</v>
      </c>
      <c r="F109" s="16">
        <v>1</v>
      </c>
      <c r="G109" s="17">
        <v>1766.67</v>
      </c>
      <c r="H109" s="17">
        <f t="shared" si="4"/>
        <v>1766.67</v>
      </c>
      <c r="I109" s="18">
        <f t="shared" si="5"/>
        <v>2.4409987478598155E-2</v>
      </c>
      <c r="J109" s="18">
        <f t="shared" si="7"/>
        <v>20.803453452191054</v>
      </c>
      <c r="K109" s="392" t="str">
        <f t="shared" si="6"/>
        <v>A</v>
      </c>
    </row>
    <row r="110" spans="1:11" ht="27.95" customHeight="1" x14ac:dyDescent="0.25">
      <c r="A110" s="391" t="s">
        <v>2346</v>
      </c>
      <c r="B110" s="15" t="s">
        <v>2347</v>
      </c>
      <c r="C110" s="14" t="s">
        <v>82</v>
      </c>
      <c r="D110" s="14" t="s">
        <v>1932</v>
      </c>
      <c r="E110" s="14" t="s">
        <v>1024</v>
      </c>
      <c r="F110" s="16">
        <v>2654.7242804576199</v>
      </c>
      <c r="G110" s="17">
        <v>0.66</v>
      </c>
      <c r="H110" s="17">
        <f t="shared" si="4"/>
        <v>1752.12</v>
      </c>
      <c r="I110" s="18">
        <f t="shared" si="5"/>
        <v>2.4208950885565156E-2</v>
      </c>
      <c r="J110" s="18">
        <f t="shared" si="7"/>
        <v>20.827662403076619</v>
      </c>
      <c r="K110" s="392" t="str">
        <f t="shared" si="6"/>
        <v>A</v>
      </c>
    </row>
    <row r="111" spans="1:11" ht="20.100000000000001" customHeight="1" x14ac:dyDescent="0.25">
      <c r="A111" s="391" t="s">
        <v>3005</v>
      </c>
      <c r="B111" s="15" t="s">
        <v>3006</v>
      </c>
      <c r="C111" s="14" t="s">
        <v>51</v>
      </c>
      <c r="D111" s="14" t="s">
        <v>1812</v>
      </c>
      <c r="E111" s="14" t="s">
        <v>1006</v>
      </c>
      <c r="F111" s="16">
        <v>52.0437528</v>
      </c>
      <c r="G111" s="17">
        <v>33.61</v>
      </c>
      <c r="H111" s="17">
        <f t="shared" si="4"/>
        <v>1749.19</v>
      </c>
      <c r="I111" s="18">
        <f t="shared" si="5"/>
        <v>2.4168467227999063E-2</v>
      </c>
      <c r="J111" s="18">
        <f t="shared" si="7"/>
        <v>20.851830870304617</v>
      </c>
      <c r="K111" s="392" t="str">
        <f t="shared" si="6"/>
        <v>A</v>
      </c>
    </row>
    <row r="112" spans="1:11" ht="15" customHeight="1" x14ac:dyDescent="0.25">
      <c r="A112" s="391" t="s">
        <v>2017</v>
      </c>
      <c r="B112" s="15" t="s">
        <v>2018</v>
      </c>
      <c r="C112" s="14" t="s">
        <v>341</v>
      </c>
      <c r="D112" s="14" t="s">
        <v>1812</v>
      </c>
      <c r="E112" s="14" t="s">
        <v>54</v>
      </c>
      <c r="F112" s="16">
        <v>2.8032499999999998</v>
      </c>
      <c r="G112" s="17">
        <v>616.79</v>
      </c>
      <c r="H112" s="17">
        <f t="shared" si="4"/>
        <v>1729.02</v>
      </c>
      <c r="I112" s="18">
        <f t="shared" si="5"/>
        <v>2.3889779387347824E-2</v>
      </c>
      <c r="J112" s="18">
        <f t="shared" si="7"/>
        <v>20.875720649691964</v>
      </c>
      <c r="K112" s="392" t="str">
        <f t="shared" si="6"/>
        <v>A</v>
      </c>
    </row>
    <row r="113" spans="1:11" ht="27.95" customHeight="1" x14ac:dyDescent="0.25">
      <c r="A113" s="391" t="s">
        <v>2723</v>
      </c>
      <c r="B113" s="15" t="s">
        <v>2724</v>
      </c>
      <c r="C113" s="14" t="s">
        <v>341</v>
      </c>
      <c r="D113" s="14" t="s">
        <v>1932</v>
      </c>
      <c r="E113" s="14" t="s">
        <v>579</v>
      </c>
      <c r="F113" s="16">
        <v>8.2367603549999995</v>
      </c>
      <c r="G113" s="17">
        <v>205</v>
      </c>
      <c r="H113" s="17">
        <f t="shared" si="4"/>
        <v>1688.54</v>
      </c>
      <c r="I113" s="18">
        <f t="shared" si="5"/>
        <v>2.3330469333328874E-2</v>
      </c>
      <c r="J113" s="18">
        <f t="shared" si="7"/>
        <v>20.899051119025291</v>
      </c>
      <c r="K113" s="392" t="str">
        <f t="shared" si="6"/>
        <v>A</v>
      </c>
    </row>
    <row r="114" spans="1:11" ht="20.100000000000001" customHeight="1" x14ac:dyDescent="0.25">
      <c r="A114" s="391" t="s">
        <v>2101</v>
      </c>
      <c r="B114" s="15" t="s">
        <v>2102</v>
      </c>
      <c r="C114" s="14" t="s">
        <v>51</v>
      </c>
      <c r="D114" s="14" t="s">
        <v>1812</v>
      </c>
      <c r="E114" s="14" t="s">
        <v>122</v>
      </c>
      <c r="F114" s="16">
        <v>38.28</v>
      </c>
      <c r="G114" s="17">
        <v>42.79</v>
      </c>
      <c r="H114" s="17">
        <f t="shared" si="4"/>
        <v>1638</v>
      </c>
      <c r="I114" s="18">
        <f t="shared" si="5"/>
        <v>2.263216078268368E-2</v>
      </c>
      <c r="J114" s="18">
        <f t="shared" si="7"/>
        <v>20.921683279807976</v>
      </c>
      <c r="K114" s="392" t="str">
        <f t="shared" si="6"/>
        <v>A</v>
      </c>
    </row>
    <row r="115" spans="1:11" ht="15" customHeight="1" x14ac:dyDescent="0.25">
      <c r="A115" s="391" t="s">
        <v>2053</v>
      </c>
      <c r="B115" s="15" t="s">
        <v>2054</v>
      </c>
      <c r="C115" s="14" t="s">
        <v>341</v>
      </c>
      <c r="D115" s="14" t="s">
        <v>1812</v>
      </c>
      <c r="E115" s="14" t="s">
        <v>89</v>
      </c>
      <c r="F115" s="19">
        <v>0.226548</v>
      </c>
      <c r="G115" s="17">
        <v>7199</v>
      </c>
      <c r="H115" s="17">
        <f t="shared" si="4"/>
        <v>1630.92</v>
      </c>
      <c r="I115" s="18">
        <f t="shared" si="5"/>
        <v>2.2534336791022264E-2</v>
      </c>
      <c r="J115" s="18">
        <f t="shared" si="7"/>
        <v>20.944217616598998</v>
      </c>
      <c r="K115" s="392" t="str">
        <f t="shared" si="6"/>
        <v>A</v>
      </c>
    </row>
    <row r="116" spans="1:11" ht="20.100000000000001" customHeight="1" x14ac:dyDescent="0.25">
      <c r="A116" s="391" t="s">
        <v>3597</v>
      </c>
      <c r="B116" s="15" t="s">
        <v>3598</v>
      </c>
      <c r="C116" s="14" t="s">
        <v>51</v>
      </c>
      <c r="D116" s="14" t="s">
        <v>1812</v>
      </c>
      <c r="E116" s="14" t="s">
        <v>188</v>
      </c>
      <c r="F116" s="16">
        <v>108.24</v>
      </c>
      <c r="G116" s="17">
        <v>14.93</v>
      </c>
      <c r="H116" s="17">
        <f t="shared" si="4"/>
        <v>1616.02</v>
      </c>
      <c r="I116" s="18">
        <f t="shared" si="5"/>
        <v>2.2328464266198094E-2</v>
      </c>
      <c r="J116" s="18">
        <f t="shared" si="7"/>
        <v>20.966546080865196</v>
      </c>
      <c r="K116" s="392" t="str">
        <f t="shared" si="6"/>
        <v>A</v>
      </c>
    </row>
    <row r="117" spans="1:11" ht="27.95" customHeight="1" x14ac:dyDescent="0.25">
      <c r="A117" s="391" t="s">
        <v>2492</v>
      </c>
      <c r="B117" s="15" t="s">
        <v>2493</v>
      </c>
      <c r="C117" s="14" t="s">
        <v>82</v>
      </c>
      <c r="D117" s="14" t="s">
        <v>2443</v>
      </c>
      <c r="E117" s="14" t="s">
        <v>226</v>
      </c>
      <c r="F117" s="20">
        <v>2.1657140404931999E-3</v>
      </c>
      <c r="G117" s="17">
        <v>745573.13</v>
      </c>
      <c r="H117" s="17">
        <f t="shared" si="4"/>
        <v>1614.7</v>
      </c>
      <c r="I117" s="18">
        <f t="shared" si="5"/>
        <v>2.2310225894871392E-2</v>
      </c>
      <c r="J117" s="18">
        <f t="shared" si="7"/>
        <v>20.988856306760066</v>
      </c>
      <c r="K117" s="392" t="str">
        <f t="shared" si="6"/>
        <v>A</v>
      </c>
    </row>
    <row r="118" spans="1:11" ht="20.100000000000001" customHeight="1" x14ac:dyDescent="0.25">
      <c r="A118" s="391" t="s">
        <v>2122</v>
      </c>
      <c r="B118" s="15" t="s">
        <v>2123</v>
      </c>
      <c r="C118" s="14" t="s">
        <v>1896</v>
      </c>
      <c r="D118" s="14" t="s">
        <v>1812</v>
      </c>
      <c r="E118" s="14" t="s">
        <v>1006</v>
      </c>
      <c r="F118" s="16">
        <v>40.859000000000002</v>
      </c>
      <c r="G118" s="17">
        <v>37.75</v>
      </c>
      <c r="H118" s="17">
        <f t="shared" si="4"/>
        <v>1542.43</v>
      </c>
      <c r="I118" s="18">
        <f t="shared" si="5"/>
        <v>2.1311675064734303E-2</v>
      </c>
      <c r="J118" s="18">
        <f t="shared" si="7"/>
        <v>21.0101679818248</v>
      </c>
      <c r="K118" s="392" t="str">
        <f t="shared" si="6"/>
        <v>A</v>
      </c>
    </row>
    <row r="119" spans="1:11" ht="20.100000000000001" customHeight="1" x14ac:dyDescent="0.25">
      <c r="A119" s="391" t="s">
        <v>3477</v>
      </c>
      <c r="B119" s="15" t="s">
        <v>3478</v>
      </c>
      <c r="C119" s="14" t="s">
        <v>51</v>
      </c>
      <c r="D119" s="14" t="s">
        <v>1812</v>
      </c>
      <c r="E119" s="14" t="s">
        <v>1006</v>
      </c>
      <c r="F119" s="16">
        <v>109.08839999999999</v>
      </c>
      <c r="G119" s="17">
        <v>13.72</v>
      </c>
      <c r="H119" s="17">
        <f t="shared" si="4"/>
        <v>1496.69</v>
      </c>
      <c r="I119" s="18">
        <f t="shared" si="5"/>
        <v>2.0679687864368034E-2</v>
      </c>
      <c r="J119" s="18">
        <f t="shared" si="7"/>
        <v>21.03084766968917</v>
      </c>
      <c r="K119" s="392" t="str">
        <f t="shared" si="6"/>
        <v>A</v>
      </c>
    </row>
    <row r="120" spans="1:11" ht="20.100000000000001" customHeight="1" x14ac:dyDescent="0.25">
      <c r="A120" s="391" t="s">
        <v>3472</v>
      </c>
      <c r="B120" s="15" t="s">
        <v>3473</v>
      </c>
      <c r="C120" s="14" t="s">
        <v>51</v>
      </c>
      <c r="D120" s="14" t="s">
        <v>1812</v>
      </c>
      <c r="E120" s="14" t="s">
        <v>226</v>
      </c>
      <c r="F120" s="16">
        <v>946.57500000000005</v>
      </c>
      <c r="G120" s="17">
        <v>1.57</v>
      </c>
      <c r="H120" s="17">
        <f t="shared" si="4"/>
        <v>1486.12</v>
      </c>
      <c r="I120" s="18">
        <f t="shared" si="5"/>
        <v>2.0533642724274645E-2</v>
      </c>
      <c r="J120" s="18">
        <f t="shared" si="7"/>
        <v>21.051381312413444</v>
      </c>
      <c r="K120" s="392" t="str">
        <f t="shared" si="6"/>
        <v>A</v>
      </c>
    </row>
    <row r="121" spans="1:11" ht="15" customHeight="1" x14ac:dyDescent="0.25">
      <c r="A121" s="391" t="s">
        <v>2224</v>
      </c>
      <c r="B121" s="15" t="s">
        <v>2225</v>
      </c>
      <c r="C121" s="14" t="s">
        <v>1859</v>
      </c>
      <c r="D121" s="14" t="s">
        <v>1812</v>
      </c>
      <c r="E121" s="14" t="s">
        <v>226</v>
      </c>
      <c r="F121" s="16">
        <v>2</v>
      </c>
      <c r="G121" s="17">
        <v>737.57</v>
      </c>
      <c r="H121" s="17">
        <f t="shared" si="4"/>
        <v>1475.14</v>
      </c>
      <c r="I121" s="18">
        <f t="shared" si="5"/>
        <v>2.0381932635511604E-2</v>
      </c>
      <c r="J121" s="18">
        <f t="shared" si="7"/>
        <v>21.071763245048956</v>
      </c>
      <c r="K121" s="392" t="str">
        <f t="shared" si="6"/>
        <v>A</v>
      </c>
    </row>
    <row r="122" spans="1:11" ht="20.100000000000001" customHeight="1" x14ac:dyDescent="0.25">
      <c r="A122" s="391" t="s">
        <v>3680</v>
      </c>
      <c r="B122" s="15" t="s">
        <v>3681</v>
      </c>
      <c r="C122" s="14" t="s">
        <v>51</v>
      </c>
      <c r="D122" s="14" t="s">
        <v>1812</v>
      </c>
      <c r="E122" s="14" t="s">
        <v>188</v>
      </c>
      <c r="F122" s="16">
        <v>30.6</v>
      </c>
      <c r="G122" s="17">
        <v>47.85</v>
      </c>
      <c r="H122" s="17">
        <f t="shared" si="4"/>
        <v>1464.21</v>
      </c>
      <c r="I122" s="18">
        <f t="shared" si="5"/>
        <v>2.0230913394147294E-2</v>
      </c>
      <c r="J122" s="18">
        <f t="shared" si="7"/>
        <v>21.091994158443104</v>
      </c>
      <c r="K122" s="392" t="str">
        <f t="shared" si="6"/>
        <v>A</v>
      </c>
    </row>
    <row r="123" spans="1:11" ht="20.100000000000001" customHeight="1" x14ac:dyDescent="0.25">
      <c r="A123" s="391" t="s">
        <v>1878</v>
      </c>
      <c r="B123" s="15" t="s">
        <v>1879</v>
      </c>
      <c r="C123" s="14" t="s">
        <v>51</v>
      </c>
      <c r="D123" s="14" t="s">
        <v>1827</v>
      </c>
      <c r="E123" s="14" t="s">
        <v>1024</v>
      </c>
      <c r="F123" s="16">
        <v>54.738</v>
      </c>
      <c r="G123" s="17">
        <v>26.03</v>
      </c>
      <c r="H123" s="17">
        <f t="shared" si="4"/>
        <v>1424.83</v>
      </c>
      <c r="I123" s="18">
        <f t="shared" si="5"/>
        <v>1.9686801982900601E-2</v>
      </c>
      <c r="J123" s="18">
        <f t="shared" si="7"/>
        <v>21.111680960426003</v>
      </c>
      <c r="K123" s="392" t="str">
        <f t="shared" si="6"/>
        <v>A</v>
      </c>
    </row>
    <row r="124" spans="1:11" ht="20.100000000000001" customHeight="1" x14ac:dyDescent="0.25">
      <c r="A124" s="391" t="s">
        <v>3409</v>
      </c>
      <c r="B124" s="15" t="s">
        <v>3410</v>
      </c>
      <c r="C124" s="14" t="s">
        <v>51</v>
      </c>
      <c r="D124" s="14" t="s">
        <v>1812</v>
      </c>
      <c r="E124" s="14" t="s">
        <v>1817</v>
      </c>
      <c r="F124" s="16">
        <v>68.558999999999997</v>
      </c>
      <c r="G124" s="17">
        <v>19.96</v>
      </c>
      <c r="H124" s="17">
        <f t="shared" si="4"/>
        <v>1368.44</v>
      </c>
      <c r="I124" s="18">
        <f t="shared" si="5"/>
        <v>1.8907664286602965E-2</v>
      </c>
      <c r="J124" s="18">
        <f t="shared" si="7"/>
        <v>21.130588624712605</v>
      </c>
      <c r="K124" s="392" t="str">
        <f t="shared" si="6"/>
        <v>A</v>
      </c>
    </row>
    <row r="125" spans="1:11" ht="20.100000000000001" customHeight="1" x14ac:dyDescent="0.25">
      <c r="A125" s="391" t="s">
        <v>3609</v>
      </c>
      <c r="B125" s="15" t="s">
        <v>3610</v>
      </c>
      <c r="C125" s="14" t="s">
        <v>51</v>
      </c>
      <c r="D125" s="14" t="s">
        <v>1812</v>
      </c>
      <c r="E125" s="14" t="s">
        <v>188</v>
      </c>
      <c r="F125" s="16">
        <v>114.1678404</v>
      </c>
      <c r="G125" s="17">
        <v>11.7</v>
      </c>
      <c r="H125" s="17">
        <f t="shared" si="4"/>
        <v>1335.76</v>
      </c>
      <c r="I125" s="18">
        <f t="shared" si="5"/>
        <v>1.8456126426787272E-2</v>
      </c>
      <c r="J125" s="18">
        <f t="shared" si="7"/>
        <v>21.149044751139392</v>
      </c>
      <c r="K125" s="392" t="str">
        <f t="shared" si="6"/>
        <v>A</v>
      </c>
    </row>
    <row r="126" spans="1:11" ht="20.100000000000001" customHeight="1" x14ac:dyDescent="0.25">
      <c r="A126" s="391" t="s">
        <v>2033</v>
      </c>
      <c r="B126" s="15" t="s">
        <v>2034</v>
      </c>
      <c r="C126" s="14" t="s">
        <v>82</v>
      </c>
      <c r="D126" s="14" t="s">
        <v>1812</v>
      </c>
      <c r="E126" s="14" t="s">
        <v>122</v>
      </c>
      <c r="F126" s="16">
        <v>3.6015000000000001</v>
      </c>
      <c r="G126" s="17">
        <v>363.03</v>
      </c>
      <c r="H126" s="17">
        <f t="shared" si="4"/>
        <v>1307.45</v>
      </c>
      <c r="I126" s="18">
        <f t="shared" si="5"/>
        <v>1.8064968629621352E-2</v>
      </c>
      <c r="J126" s="18">
        <f t="shared" si="7"/>
        <v>21.167109719769012</v>
      </c>
      <c r="K126" s="392" t="str">
        <f t="shared" si="6"/>
        <v>A</v>
      </c>
    </row>
    <row r="127" spans="1:11" ht="20.100000000000001" customHeight="1" x14ac:dyDescent="0.25">
      <c r="A127" s="391" t="s">
        <v>2647</v>
      </c>
      <c r="B127" s="15" t="s">
        <v>3926</v>
      </c>
      <c r="C127" s="14" t="s">
        <v>194</v>
      </c>
      <c r="D127" s="14" t="s">
        <v>2021</v>
      </c>
      <c r="E127" s="14" t="s">
        <v>2027</v>
      </c>
      <c r="F127" s="16">
        <v>4.2199951756661038</v>
      </c>
      <c r="G127" s="17">
        <v>308.91000000000003</v>
      </c>
      <c r="H127" s="17">
        <f t="shared" si="4"/>
        <v>1303.5999999999999</v>
      </c>
      <c r="I127" s="18">
        <f t="shared" si="5"/>
        <v>1.8011773379918463E-2</v>
      </c>
      <c r="J127" s="18">
        <f t="shared" si="7"/>
        <v>21.18512149314893</v>
      </c>
      <c r="K127" s="392" t="str">
        <f t="shared" si="6"/>
        <v>A</v>
      </c>
    </row>
    <row r="128" spans="1:11" ht="15" customHeight="1" x14ac:dyDescent="0.25">
      <c r="A128" s="391" t="s">
        <v>2605</v>
      </c>
      <c r="B128" s="15" t="s">
        <v>2606</v>
      </c>
      <c r="C128" s="14" t="s">
        <v>82</v>
      </c>
      <c r="D128" s="14" t="s">
        <v>1827</v>
      </c>
      <c r="E128" s="14" t="s">
        <v>1024</v>
      </c>
      <c r="F128" s="16">
        <v>47.605536926820001</v>
      </c>
      <c r="G128" s="17">
        <v>27.26</v>
      </c>
      <c r="H128" s="17">
        <f t="shared" si="4"/>
        <v>1297.73</v>
      </c>
      <c r="I128" s="18">
        <f t="shared" si="5"/>
        <v>1.7930667895306528E-2</v>
      </c>
      <c r="J128" s="18">
        <f t="shared" si="7"/>
        <v>21.203052161044237</v>
      </c>
      <c r="K128" s="392" t="str">
        <f t="shared" si="6"/>
        <v>A</v>
      </c>
    </row>
    <row r="129" spans="1:11" ht="20.100000000000001" customHeight="1" x14ac:dyDescent="0.25">
      <c r="A129" s="391" t="s">
        <v>3819</v>
      </c>
      <c r="B129" s="15" t="s">
        <v>3820</v>
      </c>
      <c r="C129" s="14" t="s">
        <v>51</v>
      </c>
      <c r="D129" s="14" t="s">
        <v>1812</v>
      </c>
      <c r="E129" s="14" t="s">
        <v>188</v>
      </c>
      <c r="F129" s="16">
        <v>165</v>
      </c>
      <c r="G129" s="17">
        <v>7.69</v>
      </c>
      <c r="H129" s="17">
        <f t="shared" si="4"/>
        <v>1268.8499999999999</v>
      </c>
      <c r="I129" s="18">
        <f t="shared" si="5"/>
        <v>1.7531634437794985E-2</v>
      </c>
      <c r="J129" s="18">
        <f t="shared" si="7"/>
        <v>21.220583795482032</v>
      </c>
      <c r="K129" s="392" t="str">
        <f t="shared" si="6"/>
        <v>A</v>
      </c>
    </row>
    <row r="130" spans="1:11" ht="20.100000000000001" customHeight="1" x14ac:dyDescent="0.25">
      <c r="A130" s="391" t="s">
        <v>2180</v>
      </c>
      <c r="B130" s="15" t="s">
        <v>2181</v>
      </c>
      <c r="C130" s="14" t="s">
        <v>82</v>
      </c>
      <c r="D130" s="14" t="s">
        <v>1812</v>
      </c>
      <c r="E130" s="14" t="s">
        <v>188</v>
      </c>
      <c r="F130" s="16">
        <v>40</v>
      </c>
      <c r="G130" s="17">
        <v>30.81</v>
      </c>
      <c r="H130" s="17">
        <f t="shared" si="4"/>
        <v>1232.4000000000001</v>
      </c>
      <c r="I130" s="18">
        <f t="shared" si="5"/>
        <v>1.7028006684114388E-2</v>
      </c>
      <c r="J130" s="18">
        <f t="shared" si="7"/>
        <v>21.237611802166146</v>
      </c>
      <c r="K130" s="392" t="str">
        <f t="shared" si="6"/>
        <v>A</v>
      </c>
    </row>
    <row r="131" spans="1:11" ht="20.100000000000001" customHeight="1" x14ac:dyDescent="0.25">
      <c r="A131" s="391" t="s">
        <v>3833</v>
      </c>
      <c r="B131" s="15" t="s">
        <v>3834</v>
      </c>
      <c r="C131" s="14" t="s">
        <v>51</v>
      </c>
      <c r="D131" s="14" t="s">
        <v>1812</v>
      </c>
      <c r="E131" s="14" t="s">
        <v>226</v>
      </c>
      <c r="F131" s="16">
        <v>8</v>
      </c>
      <c r="G131" s="17">
        <v>150.78</v>
      </c>
      <c r="H131" s="17">
        <f t="shared" si="4"/>
        <v>1206.24</v>
      </c>
      <c r="I131" s="18">
        <f t="shared" si="5"/>
        <v>1.6666555325094239E-2</v>
      </c>
      <c r="J131" s="18">
        <f t="shared" si="7"/>
        <v>21.254278357491241</v>
      </c>
      <c r="K131" s="392" t="str">
        <f t="shared" si="6"/>
        <v>A</v>
      </c>
    </row>
    <row r="132" spans="1:11" ht="20.100000000000001" customHeight="1" x14ac:dyDescent="0.25">
      <c r="A132" s="391" t="s">
        <v>3512</v>
      </c>
      <c r="B132" s="15" t="s">
        <v>3927</v>
      </c>
      <c r="C132" s="14" t="s">
        <v>194</v>
      </c>
      <c r="D132" s="14" t="s">
        <v>2021</v>
      </c>
      <c r="E132" s="14" t="s">
        <v>2027</v>
      </c>
      <c r="F132" s="16">
        <v>3.8751837171183041</v>
      </c>
      <c r="G132" s="17">
        <v>305.60000000000002</v>
      </c>
      <c r="H132" s="17">
        <f t="shared" si="4"/>
        <v>1184.26</v>
      </c>
      <c r="I132" s="18">
        <f t="shared" si="5"/>
        <v>1.6362858808608653E-2</v>
      </c>
      <c r="J132" s="18">
        <f t="shared" si="7"/>
        <v>21.27064121629985</v>
      </c>
      <c r="K132" s="392" t="str">
        <f t="shared" si="6"/>
        <v>A</v>
      </c>
    </row>
    <row r="133" spans="1:11" ht="20.100000000000001" customHeight="1" x14ac:dyDescent="0.25">
      <c r="A133" s="391" t="s">
        <v>3555</v>
      </c>
      <c r="B133" s="15" t="s">
        <v>3556</v>
      </c>
      <c r="C133" s="14" t="s">
        <v>51</v>
      </c>
      <c r="D133" s="14" t="s">
        <v>1812</v>
      </c>
      <c r="E133" s="14" t="s">
        <v>226</v>
      </c>
      <c r="F133" s="16">
        <v>1</v>
      </c>
      <c r="G133" s="17">
        <v>1169.08</v>
      </c>
      <c r="H133" s="17">
        <f t="shared" si="4"/>
        <v>1169.08</v>
      </c>
      <c r="I133" s="18">
        <f t="shared" si="5"/>
        <v>1.6153117538351545E-2</v>
      </c>
      <c r="J133" s="18">
        <f t="shared" si="7"/>
        <v>21.286794333838202</v>
      </c>
      <c r="K133" s="392" t="str">
        <f t="shared" si="6"/>
        <v>A</v>
      </c>
    </row>
    <row r="134" spans="1:11" ht="20.100000000000001" customHeight="1" x14ac:dyDescent="0.25">
      <c r="A134" s="391" t="s">
        <v>3310</v>
      </c>
      <c r="B134" s="15" t="s">
        <v>3311</v>
      </c>
      <c r="C134" s="14" t="s">
        <v>51</v>
      </c>
      <c r="D134" s="14" t="s">
        <v>1812</v>
      </c>
      <c r="E134" s="14" t="s">
        <v>122</v>
      </c>
      <c r="F134" s="16">
        <v>39.89235</v>
      </c>
      <c r="G134" s="17">
        <v>28.09</v>
      </c>
      <c r="H134" s="17">
        <f t="shared" si="4"/>
        <v>1120.58</v>
      </c>
      <c r="I134" s="18">
        <f t="shared" si="5"/>
        <v>1.5482995561574894E-2</v>
      </c>
      <c r="J134" s="18">
        <f t="shared" si="7"/>
        <v>21.302277329399775</v>
      </c>
      <c r="K134" s="392" t="str">
        <f t="shared" si="6"/>
        <v>A</v>
      </c>
    </row>
    <row r="135" spans="1:11" ht="20.100000000000001" customHeight="1" x14ac:dyDescent="0.25">
      <c r="A135" s="391" t="s">
        <v>3131</v>
      </c>
      <c r="B135" s="15" t="s">
        <v>3132</v>
      </c>
      <c r="C135" s="14" t="s">
        <v>51</v>
      </c>
      <c r="D135" s="14" t="s">
        <v>1812</v>
      </c>
      <c r="E135" s="14" t="s">
        <v>1817</v>
      </c>
      <c r="F135" s="16">
        <v>1026.393376</v>
      </c>
      <c r="G135" s="17">
        <v>1.08</v>
      </c>
      <c r="H135" s="17">
        <f t="shared" ref="H135:H198" si="8">ROUND(F135*G135,2)</f>
        <v>1108.5</v>
      </c>
      <c r="I135" s="18">
        <f t="shared" ref="I135:I198" si="9">H135/VALOR_TOTAL*100</f>
        <v>1.5316086830039597E-2</v>
      </c>
      <c r="J135" s="18">
        <f t="shared" si="7"/>
        <v>21.317593416229816</v>
      </c>
      <c r="K135" s="392" t="str">
        <f t="shared" ref="K135:K198" si="10">IF(J135&lt;=50,"A",IF(J135&lt;=80,"B","C"))</f>
        <v>A</v>
      </c>
    </row>
    <row r="136" spans="1:11" ht="20.100000000000001" customHeight="1" x14ac:dyDescent="0.25">
      <c r="A136" s="391" t="s">
        <v>3903</v>
      </c>
      <c r="B136" s="15" t="s">
        <v>3904</v>
      </c>
      <c r="C136" s="14" t="s">
        <v>82</v>
      </c>
      <c r="D136" s="14" t="s">
        <v>1812</v>
      </c>
      <c r="E136" s="14" t="s">
        <v>226</v>
      </c>
      <c r="F136" s="16">
        <v>8</v>
      </c>
      <c r="G136" s="17">
        <v>137.13999999999999</v>
      </c>
      <c r="H136" s="17">
        <f t="shared" si="8"/>
        <v>1097.1199999999999</v>
      </c>
      <c r="I136" s="18">
        <f t="shared" si="9"/>
        <v>1.5158849962086642E-2</v>
      </c>
      <c r="J136" s="18">
        <f t="shared" ref="J136:J199" si="11">I136+J135</f>
        <v>21.332752266191903</v>
      </c>
      <c r="K136" s="392" t="str">
        <f t="shared" si="10"/>
        <v>A</v>
      </c>
    </row>
    <row r="137" spans="1:11" ht="20.100000000000001" customHeight="1" x14ac:dyDescent="0.25">
      <c r="A137" s="391" t="s">
        <v>3686</v>
      </c>
      <c r="B137" s="15" t="s">
        <v>3687</v>
      </c>
      <c r="C137" s="14" t="s">
        <v>51</v>
      </c>
      <c r="D137" s="14" t="s">
        <v>1812</v>
      </c>
      <c r="E137" s="14" t="s">
        <v>188</v>
      </c>
      <c r="F137" s="16">
        <v>612</v>
      </c>
      <c r="G137" s="17">
        <v>1.78</v>
      </c>
      <c r="H137" s="17">
        <f t="shared" si="8"/>
        <v>1089.3599999999999</v>
      </c>
      <c r="I137" s="18">
        <f t="shared" si="9"/>
        <v>1.5051630445802374E-2</v>
      </c>
      <c r="J137" s="18">
        <f t="shared" si="11"/>
        <v>21.347803896637707</v>
      </c>
      <c r="K137" s="392" t="str">
        <f t="shared" si="10"/>
        <v>A</v>
      </c>
    </row>
    <row r="138" spans="1:11" ht="20.100000000000001" customHeight="1" x14ac:dyDescent="0.25">
      <c r="A138" s="391" t="s">
        <v>2874</v>
      </c>
      <c r="B138" s="15" t="s">
        <v>2875</v>
      </c>
      <c r="C138" s="14" t="s">
        <v>82</v>
      </c>
      <c r="D138" s="14" t="s">
        <v>2443</v>
      </c>
      <c r="E138" s="14" t="s">
        <v>226</v>
      </c>
      <c r="F138" s="21">
        <v>2.2271237299999998E-3</v>
      </c>
      <c r="G138" s="17">
        <v>488284.66</v>
      </c>
      <c r="H138" s="17">
        <f t="shared" si="8"/>
        <v>1087.47</v>
      </c>
      <c r="I138" s="18">
        <f t="shared" si="9"/>
        <v>1.5025516414130051E-2</v>
      </c>
      <c r="J138" s="18">
        <f t="shared" si="11"/>
        <v>21.362829413051838</v>
      </c>
      <c r="K138" s="392" t="str">
        <f t="shared" si="10"/>
        <v>A</v>
      </c>
    </row>
    <row r="139" spans="1:11" ht="20.100000000000001" customHeight="1" x14ac:dyDescent="0.25">
      <c r="A139" s="391" t="s">
        <v>3805</v>
      </c>
      <c r="B139" s="15" t="s">
        <v>3806</v>
      </c>
      <c r="C139" s="14" t="s">
        <v>51</v>
      </c>
      <c r="D139" s="14" t="s">
        <v>1812</v>
      </c>
      <c r="E139" s="14" t="s">
        <v>226</v>
      </c>
      <c r="F139" s="16">
        <v>345.14</v>
      </c>
      <c r="G139" s="17">
        <v>3.09</v>
      </c>
      <c r="H139" s="17">
        <f t="shared" si="8"/>
        <v>1066.48</v>
      </c>
      <c r="I139" s="18">
        <f t="shared" si="9"/>
        <v>1.4735498676139493E-2</v>
      </c>
      <c r="J139" s="18">
        <f t="shared" si="11"/>
        <v>21.377564911727976</v>
      </c>
      <c r="K139" s="392" t="str">
        <f t="shared" si="10"/>
        <v>A</v>
      </c>
    </row>
    <row r="140" spans="1:11" ht="15" customHeight="1" x14ac:dyDescent="0.25">
      <c r="A140" s="391" t="s">
        <v>2425</v>
      </c>
      <c r="B140" s="15" t="s">
        <v>2426</v>
      </c>
      <c r="C140" s="14" t="s">
        <v>341</v>
      </c>
      <c r="D140" s="14" t="s">
        <v>1812</v>
      </c>
      <c r="E140" s="14" t="s">
        <v>786</v>
      </c>
      <c r="F140" s="16">
        <v>757.99360000000001</v>
      </c>
      <c r="G140" s="17">
        <v>1.4</v>
      </c>
      <c r="H140" s="17">
        <f t="shared" si="8"/>
        <v>1061.19</v>
      </c>
      <c r="I140" s="18">
        <f t="shared" si="9"/>
        <v>1.4662407021352929E-2</v>
      </c>
      <c r="J140" s="18">
        <f t="shared" si="11"/>
        <v>21.392227318749327</v>
      </c>
      <c r="K140" s="392" t="str">
        <f t="shared" si="10"/>
        <v>A</v>
      </c>
    </row>
    <row r="141" spans="1:11" ht="20.100000000000001" customHeight="1" x14ac:dyDescent="0.25">
      <c r="A141" s="391" t="s">
        <v>3836</v>
      </c>
      <c r="B141" s="15" t="s">
        <v>3837</v>
      </c>
      <c r="C141" s="14" t="s">
        <v>51</v>
      </c>
      <c r="D141" s="14" t="s">
        <v>1812</v>
      </c>
      <c r="E141" s="14" t="s">
        <v>226</v>
      </c>
      <c r="F141" s="16">
        <v>7</v>
      </c>
      <c r="G141" s="17">
        <v>149.93</v>
      </c>
      <c r="H141" s="17">
        <f t="shared" si="8"/>
        <v>1049.51</v>
      </c>
      <c r="I141" s="18">
        <f t="shared" si="9"/>
        <v>1.4501025069007538E-2</v>
      </c>
      <c r="J141" s="18">
        <f t="shared" si="11"/>
        <v>21.406728343818337</v>
      </c>
      <c r="K141" s="392" t="str">
        <f t="shared" si="10"/>
        <v>A</v>
      </c>
    </row>
    <row r="142" spans="1:11" ht="20.100000000000001" customHeight="1" x14ac:dyDescent="0.25">
      <c r="A142" s="391" t="s">
        <v>3647</v>
      </c>
      <c r="B142" s="15" t="s">
        <v>3648</v>
      </c>
      <c r="C142" s="14" t="s">
        <v>51</v>
      </c>
      <c r="D142" s="14" t="s">
        <v>1812</v>
      </c>
      <c r="E142" s="14" t="s">
        <v>1006</v>
      </c>
      <c r="F142" s="16">
        <v>60.438000000000002</v>
      </c>
      <c r="G142" s="17">
        <v>17.260000000000002</v>
      </c>
      <c r="H142" s="17">
        <f t="shared" si="8"/>
        <v>1043.1600000000001</v>
      </c>
      <c r="I142" s="18">
        <f t="shared" si="9"/>
        <v>1.441328744936771E-2</v>
      </c>
      <c r="J142" s="18">
        <f t="shared" si="11"/>
        <v>21.421141631267705</v>
      </c>
      <c r="K142" s="392" t="str">
        <f t="shared" si="10"/>
        <v>A</v>
      </c>
    </row>
    <row r="143" spans="1:11" ht="15" customHeight="1" x14ac:dyDescent="0.25">
      <c r="A143" s="391" t="s">
        <v>1939</v>
      </c>
      <c r="B143" s="15" t="s">
        <v>1940</v>
      </c>
      <c r="C143" s="14" t="s">
        <v>341</v>
      </c>
      <c r="D143" s="14" t="s">
        <v>1812</v>
      </c>
      <c r="E143" s="14" t="s">
        <v>786</v>
      </c>
      <c r="F143" s="16">
        <v>22.375</v>
      </c>
      <c r="G143" s="17">
        <v>46.26</v>
      </c>
      <c r="H143" s="17">
        <f t="shared" si="8"/>
        <v>1035.07</v>
      </c>
      <c r="I143" s="18">
        <f t="shared" si="9"/>
        <v>1.4301508340251767E-2</v>
      </c>
      <c r="J143" s="18">
        <f t="shared" si="11"/>
        <v>21.435443139607958</v>
      </c>
      <c r="K143" s="392" t="str">
        <f t="shared" si="10"/>
        <v>A</v>
      </c>
    </row>
    <row r="144" spans="1:11" ht="20.100000000000001" customHeight="1" x14ac:dyDescent="0.25">
      <c r="A144" s="391" t="s">
        <v>3345</v>
      </c>
      <c r="B144" s="15" t="s">
        <v>3346</v>
      </c>
      <c r="C144" s="14" t="s">
        <v>51</v>
      </c>
      <c r="D144" s="14" t="s">
        <v>1812</v>
      </c>
      <c r="E144" s="14" t="s">
        <v>188</v>
      </c>
      <c r="F144" s="16">
        <v>242.15819999999999</v>
      </c>
      <c r="G144" s="17">
        <v>4.17</v>
      </c>
      <c r="H144" s="17">
        <f t="shared" si="8"/>
        <v>1009.8</v>
      </c>
      <c r="I144" s="18">
        <f t="shared" si="9"/>
        <v>1.3952354064929168E-2</v>
      </c>
      <c r="J144" s="18">
        <f t="shared" si="11"/>
        <v>21.449395493672888</v>
      </c>
      <c r="K144" s="392" t="str">
        <f t="shared" si="10"/>
        <v>A</v>
      </c>
    </row>
    <row r="145" spans="1:11" ht="20.100000000000001" customHeight="1" x14ac:dyDescent="0.25">
      <c r="A145" s="391" t="s">
        <v>3715</v>
      </c>
      <c r="B145" s="15" t="s">
        <v>3716</v>
      </c>
      <c r="C145" s="14" t="s">
        <v>82</v>
      </c>
      <c r="D145" s="14" t="s">
        <v>1812</v>
      </c>
      <c r="E145" s="14" t="s">
        <v>188</v>
      </c>
      <c r="F145" s="16">
        <v>129.31360000000001</v>
      </c>
      <c r="G145" s="17">
        <v>7.7</v>
      </c>
      <c r="H145" s="17">
        <f t="shared" si="8"/>
        <v>995.71</v>
      </c>
      <c r="I145" s="18">
        <f t="shared" si="9"/>
        <v>1.375767326796457E-2</v>
      </c>
      <c r="J145" s="18">
        <f t="shared" si="11"/>
        <v>21.463153166940852</v>
      </c>
      <c r="K145" s="392" t="str">
        <f t="shared" si="10"/>
        <v>A</v>
      </c>
    </row>
    <row r="146" spans="1:11" ht="15" customHeight="1" x14ac:dyDescent="0.25">
      <c r="A146" s="391" t="s">
        <v>3870</v>
      </c>
      <c r="B146" s="15" t="s">
        <v>3871</v>
      </c>
      <c r="C146" s="14" t="s">
        <v>82</v>
      </c>
      <c r="D146" s="14" t="s">
        <v>1812</v>
      </c>
      <c r="E146" s="14" t="s">
        <v>1817</v>
      </c>
      <c r="F146" s="16">
        <v>45.907991099999997</v>
      </c>
      <c r="G146" s="17">
        <v>21.14</v>
      </c>
      <c r="H146" s="17">
        <f t="shared" si="8"/>
        <v>970.49</v>
      </c>
      <c r="I146" s="18">
        <f t="shared" si="9"/>
        <v>1.3409209840040712E-2</v>
      </c>
      <c r="J146" s="18">
        <f t="shared" si="11"/>
        <v>21.476562376780894</v>
      </c>
      <c r="K146" s="392" t="str">
        <f t="shared" si="10"/>
        <v>A</v>
      </c>
    </row>
    <row r="147" spans="1:11" ht="20.100000000000001" customHeight="1" x14ac:dyDescent="0.25">
      <c r="A147" s="391" t="s">
        <v>3712</v>
      </c>
      <c r="B147" s="15" t="s">
        <v>3713</v>
      </c>
      <c r="C147" s="14" t="s">
        <v>82</v>
      </c>
      <c r="D147" s="14" t="s">
        <v>1812</v>
      </c>
      <c r="E147" s="14" t="s">
        <v>188</v>
      </c>
      <c r="F147" s="16">
        <v>177.80619999999999</v>
      </c>
      <c r="G147" s="17">
        <v>5.3</v>
      </c>
      <c r="H147" s="17">
        <f t="shared" si="8"/>
        <v>942.37</v>
      </c>
      <c r="I147" s="18">
        <f t="shared" si="9"/>
        <v>1.3020677262989997E-2</v>
      </c>
      <c r="J147" s="18">
        <f t="shared" si="11"/>
        <v>21.489583054043884</v>
      </c>
      <c r="K147" s="392" t="str">
        <f t="shared" si="10"/>
        <v>A</v>
      </c>
    </row>
    <row r="148" spans="1:11" ht="27.95" customHeight="1" x14ac:dyDescent="0.25">
      <c r="A148" s="391" t="s">
        <v>2746</v>
      </c>
      <c r="B148" s="15" t="s">
        <v>2747</v>
      </c>
      <c r="C148" s="14" t="s">
        <v>341</v>
      </c>
      <c r="D148" s="14" t="s">
        <v>1932</v>
      </c>
      <c r="E148" s="14" t="s">
        <v>579</v>
      </c>
      <c r="F148" s="16">
        <v>186.333823142</v>
      </c>
      <c r="G148" s="17">
        <v>5</v>
      </c>
      <c r="H148" s="17">
        <f t="shared" si="8"/>
        <v>931.67</v>
      </c>
      <c r="I148" s="18">
        <f t="shared" si="9"/>
        <v>1.2872835919659891E-2</v>
      </c>
      <c r="J148" s="18">
        <f t="shared" si="11"/>
        <v>21.502455889963542</v>
      </c>
      <c r="K148" s="392" t="str">
        <f t="shared" si="10"/>
        <v>A</v>
      </c>
    </row>
    <row r="149" spans="1:11" ht="20.100000000000001" customHeight="1" x14ac:dyDescent="0.25">
      <c r="A149" s="391" t="s">
        <v>2214</v>
      </c>
      <c r="B149" s="15" t="s">
        <v>2215</v>
      </c>
      <c r="C149" s="14" t="s">
        <v>1963</v>
      </c>
      <c r="D149" s="14" t="s">
        <v>1812</v>
      </c>
      <c r="E149" s="14" t="s">
        <v>251</v>
      </c>
      <c r="F149" s="16">
        <v>8</v>
      </c>
      <c r="G149" s="17">
        <v>116.15</v>
      </c>
      <c r="H149" s="17">
        <f t="shared" si="8"/>
        <v>929.2</v>
      </c>
      <c r="I149" s="18">
        <f t="shared" si="9"/>
        <v>1.2838708058162196E-2</v>
      </c>
      <c r="J149" s="18">
        <f t="shared" si="11"/>
        <v>21.515294598021704</v>
      </c>
      <c r="K149" s="392" t="str">
        <f t="shared" si="10"/>
        <v>A</v>
      </c>
    </row>
    <row r="150" spans="1:11" ht="20.100000000000001" customHeight="1" x14ac:dyDescent="0.25">
      <c r="A150" s="391" t="s">
        <v>2103</v>
      </c>
      <c r="B150" s="15" t="s">
        <v>2104</v>
      </c>
      <c r="C150" s="14" t="s">
        <v>51</v>
      </c>
      <c r="D150" s="14" t="s">
        <v>1827</v>
      </c>
      <c r="E150" s="14" t="s">
        <v>1024</v>
      </c>
      <c r="F150" s="16">
        <v>34.6952</v>
      </c>
      <c r="G150" s="17">
        <v>26.03</v>
      </c>
      <c r="H150" s="17">
        <f t="shared" si="8"/>
        <v>903.12</v>
      </c>
      <c r="I150" s="18">
        <f t="shared" si="9"/>
        <v>1.2478362054980027E-2</v>
      </c>
      <c r="J150" s="18">
        <f t="shared" si="11"/>
        <v>21.527772960076685</v>
      </c>
      <c r="K150" s="392" t="str">
        <f t="shared" si="10"/>
        <v>A</v>
      </c>
    </row>
    <row r="151" spans="1:11" ht="15" customHeight="1" x14ac:dyDescent="0.25">
      <c r="A151" s="391" t="s">
        <v>2200</v>
      </c>
      <c r="B151" s="15" t="s">
        <v>2201</v>
      </c>
      <c r="C151" s="14" t="s">
        <v>341</v>
      </c>
      <c r="D151" s="14" t="s">
        <v>1812</v>
      </c>
      <c r="E151" s="14" t="s">
        <v>579</v>
      </c>
      <c r="F151" s="16">
        <v>20</v>
      </c>
      <c r="G151" s="17">
        <v>43.6</v>
      </c>
      <c r="H151" s="17">
        <f t="shared" si="8"/>
        <v>872</v>
      </c>
      <c r="I151" s="18">
        <f t="shared" si="9"/>
        <v>1.2048378634004988E-2</v>
      </c>
      <c r="J151" s="18">
        <f t="shared" si="11"/>
        <v>21.539821338710691</v>
      </c>
      <c r="K151" s="392" t="str">
        <f t="shared" si="10"/>
        <v>A</v>
      </c>
    </row>
    <row r="152" spans="1:11" ht="20.100000000000001" customHeight="1" x14ac:dyDescent="0.25">
      <c r="A152" s="391" t="s">
        <v>2832</v>
      </c>
      <c r="B152" s="15" t="s">
        <v>2833</v>
      </c>
      <c r="C152" s="14" t="s">
        <v>82</v>
      </c>
      <c r="D152" s="14" t="s">
        <v>2443</v>
      </c>
      <c r="E152" s="14" t="s">
        <v>226</v>
      </c>
      <c r="F152" s="21">
        <v>3.4873461000000001E-4</v>
      </c>
      <c r="G152" s="17">
        <v>2491030.2799999998</v>
      </c>
      <c r="H152" s="17">
        <f t="shared" si="8"/>
        <v>868.71</v>
      </c>
      <c r="I152" s="18">
        <f t="shared" si="9"/>
        <v>1.2002920875167973E-2</v>
      </c>
      <c r="J152" s="18">
        <f t="shared" si="11"/>
        <v>21.55182425958586</v>
      </c>
      <c r="K152" s="392" t="str">
        <f t="shared" si="10"/>
        <v>A</v>
      </c>
    </row>
    <row r="153" spans="1:11" ht="20.100000000000001" customHeight="1" x14ac:dyDescent="0.25">
      <c r="A153" s="391" t="s">
        <v>3405</v>
      </c>
      <c r="B153" s="15" t="s">
        <v>3406</v>
      </c>
      <c r="C153" s="14" t="s">
        <v>51</v>
      </c>
      <c r="D153" s="14" t="s">
        <v>1812</v>
      </c>
      <c r="E153" s="14" t="s">
        <v>226</v>
      </c>
      <c r="F153" s="16">
        <v>45.706000000000003</v>
      </c>
      <c r="G153" s="17">
        <v>19</v>
      </c>
      <c r="H153" s="17">
        <f t="shared" si="8"/>
        <v>868.41</v>
      </c>
      <c r="I153" s="18">
        <f t="shared" si="9"/>
        <v>1.199877579077554E-2</v>
      </c>
      <c r="J153" s="18">
        <f t="shared" si="11"/>
        <v>21.563823035376636</v>
      </c>
      <c r="K153" s="392" t="str">
        <f t="shared" si="10"/>
        <v>A</v>
      </c>
    </row>
    <row r="154" spans="1:11" ht="20.100000000000001" customHeight="1" x14ac:dyDescent="0.25">
      <c r="A154" s="391" t="s">
        <v>1842</v>
      </c>
      <c r="B154" s="15" t="s">
        <v>1843</v>
      </c>
      <c r="C154" s="14" t="s">
        <v>51</v>
      </c>
      <c r="D154" s="14" t="s">
        <v>1827</v>
      </c>
      <c r="E154" s="14" t="s">
        <v>1024</v>
      </c>
      <c r="F154" s="16">
        <v>33.34543</v>
      </c>
      <c r="G154" s="17">
        <v>26.03</v>
      </c>
      <c r="H154" s="17">
        <f t="shared" si="8"/>
        <v>867.98</v>
      </c>
      <c r="I154" s="18">
        <f t="shared" si="9"/>
        <v>1.1992834503146386E-2</v>
      </c>
      <c r="J154" s="18">
        <f t="shared" si="11"/>
        <v>21.575815869879783</v>
      </c>
      <c r="K154" s="392" t="str">
        <f t="shared" si="10"/>
        <v>A</v>
      </c>
    </row>
    <row r="155" spans="1:11" ht="20.100000000000001" customHeight="1" x14ac:dyDescent="0.25">
      <c r="A155" s="391" t="s">
        <v>2160</v>
      </c>
      <c r="B155" s="15" t="s">
        <v>2161</v>
      </c>
      <c r="C155" s="14" t="s">
        <v>51</v>
      </c>
      <c r="D155" s="14" t="s">
        <v>1812</v>
      </c>
      <c r="E155" s="14" t="s">
        <v>1817</v>
      </c>
      <c r="F155" s="16">
        <v>21.912500000000001</v>
      </c>
      <c r="G155" s="17">
        <v>39.47</v>
      </c>
      <c r="H155" s="17">
        <f t="shared" si="8"/>
        <v>864.89</v>
      </c>
      <c r="I155" s="18">
        <f t="shared" si="9"/>
        <v>1.1950140133904327E-2</v>
      </c>
      <c r="J155" s="18">
        <f t="shared" si="11"/>
        <v>21.587766010013688</v>
      </c>
      <c r="K155" s="392" t="str">
        <f t="shared" si="10"/>
        <v>A</v>
      </c>
    </row>
    <row r="156" spans="1:11" ht="20.100000000000001" customHeight="1" x14ac:dyDescent="0.25">
      <c r="A156" s="391" t="s">
        <v>1857</v>
      </c>
      <c r="B156" s="15" t="s">
        <v>1858</v>
      </c>
      <c r="C156" s="14" t="s">
        <v>1859</v>
      </c>
      <c r="D156" s="14" t="s">
        <v>1812</v>
      </c>
      <c r="E156" s="14" t="s">
        <v>122</v>
      </c>
      <c r="F156" s="16">
        <v>24.254999999999999</v>
      </c>
      <c r="G156" s="17">
        <v>35.57</v>
      </c>
      <c r="H156" s="17">
        <f t="shared" si="8"/>
        <v>862.75</v>
      </c>
      <c r="I156" s="18">
        <f t="shared" si="9"/>
        <v>1.1920571865238306E-2</v>
      </c>
      <c r="J156" s="18">
        <f t="shared" si="11"/>
        <v>21.599686581878927</v>
      </c>
      <c r="K156" s="392" t="str">
        <f t="shared" si="10"/>
        <v>A</v>
      </c>
    </row>
    <row r="157" spans="1:11" ht="20.100000000000001" customHeight="1" x14ac:dyDescent="0.25">
      <c r="A157" s="391" t="s">
        <v>1883</v>
      </c>
      <c r="B157" s="15" t="s">
        <v>1884</v>
      </c>
      <c r="C157" s="14" t="s">
        <v>51</v>
      </c>
      <c r="D157" s="14" t="s">
        <v>1812</v>
      </c>
      <c r="E157" s="14" t="s">
        <v>1817</v>
      </c>
      <c r="F157" s="16">
        <v>486.56</v>
      </c>
      <c r="G157" s="17">
        <v>1.77</v>
      </c>
      <c r="H157" s="17">
        <f t="shared" si="8"/>
        <v>861.21</v>
      </c>
      <c r="I157" s="18">
        <f t="shared" si="9"/>
        <v>1.1899293765357151E-2</v>
      </c>
      <c r="J157" s="18">
        <f t="shared" si="11"/>
        <v>21.611585875644284</v>
      </c>
      <c r="K157" s="392" t="str">
        <f t="shared" si="10"/>
        <v>A</v>
      </c>
    </row>
    <row r="158" spans="1:11" ht="20.100000000000001" customHeight="1" x14ac:dyDescent="0.25">
      <c r="A158" s="391" t="s">
        <v>2120</v>
      </c>
      <c r="B158" s="15" t="s">
        <v>2121</v>
      </c>
      <c r="C158" s="14" t="s">
        <v>51</v>
      </c>
      <c r="D158" s="14" t="s">
        <v>1812</v>
      </c>
      <c r="E158" s="14" t="s">
        <v>226</v>
      </c>
      <c r="F158" s="16">
        <v>789.4425</v>
      </c>
      <c r="G158" s="17">
        <v>1.0900000000000001</v>
      </c>
      <c r="H158" s="17">
        <f t="shared" si="8"/>
        <v>860.49</v>
      </c>
      <c r="I158" s="18">
        <f t="shared" si="9"/>
        <v>1.1889345562815311E-2</v>
      </c>
      <c r="J158" s="18">
        <f t="shared" si="11"/>
        <v>21.623475221207098</v>
      </c>
      <c r="K158" s="392" t="str">
        <f t="shared" si="10"/>
        <v>A</v>
      </c>
    </row>
    <row r="159" spans="1:11" ht="20.100000000000001" customHeight="1" x14ac:dyDescent="0.25">
      <c r="A159" s="391" t="s">
        <v>3491</v>
      </c>
      <c r="B159" s="15" t="s">
        <v>3492</v>
      </c>
      <c r="C159" s="14" t="s">
        <v>51</v>
      </c>
      <c r="D159" s="14" t="s">
        <v>1812</v>
      </c>
      <c r="E159" s="14" t="s">
        <v>1817</v>
      </c>
      <c r="F159" s="16">
        <v>37.686</v>
      </c>
      <c r="G159" s="17">
        <v>22.02</v>
      </c>
      <c r="H159" s="17">
        <f t="shared" si="8"/>
        <v>829.85</v>
      </c>
      <c r="I159" s="18">
        <f t="shared" si="9"/>
        <v>1.1465994276868164E-2</v>
      </c>
      <c r="J159" s="18">
        <f t="shared" si="11"/>
        <v>21.634941215483966</v>
      </c>
      <c r="K159" s="392" t="str">
        <f t="shared" si="10"/>
        <v>A</v>
      </c>
    </row>
    <row r="160" spans="1:11" ht="27.95" customHeight="1" x14ac:dyDescent="0.25">
      <c r="A160" s="391" t="s">
        <v>2338</v>
      </c>
      <c r="B160" s="15" t="s">
        <v>2339</v>
      </c>
      <c r="C160" s="14" t="s">
        <v>82</v>
      </c>
      <c r="D160" s="14" t="s">
        <v>1932</v>
      </c>
      <c r="E160" s="14" t="s">
        <v>1024</v>
      </c>
      <c r="F160" s="16">
        <v>636.24329289069999</v>
      </c>
      <c r="G160" s="17">
        <v>1.28</v>
      </c>
      <c r="H160" s="17">
        <f t="shared" si="8"/>
        <v>814.39</v>
      </c>
      <c r="I160" s="18">
        <f t="shared" si="9"/>
        <v>1.125238426117812E-2</v>
      </c>
      <c r="J160" s="18">
        <f t="shared" si="11"/>
        <v>21.646193599745143</v>
      </c>
      <c r="K160" s="392" t="str">
        <f t="shared" si="10"/>
        <v>A</v>
      </c>
    </row>
    <row r="161" spans="1:11" ht="15" customHeight="1" x14ac:dyDescent="0.25">
      <c r="A161" s="391" t="s">
        <v>2249</v>
      </c>
      <c r="B161" s="15" t="s">
        <v>2250</v>
      </c>
      <c r="C161" s="14" t="s">
        <v>1927</v>
      </c>
      <c r="D161" s="14" t="s">
        <v>1812</v>
      </c>
      <c r="E161" s="14" t="s">
        <v>579</v>
      </c>
      <c r="F161" s="16">
        <v>3</v>
      </c>
      <c r="G161" s="17">
        <v>269.3</v>
      </c>
      <c r="H161" s="17">
        <f t="shared" si="8"/>
        <v>807.9</v>
      </c>
      <c r="I161" s="18">
        <f t="shared" si="9"/>
        <v>1.1162712268821822E-2</v>
      </c>
      <c r="J161" s="18">
        <f t="shared" si="11"/>
        <v>21.657356312013963</v>
      </c>
      <c r="K161" s="392" t="str">
        <f t="shared" si="10"/>
        <v>A</v>
      </c>
    </row>
    <row r="162" spans="1:11" ht="27.95" customHeight="1" x14ac:dyDescent="0.25">
      <c r="A162" s="391" t="s">
        <v>2364</v>
      </c>
      <c r="B162" s="15" t="s">
        <v>2365</v>
      </c>
      <c r="C162" s="14" t="s">
        <v>82</v>
      </c>
      <c r="D162" s="14" t="s">
        <v>1932</v>
      </c>
      <c r="E162" s="14" t="s">
        <v>1024</v>
      </c>
      <c r="F162" s="16">
        <v>1385.84780122301</v>
      </c>
      <c r="G162" s="17">
        <v>0.56999999999999995</v>
      </c>
      <c r="H162" s="17">
        <f t="shared" si="8"/>
        <v>789.93</v>
      </c>
      <c r="I162" s="18">
        <f t="shared" si="9"/>
        <v>1.0914421713715089E-2</v>
      </c>
      <c r="J162" s="18">
        <f t="shared" si="11"/>
        <v>21.668270733727677</v>
      </c>
      <c r="K162" s="392" t="str">
        <f t="shared" si="10"/>
        <v>A</v>
      </c>
    </row>
    <row r="163" spans="1:11" ht="20.100000000000001" customHeight="1" x14ac:dyDescent="0.25">
      <c r="A163" s="391" t="s">
        <v>3506</v>
      </c>
      <c r="B163" s="15" t="s">
        <v>3928</v>
      </c>
      <c r="C163" s="14" t="s">
        <v>194</v>
      </c>
      <c r="D163" s="14" t="s">
        <v>2021</v>
      </c>
      <c r="E163" s="14" t="s">
        <v>2027</v>
      </c>
      <c r="F163" s="16">
        <v>2.1823639868746945</v>
      </c>
      <c r="G163" s="17">
        <v>356.64</v>
      </c>
      <c r="H163" s="17">
        <f t="shared" si="8"/>
        <v>778.32</v>
      </c>
      <c r="I163" s="18">
        <f t="shared" si="9"/>
        <v>1.0754006947727938E-2</v>
      </c>
      <c r="J163" s="18">
        <f t="shared" si="11"/>
        <v>21.679024740675406</v>
      </c>
      <c r="K163" s="392" t="str">
        <f t="shared" si="10"/>
        <v>A</v>
      </c>
    </row>
    <row r="164" spans="1:11" ht="20.100000000000001" customHeight="1" x14ac:dyDescent="0.25">
      <c r="A164" s="391" t="s">
        <v>3693</v>
      </c>
      <c r="B164" s="15" t="s">
        <v>3694</v>
      </c>
      <c r="C164" s="14" t="s">
        <v>82</v>
      </c>
      <c r="D164" s="14" t="s">
        <v>1812</v>
      </c>
      <c r="E164" s="14" t="s">
        <v>226</v>
      </c>
      <c r="F164" s="16">
        <v>2</v>
      </c>
      <c r="G164" s="17">
        <v>386.24</v>
      </c>
      <c r="H164" s="17">
        <f t="shared" si="8"/>
        <v>772.48</v>
      </c>
      <c r="I164" s="18">
        <f t="shared" si="9"/>
        <v>1.0673315971555243E-2</v>
      </c>
      <c r="J164" s="18">
        <f t="shared" si="11"/>
        <v>21.689698056646961</v>
      </c>
      <c r="K164" s="392" t="str">
        <f t="shared" si="10"/>
        <v>A</v>
      </c>
    </row>
    <row r="165" spans="1:11" ht="20.100000000000001" customHeight="1" x14ac:dyDescent="0.25">
      <c r="A165" s="391" t="s">
        <v>3674</v>
      </c>
      <c r="B165" s="15" t="s">
        <v>3675</v>
      </c>
      <c r="C165" s="14" t="s">
        <v>51</v>
      </c>
      <c r="D165" s="14" t="s">
        <v>1812</v>
      </c>
      <c r="E165" s="14" t="s">
        <v>188</v>
      </c>
      <c r="F165" s="16">
        <v>122.4</v>
      </c>
      <c r="G165" s="17">
        <v>6.22</v>
      </c>
      <c r="H165" s="17">
        <f t="shared" si="8"/>
        <v>761.33</v>
      </c>
      <c r="I165" s="18">
        <f t="shared" si="9"/>
        <v>1.0519257001636487E-2</v>
      </c>
      <c r="J165" s="18">
        <f t="shared" si="11"/>
        <v>21.700217313648597</v>
      </c>
      <c r="K165" s="392" t="str">
        <f t="shared" si="10"/>
        <v>A</v>
      </c>
    </row>
    <row r="166" spans="1:11" ht="20.100000000000001" customHeight="1" x14ac:dyDescent="0.25">
      <c r="A166" s="391" t="s">
        <v>3359</v>
      </c>
      <c r="B166" s="15" t="s">
        <v>3360</v>
      </c>
      <c r="C166" s="14" t="s">
        <v>51</v>
      </c>
      <c r="D166" s="14" t="s">
        <v>1812</v>
      </c>
      <c r="E166" s="14" t="s">
        <v>226</v>
      </c>
      <c r="F166" s="16">
        <v>10.005000000000001</v>
      </c>
      <c r="G166" s="17">
        <v>75.040000000000006</v>
      </c>
      <c r="H166" s="17">
        <f t="shared" si="8"/>
        <v>750.78</v>
      </c>
      <c r="I166" s="18">
        <f t="shared" si="9"/>
        <v>1.0373488200502596E-2</v>
      </c>
      <c r="J166" s="18">
        <f t="shared" si="11"/>
        <v>21.710590801849101</v>
      </c>
      <c r="K166" s="392" t="str">
        <f t="shared" si="10"/>
        <v>A</v>
      </c>
    </row>
    <row r="167" spans="1:11" ht="20.100000000000001" customHeight="1" x14ac:dyDescent="0.25">
      <c r="A167" s="391" t="s">
        <v>2059</v>
      </c>
      <c r="B167" s="15" t="s">
        <v>2060</v>
      </c>
      <c r="C167" s="14" t="s">
        <v>2206</v>
      </c>
      <c r="D167" s="14" t="s">
        <v>1812</v>
      </c>
      <c r="E167" s="14" t="s">
        <v>2061</v>
      </c>
      <c r="F167" s="16">
        <v>17.042999999999999</v>
      </c>
      <c r="G167" s="17">
        <v>43.75</v>
      </c>
      <c r="H167" s="17">
        <f t="shared" si="8"/>
        <v>745.63</v>
      </c>
      <c r="I167" s="18">
        <f t="shared" si="9"/>
        <v>1.0302330918432497E-2</v>
      </c>
      <c r="J167" s="18">
        <f t="shared" si="11"/>
        <v>21.720893132767532</v>
      </c>
      <c r="K167" s="392" t="str">
        <f t="shared" si="10"/>
        <v>A</v>
      </c>
    </row>
    <row r="168" spans="1:11" ht="20.100000000000001" customHeight="1" x14ac:dyDescent="0.25">
      <c r="A168" s="391" t="s">
        <v>3683</v>
      </c>
      <c r="B168" s="15" t="s">
        <v>3684</v>
      </c>
      <c r="C168" s="14" t="s">
        <v>51</v>
      </c>
      <c r="D168" s="14" t="s">
        <v>1812</v>
      </c>
      <c r="E168" s="14" t="s">
        <v>188</v>
      </c>
      <c r="F168" s="16">
        <v>30.6</v>
      </c>
      <c r="G168" s="17">
        <v>24.36</v>
      </c>
      <c r="H168" s="17">
        <f t="shared" si="8"/>
        <v>745.42</v>
      </c>
      <c r="I168" s="18">
        <f t="shared" si="9"/>
        <v>1.0299429359357794E-2</v>
      </c>
      <c r="J168" s="18">
        <f t="shared" si="11"/>
        <v>21.731192562126889</v>
      </c>
      <c r="K168" s="392" t="str">
        <f t="shared" si="10"/>
        <v>A</v>
      </c>
    </row>
    <row r="169" spans="1:11" ht="20.100000000000001" customHeight="1" x14ac:dyDescent="0.25">
      <c r="A169" s="391" t="s">
        <v>3843</v>
      </c>
      <c r="B169" s="15" t="s">
        <v>3844</v>
      </c>
      <c r="C169" s="14" t="s">
        <v>82</v>
      </c>
      <c r="D169" s="14" t="s">
        <v>1812</v>
      </c>
      <c r="E169" s="14" t="s">
        <v>226</v>
      </c>
      <c r="F169" s="16">
        <v>1</v>
      </c>
      <c r="G169" s="17">
        <v>723</v>
      </c>
      <c r="H169" s="17">
        <f t="shared" si="8"/>
        <v>723</v>
      </c>
      <c r="I169" s="18">
        <f t="shared" si="9"/>
        <v>9.9896533857633096E-3</v>
      </c>
      <c r="J169" s="18">
        <f t="shared" si="11"/>
        <v>21.741182215512652</v>
      </c>
      <c r="K169" s="392" t="str">
        <f t="shared" si="10"/>
        <v>A</v>
      </c>
    </row>
    <row r="170" spans="1:11" ht="20.100000000000001" customHeight="1" x14ac:dyDescent="0.25">
      <c r="A170" s="391" t="s">
        <v>3514</v>
      </c>
      <c r="B170" s="15" t="s">
        <v>3929</v>
      </c>
      <c r="C170" s="14" t="s">
        <v>194</v>
      </c>
      <c r="D170" s="14" t="s">
        <v>2021</v>
      </c>
      <c r="E170" s="14" t="s">
        <v>2027</v>
      </c>
      <c r="F170" s="16">
        <v>3.012931034482691</v>
      </c>
      <c r="G170" s="17">
        <v>239.03</v>
      </c>
      <c r="H170" s="17">
        <f t="shared" si="8"/>
        <v>720.18</v>
      </c>
      <c r="I170" s="18">
        <f t="shared" si="9"/>
        <v>9.9506895924744397E-3</v>
      </c>
      <c r="J170" s="18">
        <f t="shared" si="11"/>
        <v>21.751132905105127</v>
      </c>
      <c r="K170" s="392" t="str">
        <f t="shared" si="10"/>
        <v>A</v>
      </c>
    </row>
    <row r="171" spans="1:11" ht="15" customHeight="1" x14ac:dyDescent="0.25">
      <c r="A171" s="391" t="s">
        <v>2994</v>
      </c>
      <c r="B171" s="15" t="s">
        <v>2995</v>
      </c>
      <c r="C171" s="14" t="s">
        <v>82</v>
      </c>
      <c r="D171" s="14" t="s">
        <v>1812</v>
      </c>
      <c r="E171" s="14" t="s">
        <v>1817</v>
      </c>
      <c r="F171" s="16">
        <v>168.293430632</v>
      </c>
      <c r="G171" s="17">
        <v>4.22</v>
      </c>
      <c r="H171" s="17">
        <f t="shared" si="8"/>
        <v>710.2</v>
      </c>
      <c r="I171" s="18">
        <f t="shared" si="9"/>
        <v>9.8127964516861715E-3</v>
      </c>
      <c r="J171" s="18">
        <f t="shared" si="11"/>
        <v>21.760945701556814</v>
      </c>
      <c r="K171" s="392" t="str">
        <f t="shared" si="10"/>
        <v>A</v>
      </c>
    </row>
    <row r="172" spans="1:11" ht="27.95" customHeight="1" x14ac:dyDescent="0.25">
      <c r="A172" s="391" t="s">
        <v>2545</v>
      </c>
      <c r="B172" s="15" t="s">
        <v>2546</v>
      </c>
      <c r="C172" s="14" t="s">
        <v>82</v>
      </c>
      <c r="D172" s="14" t="s">
        <v>1812</v>
      </c>
      <c r="E172" s="14" t="s">
        <v>85</v>
      </c>
      <c r="F172" s="16">
        <v>1.0478499999999999</v>
      </c>
      <c r="G172" s="17">
        <v>654.4</v>
      </c>
      <c r="H172" s="17">
        <f t="shared" si="8"/>
        <v>685.71</v>
      </c>
      <c r="I172" s="18">
        <f t="shared" si="9"/>
        <v>9.4744193957839E-3</v>
      </c>
      <c r="J172" s="18">
        <f t="shared" si="11"/>
        <v>21.770420120952597</v>
      </c>
      <c r="K172" s="392" t="str">
        <f t="shared" si="10"/>
        <v>A</v>
      </c>
    </row>
    <row r="173" spans="1:11" ht="20.100000000000001" customHeight="1" x14ac:dyDescent="0.25">
      <c r="A173" s="391" t="s">
        <v>3407</v>
      </c>
      <c r="B173" s="15" t="s">
        <v>3408</v>
      </c>
      <c r="C173" s="14" t="s">
        <v>51</v>
      </c>
      <c r="D173" s="14" t="s">
        <v>1812</v>
      </c>
      <c r="E173" s="14" t="s">
        <v>226</v>
      </c>
      <c r="F173" s="16">
        <v>1371.18</v>
      </c>
      <c r="G173" s="17">
        <v>0.5</v>
      </c>
      <c r="H173" s="17">
        <f t="shared" si="8"/>
        <v>685.59</v>
      </c>
      <c r="I173" s="18">
        <f t="shared" si="9"/>
        <v>9.4727613620269255E-3</v>
      </c>
      <c r="J173" s="18">
        <f t="shared" si="11"/>
        <v>21.779892882314623</v>
      </c>
      <c r="K173" s="392" t="str">
        <f t="shared" si="10"/>
        <v>A</v>
      </c>
    </row>
    <row r="174" spans="1:11" ht="15" customHeight="1" x14ac:dyDescent="0.25">
      <c r="A174" s="391" t="s">
        <v>2174</v>
      </c>
      <c r="B174" s="15" t="s">
        <v>2175</v>
      </c>
      <c r="C174" s="14" t="s">
        <v>341</v>
      </c>
      <c r="D174" s="14" t="s">
        <v>1812</v>
      </c>
      <c r="E174" s="14" t="s">
        <v>786</v>
      </c>
      <c r="F174" s="16">
        <v>758.88</v>
      </c>
      <c r="G174" s="17">
        <v>0.9</v>
      </c>
      <c r="H174" s="17">
        <f t="shared" si="8"/>
        <v>682.99</v>
      </c>
      <c r="I174" s="18">
        <f t="shared" si="9"/>
        <v>9.4368372972925066E-3</v>
      </c>
      <c r="J174" s="18">
        <f t="shared" si="11"/>
        <v>21.789329719611917</v>
      </c>
      <c r="K174" s="392" t="str">
        <f t="shared" si="10"/>
        <v>A</v>
      </c>
    </row>
    <row r="175" spans="1:11" ht="20.100000000000001" customHeight="1" x14ac:dyDescent="0.25">
      <c r="A175" s="391" t="s">
        <v>2130</v>
      </c>
      <c r="B175" s="15" t="s">
        <v>2131</v>
      </c>
      <c r="C175" s="14" t="s">
        <v>82</v>
      </c>
      <c r="D175" s="14" t="s">
        <v>1812</v>
      </c>
      <c r="E175" s="14" t="s">
        <v>122</v>
      </c>
      <c r="F175" s="16">
        <v>14</v>
      </c>
      <c r="G175" s="17">
        <v>46.75</v>
      </c>
      <c r="H175" s="17">
        <f t="shared" si="8"/>
        <v>654.5</v>
      </c>
      <c r="I175" s="18">
        <f t="shared" si="9"/>
        <v>9.0431924494911286E-3</v>
      </c>
      <c r="J175" s="18">
        <f t="shared" si="11"/>
        <v>21.798372912061406</v>
      </c>
      <c r="K175" s="392" t="str">
        <f t="shared" si="10"/>
        <v>A</v>
      </c>
    </row>
    <row r="176" spans="1:11" ht="20.100000000000001" customHeight="1" x14ac:dyDescent="0.25">
      <c r="A176" s="391" t="s">
        <v>2430</v>
      </c>
      <c r="B176" s="15" t="s">
        <v>2431</v>
      </c>
      <c r="C176" s="14" t="s">
        <v>341</v>
      </c>
      <c r="D176" s="14" t="s">
        <v>1812</v>
      </c>
      <c r="E176" s="14" t="s">
        <v>786</v>
      </c>
      <c r="F176" s="16">
        <v>634.51080000000002</v>
      </c>
      <c r="G176" s="17">
        <v>1.01</v>
      </c>
      <c r="H176" s="17">
        <f t="shared" si="8"/>
        <v>640.86</v>
      </c>
      <c r="I176" s="18">
        <f t="shared" si="9"/>
        <v>8.8547292791151793E-3</v>
      </c>
      <c r="J176" s="18">
        <f t="shared" si="11"/>
        <v>21.807227641340521</v>
      </c>
      <c r="K176" s="392" t="str">
        <f t="shared" si="10"/>
        <v>A</v>
      </c>
    </row>
    <row r="177" spans="1:11" ht="20.100000000000001" customHeight="1" x14ac:dyDescent="0.25">
      <c r="A177" s="391" t="s">
        <v>2184</v>
      </c>
      <c r="B177" s="15" t="s">
        <v>2185</v>
      </c>
      <c r="C177" s="14" t="s">
        <v>51</v>
      </c>
      <c r="D177" s="14" t="s">
        <v>1812</v>
      </c>
      <c r="E177" s="14" t="s">
        <v>226</v>
      </c>
      <c r="F177" s="16">
        <v>135</v>
      </c>
      <c r="G177" s="17">
        <v>4.72</v>
      </c>
      <c r="H177" s="17">
        <f t="shared" si="8"/>
        <v>637.20000000000005</v>
      </c>
      <c r="I177" s="18">
        <f t="shared" si="9"/>
        <v>8.8041592495274983E-3</v>
      </c>
      <c r="J177" s="18">
        <f t="shared" si="11"/>
        <v>21.81603180059005</v>
      </c>
      <c r="K177" s="392" t="str">
        <f t="shared" si="10"/>
        <v>A</v>
      </c>
    </row>
    <row r="178" spans="1:11" ht="15" customHeight="1" x14ac:dyDescent="0.25">
      <c r="A178" s="391" t="s">
        <v>2620</v>
      </c>
      <c r="B178" s="15" t="s">
        <v>2621</v>
      </c>
      <c r="C178" s="14" t="s">
        <v>82</v>
      </c>
      <c r="D178" s="14" t="s">
        <v>1827</v>
      </c>
      <c r="E178" s="14" t="s">
        <v>1024</v>
      </c>
      <c r="F178" s="16">
        <v>19.487157710217598</v>
      </c>
      <c r="G178" s="17">
        <v>32.65</v>
      </c>
      <c r="H178" s="17">
        <f t="shared" si="8"/>
        <v>636.26</v>
      </c>
      <c r="I178" s="18">
        <f t="shared" si="9"/>
        <v>8.7911713184312072E-3</v>
      </c>
      <c r="J178" s="18">
        <f t="shared" si="11"/>
        <v>21.824822971908482</v>
      </c>
      <c r="K178" s="392" t="str">
        <f t="shared" si="10"/>
        <v>A</v>
      </c>
    </row>
    <row r="179" spans="1:11" ht="36" customHeight="1" x14ac:dyDescent="0.25">
      <c r="A179" s="391" t="s">
        <v>1958</v>
      </c>
      <c r="B179" s="15" t="s">
        <v>1959</v>
      </c>
      <c r="C179" s="14" t="s">
        <v>82</v>
      </c>
      <c r="D179" s="14" t="s">
        <v>1812</v>
      </c>
      <c r="E179" s="14" t="s">
        <v>1960</v>
      </c>
      <c r="F179" s="16">
        <v>4</v>
      </c>
      <c r="G179" s="17">
        <v>159.03</v>
      </c>
      <c r="H179" s="17">
        <f t="shared" si="8"/>
        <v>636.12</v>
      </c>
      <c r="I179" s="18">
        <f t="shared" si="9"/>
        <v>8.789236945714738E-3</v>
      </c>
      <c r="J179" s="18">
        <f t="shared" si="11"/>
        <v>21.833612208854195</v>
      </c>
      <c r="K179" s="392" t="str">
        <f t="shared" si="10"/>
        <v>A</v>
      </c>
    </row>
    <row r="180" spans="1:11" ht="20.100000000000001" customHeight="1" x14ac:dyDescent="0.25">
      <c r="A180" s="391" t="s">
        <v>3568</v>
      </c>
      <c r="B180" s="15" t="s">
        <v>3569</v>
      </c>
      <c r="C180" s="14" t="s">
        <v>51</v>
      </c>
      <c r="D180" s="14" t="s">
        <v>1812</v>
      </c>
      <c r="E180" s="14" t="s">
        <v>226</v>
      </c>
      <c r="F180" s="16">
        <v>2</v>
      </c>
      <c r="G180" s="17">
        <v>317.07</v>
      </c>
      <c r="H180" s="17">
        <f t="shared" si="8"/>
        <v>634.14</v>
      </c>
      <c r="I180" s="18">
        <f t="shared" si="9"/>
        <v>8.7618793887246811E-3</v>
      </c>
      <c r="J180" s="18">
        <f t="shared" si="11"/>
        <v>21.84237408824292</v>
      </c>
      <c r="K180" s="392" t="str">
        <f t="shared" si="10"/>
        <v>A</v>
      </c>
    </row>
    <row r="181" spans="1:11" ht="20.100000000000001" customHeight="1" x14ac:dyDescent="0.25">
      <c r="A181" s="391" t="s">
        <v>3848</v>
      </c>
      <c r="B181" s="15" t="s">
        <v>3849</v>
      </c>
      <c r="C181" s="14" t="s">
        <v>51</v>
      </c>
      <c r="D181" s="14" t="s">
        <v>1812</v>
      </c>
      <c r="E181" s="14" t="s">
        <v>226</v>
      </c>
      <c r="F181" s="16">
        <v>40</v>
      </c>
      <c r="G181" s="17">
        <v>15.2</v>
      </c>
      <c r="H181" s="17">
        <f t="shared" si="8"/>
        <v>608</v>
      </c>
      <c r="I181" s="18">
        <f t="shared" si="9"/>
        <v>8.4007043686640265E-3</v>
      </c>
      <c r="J181" s="18">
        <f t="shared" si="11"/>
        <v>21.850774792611585</v>
      </c>
      <c r="K181" s="392" t="str">
        <f t="shared" si="10"/>
        <v>A</v>
      </c>
    </row>
    <row r="182" spans="1:11" ht="20.100000000000001" customHeight="1" x14ac:dyDescent="0.25">
      <c r="A182" s="391" t="s">
        <v>3355</v>
      </c>
      <c r="B182" s="15" t="s">
        <v>3356</v>
      </c>
      <c r="C182" s="14" t="s">
        <v>51</v>
      </c>
      <c r="D182" s="14" t="s">
        <v>1812</v>
      </c>
      <c r="E182" s="14" t="s">
        <v>226</v>
      </c>
      <c r="F182" s="16">
        <v>10.005000000000001</v>
      </c>
      <c r="G182" s="17">
        <v>60.52</v>
      </c>
      <c r="H182" s="17">
        <f t="shared" si="8"/>
        <v>605.5</v>
      </c>
      <c r="I182" s="18">
        <f t="shared" si="9"/>
        <v>8.3661619987270876E-3</v>
      </c>
      <c r="J182" s="18">
        <f t="shared" si="11"/>
        <v>21.859140954610311</v>
      </c>
      <c r="K182" s="392" t="str">
        <f t="shared" si="10"/>
        <v>A</v>
      </c>
    </row>
    <row r="183" spans="1:11" ht="20.100000000000001" customHeight="1" x14ac:dyDescent="0.25">
      <c r="A183" s="391" t="s">
        <v>3078</v>
      </c>
      <c r="B183" s="15" t="s">
        <v>3930</v>
      </c>
      <c r="C183" s="14" t="s">
        <v>194</v>
      </c>
      <c r="D183" s="14" t="s">
        <v>2021</v>
      </c>
      <c r="E183" s="14" t="s">
        <v>2027</v>
      </c>
      <c r="F183" s="16">
        <v>1.1550079519349732</v>
      </c>
      <c r="G183" s="17">
        <v>522.59</v>
      </c>
      <c r="H183" s="17">
        <f t="shared" si="8"/>
        <v>603.6</v>
      </c>
      <c r="I183" s="18">
        <f t="shared" si="9"/>
        <v>8.3399097975750125E-3</v>
      </c>
      <c r="J183" s="18">
        <f t="shared" si="11"/>
        <v>21.867480864407884</v>
      </c>
      <c r="K183" s="392" t="str">
        <f t="shared" si="10"/>
        <v>A</v>
      </c>
    </row>
    <row r="184" spans="1:11" ht="15" customHeight="1" x14ac:dyDescent="0.25">
      <c r="A184" s="391" t="s">
        <v>2087</v>
      </c>
      <c r="B184" s="15" t="s">
        <v>2088</v>
      </c>
      <c r="C184" s="14" t="s">
        <v>341</v>
      </c>
      <c r="D184" s="14" t="s">
        <v>1812</v>
      </c>
      <c r="E184" s="14" t="s">
        <v>89</v>
      </c>
      <c r="F184" s="19">
        <v>0.194435</v>
      </c>
      <c r="G184" s="17">
        <v>3103.48</v>
      </c>
      <c r="H184" s="17">
        <f t="shared" si="8"/>
        <v>603.42999999999995</v>
      </c>
      <c r="I184" s="18">
        <f t="shared" si="9"/>
        <v>8.3375609164192989E-3</v>
      </c>
      <c r="J184" s="18">
        <f t="shared" si="11"/>
        <v>21.875818425324304</v>
      </c>
      <c r="K184" s="392" t="str">
        <f t="shared" si="10"/>
        <v>A</v>
      </c>
    </row>
    <row r="185" spans="1:11" ht="20.100000000000001" customHeight="1" x14ac:dyDescent="0.25">
      <c r="A185" s="391" t="s">
        <v>1968</v>
      </c>
      <c r="B185" s="15" t="s">
        <v>1969</v>
      </c>
      <c r="C185" s="14" t="s">
        <v>51</v>
      </c>
      <c r="D185" s="14" t="s">
        <v>1827</v>
      </c>
      <c r="E185" s="14" t="s">
        <v>1024</v>
      </c>
      <c r="F185" s="16">
        <v>23.1569635</v>
      </c>
      <c r="G185" s="17">
        <v>26.03</v>
      </c>
      <c r="H185" s="17">
        <f t="shared" si="8"/>
        <v>602.78</v>
      </c>
      <c r="I185" s="18">
        <f t="shared" si="9"/>
        <v>8.3285799002356942E-3</v>
      </c>
      <c r="J185" s="18">
        <f t="shared" si="11"/>
        <v>21.884147005224541</v>
      </c>
      <c r="K185" s="392" t="str">
        <f t="shared" si="10"/>
        <v>A</v>
      </c>
    </row>
    <row r="186" spans="1:11" ht="20.100000000000001" customHeight="1" x14ac:dyDescent="0.25">
      <c r="A186" s="391" t="s">
        <v>2853</v>
      </c>
      <c r="B186" s="15" t="s">
        <v>2854</v>
      </c>
      <c r="C186" s="14" t="s">
        <v>82</v>
      </c>
      <c r="D186" s="14" t="s">
        <v>2443</v>
      </c>
      <c r="E186" s="14" t="s">
        <v>226</v>
      </c>
      <c r="F186" s="22">
        <v>1.0136190379000001E-3</v>
      </c>
      <c r="G186" s="17">
        <v>591575.65</v>
      </c>
      <c r="H186" s="17">
        <f t="shared" si="8"/>
        <v>599.63</v>
      </c>
      <c r="I186" s="18">
        <f t="shared" si="9"/>
        <v>8.2850565141151487E-3</v>
      </c>
      <c r="J186" s="18">
        <f t="shared" si="11"/>
        <v>21.892432061738656</v>
      </c>
      <c r="K186" s="392" t="str">
        <f t="shared" si="10"/>
        <v>A</v>
      </c>
    </row>
    <row r="187" spans="1:11" ht="27.95" customHeight="1" x14ac:dyDescent="0.25">
      <c r="A187" s="391" t="s">
        <v>2754</v>
      </c>
      <c r="B187" s="15" t="s">
        <v>2755</v>
      </c>
      <c r="C187" s="14" t="s">
        <v>341</v>
      </c>
      <c r="D187" s="14" t="s">
        <v>1932</v>
      </c>
      <c r="E187" s="14" t="s">
        <v>579</v>
      </c>
      <c r="F187" s="16">
        <v>129.116195479</v>
      </c>
      <c r="G187" s="17">
        <v>4.5</v>
      </c>
      <c r="H187" s="17">
        <f t="shared" si="8"/>
        <v>581.02</v>
      </c>
      <c r="I187" s="18">
        <f t="shared" si="9"/>
        <v>8.0279231123045608E-3</v>
      </c>
      <c r="J187" s="18">
        <f t="shared" si="11"/>
        <v>21.900459984850961</v>
      </c>
      <c r="K187" s="392" t="str">
        <f t="shared" si="10"/>
        <v>A</v>
      </c>
    </row>
    <row r="188" spans="1:11" ht="15" customHeight="1" x14ac:dyDescent="0.25">
      <c r="A188" s="391" t="s">
        <v>2602</v>
      </c>
      <c r="B188" s="15" t="s">
        <v>2603</v>
      </c>
      <c r="C188" s="14" t="s">
        <v>82</v>
      </c>
      <c r="D188" s="14" t="s">
        <v>1827</v>
      </c>
      <c r="E188" s="14" t="s">
        <v>1024</v>
      </c>
      <c r="F188" s="16">
        <v>22.054712168926741</v>
      </c>
      <c r="G188" s="17">
        <v>26.13</v>
      </c>
      <c r="H188" s="17">
        <f t="shared" si="8"/>
        <v>576.29</v>
      </c>
      <c r="I188" s="18">
        <f t="shared" si="9"/>
        <v>7.9625689483838694E-3</v>
      </c>
      <c r="J188" s="18">
        <f t="shared" si="11"/>
        <v>21.908422553799344</v>
      </c>
      <c r="K188" s="392" t="str">
        <f t="shared" si="10"/>
        <v>A</v>
      </c>
    </row>
    <row r="189" spans="1:11" ht="20.100000000000001" customHeight="1" x14ac:dyDescent="0.25">
      <c r="A189" s="391" t="s">
        <v>3484</v>
      </c>
      <c r="B189" s="15" t="s">
        <v>3485</v>
      </c>
      <c r="C189" s="14" t="s">
        <v>51</v>
      </c>
      <c r="D189" s="14" t="s">
        <v>1812</v>
      </c>
      <c r="E189" s="14" t="s">
        <v>122</v>
      </c>
      <c r="F189" s="16">
        <v>10.521000000000001</v>
      </c>
      <c r="G189" s="17">
        <v>53.17</v>
      </c>
      <c r="H189" s="17">
        <f t="shared" si="8"/>
        <v>559.4</v>
      </c>
      <c r="I189" s="18">
        <f t="shared" si="9"/>
        <v>7.7292006970898957E-3</v>
      </c>
      <c r="J189" s="18">
        <f t="shared" si="11"/>
        <v>21.916151754496433</v>
      </c>
      <c r="K189" s="392" t="str">
        <f t="shared" si="10"/>
        <v>A</v>
      </c>
    </row>
    <row r="190" spans="1:11" ht="20.100000000000001" customHeight="1" x14ac:dyDescent="0.25">
      <c r="A190" s="391" t="s">
        <v>2685</v>
      </c>
      <c r="B190" s="15" t="s">
        <v>2686</v>
      </c>
      <c r="C190" s="14" t="s">
        <v>82</v>
      </c>
      <c r="D190" s="14" t="s">
        <v>2443</v>
      </c>
      <c r="E190" s="14" t="s">
        <v>226</v>
      </c>
      <c r="F190" s="23">
        <v>6.5007909135400002E-4</v>
      </c>
      <c r="G190" s="17">
        <v>844500</v>
      </c>
      <c r="H190" s="17">
        <f t="shared" si="8"/>
        <v>548.99</v>
      </c>
      <c r="I190" s="18">
        <f t="shared" si="9"/>
        <v>7.5853662686724745E-3</v>
      </c>
      <c r="J190" s="18">
        <f t="shared" si="11"/>
        <v>21.923737120765104</v>
      </c>
      <c r="K190" s="392" t="str">
        <f t="shared" si="10"/>
        <v>A</v>
      </c>
    </row>
    <row r="191" spans="1:11" ht="15" customHeight="1" x14ac:dyDescent="0.25">
      <c r="A191" s="391" t="s">
        <v>2116</v>
      </c>
      <c r="B191" s="15" t="s">
        <v>2117</v>
      </c>
      <c r="C191" s="14" t="s">
        <v>341</v>
      </c>
      <c r="D191" s="14" t="s">
        <v>1812</v>
      </c>
      <c r="E191" s="14" t="s">
        <v>89</v>
      </c>
      <c r="F191" s="16">
        <v>22.692</v>
      </c>
      <c r="G191" s="17">
        <v>24.1</v>
      </c>
      <c r="H191" s="17">
        <f t="shared" si="8"/>
        <v>546.88</v>
      </c>
      <c r="I191" s="18">
        <f t="shared" si="9"/>
        <v>7.5562125084456958E-3</v>
      </c>
      <c r="J191" s="18">
        <f t="shared" si="11"/>
        <v>21.931293333273551</v>
      </c>
      <c r="K191" s="392" t="str">
        <f t="shared" si="10"/>
        <v>A</v>
      </c>
    </row>
    <row r="192" spans="1:11" ht="27.95" customHeight="1" x14ac:dyDescent="0.25">
      <c r="A192" s="391" t="s">
        <v>2729</v>
      </c>
      <c r="B192" s="15" t="s">
        <v>2730</v>
      </c>
      <c r="C192" s="14" t="s">
        <v>341</v>
      </c>
      <c r="D192" s="14" t="s">
        <v>1932</v>
      </c>
      <c r="E192" s="14" t="s">
        <v>579</v>
      </c>
      <c r="F192" s="16">
        <v>2.745586785</v>
      </c>
      <c r="G192" s="17">
        <v>193.04</v>
      </c>
      <c r="H192" s="17">
        <f t="shared" si="8"/>
        <v>530.01</v>
      </c>
      <c r="I192" s="18">
        <f t="shared" si="9"/>
        <v>7.3231205961112184E-3</v>
      </c>
      <c r="J192" s="18">
        <f t="shared" si="11"/>
        <v>21.938616453869663</v>
      </c>
      <c r="K192" s="392" t="str">
        <f t="shared" si="10"/>
        <v>A</v>
      </c>
    </row>
    <row r="193" spans="1:11" ht="15" customHeight="1" x14ac:dyDescent="0.25">
      <c r="A193" s="391" t="s">
        <v>2593</v>
      </c>
      <c r="B193" s="15" t="s">
        <v>2594</v>
      </c>
      <c r="C193" s="14" t="s">
        <v>82</v>
      </c>
      <c r="D193" s="14" t="s">
        <v>1827</v>
      </c>
      <c r="E193" s="14" t="s">
        <v>1024</v>
      </c>
      <c r="F193" s="16">
        <v>21.8382488355196</v>
      </c>
      <c r="G193" s="17">
        <v>23.99</v>
      </c>
      <c r="H193" s="17">
        <f t="shared" si="8"/>
        <v>523.9</v>
      </c>
      <c r="I193" s="18">
        <f t="shared" si="9"/>
        <v>7.2386990439853348E-3</v>
      </c>
      <c r="J193" s="18">
        <f t="shared" si="11"/>
        <v>21.945855152913648</v>
      </c>
      <c r="K193" s="392" t="str">
        <f t="shared" si="10"/>
        <v>A</v>
      </c>
    </row>
    <row r="194" spans="1:11" ht="15" customHeight="1" x14ac:dyDescent="0.25">
      <c r="A194" s="391" t="s">
        <v>1949</v>
      </c>
      <c r="B194" s="15" t="s">
        <v>1950</v>
      </c>
      <c r="C194" s="14" t="s">
        <v>341</v>
      </c>
      <c r="D194" s="14" t="s">
        <v>1812</v>
      </c>
      <c r="E194" s="14" t="s">
        <v>1951</v>
      </c>
      <c r="F194" s="16">
        <v>8.0549999999999997</v>
      </c>
      <c r="G194" s="17">
        <v>63.46</v>
      </c>
      <c r="H194" s="17">
        <f t="shared" si="8"/>
        <v>511.17</v>
      </c>
      <c r="I194" s="18">
        <f t="shared" si="9"/>
        <v>7.062809296266433E-3</v>
      </c>
      <c r="J194" s="18">
        <f t="shared" si="11"/>
        <v>21.952917962209913</v>
      </c>
      <c r="K194" s="392" t="str">
        <f t="shared" si="10"/>
        <v>A</v>
      </c>
    </row>
    <row r="195" spans="1:11" ht="20.100000000000001" customHeight="1" x14ac:dyDescent="0.25">
      <c r="A195" s="391" t="s">
        <v>3550</v>
      </c>
      <c r="B195" s="15" t="s">
        <v>3551</v>
      </c>
      <c r="C195" s="14" t="s">
        <v>51</v>
      </c>
      <c r="D195" s="14" t="s">
        <v>1812</v>
      </c>
      <c r="E195" s="14" t="s">
        <v>226</v>
      </c>
      <c r="F195" s="16">
        <v>2</v>
      </c>
      <c r="G195" s="17">
        <v>253.44</v>
      </c>
      <c r="H195" s="17">
        <f t="shared" si="8"/>
        <v>506.88</v>
      </c>
      <c r="I195" s="18">
        <f t="shared" si="9"/>
        <v>7.0035345894546418E-3</v>
      </c>
      <c r="J195" s="18">
        <f t="shared" si="11"/>
        <v>21.959921496799367</v>
      </c>
      <c r="K195" s="392" t="str">
        <f t="shared" si="10"/>
        <v>A</v>
      </c>
    </row>
    <row r="196" spans="1:11" ht="15" customHeight="1" x14ac:dyDescent="0.25">
      <c r="A196" s="391" t="s">
        <v>2423</v>
      </c>
      <c r="B196" s="15" t="s">
        <v>2424</v>
      </c>
      <c r="C196" s="14" t="s">
        <v>341</v>
      </c>
      <c r="D196" s="14" t="s">
        <v>1812</v>
      </c>
      <c r="E196" s="14" t="s">
        <v>89</v>
      </c>
      <c r="F196" s="16">
        <v>5.0643967999999999</v>
      </c>
      <c r="G196" s="17">
        <v>100</v>
      </c>
      <c r="H196" s="17">
        <f t="shared" si="8"/>
        <v>506.44</v>
      </c>
      <c r="I196" s="18">
        <f t="shared" si="9"/>
        <v>6.9974551323457408E-3</v>
      </c>
      <c r="J196" s="18">
        <f t="shared" si="11"/>
        <v>21.966918951931714</v>
      </c>
      <c r="K196" s="392" t="str">
        <f t="shared" si="10"/>
        <v>A</v>
      </c>
    </row>
    <row r="197" spans="1:11" ht="15" customHeight="1" x14ac:dyDescent="0.25">
      <c r="A197" s="391" t="s">
        <v>2156</v>
      </c>
      <c r="B197" s="15" t="s">
        <v>2157</v>
      </c>
      <c r="C197" s="14" t="s">
        <v>341</v>
      </c>
      <c r="D197" s="14" t="s">
        <v>1827</v>
      </c>
      <c r="E197" s="14" t="s">
        <v>1935</v>
      </c>
      <c r="F197" s="16">
        <v>16.184999999999999</v>
      </c>
      <c r="G197" s="17">
        <v>31.09</v>
      </c>
      <c r="H197" s="17">
        <f t="shared" si="8"/>
        <v>503.19</v>
      </c>
      <c r="I197" s="18">
        <f t="shared" si="9"/>
        <v>6.9525500514277172E-3</v>
      </c>
      <c r="J197" s="18">
        <f t="shared" si="11"/>
        <v>21.97387150198314</v>
      </c>
      <c r="K197" s="392" t="str">
        <f t="shared" si="10"/>
        <v>A</v>
      </c>
    </row>
    <row r="198" spans="1:11" ht="20.100000000000001" customHeight="1" x14ac:dyDescent="0.25">
      <c r="A198" s="391" t="s">
        <v>3659</v>
      </c>
      <c r="B198" s="15" t="s">
        <v>3660</v>
      </c>
      <c r="C198" s="14" t="s">
        <v>82</v>
      </c>
      <c r="D198" s="14" t="s">
        <v>1812</v>
      </c>
      <c r="E198" s="14" t="s">
        <v>122</v>
      </c>
      <c r="F198" s="16">
        <v>19.526502000000001</v>
      </c>
      <c r="G198" s="17">
        <v>25.66</v>
      </c>
      <c r="H198" s="17">
        <f t="shared" si="8"/>
        <v>501.05</v>
      </c>
      <c r="I198" s="18">
        <f t="shared" si="9"/>
        <v>6.9229817827616957E-3</v>
      </c>
      <c r="J198" s="18">
        <f t="shared" si="11"/>
        <v>21.980794483765902</v>
      </c>
      <c r="K198" s="392" t="str">
        <f t="shared" si="10"/>
        <v>A</v>
      </c>
    </row>
    <row r="199" spans="1:11" ht="15" customHeight="1" x14ac:dyDescent="0.25">
      <c r="A199" s="391" t="s">
        <v>1945</v>
      </c>
      <c r="B199" s="15" t="s">
        <v>1946</v>
      </c>
      <c r="C199" s="14" t="s">
        <v>341</v>
      </c>
      <c r="D199" s="14" t="s">
        <v>1812</v>
      </c>
      <c r="E199" s="14" t="s">
        <v>54</v>
      </c>
      <c r="F199" s="16">
        <v>22.375</v>
      </c>
      <c r="G199" s="17">
        <v>22.27</v>
      </c>
      <c r="H199" s="17">
        <f t="shared" ref="H199:H262" si="12">ROUND(F199*G199,2)</f>
        <v>498.29</v>
      </c>
      <c r="I199" s="18">
        <f t="shared" ref="I199:I262" si="13">H199/VALOR_TOTAL*100</f>
        <v>6.8848470063513131E-3</v>
      </c>
      <c r="J199" s="18">
        <f t="shared" si="11"/>
        <v>21.987679330772252</v>
      </c>
      <c r="K199" s="392" t="str">
        <f t="shared" ref="K199:K262" si="14">IF(J199&lt;=50,"A",IF(J199&lt;=80,"B","C"))</f>
        <v>A</v>
      </c>
    </row>
    <row r="200" spans="1:11" ht="20.100000000000001" customHeight="1" x14ac:dyDescent="0.25">
      <c r="A200" s="391" t="s">
        <v>2997</v>
      </c>
      <c r="B200" s="15" t="s">
        <v>2998</v>
      </c>
      <c r="C200" s="14" t="s">
        <v>51</v>
      </c>
      <c r="D200" s="14" t="s">
        <v>1812</v>
      </c>
      <c r="E200" s="14" t="s">
        <v>1006</v>
      </c>
      <c r="F200" s="16">
        <v>31.139195999999998</v>
      </c>
      <c r="G200" s="17">
        <v>15.92</v>
      </c>
      <c r="H200" s="17">
        <f t="shared" si="12"/>
        <v>495.74</v>
      </c>
      <c r="I200" s="18">
        <f t="shared" si="13"/>
        <v>6.8496137890156324E-3</v>
      </c>
      <c r="J200" s="18">
        <f t="shared" ref="J200:J263" si="15">I200+J199</f>
        <v>21.994528944561267</v>
      </c>
      <c r="K200" s="392" t="str">
        <f t="shared" si="14"/>
        <v>A</v>
      </c>
    </row>
    <row r="201" spans="1:11" ht="15" customHeight="1" x14ac:dyDescent="0.25">
      <c r="A201" s="391" t="s">
        <v>3699</v>
      </c>
      <c r="B201" s="15" t="s">
        <v>3700</v>
      </c>
      <c r="C201" s="14" t="s">
        <v>82</v>
      </c>
      <c r="D201" s="14" t="s">
        <v>1812</v>
      </c>
      <c r="E201" s="14" t="s">
        <v>226</v>
      </c>
      <c r="F201" s="16">
        <v>11</v>
      </c>
      <c r="G201" s="17">
        <v>45.05</v>
      </c>
      <c r="H201" s="17">
        <f t="shared" si="12"/>
        <v>495.55</v>
      </c>
      <c r="I201" s="18">
        <f t="shared" si="13"/>
        <v>6.8469885689004259E-3</v>
      </c>
      <c r="J201" s="18">
        <f t="shared" si="15"/>
        <v>22.001375933130166</v>
      </c>
      <c r="K201" s="392" t="str">
        <f t="shared" si="14"/>
        <v>A</v>
      </c>
    </row>
    <row r="202" spans="1:11" ht="15" customHeight="1" x14ac:dyDescent="0.25">
      <c r="A202" s="391" t="s">
        <v>2416</v>
      </c>
      <c r="B202" s="15" t="s">
        <v>2417</v>
      </c>
      <c r="C202" s="14" t="s">
        <v>82</v>
      </c>
      <c r="D202" s="14" t="s">
        <v>1827</v>
      </c>
      <c r="E202" s="14" t="s">
        <v>1024</v>
      </c>
      <c r="F202" s="16">
        <v>20.309238189839999</v>
      </c>
      <c r="G202" s="17">
        <v>23.81</v>
      </c>
      <c r="H202" s="17">
        <f t="shared" si="12"/>
        <v>483.56</v>
      </c>
      <c r="I202" s="18">
        <f t="shared" si="13"/>
        <v>6.6813233626828571E-3</v>
      </c>
      <c r="J202" s="18">
        <f t="shared" si="15"/>
        <v>22.008057256492851</v>
      </c>
      <c r="K202" s="392" t="str">
        <f t="shared" si="14"/>
        <v>A</v>
      </c>
    </row>
    <row r="203" spans="1:11" ht="15" customHeight="1" x14ac:dyDescent="0.25">
      <c r="A203" s="391" t="s">
        <v>1981</v>
      </c>
      <c r="B203" s="15" t="s">
        <v>1982</v>
      </c>
      <c r="C203" s="14" t="s">
        <v>341</v>
      </c>
      <c r="D203" s="14" t="s">
        <v>1812</v>
      </c>
      <c r="E203" s="14" t="s">
        <v>786</v>
      </c>
      <c r="F203" s="16">
        <v>8.0549999999999997</v>
      </c>
      <c r="G203" s="17">
        <v>59.98</v>
      </c>
      <c r="H203" s="17">
        <f t="shared" si="12"/>
        <v>483.14</v>
      </c>
      <c r="I203" s="18">
        <f t="shared" si="13"/>
        <v>6.6755202445334507E-3</v>
      </c>
      <c r="J203" s="18">
        <f t="shared" si="15"/>
        <v>22.014732776737386</v>
      </c>
      <c r="K203" s="392" t="str">
        <f t="shared" si="14"/>
        <v>A</v>
      </c>
    </row>
    <row r="204" spans="1:11" ht="20.100000000000001" customHeight="1" x14ac:dyDescent="0.25">
      <c r="A204" s="391" t="s">
        <v>1815</v>
      </c>
      <c r="B204" s="15" t="s">
        <v>1816</v>
      </c>
      <c r="C204" s="14" t="s">
        <v>51</v>
      </c>
      <c r="D204" s="14" t="s">
        <v>1812</v>
      </c>
      <c r="E204" s="14" t="s">
        <v>1817</v>
      </c>
      <c r="F204" s="16">
        <v>33.5</v>
      </c>
      <c r="G204" s="17">
        <v>14.37</v>
      </c>
      <c r="H204" s="17">
        <f t="shared" si="12"/>
        <v>481.4</v>
      </c>
      <c r="I204" s="18">
        <f t="shared" si="13"/>
        <v>6.6514787550573402E-3</v>
      </c>
      <c r="J204" s="18">
        <f t="shared" si="15"/>
        <v>22.021384255492443</v>
      </c>
      <c r="K204" s="392" t="str">
        <f t="shared" si="14"/>
        <v>A</v>
      </c>
    </row>
    <row r="205" spans="1:11" ht="20.100000000000001" customHeight="1" x14ac:dyDescent="0.25">
      <c r="A205" s="391" t="s">
        <v>2795</v>
      </c>
      <c r="B205" s="15" t="s">
        <v>2796</v>
      </c>
      <c r="C205" s="14" t="s">
        <v>82</v>
      </c>
      <c r="D205" s="14" t="s">
        <v>1812</v>
      </c>
      <c r="E205" s="14" t="s">
        <v>122</v>
      </c>
      <c r="F205" s="16">
        <v>8.1812236800000004</v>
      </c>
      <c r="G205" s="17">
        <v>57.39</v>
      </c>
      <c r="H205" s="17">
        <f t="shared" si="12"/>
        <v>469.52</v>
      </c>
      <c r="I205" s="18">
        <f t="shared" si="13"/>
        <v>6.4873334131169968E-3</v>
      </c>
      <c r="J205" s="18">
        <f t="shared" si="15"/>
        <v>22.027871588905558</v>
      </c>
      <c r="K205" s="392" t="str">
        <f t="shared" si="14"/>
        <v>A</v>
      </c>
    </row>
    <row r="206" spans="1:11" ht="15" customHeight="1" x14ac:dyDescent="0.25">
      <c r="A206" s="391" t="s">
        <v>2596</v>
      </c>
      <c r="B206" s="15" t="s">
        <v>2597</v>
      </c>
      <c r="C206" s="14" t="s">
        <v>82</v>
      </c>
      <c r="D206" s="14" t="s">
        <v>1827</v>
      </c>
      <c r="E206" s="14" t="s">
        <v>1024</v>
      </c>
      <c r="F206" s="16">
        <v>17.702915489999999</v>
      </c>
      <c r="G206" s="17">
        <v>26.39</v>
      </c>
      <c r="H206" s="17">
        <f t="shared" si="12"/>
        <v>467.18</v>
      </c>
      <c r="I206" s="18">
        <f t="shared" si="13"/>
        <v>6.4550017548560207E-3</v>
      </c>
      <c r="J206" s="18">
        <f t="shared" si="15"/>
        <v>22.034326590660413</v>
      </c>
      <c r="K206" s="392" t="str">
        <f t="shared" si="14"/>
        <v>A</v>
      </c>
    </row>
    <row r="207" spans="1:11" ht="20.100000000000001" customHeight="1" x14ac:dyDescent="0.25">
      <c r="A207" s="391" t="s">
        <v>1899</v>
      </c>
      <c r="B207" s="15" t="s">
        <v>1900</v>
      </c>
      <c r="C207" s="14" t="s">
        <v>51</v>
      </c>
      <c r="D207" s="14" t="s">
        <v>1812</v>
      </c>
      <c r="E207" s="14" t="s">
        <v>122</v>
      </c>
      <c r="F207" s="16">
        <v>0.96</v>
      </c>
      <c r="G207" s="17">
        <v>467.46</v>
      </c>
      <c r="H207" s="17">
        <f t="shared" si="12"/>
        <v>448.76</v>
      </c>
      <c r="I207" s="18">
        <f t="shared" si="13"/>
        <v>6.2004935731606401E-3</v>
      </c>
      <c r="J207" s="18">
        <f t="shared" si="15"/>
        <v>22.040527084233574</v>
      </c>
      <c r="K207" s="392" t="str">
        <f t="shared" si="14"/>
        <v>A</v>
      </c>
    </row>
    <row r="208" spans="1:11" ht="20.100000000000001" customHeight="1" x14ac:dyDescent="0.25">
      <c r="A208" s="391" t="s">
        <v>3510</v>
      </c>
      <c r="B208" s="15" t="s">
        <v>3931</v>
      </c>
      <c r="C208" s="14" t="s">
        <v>194</v>
      </c>
      <c r="D208" s="14" t="s">
        <v>2021</v>
      </c>
      <c r="E208" s="14" t="s">
        <v>2027</v>
      </c>
      <c r="F208" s="16">
        <v>1.2955603448276849</v>
      </c>
      <c r="G208" s="17">
        <v>342.27</v>
      </c>
      <c r="H208" s="17">
        <f t="shared" si="12"/>
        <v>443.43</v>
      </c>
      <c r="I208" s="18">
        <f t="shared" si="13"/>
        <v>6.1268492404550822E-3</v>
      </c>
      <c r="J208" s="18">
        <f t="shared" si="15"/>
        <v>22.04665393347403</v>
      </c>
      <c r="K208" s="392" t="str">
        <f t="shared" si="14"/>
        <v>A</v>
      </c>
    </row>
    <row r="209" spans="1:11" ht="15" customHeight="1" x14ac:dyDescent="0.25">
      <c r="A209" s="391" t="s">
        <v>1947</v>
      </c>
      <c r="B209" s="15" t="s">
        <v>1948</v>
      </c>
      <c r="C209" s="14" t="s">
        <v>341</v>
      </c>
      <c r="D209" s="14" t="s">
        <v>1812</v>
      </c>
      <c r="E209" s="14" t="s">
        <v>579</v>
      </c>
      <c r="F209" s="16">
        <v>89.5</v>
      </c>
      <c r="G209" s="17">
        <v>4.92</v>
      </c>
      <c r="H209" s="17">
        <f t="shared" si="12"/>
        <v>440.34</v>
      </c>
      <c r="I209" s="18">
        <f t="shared" si="13"/>
        <v>6.0841548712130223E-3</v>
      </c>
      <c r="J209" s="18">
        <f t="shared" si="15"/>
        <v>22.052738088345244</v>
      </c>
      <c r="K209" s="392" t="str">
        <f t="shared" si="14"/>
        <v>A</v>
      </c>
    </row>
    <row r="210" spans="1:11" ht="20.100000000000001" customHeight="1" x14ac:dyDescent="0.25">
      <c r="A210" s="391" t="s">
        <v>3538</v>
      </c>
      <c r="B210" s="15" t="s">
        <v>3539</v>
      </c>
      <c r="C210" s="14" t="s">
        <v>51</v>
      </c>
      <c r="D210" s="14" t="s">
        <v>1812</v>
      </c>
      <c r="E210" s="14" t="s">
        <v>188</v>
      </c>
      <c r="F210" s="16">
        <v>28.324999999999999</v>
      </c>
      <c r="G210" s="17">
        <v>15.43</v>
      </c>
      <c r="H210" s="17">
        <f t="shared" si="12"/>
        <v>437.05</v>
      </c>
      <c r="I210" s="18">
        <f t="shared" si="13"/>
        <v>6.0386971123760087E-3</v>
      </c>
      <c r="J210" s="18">
        <f t="shared" si="15"/>
        <v>22.058776785457621</v>
      </c>
      <c r="K210" s="392" t="str">
        <f t="shared" si="14"/>
        <v>A</v>
      </c>
    </row>
    <row r="211" spans="1:11" ht="27.95" customHeight="1" x14ac:dyDescent="0.25">
      <c r="A211" s="391" t="s">
        <v>2342</v>
      </c>
      <c r="B211" s="15" t="s">
        <v>2343</v>
      </c>
      <c r="C211" s="14" t="s">
        <v>82</v>
      </c>
      <c r="D211" s="14" t="s">
        <v>1932</v>
      </c>
      <c r="E211" s="14" t="s">
        <v>1024</v>
      </c>
      <c r="F211" s="16">
        <v>636.24329289069999</v>
      </c>
      <c r="G211" s="17">
        <v>0.68</v>
      </c>
      <c r="H211" s="17">
        <f t="shared" si="12"/>
        <v>432.65</v>
      </c>
      <c r="I211" s="18">
        <f t="shared" si="13"/>
        <v>5.977902541286992E-3</v>
      </c>
      <c r="J211" s="18">
        <f t="shared" si="15"/>
        <v>22.064754687998906</v>
      </c>
      <c r="K211" s="392" t="str">
        <f t="shared" si="14"/>
        <v>A</v>
      </c>
    </row>
    <row r="212" spans="1:11" ht="20.100000000000001" customHeight="1" x14ac:dyDescent="0.25">
      <c r="A212" s="391" t="s">
        <v>3803</v>
      </c>
      <c r="B212" s="15" t="s">
        <v>3804</v>
      </c>
      <c r="C212" s="14" t="s">
        <v>51</v>
      </c>
      <c r="D212" s="14" t="s">
        <v>1827</v>
      </c>
      <c r="E212" s="14" t="s">
        <v>1024</v>
      </c>
      <c r="F212" s="16">
        <v>10.156499999999999</v>
      </c>
      <c r="G212" s="17">
        <v>41.98</v>
      </c>
      <c r="H212" s="17">
        <f t="shared" si="12"/>
        <v>426.37</v>
      </c>
      <c r="I212" s="18">
        <f t="shared" si="13"/>
        <v>5.8911321080053966E-3</v>
      </c>
      <c r="J212" s="18">
        <f t="shared" si="15"/>
        <v>22.070645820106911</v>
      </c>
      <c r="K212" s="392" t="str">
        <f t="shared" si="14"/>
        <v>A</v>
      </c>
    </row>
    <row r="213" spans="1:11" ht="15" customHeight="1" x14ac:dyDescent="0.25">
      <c r="A213" s="391" t="s">
        <v>2617</v>
      </c>
      <c r="B213" s="15" t="s">
        <v>2618</v>
      </c>
      <c r="C213" s="14" t="s">
        <v>82</v>
      </c>
      <c r="D213" s="14" t="s">
        <v>1827</v>
      </c>
      <c r="E213" s="14" t="s">
        <v>1024</v>
      </c>
      <c r="F213" s="16">
        <v>19.856555057169999</v>
      </c>
      <c r="G213" s="17">
        <v>21.37</v>
      </c>
      <c r="H213" s="17">
        <f t="shared" si="12"/>
        <v>424.33</v>
      </c>
      <c r="I213" s="18">
        <f t="shared" si="13"/>
        <v>5.8629455341368533E-3</v>
      </c>
      <c r="J213" s="18">
        <f t="shared" si="15"/>
        <v>22.076508765641048</v>
      </c>
      <c r="K213" s="392" t="str">
        <f t="shared" si="14"/>
        <v>A</v>
      </c>
    </row>
    <row r="214" spans="1:11" ht="20.100000000000001" customHeight="1" x14ac:dyDescent="0.25">
      <c r="A214" s="391" t="s">
        <v>3754</v>
      </c>
      <c r="B214" s="15" t="s">
        <v>3755</v>
      </c>
      <c r="C214" s="14" t="s">
        <v>82</v>
      </c>
      <c r="D214" s="14" t="s">
        <v>1812</v>
      </c>
      <c r="E214" s="14" t="s">
        <v>226</v>
      </c>
      <c r="F214" s="16">
        <v>3</v>
      </c>
      <c r="G214" s="17">
        <v>138.78</v>
      </c>
      <c r="H214" s="17">
        <f t="shared" si="12"/>
        <v>416.34</v>
      </c>
      <c r="I214" s="18">
        <f t="shared" si="13"/>
        <v>5.7525481198183893E-3</v>
      </c>
      <c r="J214" s="18">
        <f t="shared" si="15"/>
        <v>22.082261313760867</v>
      </c>
      <c r="K214" s="392" t="str">
        <f t="shared" si="14"/>
        <v>A</v>
      </c>
    </row>
    <row r="215" spans="1:11" ht="15" customHeight="1" x14ac:dyDescent="0.25">
      <c r="A215" s="391" t="s">
        <v>2128</v>
      </c>
      <c r="B215" s="15" t="s">
        <v>2129</v>
      </c>
      <c r="C215" s="14" t="s">
        <v>341</v>
      </c>
      <c r="D215" s="14" t="s">
        <v>1812</v>
      </c>
      <c r="E215" s="14" t="s">
        <v>2061</v>
      </c>
      <c r="F215" s="16">
        <v>2.8</v>
      </c>
      <c r="G215" s="17">
        <v>148.35</v>
      </c>
      <c r="H215" s="17">
        <f t="shared" si="12"/>
        <v>415.38</v>
      </c>
      <c r="I215" s="18">
        <f t="shared" si="13"/>
        <v>5.7392838497626044E-3</v>
      </c>
      <c r="J215" s="18">
        <f t="shared" si="15"/>
        <v>22.08800059761063</v>
      </c>
      <c r="K215" s="392" t="str">
        <f t="shared" si="14"/>
        <v>A</v>
      </c>
    </row>
    <row r="216" spans="1:11" ht="20.100000000000001" customHeight="1" x14ac:dyDescent="0.25">
      <c r="A216" s="391" t="s">
        <v>2247</v>
      </c>
      <c r="B216" s="15" t="s">
        <v>2248</v>
      </c>
      <c r="C216" s="14" t="s">
        <v>1927</v>
      </c>
      <c r="D216" s="14" t="s">
        <v>1812</v>
      </c>
      <c r="E216" s="14" t="s">
        <v>579</v>
      </c>
      <c r="F216" s="16">
        <v>3</v>
      </c>
      <c r="G216" s="17">
        <v>130.88999999999999</v>
      </c>
      <c r="H216" s="17">
        <f t="shared" si="12"/>
        <v>392.67</v>
      </c>
      <c r="I216" s="18">
        <f t="shared" si="13"/>
        <v>5.4255009612554335E-3</v>
      </c>
      <c r="J216" s="18">
        <f t="shared" si="15"/>
        <v>22.093426098571886</v>
      </c>
      <c r="K216" s="392" t="str">
        <f t="shared" si="14"/>
        <v>A</v>
      </c>
    </row>
    <row r="217" spans="1:11" ht="15" customHeight="1" x14ac:dyDescent="0.25">
      <c r="A217" s="391" t="s">
        <v>2590</v>
      </c>
      <c r="B217" s="15" t="s">
        <v>2591</v>
      </c>
      <c r="C217" s="14" t="s">
        <v>82</v>
      </c>
      <c r="D217" s="14" t="s">
        <v>1827</v>
      </c>
      <c r="E217" s="14" t="s">
        <v>1024</v>
      </c>
      <c r="F217" s="16">
        <v>20.698119897000002</v>
      </c>
      <c r="G217" s="17">
        <v>18.88</v>
      </c>
      <c r="H217" s="17">
        <f t="shared" si="12"/>
        <v>390.78</v>
      </c>
      <c r="I217" s="18">
        <f t="shared" si="13"/>
        <v>5.3993869295831057E-3</v>
      </c>
      <c r="J217" s="18">
        <f t="shared" si="15"/>
        <v>22.098825485501468</v>
      </c>
      <c r="K217" s="392" t="str">
        <f t="shared" si="14"/>
        <v>A</v>
      </c>
    </row>
    <row r="218" spans="1:11" ht="15" customHeight="1" x14ac:dyDescent="0.25">
      <c r="A218" s="391" t="s">
        <v>2172</v>
      </c>
      <c r="B218" s="15" t="s">
        <v>2173</v>
      </c>
      <c r="C218" s="14" t="s">
        <v>341</v>
      </c>
      <c r="D218" s="14" t="s">
        <v>1812</v>
      </c>
      <c r="E218" s="14" t="s">
        <v>89</v>
      </c>
      <c r="F218" s="16">
        <v>2.6134400000000002</v>
      </c>
      <c r="G218" s="17">
        <v>147</v>
      </c>
      <c r="H218" s="17">
        <f t="shared" si="12"/>
        <v>384.18</v>
      </c>
      <c r="I218" s="18">
        <f t="shared" si="13"/>
        <v>5.3081950729495821E-3</v>
      </c>
      <c r="J218" s="18">
        <f t="shared" si="15"/>
        <v>22.104133680574417</v>
      </c>
      <c r="K218" s="392" t="str">
        <f t="shared" si="14"/>
        <v>A</v>
      </c>
    </row>
    <row r="219" spans="1:11" ht="20.100000000000001" customHeight="1" x14ac:dyDescent="0.25">
      <c r="A219" s="391" t="s">
        <v>3082</v>
      </c>
      <c r="B219" s="15" t="s">
        <v>3932</v>
      </c>
      <c r="C219" s="14" t="s">
        <v>194</v>
      </c>
      <c r="D219" s="14" t="s">
        <v>2021</v>
      </c>
      <c r="E219" s="14" t="s">
        <v>2027</v>
      </c>
      <c r="F219" s="16">
        <v>1.0131648701184</v>
      </c>
      <c r="G219" s="17">
        <v>376.97</v>
      </c>
      <c r="H219" s="17">
        <f t="shared" si="12"/>
        <v>381.93</v>
      </c>
      <c r="I219" s="18">
        <f t="shared" si="13"/>
        <v>5.2771069400063351E-3</v>
      </c>
      <c r="J219" s="18">
        <f t="shared" si="15"/>
        <v>22.109410787514424</v>
      </c>
      <c r="K219" s="392" t="str">
        <f t="shared" si="14"/>
        <v>A</v>
      </c>
    </row>
    <row r="220" spans="1:11" ht="20.100000000000001" customHeight="1" x14ac:dyDescent="0.25">
      <c r="A220" s="391" t="s">
        <v>3482</v>
      </c>
      <c r="B220" s="15" t="s">
        <v>3483</v>
      </c>
      <c r="C220" s="14" t="s">
        <v>51</v>
      </c>
      <c r="D220" s="14" t="s">
        <v>1827</v>
      </c>
      <c r="E220" s="14" t="s">
        <v>1024</v>
      </c>
      <c r="F220" s="16">
        <v>14.5739</v>
      </c>
      <c r="G220" s="17">
        <v>26.03</v>
      </c>
      <c r="H220" s="17">
        <f t="shared" si="12"/>
        <v>379.36</v>
      </c>
      <c r="I220" s="18">
        <f t="shared" si="13"/>
        <v>5.2415973837111607E-3</v>
      </c>
      <c r="J220" s="18">
        <f t="shared" si="15"/>
        <v>22.114652384898136</v>
      </c>
      <c r="K220" s="392" t="str">
        <f t="shared" si="14"/>
        <v>A</v>
      </c>
    </row>
    <row r="221" spans="1:11" ht="20.100000000000001" customHeight="1" x14ac:dyDescent="0.25">
      <c r="A221" s="391" t="s">
        <v>3851</v>
      </c>
      <c r="B221" s="15" t="s">
        <v>3933</v>
      </c>
      <c r="C221" s="14" t="s">
        <v>194</v>
      </c>
      <c r="D221" s="14" t="s">
        <v>2021</v>
      </c>
      <c r="E221" s="14" t="s">
        <v>2027</v>
      </c>
      <c r="F221" s="16">
        <v>1.0131648701184</v>
      </c>
      <c r="G221" s="17">
        <v>373.03</v>
      </c>
      <c r="H221" s="17">
        <f t="shared" si="12"/>
        <v>377.94</v>
      </c>
      <c r="I221" s="18">
        <f t="shared" si="13"/>
        <v>5.2219773175869776E-3</v>
      </c>
      <c r="J221" s="18">
        <f t="shared" si="15"/>
        <v>22.119874362215722</v>
      </c>
      <c r="K221" s="392" t="str">
        <f t="shared" si="14"/>
        <v>A</v>
      </c>
    </row>
    <row r="222" spans="1:11" ht="20.100000000000001" customHeight="1" x14ac:dyDescent="0.25">
      <c r="A222" s="391" t="s">
        <v>3863</v>
      </c>
      <c r="B222" s="15" t="s">
        <v>3864</v>
      </c>
      <c r="C222" s="14" t="s">
        <v>51</v>
      </c>
      <c r="D222" s="14" t="s">
        <v>1812</v>
      </c>
      <c r="E222" s="14" t="s">
        <v>1817</v>
      </c>
      <c r="F222" s="16">
        <v>212.84</v>
      </c>
      <c r="G222" s="17">
        <v>1.69</v>
      </c>
      <c r="H222" s="17">
        <f t="shared" si="12"/>
        <v>359.7</v>
      </c>
      <c r="I222" s="18">
        <f t="shared" si="13"/>
        <v>4.969956186527057E-3</v>
      </c>
      <c r="J222" s="18">
        <f t="shared" si="15"/>
        <v>22.12484431840225</v>
      </c>
      <c r="K222" s="392" t="str">
        <f t="shared" si="14"/>
        <v>A</v>
      </c>
    </row>
    <row r="223" spans="1:11" ht="20.100000000000001" customHeight="1" x14ac:dyDescent="0.25">
      <c r="A223" s="391" t="s">
        <v>2709</v>
      </c>
      <c r="B223" s="15" t="s">
        <v>2710</v>
      </c>
      <c r="C223" s="14" t="s">
        <v>51</v>
      </c>
      <c r="D223" s="14" t="s">
        <v>1812</v>
      </c>
      <c r="E223" s="14" t="s">
        <v>1817</v>
      </c>
      <c r="F223" s="16">
        <v>20.137499999999999</v>
      </c>
      <c r="G223" s="17">
        <v>17.809999999999999</v>
      </c>
      <c r="H223" s="17">
        <f t="shared" si="12"/>
        <v>358.65</v>
      </c>
      <c r="I223" s="18">
        <f t="shared" si="13"/>
        <v>4.9554483911535413E-3</v>
      </c>
      <c r="J223" s="18">
        <f t="shared" si="15"/>
        <v>22.129799766793404</v>
      </c>
      <c r="K223" s="392" t="str">
        <f t="shared" si="14"/>
        <v>A</v>
      </c>
    </row>
    <row r="224" spans="1:11" ht="15" customHeight="1" x14ac:dyDescent="0.25">
      <c r="A224" s="391" t="s">
        <v>3934</v>
      </c>
      <c r="B224" s="15" t="s">
        <v>3935</v>
      </c>
      <c r="C224" s="14"/>
      <c r="D224" s="14" t="s">
        <v>3936</v>
      </c>
      <c r="E224" s="14" t="s">
        <v>2317</v>
      </c>
      <c r="F224" s="16">
        <v>1</v>
      </c>
      <c r="G224" s="17">
        <v>355.73</v>
      </c>
      <c r="H224" s="17">
        <f t="shared" si="12"/>
        <v>355.73</v>
      </c>
      <c r="I224" s="18">
        <f t="shared" si="13"/>
        <v>4.915102903067195E-3</v>
      </c>
      <c r="J224" s="18">
        <f t="shared" si="15"/>
        <v>22.13471486969647</v>
      </c>
      <c r="K224" s="392" t="str">
        <f t="shared" si="14"/>
        <v>A</v>
      </c>
    </row>
    <row r="225" spans="1:11" ht="15" customHeight="1" x14ac:dyDescent="0.25">
      <c r="A225" s="391" t="s">
        <v>2797</v>
      </c>
      <c r="B225" s="15" t="s">
        <v>2798</v>
      </c>
      <c r="C225" s="14" t="s">
        <v>82</v>
      </c>
      <c r="D225" s="14" t="s">
        <v>1812</v>
      </c>
      <c r="E225" s="14" t="s">
        <v>188</v>
      </c>
      <c r="F225" s="16">
        <v>44.282105280000003</v>
      </c>
      <c r="G225" s="17">
        <v>8.0299999999999994</v>
      </c>
      <c r="H225" s="17">
        <f t="shared" si="12"/>
        <v>355.59</v>
      </c>
      <c r="I225" s="18">
        <f t="shared" si="13"/>
        <v>4.9131685303507259E-3</v>
      </c>
      <c r="J225" s="18">
        <f t="shared" si="15"/>
        <v>22.139628038226821</v>
      </c>
      <c r="K225" s="392" t="str">
        <f t="shared" si="14"/>
        <v>A</v>
      </c>
    </row>
    <row r="226" spans="1:11" ht="15" customHeight="1" x14ac:dyDescent="0.25">
      <c r="A226" s="391" t="s">
        <v>2154</v>
      </c>
      <c r="B226" s="15" t="s">
        <v>2155</v>
      </c>
      <c r="C226" s="14" t="s">
        <v>341</v>
      </c>
      <c r="D226" s="14" t="s">
        <v>1812</v>
      </c>
      <c r="E226" s="14" t="s">
        <v>694</v>
      </c>
      <c r="F226" s="24">
        <v>0.1079</v>
      </c>
      <c r="G226" s="17">
        <v>3103.48</v>
      </c>
      <c r="H226" s="17">
        <f t="shared" si="12"/>
        <v>334.87</v>
      </c>
      <c r="I226" s="18">
        <f t="shared" si="13"/>
        <v>4.6268813683133601E-3</v>
      </c>
      <c r="J226" s="18">
        <f t="shared" si="15"/>
        <v>22.144254919595134</v>
      </c>
      <c r="K226" s="392" t="str">
        <f t="shared" si="14"/>
        <v>A</v>
      </c>
    </row>
    <row r="227" spans="1:11" ht="20.100000000000001" customHeight="1" x14ac:dyDescent="0.25">
      <c r="A227" s="391" t="s">
        <v>3264</v>
      </c>
      <c r="B227" s="15" t="s">
        <v>3265</v>
      </c>
      <c r="C227" s="14" t="s">
        <v>51</v>
      </c>
      <c r="D227" s="14" t="s">
        <v>1827</v>
      </c>
      <c r="E227" s="14" t="s">
        <v>1024</v>
      </c>
      <c r="F227" s="16">
        <v>12.547848</v>
      </c>
      <c r="G227" s="17">
        <v>26.03</v>
      </c>
      <c r="H227" s="17">
        <f t="shared" si="12"/>
        <v>326.62</v>
      </c>
      <c r="I227" s="18">
        <f t="shared" si="13"/>
        <v>4.512891547521455E-3</v>
      </c>
      <c r="J227" s="18">
        <f t="shared" si="15"/>
        <v>22.148767811142655</v>
      </c>
      <c r="K227" s="392" t="str">
        <f t="shared" si="14"/>
        <v>A</v>
      </c>
    </row>
    <row r="228" spans="1:11" ht="27.95" customHeight="1" x14ac:dyDescent="0.25">
      <c r="A228" s="391" t="s">
        <v>2400</v>
      </c>
      <c r="B228" s="15" t="s">
        <v>2401</v>
      </c>
      <c r="C228" s="14" t="s">
        <v>82</v>
      </c>
      <c r="D228" s="14" t="s">
        <v>1932</v>
      </c>
      <c r="E228" s="14" t="s">
        <v>1024</v>
      </c>
      <c r="F228" s="16">
        <v>268.08135579999998</v>
      </c>
      <c r="G228" s="17">
        <v>1.2</v>
      </c>
      <c r="H228" s="17">
        <f t="shared" si="12"/>
        <v>321.7</v>
      </c>
      <c r="I228" s="18">
        <f t="shared" si="13"/>
        <v>4.4449121634855546E-3</v>
      </c>
      <c r="J228" s="18">
        <f t="shared" si="15"/>
        <v>22.15321272330614</v>
      </c>
      <c r="K228" s="392" t="str">
        <f t="shared" si="14"/>
        <v>A</v>
      </c>
    </row>
    <row r="229" spans="1:11" ht="15" customHeight="1" x14ac:dyDescent="0.25">
      <c r="A229" s="391" t="s">
        <v>3627</v>
      </c>
      <c r="B229" s="15" t="s">
        <v>3628</v>
      </c>
      <c r="C229" s="14" t="s">
        <v>341</v>
      </c>
      <c r="D229" s="14" t="s">
        <v>1812</v>
      </c>
      <c r="E229" s="14" t="s">
        <v>786</v>
      </c>
      <c r="F229" s="16">
        <v>322.56</v>
      </c>
      <c r="G229" s="17">
        <v>0.96</v>
      </c>
      <c r="H229" s="17">
        <f t="shared" si="12"/>
        <v>309.66000000000003</v>
      </c>
      <c r="I229" s="18">
        <f t="shared" si="13"/>
        <v>4.2785561098692484E-3</v>
      </c>
      <c r="J229" s="18">
        <f t="shared" si="15"/>
        <v>22.157491279416011</v>
      </c>
      <c r="K229" s="392" t="str">
        <f t="shared" si="14"/>
        <v>A</v>
      </c>
    </row>
    <row r="230" spans="1:11" ht="20.100000000000001" customHeight="1" x14ac:dyDescent="0.25">
      <c r="A230" s="391" t="s">
        <v>3677</v>
      </c>
      <c r="B230" s="15" t="s">
        <v>3678</v>
      </c>
      <c r="C230" s="14" t="s">
        <v>51</v>
      </c>
      <c r="D230" s="14" t="s">
        <v>1812</v>
      </c>
      <c r="E230" s="14" t="s">
        <v>188</v>
      </c>
      <c r="F230" s="16">
        <v>30.6</v>
      </c>
      <c r="G230" s="17">
        <v>10.11</v>
      </c>
      <c r="H230" s="17">
        <f t="shared" si="12"/>
        <v>309.37</v>
      </c>
      <c r="I230" s="18">
        <f t="shared" si="13"/>
        <v>4.2745491949565629E-3</v>
      </c>
      <c r="J230" s="18">
        <f t="shared" si="15"/>
        <v>22.161765828610967</v>
      </c>
      <c r="K230" s="392" t="str">
        <f t="shared" si="14"/>
        <v>A</v>
      </c>
    </row>
    <row r="231" spans="1:11" ht="27.95" customHeight="1" x14ac:dyDescent="0.25">
      <c r="A231" s="391" t="s">
        <v>2876</v>
      </c>
      <c r="B231" s="15" t="s">
        <v>2877</v>
      </c>
      <c r="C231" s="14" t="s">
        <v>82</v>
      </c>
      <c r="D231" s="14" t="s">
        <v>2443</v>
      </c>
      <c r="E231" s="14" t="s">
        <v>226</v>
      </c>
      <c r="F231" s="21">
        <v>2.9520842899999999E-3</v>
      </c>
      <c r="G231" s="17">
        <v>102197.26</v>
      </c>
      <c r="H231" s="17">
        <f t="shared" si="12"/>
        <v>301.69</v>
      </c>
      <c r="I231" s="18">
        <f t="shared" si="13"/>
        <v>4.1684350345102808E-3</v>
      </c>
      <c r="J231" s="18">
        <f t="shared" si="15"/>
        <v>22.165934263645479</v>
      </c>
      <c r="K231" s="392" t="str">
        <f t="shared" si="14"/>
        <v>A</v>
      </c>
    </row>
    <row r="232" spans="1:11" ht="20.100000000000001" customHeight="1" x14ac:dyDescent="0.25">
      <c r="A232" s="391" t="s">
        <v>3276</v>
      </c>
      <c r="B232" s="15" t="s">
        <v>3277</v>
      </c>
      <c r="C232" s="14" t="s">
        <v>51</v>
      </c>
      <c r="D232" s="14" t="s">
        <v>1812</v>
      </c>
      <c r="E232" s="14" t="s">
        <v>226</v>
      </c>
      <c r="F232" s="16">
        <v>637.88</v>
      </c>
      <c r="G232" s="17">
        <v>0.47</v>
      </c>
      <c r="H232" s="17">
        <f t="shared" si="12"/>
        <v>299.8</v>
      </c>
      <c r="I232" s="18">
        <f t="shared" si="13"/>
        <v>4.142321002837953E-3</v>
      </c>
      <c r="J232" s="18">
        <f t="shared" si="15"/>
        <v>22.170076584648317</v>
      </c>
      <c r="K232" s="392" t="str">
        <f t="shared" si="14"/>
        <v>A</v>
      </c>
    </row>
    <row r="233" spans="1:11" ht="15" customHeight="1" x14ac:dyDescent="0.25">
      <c r="A233" s="391" t="s">
        <v>2366</v>
      </c>
      <c r="B233" s="15" t="s">
        <v>2367</v>
      </c>
      <c r="C233" s="14" t="s">
        <v>82</v>
      </c>
      <c r="D233" s="14" t="s">
        <v>1827</v>
      </c>
      <c r="E233" s="14" t="s">
        <v>1024</v>
      </c>
      <c r="F233" s="16">
        <v>17.425394963999999</v>
      </c>
      <c r="G233" s="17">
        <v>17.18</v>
      </c>
      <c r="H233" s="17">
        <f t="shared" si="12"/>
        <v>299.37</v>
      </c>
      <c r="I233" s="18">
        <f t="shared" si="13"/>
        <v>4.1363797152087992E-3</v>
      </c>
      <c r="J233" s="18">
        <f t="shared" si="15"/>
        <v>22.174212964363527</v>
      </c>
      <c r="K233" s="392" t="str">
        <f t="shared" si="14"/>
        <v>A</v>
      </c>
    </row>
    <row r="234" spans="1:11" ht="20.100000000000001" customHeight="1" x14ac:dyDescent="0.25">
      <c r="A234" s="391" t="s">
        <v>3023</v>
      </c>
      <c r="B234" s="15" t="s">
        <v>3024</v>
      </c>
      <c r="C234" s="14" t="s">
        <v>82</v>
      </c>
      <c r="D234" s="14" t="s">
        <v>2443</v>
      </c>
      <c r="E234" s="14" t="s">
        <v>226</v>
      </c>
      <c r="F234" s="22">
        <v>4.2177028319999999E-4</v>
      </c>
      <c r="G234" s="17">
        <v>708750</v>
      </c>
      <c r="H234" s="17">
        <f t="shared" si="12"/>
        <v>298.93</v>
      </c>
      <c r="I234" s="18">
        <f t="shared" si="13"/>
        <v>4.1303002580998973E-3</v>
      </c>
      <c r="J234" s="18">
        <f t="shared" si="15"/>
        <v>22.178343264621628</v>
      </c>
      <c r="K234" s="392" t="str">
        <f t="shared" si="14"/>
        <v>A</v>
      </c>
    </row>
    <row r="235" spans="1:11" ht="15" customHeight="1" x14ac:dyDescent="0.25">
      <c r="A235" s="391" t="s">
        <v>2570</v>
      </c>
      <c r="B235" s="15" t="s">
        <v>2571</v>
      </c>
      <c r="C235" s="14" t="s">
        <v>82</v>
      </c>
      <c r="D235" s="14" t="s">
        <v>1812</v>
      </c>
      <c r="E235" s="14" t="s">
        <v>1817</v>
      </c>
      <c r="F235" s="16">
        <v>38.278350000000003</v>
      </c>
      <c r="G235" s="17">
        <v>7.7</v>
      </c>
      <c r="H235" s="17">
        <f t="shared" si="12"/>
        <v>294.74</v>
      </c>
      <c r="I235" s="18">
        <f t="shared" si="13"/>
        <v>4.0724072460855852E-3</v>
      </c>
      <c r="J235" s="18">
        <f t="shared" si="15"/>
        <v>22.182415671867712</v>
      </c>
      <c r="K235" s="392" t="str">
        <f t="shared" si="14"/>
        <v>A</v>
      </c>
    </row>
    <row r="236" spans="1:11" ht="20.100000000000001" customHeight="1" x14ac:dyDescent="0.25">
      <c r="A236" s="391" t="s">
        <v>3577</v>
      </c>
      <c r="B236" s="15" t="s">
        <v>3578</v>
      </c>
      <c r="C236" s="14" t="s">
        <v>51</v>
      </c>
      <c r="D236" s="14" t="s">
        <v>1812</v>
      </c>
      <c r="E236" s="14" t="s">
        <v>226</v>
      </c>
      <c r="F236" s="16">
        <v>2</v>
      </c>
      <c r="G236" s="17">
        <v>146.27000000000001</v>
      </c>
      <c r="H236" s="17">
        <f t="shared" si="12"/>
        <v>292.54000000000002</v>
      </c>
      <c r="I236" s="18">
        <f t="shared" si="13"/>
        <v>4.0420099605410764E-3</v>
      </c>
      <c r="J236" s="18">
        <f t="shared" si="15"/>
        <v>22.186457681828255</v>
      </c>
      <c r="K236" s="392" t="str">
        <f t="shared" si="14"/>
        <v>A</v>
      </c>
    </row>
    <row r="237" spans="1:11" ht="27.95" customHeight="1" x14ac:dyDescent="0.25">
      <c r="A237" s="391" t="s">
        <v>2344</v>
      </c>
      <c r="B237" s="15" t="s">
        <v>2345</v>
      </c>
      <c r="C237" s="14" t="s">
        <v>82</v>
      </c>
      <c r="D237" s="14" t="s">
        <v>1932</v>
      </c>
      <c r="E237" s="14" t="s">
        <v>1024</v>
      </c>
      <c r="F237" s="16">
        <v>2654.7242804576199</v>
      </c>
      <c r="G237" s="17">
        <v>0.11</v>
      </c>
      <c r="H237" s="17">
        <f t="shared" si="12"/>
        <v>292.02</v>
      </c>
      <c r="I237" s="18">
        <f t="shared" si="13"/>
        <v>4.0348251475941926E-3</v>
      </c>
      <c r="J237" s="18">
        <f t="shared" si="15"/>
        <v>22.190492506975851</v>
      </c>
      <c r="K237" s="392" t="str">
        <f t="shared" si="14"/>
        <v>A</v>
      </c>
    </row>
    <row r="238" spans="1:11" ht="20.100000000000001" customHeight="1" x14ac:dyDescent="0.25">
      <c r="A238" s="391" t="s">
        <v>2883</v>
      </c>
      <c r="B238" s="15" t="s">
        <v>2884</v>
      </c>
      <c r="C238" s="14" t="s">
        <v>82</v>
      </c>
      <c r="D238" s="14" t="s">
        <v>1812</v>
      </c>
      <c r="E238" s="14" t="s">
        <v>226</v>
      </c>
      <c r="F238" s="16">
        <v>3</v>
      </c>
      <c r="G238" s="17">
        <v>96.17</v>
      </c>
      <c r="H238" s="17">
        <f t="shared" si="12"/>
        <v>288.51</v>
      </c>
      <c r="I238" s="18">
        <f t="shared" si="13"/>
        <v>3.9863276602027271E-3</v>
      </c>
      <c r="J238" s="18">
        <f t="shared" si="15"/>
        <v>22.194478834636055</v>
      </c>
      <c r="K238" s="392" t="str">
        <f t="shared" si="14"/>
        <v>A</v>
      </c>
    </row>
    <row r="239" spans="1:11" ht="20.100000000000001" customHeight="1" x14ac:dyDescent="0.25">
      <c r="A239" s="391" t="s">
        <v>2079</v>
      </c>
      <c r="B239" s="15" t="s">
        <v>2080</v>
      </c>
      <c r="C239" s="14" t="s">
        <v>2206</v>
      </c>
      <c r="D239" s="14" t="s">
        <v>1812</v>
      </c>
      <c r="E239" s="14" t="s">
        <v>72</v>
      </c>
      <c r="F239" s="16">
        <v>110.34</v>
      </c>
      <c r="G239" s="17">
        <v>2.59</v>
      </c>
      <c r="H239" s="17">
        <f t="shared" si="12"/>
        <v>285.77999999999997</v>
      </c>
      <c r="I239" s="18">
        <f t="shared" si="13"/>
        <v>3.9486073922315882E-3</v>
      </c>
      <c r="J239" s="18">
        <f t="shared" si="15"/>
        <v>22.198427442028287</v>
      </c>
      <c r="K239" s="392" t="str">
        <f t="shared" si="14"/>
        <v>A</v>
      </c>
    </row>
    <row r="240" spans="1:11" ht="15" customHeight="1" x14ac:dyDescent="0.25">
      <c r="A240" s="391" t="s">
        <v>2373</v>
      </c>
      <c r="B240" s="15" t="s">
        <v>2374</v>
      </c>
      <c r="C240" s="14" t="s">
        <v>82</v>
      </c>
      <c r="D240" s="14" t="s">
        <v>1812</v>
      </c>
      <c r="E240" s="14" t="s">
        <v>1817</v>
      </c>
      <c r="F240" s="16">
        <v>406.30807005196999</v>
      </c>
      <c r="G240" s="17">
        <v>0.7</v>
      </c>
      <c r="H240" s="17">
        <f t="shared" si="12"/>
        <v>284.42</v>
      </c>
      <c r="I240" s="18">
        <f t="shared" si="13"/>
        <v>3.9298163429858932E-3</v>
      </c>
      <c r="J240" s="18">
        <f t="shared" si="15"/>
        <v>22.202357258371272</v>
      </c>
      <c r="K240" s="392" t="str">
        <f t="shared" si="14"/>
        <v>A</v>
      </c>
    </row>
    <row r="241" spans="1:11" ht="27.95" customHeight="1" x14ac:dyDescent="0.25">
      <c r="A241" s="391" t="s">
        <v>2353</v>
      </c>
      <c r="B241" s="15" t="s">
        <v>2354</v>
      </c>
      <c r="C241" s="14" t="s">
        <v>82</v>
      </c>
      <c r="D241" s="14" t="s">
        <v>1932</v>
      </c>
      <c r="E241" s="14" t="s">
        <v>1024</v>
      </c>
      <c r="F241" s="16">
        <v>222.93590975999999</v>
      </c>
      <c r="G241" s="17">
        <v>1.26</v>
      </c>
      <c r="H241" s="17">
        <f t="shared" si="12"/>
        <v>280.89999999999998</v>
      </c>
      <c r="I241" s="18">
        <f t="shared" si="13"/>
        <v>3.8811806861146795E-3</v>
      </c>
      <c r="J241" s="18">
        <f t="shared" si="15"/>
        <v>22.206238439057387</v>
      </c>
      <c r="K241" s="392" t="str">
        <f t="shared" si="14"/>
        <v>A</v>
      </c>
    </row>
    <row r="242" spans="1:11" ht="20.100000000000001" customHeight="1" x14ac:dyDescent="0.25">
      <c r="A242" s="391" t="s">
        <v>3333</v>
      </c>
      <c r="B242" s="15" t="s">
        <v>3334</v>
      </c>
      <c r="C242" s="14" t="s">
        <v>51</v>
      </c>
      <c r="D242" s="14" t="s">
        <v>1812</v>
      </c>
      <c r="E242" s="14" t="s">
        <v>226</v>
      </c>
      <c r="F242" s="16">
        <v>1.0149999999999999</v>
      </c>
      <c r="G242" s="17">
        <v>274.07</v>
      </c>
      <c r="H242" s="17">
        <f t="shared" si="12"/>
        <v>278.18</v>
      </c>
      <c r="I242" s="18">
        <f t="shared" si="13"/>
        <v>3.8435985876232879E-3</v>
      </c>
      <c r="J242" s="18">
        <f t="shared" si="15"/>
        <v>22.210082037645009</v>
      </c>
      <c r="K242" s="392" t="str">
        <f t="shared" si="14"/>
        <v>A</v>
      </c>
    </row>
    <row r="243" spans="1:11" ht="20.100000000000001" customHeight="1" x14ac:dyDescent="0.25">
      <c r="A243" s="391" t="s">
        <v>3547</v>
      </c>
      <c r="B243" s="15" t="s">
        <v>3548</v>
      </c>
      <c r="C243" s="14" t="s">
        <v>51</v>
      </c>
      <c r="D243" s="14" t="s">
        <v>1812</v>
      </c>
      <c r="E243" s="14" t="s">
        <v>226</v>
      </c>
      <c r="F243" s="16">
        <v>2</v>
      </c>
      <c r="G243" s="17">
        <v>138.56</v>
      </c>
      <c r="H243" s="17">
        <f t="shared" si="12"/>
        <v>277.12</v>
      </c>
      <c r="I243" s="18">
        <f t="shared" si="13"/>
        <v>3.8289526227700248E-3</v>
      </c>
      <c r="J243" s="18">
        <f t="shared" si="15"/>
        <v>22.213910990267777</v>
      </c>
      <c r="K243" s="392" t="str">
        <f t="shared" si="14"/>
        <v>A</v>
      </c>
    </row>
    <row r="244" spans="1:11" ht="15" customHeight="1" x14ac:dyDescent="0.25">
      <c r="A244" s="391" t="s">
        <v>2464</v>
      </c>
      <c r="B244" s="15" t="s">
        <v>2465</v>
      </c>
      <c r="C244" s="14" t="s">
        <v>1927</v>
      </c>
      <c r="D244" s="14" t="s">
        <v>1812</v>
      </c>
      <c r="E244" s="14" t="s">
        <v>72</v>
      </c>
      <c r="F244" s="16">
        <v>3.9632879999999999</v>
      </c>
      <c r="G244" s="17">
        <v>69.44</v>
      </c>
      <c r="H244" s="17">
        <f t="shared" si="12"/>
        <v>275.20999999999998</v>
      </c>
      <c r="I244" s="18">
        <f t="shared" si="13"/>
        <v>3.802562252138202E-3</v>
      </c>
      <c r="J244" s="18">
        <f t="shared" si="15"/>
        <v>22.217713552519914</v>
      </c>
      <c r="K244" s="392" t="str">
        <f t="shared" si="14"/>
        <v>A</v>
      </c>
    </row>
    <row r="245" spans="1:11" ht="20.100000000000001" customHeight="1" x14ac:dyDescent="0.25">
      <c r="A245" s="391" t="s">
        <v>3272</v>
      </c>
      <c r="B245" s="15" t="s">
        <v>3273</v>
      </c>
      <c r="C245" s="14" t="s">
        <v>51</v>
      </c>
      <c r="D245" s="14" t="s">
        <v>1812</v>
      </c>
      <c r="E245" s="14" t="s">
        <v>85</v>
      </c>
      <c r="F245" s="16">
        <v>1.524</v>
      </c>
      <c r="G245" s="17">
        <v>180.54</v>
      </c>
      <c r="H245" s="17">
        <f t="shared" si="12"/>
        <v>275.14</v>
      </c>
      <c r="I245" s="18">
        <f t="shared" si="13"/>
        <v>3.8015950657799675E-3</v>
      </c>
      <c r="J245" s="18">
        <f t="shared" si="15"/>
        <v>22.221515147585695</v>
      </c>
      <c r="K245" s="392" t="str">
        <f t="shared" si="14"/>
        <v>A</v>
      </c>
    </row>
    <row r="246" spans="1:11" ht="15" customHeight="1" x14ac:dyDescent="0.25">
      <c r="A246" s="391" t="s">
        <v>1910</v>
      </c>
      <c r="B246" s="15" t="s">
        <v>1911</v>
      </c>
      <c r="C246" s="14" t="s">
        <v>1859</v>
      </c>
      <c r="D246" s="14" t="s">
        <v>1812</v>
      </c>
      <c r="E246" s="14" t="s">
        <v>226</v>
      </c>
      <c r="F246" s="16">
        <v>78.400000000000006</v>
      </c>
      <c r="G246" s="17">
        <v>3.46</v>
      </c>
      <c r="H246" s="17">
        <f t="shared" si="12"/>
        <v>271.26</v>
      </c>
      <c r="I246" s="18">
        <f t="shared" si="13"/>
        <v>3.7479853076378355E-3</v>
      </c>
      <c r="J246" s="18">
        <f t="shared" si="15"/>
        <v>22.225263132893332</v>
      </c>
      <c r="K246" s="392" t="str">
        <f t="shared" si="14"/>
        <v>A</v>
      </c>
    </row>
    <row r="247" spans="1:11" ht="15" customHeight="1" x14ac:dyDescent="0.25">
      <c r="A247" s="391" t="s">
        <v>2051</v>
      </c>
      <c r="B247" s="15" t="s">
        <v>2052</v>
      </c>
      <c r="C247" s="14" t="s">
        <v>341</v>
      </c>
      <c r="D247" s="14" t="s">
        <v>1812</v>
      </c>
      <c r="E247" s="14" t="s">
        <v>786</v>
      </c>
      <c r="F247" s="24">
        <v>0.62929999999999997</v>
      </c>
      <c r="G247" s="17">
        <v>419.55</v>
      </c>
      <c r="H247" s="17">
        <f t="shared" si="12"/>
        <v>264.02</v>
      </c>
      <c r="I247" s="18">
        <f t="shared" si="13"/>
        <v>3.6479506043004544E-3</v>
      </c>
      <c r="J247" s="18">
        <f t="shared" si="15"/>
        <v>22.228911083497632</v>
      </c>
      <c r="K247" s="392" t="str">
        <f t="shared" si="14"/>
        <v>A</v>
      </c>
    </row>
    <row r="248" spans="1:11" ht="20.100000000000001" customHeight="1" x14ac:dyDescent="0.25">
      <c r="A248" s="391" t="s">
        <v>3193</v>
      </c>
      <c r="B248" s="15" t="s">
        <v>3194</v>
      </c>
      <c r="C248" s="14" t="s">
        <v>51</v>
      </c>
      <c r="D248" s="14" t="s">
        <v>1812</v>
      </c>
      <c r="E248" s="14" t="s">
        <v>1006</v>
      </c>
      <c r="F248" s="16">
        <v>6.0876000000000001</v>
      </c>
      <c r="G248" s="17">
        <v>42.91</v>
      </c>
      <c r="H248" s="17">
        <f t="shared" si="12"/>
        <v>261.22000000000003</v>
      </c>
      <c r="I248" s="18">
        <f t="shared" si="13"/>
        <v>3.6092631499710813E-3</v>
      </c>
      <c r="J248" s="18">
        <f t="shared" si="15"/>
        <v>22.232520346647604</v>
      </c>
      <c r="K248" s="392" t="str">
        <f t="shared" si="14"/>
        <v>A</v>
      </c>
    </row>
    <row r="249" spans="1:11" ht="20.100000000000001" customHeight="1" x14ac:dyDescent="0.25">
      <c r="A249" s="391" t="s">
        <v>2937</v>
      </c>
      <c r="B249" s="15" t="s">
        <v>2938</v>
      </c>
      <c r="C249" s="14" t="s">
        <v>82</v>
      </c>
      <c r="D249" s="14" t="s">
        <v>2443</v>
      </c>
      <c r="E249" s="14" t="s">
        <v>2939</v>
      </c>
      <c r="F249" s="16">
        <v>10.89099</v>
      </c>
      <c r="G249" s="17">
        <v>23.96</v>
      </c>
      <c r="H249" s="17">
        <f t="shared" si="12"/>
        <v>260.95</v>
      </c>
      <c r="I249" s="18">
        <f t="shared" si="13"/>
        <v>3.6055325740178908E-3</v>
      </c>
      <c r="J249" s="18">
        <f t="shared" si="15"/>
        <v>22.236125879221621</v>
      </c>
      <c r="K249" s="392" t="str">
        <f t="shared" si="14"/>
        <v>A</v>
      </c>
    </row>
    <row r="250" spans="1:11" ht="20.100000000000001" customHeight="1" x14ac:dyDescent="0.25">
      <c r="A250" s="391" t="s">
        <v>3510</v>
      </c>
      <c r="B250" s="15" t="s">
        <v>3937</v>
      </c>
      <c r="C250" s="14" t="s">
        <v>194</v>
      </c>
      <c r="D250" s="14" t="s">
        <v>2021</v>
      </c>
      <c r="E250" s="14" t="s">
        <v>2024</v>
      </c>
      <c r="F250" s="16">
        <v>1.7173706896552088</v>
      </c>
      <c r="G250" s="17">
        <v>151.34</v>
      </c>
      <c r="H250" s="17">
        <f t="shared" si="12"/>
        <v>259.91000000000003</v>
      </c>
      <c r="I250" s="18">
        <f t="shared" si="13"/>
        <v>3.5911629481241245E-3</v>
      </c>
      <c r="J250" s="18">
        <f t="shared" si="15"/>
        <v>22.239717042169744</v>
      </c>
      <c r="K250" s="392" t="str">
        <f t="shared" si="14"/>
        <v>A</v>
      </c>
    </row>
    <row r="251" spans="1:11" ht="20.100000000000001" customHeight="1" x14ac:dyDescent="0.25">
      <c r="A251" s="391" t="s">
        <v>3689</v>
      </c>
      <c r="B251" s="15" t="s">
        <v>3690</v>
      </c>
      <c r="C251" s="14" t="s">
        <v>51</v>
      </c>
      <c r="D251" s="14" t="s">
        <v>1812</v>
      </c>
      <c r="E251" s="14" t="s">
        <v>188</v>
      </c>
      <c r="F251" s="16">
        <v>81.599999999999994</v>
      </c>
      <c r="G251" s="17">
        <v>3.18</v>
      </c>
      <c r="H251" s="17">
        <f t="shared" si="12"/>
        <v>259.49</v>
      </c>
      <c r="I251" s="18">
        <f t="shared" si="13"/>
        <v>3.5853598299747181E-3</v>
      </c>
      <c r="J251" s="18">
        <f t="shared" si="15"/>
        <v>22.243302401999717</v>
      </c>
      <c r="K251" s="392" t="str">
        <f t="shared" si="14"/>
        <v>A</v>
      </c>
    </row>
    <row r="252" spans="1:11" ht="20.100000000000001" customHeight="1" x14ac:dyDescent="0.25">
      <c r="A252" s="391" t="s">
        <v>2535</v>
      </c>
      <c r="B252" s="15" t="s">
        <v>2536</v>
      </c>
      <c r="C252" s="14" t="s">
        <v>82</v>
      </c>
      <c r="D252" s="14" t="s">
        <v>2443</v>
      </c>
      <c r="E252" s="14" t="s">
        <v>226</v>
      </c>
      <c r="F252" s="25">
        <v>1.9603945710000002E-3</v>
      </c>
      <c r="G252" s="17">
        <v>131850</v>
      </c>
      <c r="H252" s="17">
        <f t="shared" si="12"/>
        <v>258.48</v>
      </c>
      <c r="I252" s="18">
        <f t="shared" si="13"/>
        <v>3.5714047125201937E-3</v>
      </c>
      <c r="J252" s="18">
        <f t="shared" si="15"/>
        <v>22.246873806712237</v>
      </c>
      <c r="K252" s="392" t="str">
        <f t="shared" si="14"/>
        <v>A</v>
      </c>
    </row>
    <row r="253" spans="1:11" ht="15" customHeight="1" x14ac:dyDescent="0.25">
      <c r="A253" s="391" t="s">
        <v>2611</v>
      </c>
      <c r="B253" s="15" t="s">
        <v>2612</v>
      </c>
      <c r="C253" s="14" t="s">
        <v>82</v>
      </c>
      <c r="D253" s="14" t="s">
        <v>1827</v>
      </c>
      <c r="E253" s="14" t="s">
        <v>1024</v>
      </c>
      <c r="F253" s="16">
        <v>8.1972305510403007</v>
      </c>
      <c r="G253" s="17">
        <v>31.32</v>
      </c>
      <c r="H253" s="17">
        <f t="shared" si="12"/>
        <v>256.74</v>
      </c>
      <c r="I253" s="18">
        <f t="shared" si="13"/>
        <v>3.5473632230440828E-3</v>
      </c>
      <c r="J253" s="18">
        <f t="shared" si="15"/>
        <v>22.250421169935283</v>
      </c>
      <c r="K253" s="392" t="str">
        <f t="shared" si="14"/>
        <v>A</v>
      </c>
    </row>
    <row r="254" spans="1:11" ht="20.100000000000001" customHeight="1" x14ac:dyDescent="0.25">
      <c r="A254" s="391" t="s">
        <v>1961</v>
      </c>
      <c r="B254" s="15" t="s">
        <v>1962</v>
      </c>
      <c r="C254" s="14" t="s">
        <v>1963</v>
      </c>
      <c r="D254" s="14" t="s">
        <v>1812</v>
      </c>
      <c r="E254" s="14" t="s">
        <v>251</v>
      </c>
      <c r="F254" s="16">
        <v>2</v>
      </c>
      <c r="G254" s="17">
        <v>127.23</v>
      </c>
      <c r="H254" s="17">
        <f t="shared" si="12"/>
        <v>254.46</v>
      </c>
      <c r="I254" s="18">
        <f t="shared" si="13"/>
        <v>3.5158605816615926E-3</v>
      </c>
      <c r="J254" s="18">
        <f t="shared" si="15"/>
        <v>22.253937030516944</v>
      </c>
      <c r="K254" s="392" t="str">
        <f t="shared" si="14"/>
        <v>A</v>
      </c>
    </row>
    <row r="255" spans="1:11" ht="20.100000000000001" customHeight="1" x14ac:dyDescent="0.25">
      <c r="A255" s="391" t="s">
        <v>3801</v>
      </c>
      <c r="B255" s="15" t="s">
        <v>3802</v>
      </c>
      <c r="C255" s="14" t="s">
        <v>51</v>
      </c>
      <c r="D255" s="14" t="s">
        <v>1827</v>
      </c>
      <c r="E255" s="14" t="s">
        <v>1024</v>
      </c>
      <c r="F255" s="16">
        <v>10.156499999999999</v>
      </c>
      <c r="G255" s="17">
        <v>24.8</v>
      </c>
      <c r="H255" s="17">
        <f t="shared" si="12"/>
        <v>251.88</v>
      </c>
      <c r="I255" s="18">
        <f t="shared" si="13"/>
        <v>3.4802128558866696E-3</v>
      </c>
      <c r="J255" s="18">
        <f t="shared" si="15"/>
        <v>22.257417243372831</v>
      </c>
      <c r="K255" s="392" t="str">
        <f t="shared" si="14"/>
        <v>A</v>
      </c>
    </row>
    <row r="256" spans="1:11" ht="20.100000000000001" customHeight="1" x14ac:dyDescent="0.25">
      <c r="A256" s="391" t="s">
        <v>2490</v>
      </c>
      <c r="B256" s="15" t="s">
        <v>2491</v>
      </c>
      <c r="C256" s="14" t="s">
        <v>82</v>
      </c>
      <c r="D256" s="14" t="s">
        <v>2443</v>
      </c>
      <c r="E256" s="14" t="s">
        <v>226</v>
      </c>
      <c r="F256" s="20">
        <v>3.0700233347461998E-3</v>
      </c>
      <c r="G256" s="17">
        <v>80209.759999999995</v>
      </c>
      <c r="H256" s="17">
        <f t="shared" si="12"/>
        <v>246.25</v>
      </c>
      <c r="I256" s="18">
        <f t="shared" si="13"/>
        <v>3.4024234387886789E-3</v>
      </c>
      <c r="J256" s="18">
        <f t="shared" si="15"/>
        <v>22.260819666811621</v>
      </c>
      <c r="K256" s="392" t="str">
        <f t="shared" si="14"/>
        <v>A</v>
      </c>
    </row>
    <row r="257" spans="1:11" ht="20.100000000000001" customHeight="1" x14ac:dyDescent="0.25">
      <c r="A257" s="391" t="s">
        <v>1874</v>
      </c>
      <c r="B257" s="15" t="s">
        <v>1875</v>
      </c>
      <c r="C257" s="14" t="s">
        <v>51</v>
      </c>
      <c r="D257" s="14" t="s">
        <v>1827</v>
      </c>
      <c r="E257" s="14" t="s">
        <v>1024</v>
      </c>
      <c r="F257" s="16">
        <v>6.2935949999999998</v>
      </c>
      <c r="G257" s="17">
        <v>38.92</v>
      </c>
      <c r="H257" s="17">
        <f t="shared" si="12"/>
        <v>244.95</v>
      </c>
      <c r="I257" s="18">
        <f t="shared" si="13"/>
        <v>3.3844614064214695E-3</v>
      </c>
      <c r="J257" s="18">
        <f t="shared" si="15"/>
        <v>22.264204128218044</v>
      </c>
      <c r="K257" s="392" t="str">
        <f t="shared" si="14"/>
        <v>A</v>
      </c>
    </row>
    <row r="258" spans="1:11" ht="20.100000000000001" customHeight="1" x14ac:dyDescent="0.25">
      <c r="A258" s="391" t="s">
        <v>2136</v>
      </c>
      <c r="B258" s="15" t="s">
        <v>2137</v>
      </c>
      <c r="C258" s="14" t="s">
        <v>82</v>
      </c>
      <c r="D258" s="14" t="s">
        <v>1812</v>
      </c>
      <c r="E258" s="14" t="s">
        <v>85</v>
      </c>
      <c r="F258" s="16">
        <v>1.4</v>
      </c>
      <c r="G258" s="17">
        <v>174.57</v>
      </c>
      <c r="H258" s="17">
        <f t="shared" si="12"/>
        <v>244.4</v>
      </c>
      <c r="I258" s="18">
        <f t="shared" si="13"/>
        <v>3.3768620850353425E-3</v>
      </c>
      <c r="J258" s="18">
        <f t="shared" si="15"/>
        <v>22.267580990303077</v>
      </c>
      <c r="K258" s="392" t="str">
        <f t="shared" si="14"/>
        <v>A</v>
      </c>
    </row>
    <row r="259" spans="1:11" ht="20.100000000000001" customHeight="1" x14ac:dyDescent="0.25">
      <c r="A259" s="391" t="s">
        <v>647</v>
      </c>
      <c r="B259" s="15" t="s">
        <v>648</v>
      </c>
      <c r="C259" s="14" t="s">
        <v>51</v>
      </c>
      <c r="D259" s="14" t="s">
        <v>1812</v>
      </c>
      <c r="E259" s="14" t="s">
        <v>226</v>
      </c>
      <c r="F259" s="16">
        <v>6</v>
      </c>
      <c r="G259" s="17">
        <v>40.51</v>
      </c>
      <c r="H259" s="17">
        <f t="shared" si="12"/>
        <v>243.06</v>
      </c>
      <c r="I259" s="18">
        <f t="shared" si="13"/>
        <v>3.3583473747491425E-3</v>
      </c>
      <c r="J259" s="18">
        <f t="shared" si="15"/>
        <v>22.270939337677827</v>
      </c>
      <c r="K259" s="392" t="str">
        <f t="shared" si="14"/>
        <v>A</v>
      </c>
    </row>
    <row r="260" spans="1:11" ht="15" customHeight="1" x14ac:dyDescent="0.25">
      <c r="A260" s="391" t="s">
        <v>2458</v>
      </c>
      <c r="B260" s="15" t="s">
        <v>2459</v>
      </c>
      <c r="C260" s="14" t="s">
        <v>1927</v>
      </c>
      <c r="D260" s="14" t="s">
        <v>1812</v>
      </c>
      <c r="E260" s="14" t="s">
        <v>72</v>
      </c>
      <c r="F260" s="16">
        <v>19.402656</v>
      </c>
      <c r="G260" s="17">
        <v>11.99</v>
      </c>
      <c r="H260" s="17">
        <f t="shared" si="12"/>
        <v>232.64</v>
      </c>
      <c r="I260" s="18">
        <f t="shared" si="13"/>
        <v>3.2143747768519724E-3</v>
      </c>
      <c r="J260" s="18">
        <f t="shared" si="15"/>
        <v>22.27415371245468</v>
      </c>
      <c r="K260" s="392" t="str">
        <f t="shared" si="14"/>
        <v>A</v>
      </c>
    </row>
    <row r="261" spans="1:11" ht="15" customHeight="1" x14ac:dyDescent="0.25">
      <c r="A261" s="391" t="s">
        <v>1906</v>
      </c>
      <c r="B261" s="15" t="s">
        <v>1907</v>
      </c>
      <c r="C261" s="14" t="s">
        <v>1859</v>
      </c>
      <c r="D261" s="14" t="s">
        <v>1812</v>
      </c>
      <c r="E261" s="14" t="s">
        <v>188</v>
      </c>
      <c r="F261" s="16">
        <v>20.2</v>
      </c>
      <c r="G261" s="17">
        <v>11.5</v>
      </c>
      <c r="H261" s="17">
        <f t="shared" si="12"/>
        <v>232.3</v>
      </c>
      <c r="I261" s="18">
        <f t="shared" si="13"/>
        <v>3.2096770145405491E-3</v>
      </c>
      <c r="J261" s="18">
        <f t="shared" si="15"/>
        <v>22.277363389469222</v>
      </c>
      <c r="K261" s="392" t="str">
        <f t="shared" si="14"/>
        <v>A</v>
      </c>
    </row>
    <row r="262" spans="1:11" ht="15" customHeight="1" x14ac:dyDescent="0.25">
      <c r="A262" s="391" t="s">
        <v>2462</v>
      </c>
      <c r="B262" s="15" t="s">
        <v>2463</v>
      </c>
      <c r="C262" s="14" t="s">
        <v>1927</v>
      </c>
      <c r="D262" s="14" t="s">
        <v>1812</v>
      </c>
      <c r="E262" s="14" t="s">
        <v>72</v>
      </c>
      <c r="F262" s="16">
        <v>10.702944</v>
      </c>
      <c r="G262" s="17">
        <v>21.44</v>
      </c>
      <c r="H262" s="17">
        <f t="shared" si="12"/>
        <v>229.47</v>
      </c>
      <c r="I262" s="18">
        <f t="shared" si="13"/>
        <v>3.1705750517719319E-3</v>
      </c>
      <c r="J262" s="18">
        <f t="shared" si="15"/>
        <v>22.280533964520995</v>
      </c>
      <c r="K262" s="392" t="str">
        <f t="shared" si="14"/>
        <v>A</v>
      </c>
    </row>
    <row r="263" spans="1:11" ht="20.100000000000001" customHeight="1" x14ac:dyDescent="0.25">
      <c r="A263" s="391" t="s">
        <v>3078</v>
      </c>
      <c r="B263" s="15" t="s">
        <v>3938</v>
      </c>
      <c r="C263" s="14" t="s">
        <v>194</v>
      </c>
      <c r="D263" s="14" t="s">
        <v>2021</v>
      </c>
      <c r="E263" s="14" t="s">
        <v>2024</v>
      </c>
      <c r="F263" s="26">
        <v>0.87132178830181517</v>
      </c>
      <c r="G263" s="17">
        <v>257.93</v>
      </c>
      <c r="H263" s="17">
        <f t="shared" ref="H263:H326" si="16">ROUND(F263*G263,2)</f>
        <v>224.74</v>
      </c>
      <c r="I263" s="18">
        <f t="shared" ref="I263:I326" si="17">H263/VALOR_TOTAL*100</f>
        <v>3.1052208878512393E-3</v>
      </c>
      <c r="J263" s="18">
        <f t="shared" si="15"/>
        <v>22.283639185408845</v>
      </c>
      <c r="K263" s="392" t="str">
        <f t="shared" ref="K263:K326" si="18">IF(J263&lt;=50,"A",IF(J263&lt;=80,"B","C"))</f>
        <v>A</v>
      </c>
    </row>
    <row r="264" spans="1:11" ht="27.95" customHeight="1" x14ac:dyDescent="0.25">
      <c r="A264" s="391" t="s">
        <v>2727</v>
      </c>
      <c r="B264" s="15" t="s">
        <v>2728</v>
      </c>
      <c r="C264" s="14" t="s">
        <v>341</v>
      </c>
      <c r="D264" s="14" t="s">
        <v>1932</v>
      </c>
      <c r="E264" s="14" t="s">
        <v>664</v>
      </c>
      <c r="F264" s="27">
        <v>0.732156476</v>
      </c>
      <c r="G264" s="17">
        <v>300</v>
      </c>
      <c r="H264" s="17">
        <f t="shared" si="16"/>
        <v>219.65</v>
      </c>
      <c r="I264" s="18">
        <f t="shared" si="17"/>
        <v>3.0348926226596278E-3</v>
      </c>
      <c r="J264" s="18">
        <f t="shared" ref="J264:J327" si="19">I264+J263</f>
        <v>22.286674078031503</v>
      </c>
      <c r="K264" s="392" t="str">
        <f t="shared" si="18"/>
        <v>A</v>
      </c>
    </row>
    <row r="265" spans="1:11" ht="15" customHeight="1" x14ac:dyDescent="0.25">
      <c r="A265" s="391" t="s">
        <v>2614</v>
      </c>
      <c r="B265" s="15" t="s">
        <v>2615</v>
      </c>
      <c r="C265" s="14" t="s">
        <v>82</v>
      </c>
      <c r="D265" s="14" t="s">
        <v>1827</v>
      </c>
      <c r="E265" s="14" t="s">
        <v>1024</v>
      </c>
      <c r="F265" s="16">
        <v>5.2520919749999999</v>
      </c>
      <c r="G265" s="17">
        <v>41.8</v>
      </c>
      <c r="H265" s="17">
        <f t="shared" si="16"/>
        <v>219.54</v>
      </c>
      <c r="I265" s="18">
        <f t="shared" si="17"/>
        <v>3.0333727583824023E-3</v>
      </c>
      <c r="J265" s="18">
        <f t="shared" si="19"/>
        <v>22.289707450789884</v>
      </c>
      <c r="K265" s="392" t="str">
        <f t="shared" si="18"/>
        <v>A</v>
      </c>
    </row>
    <row r="266" spans="1:11" ht="15" customHeight="1" x14ac:dyDescent="0.25">
      <c r="A266" s="391" t="s">
        <v>2132</v>
      </c>
      <c r="B266" s="15" t="s">
        <v>2133</v>
      </c>
      <c r="C266" s="14" t="s">
        <v>82</v>
      </c>
      <c r="D266" s="14" t="s">
        <v>1812</v>
      </c>
      <c r="E266" s="14" t="s">
        <v>1817</v>
      </c>
      <c r="F266" s="16">
        <v>280</v>
      </c>
      <c r="G266" s="17">
        <v>0.78</v>
      </c>
      <c r="H266" s="17">
        <f t="shared" si="16"/>
        <v>218.4</v>
      </c>
      <c r="I266" s="18">
        <f t="shared" si="17"/>
        <v>3.017621437691157E-3</v>
      </c>
      <c r="J266" s="18">
        <f t="shared" si="19"/>
        <v>22.292725072227576</v>
      </c>
      <c r="K266" s="392" t="str">
        <f t="shared" si="18"/>
        <v>A</v>
      </c>
    </row>
    <row r="267" spans="1:11" ht="20.100000000000001" customHeight="1" x14ac:dyDescent="0.25">
      <c r="A267" s="391" t="s">
        <v>3516</v>
      </c>
      <c r="B267" s="15" t="s">
        <v>3939</v>
      </c>
      <c r="C267" s="14" t="s">
        <v>194</v>
      </c>
      <c r="D267" s="14" t="s">
        <v>2021</v>
      </c>
      <c r="E267" s="14" t="s">
        <v>2027</v>
      </c>
      <c r="F267" s="16">
        <v>1.2353017241378648</v>
      </c>
      <c r="G267" s="17">
        <v>176.57</v>
      </c>
      <c r="H267" s="17">
        <f t="shared" si="16"/>
        <v>218.12</v>
      </c>
      <c r="I267" s="18">
        <f t="shared" si="17"/>
        <v>3.0137526922582201E-3</v>
      </c>
      <c r="J267" s="18">
        <f t="shared" si="19"/>
        <v>22.295738824919834</v>
      </c>
      <c r="K267" s="392" t="str">
        <f t="shared" si="18"/>
        <v>A</v>
      </c>
    </row>
    <row r="268" spans="1:11" ht="27.95" customHeight="1" x14ac:dyDescent="0.25">
      <c r="A268" s="391" t="s">
        <v>2402</v>
      </c>
      <c r="B268" s="15" t="s">
        <v>2403</v>
      </c>
      <c r="C268" s="14" t="s">
        <v>82</v>
      </c>
      <c r="D268" s="14" t="s">
        <v>1932</v>
      </c>
      <c r="E268" s="14" t="s">
        <v>1024</v>
      </c>
      <c r="F268" s="16">
        <v>268.08135579999998</v>
      </c>
      <c r="G268" s="17">
        <v>0.81</v>
      </c>
      <c r="H268" s="17">
        <f t="shared" si="16"/>
        <v>217.15</v>
      </c>
      <c r="I268" s="18">
        <f t="shared" si="17"/>
        <v>3.0003502527226871E-3</v>
      </c>
      <c r="J268" s="18">
        <f t="shared" si="19"/>
        <v>22.298739175172557</v>
      </c>
      <c r="K268" s="392" t="str">
        <f t="shared" si="18"/>
        <v>A</v>
      </c>
    </row>
    <row r="269" spans="1:11" ht="20.100000000000001" customHeight="1" x14ac:dyDescent="0.25">
      <c r="A269" s="391" t="s">
        <v>3853</v>
      </c>
      <c r="B269" s="15" t="s">
        <v>3940</v>
      </c>
      <c r="C269" s="14" t="s">
        <v>194</v>
      </c>
      <c r="D269" s="14" t="s">
        <v>2021</v>
      </c>
      <c r="E269" s="14" t="s">
        <v>2027</v>
      </c>
      <c r="F269" s="26">
        <v>0.80040024739353433</v>
      </c>
      <c r="G269" s="17">
        <v>265.36</v>
      </c>
      <c r="H269" s="17">
        <f t="shared" si="16"/>
        <v>212.39</v>
      </c>
      <c r="I269" s="18">
        <f t="shared" si="17"/>
        <v>2.9345815803627508E-3</v>
      </c>
      <c r="J269" s="18">
        <f t="shared" si="19"/>
        <v>22.301673756752919</v>
      </c>
      <c r="K269" s="392" t="str">
        <f t="shared" si="18"/>
        <v>A</v>
      </c>
    </row>
    <row r="270" spans="1:11" ht="20.100000000000001" customHeight="1" x14ac:dyDescent="0.25">
      <c r="A270" s="391" t="s">
        <v>3571</v>
      </c>
      <c r="B270" s="15" t="s">
        <v>3572</v>
      </c>
      <c r="C270" s="14" t="s">
        <v>51</v>
      </c>
      <c r="D270" s="14" t="s">
        <v>1812</v>
      </c>
      <c r="E270" s="14" t="s">
        <v>226</v>
      </c>
      <c r="F270" s="16">
        <v>2</v>
      </c>
      <c r="G270" s="17">
        <v>103.82</v>
      </c>
      <c r="H270" s="17">
        <f t="shared" si="16"/>
        <v>207.64</v>
      </c>
      <c r="I270" s="18">
        <f t="shared" si="17"/>
        <v>2.8689510774825631E-3</v>
      </c>
      <c r="J270" s="18">
        <f t="shared" si="19"/>
        <v>22.3045427078304</v>
      </c>
      <c r="K270" s="392" t="str">
        <f t="shared" si="18"/>
        <v>A</v>
      </c>
    </row>
    <row r="271" spans="1:11" ht="15" customHeight="1" x14ac:dyDescent="0.25">
      <c r="A271" s="391" t="s">
        <v>2142</v>
      </c>
      <c r="B271" s="15" t="s">
        <v>2143</v>
      </c>
      <c r="C271" s="14" t="s">
        <v>341</v>
      </c>
      <c r="D271" s="14" t="s">
        <v>1812</v>
      </c>
      <c r="E271" s="14" t="s">
        <v>786</v>
      </c>
      <c r="F271" s="16">
        <v>10</v>
      </c>
      <c r="G271" s="17">
        <v>20.59</v>
      </c>
      <c r="H271" s="17">
        <f t="shared" si="16"/>
        <v>205.9</v>
      </c>
      <c r="I271" s="18">
        <f t="shared" si="17"/>
        <v>2.8449095880064526E-3</v>
      </c>
      <c r="J271" s="18">
        <f t="shared" si="19"/>
        <v>22.307387617418406</v>
      </c>
      <c r="K271" s="392" t="str">
        <f t="shared" si="18"/>
        <v>A</v>
      </c>
    </row>
    <row r="272" spans="1:11" ht="15" customHeight="1" x14ac:dyDescent="0.25">
      <c r="A272" s="391" t="s">
        <v>2378</v>
      </c>
      <c r="B272" s="15" t="s">
        <v>2379</v>
      </c>
      <c r="C272" s="14" t="s">
        <v>82</v>
      </c>
      <c r="D272" s="14" t="s">
        <v>1827</v>
      </c>
      <c r="E272" s="14" t="s">
        <v>1024</v>
      </c>
      <c r="F272" s="16">
        <v>8.6420940130799995</v>
      </c>
      <c r="G272" s="17">
        <v>23.81</v>
      </c>
      <c r="H272" s="17">
        <f t="shared" si="16"/>
        <v>205.77</v>
      </c>
      <c r="I272" s="18">
        <f t="shared" si="17"/>
        <v>2.8431133847697321E-3</v>
      </c>
      <c r="J272" s="18">
        <f t="shared" si="19"/>
        <v>22.310230730803177</v>
      </c>
      <c r="K272" s="392" t="str">
        <f t="shared" si="18"/>
        <v>A</v>
      </c>
    </row>
    <row r="273" spans="1:11" ht="20.100000000000001" customHeight="1" x14ac:dyDescent="0.25">
      <c r="A273" s="391" t="s">
        <v>2277</v>
      </c>
      <c r="B273" s="15" t="s">
        <v>2278</v>
      </c>
      <c r="C273" s="14" t="s">
        <v>82</v>
      </c>
      <c r="D273" s="14" t="s">
        <v>1812</v>
      </c>
      <c r="E273" s="14" t="s">
        <v>226</v>
      </c>
      <c r="F273" s="16">
        <v>65</v>
      </c>
      <c r="G273" s="17">
        <v>3.14</v>
      </c>
      <c r="H273" s="17">
        <f t="shared" si="16"/>
        <v>204.1</v>
      </c>
      <c r="I273" s="18">
        <f t="shared" si="17"/>
        <v>2.8200390816518553E-3</v>
      </c>
      <c r="J273" s="18">
        <f t="shared" si="19"/>
        <v>22.313050769884828</v>
      </c>
      <c r="K273" s="392" t="str">
        <f t="shared" si="18"/>
        <v>A</v>
      </c>
    </row>
    <row r="274" spans="1:11" ht="20.100000000000001" customHeight="1" x14ac:dyDescent="0.25">
      <c r="A274" s="391" t="s">
        <v>3255</v>
      </c>
      <c r="B274" s="15" t="s">
        <v>3256</v>
      </c>
      <c r="C274" s="14" t="s">
        <v>51</v>
      </c>
      <c r="D274" s="14" t="s">
        <v>1812</v>
      </c>
      <c r="E274" s="14" t="s">
        <v>122</v>
      </c>
      <c r="F274" s="16">
        <v>1</v>
      </c>
      <c r="G274" s="17">
        <v>203.33</v>
      </c>
      <c r="H274" s="17">
        <f t="shared" si="16"/>
        <v>203.33</v>
      </c>
      <c r="I274" s="18">
        <f t="shared" si="17"/>
        <v>2.8094000317112778E-3</v>
      </c>
      <c r="J274" s="18">
        <f t="shared" si="19"/>
        <v>22.31586016991654</v>
      </c>
      <c r="K274" s="392" t="str">
        <f t="shared" si="18"/>
        <v>A</v>
      </c>
    </row>
    <row r="275" spans="1:11" ht="20.100000000000001" customHeight="1" x14ac:dyDescent="0.25">
      <c r="A275" s="391" t="s">
        <v>3737</v>
      </c>
      <c r="B275" s="15" t="s">
        <v>3738</v>
      </c>
      <c r="C275" s="14" t="s">
        <v>82</v>
      </c>
      <c r="D275" s="14" t="s">
        <v>1812</v>
      </c>
      <c r="E275" s="14" t="s">
        <v>226</v>
      </c>
      <c r="F275" s="16">
        <v>1</v>
      </c>
      <c r="G275" s="17">
        <v>201.92</v>
      </c>
      <c r="H275" s="17">
        <f t="shared" si="16"/>
        <v>201.92</v>
      </c>
      <c r="I275" s="18">
        <f t="shared" si="17"/>
        <v>2.7899181350668424E-3</v>
      </c>
      <c r="J275" s="18">
        <f t="shared" si="19"/>
        <v>22.318650088051609</v>
      </c>
      <c r="K275" s="392" t="str">
        <f t="shared" si="18"/>
        <v>A</v>
      </c>
    </row>
    <row r="276" spans="1:11" ht="15" customHeight="1" x14ac:dyDescent="0.25">
      <c r="A276" s="391" t="s">
        <v>2162</v>
      </c>
      <c r="B276" s="15" t="s">
        <v>2163</v>
      </c>
      <c r="C276" s="14" t="s">
        <v>341</v>
      </c>
      <c r="D276" s="14" t="s">
        <v>1812</v>
      </c>
      <c r="E276" s="14" t="s">
        <v>579</v>
      </c>
      <c r="F276" s="16">
        <v>87.65</v>
      </c>
      <c r="G276" s="17">
        <v>2.25</v>
      </c>
      <c r="H276" s="17">
        <f t="shared" si="16"/>
        <v>197.21</v>
      </c>
      <c r="I276" s="18">
        <f t="shared" si="17"/>
        <v>2.7248403101056461E-3</v>
      </c>
      <c r="J276" s="18">
        <f t="shared" si="19"/>
        <v>22.321374928361713</v>
      </c>
      <c r="K276" s="392" t="str">
        <f t="shared" si="18"/>
        <v>A</v>
      </c>
    </row>
    <row r="277" spans="1:11" ht="20.100000000000001" customHeight="1" x14ac:dyDescent="0.25">
      <c r="A277" s="391" t="s">
        <v>3669</v>
      </c>
      <c r="B277" s="15" t="s">
        <v>3670</v>
      </c>
      <c r="C277" s="14" t="s">
        <v>51</v>
      </c>
      <c r="D277" s="14" t="s">
        <v>1812</v>
      </c>
      <c r="E277" s="14" t="s">
        <v>188</v>
      </c>
      <c r="F277" s="16">
        <v>122.4</v>
      </c>
      <c r="G277" s="17">
        <v>1.61</v>
      </c>
      <c r="H277" s="17">
        <f t="shared" si="16"/>
        <v>197.06</v>
      </c>
      <c r="I277" s="18">
        <f t="shared" si="17"/>
        <v>2.7227677679094297E-3</v>
      </c>
      <c r="J277" s="18">
        <f t="shared" si="19"/>
        <v>22.324097696129623</v>
      </c>
      <c r="K277" s="392" t="str">
        <f t="shared" si="18"/>
        <v>A</v>
      </c>
    </row>
    <row r="278" spans="1:11" ht="20.100000000000001" customHeight="1" x14ac:dyDescent="0.25">
      <c r="A278" s="391" t="s">
        <v>3371</v>
      </c>
      <c r="B278" s="15" t="s">
        <v>3372</v>
      </c>
      <c r="C278" s="14" t="s">
        <v>51</v>
      </c>
      <c r="D278" s="14" t="s">
        <v>1812</v>
      </c>
      <c r="E278" s="14" t="s">
        <v>226</v>
      </c>
      <c r="F278" s="16">
        <v>1.0004999999999999</v>
      </c>
      <c r="G278" s="17">
        <v>196.07</v>
      </c>
      <c r="H278" s="17">
        <f t="shared" si="16"/>
        <v>196.17</v>
      </c>
      <c r="I278" s="18">
        <f t="shared" si="17"/>
        <v>2.7104706842118785E-3</v>
      </c>
      <c r="J278" s="18">
        <f t="shared" si="19"/>
        <v>22.326808166813834</v>
      </c>
      <c r="K278" s="392" t="str">
        <f t="shared" si="18"/>
        <v>A</v>
      </c>
    </row>
    <row r="279" spans="1:11" ht="20.100000000000001" customHeight="1" x14ac:dyDescent="0.25">
      <c r="A279" s="391" t="s">
        <v>2701</v>
      </c>
      <c r="B279" s="15" t="s">
        <v>2702</v>
      </c>
      <c r="C279" s="14" t="s">
        <v>82</v>
      </c>
      <c r="D279" s="14" t="s">
        <v>2443</v>
      </c>
      <c r="E279" s="14" t="s">
        <v>226</v>
      </c>
      <c r="F279" s="23">
        <v>2.04839549712E-4</v>
      </c>
      <c r="G279" s="17">
        <v>955578.35</v>
      </c>
      <c r="H279" s="17">
        <f t="shared" si="16"/>
        <v>195.74</v>
      </c>
      <c r="I279" s="18">
        <f t="shared" si="17"/>
        <v>2.7045293965827248E-3</v>
      </c>
      <c r="J279" s="18">
        <f t="shared" si="19"/>
        <v>22.329512696210415</v>
      </c>
      <c r="K279" s="392" t="str">
        <f t="shared" si="18"/>
        <v>A</v>
      </c>
    </row>
    <row r="280" spans="1:11" ht="15" customHeight="1" x14ac:dyDescent="0.25">
      <c r="A280" s="391" t="s">
        <v>1824</v>
      </c>
      <c r="B280" s="15" t="s">
        <v>1825</v>
      </c>
      <c r="C280" s="14" t="s">
        <v>341</v>
      </c>
      <c r="D280" s="14" t="s">
        <v>1812</v>
      </c>
      <c r="E280" s="14" t="s">
        <v>54</v>
      </c>
      <c r="F280" s="16">
        <v>8.85</v>
      </c>
      <c r="G280" s="17">
        <v>21.85</v>
      </c>
      <c r="H280" s="17">
        <f t="shared" si="16"/>
        <v>193.37</v>
      </c>
      <c r="I280" s="18">
        <f t="shared" si="17"/>
        <v>2.671783229882505E-3</v>
      </c>
      <c r="J280" s="18">
        <f t="shared" si="19"/>
        <v>22.332184479440297</v>
      </c>
      <c r="K280" s="392" t="str">
        <f t="shared" si="18"/>
        <v>A</v>
      </c>
    </row>
    <row r="281" spans="1:11" ht="15" customHeight="1" x14ac:dyDescent="0.25">
      <c r="A281" s="391" t="s">
        <v>2113</v>
      </c>
      <c r="B281" s="15" t="s">
        <v>2114</v>
      </c>
      <c r="C281" s="14" t="s">
        <v>341</v>
      </c>
      <c r="D281" s="14" t="s">
        <v>1812</v>
      </c>
      <c r="E281" s="14" t="s">
        <v>2115</v>
      </c>
      <c r="F281" s="16">
        <v>37.82</v>
      </c>
      <c r="G281" s="17">
        <v>5.1100000000000003</v>
      </c>
      <c r="H281" s="17">
        <f t="shared" si="16"/>
        <v>193.26</v>
      </c>
      <c r="I281" s="18">
        <f t="shared" si="17"/>
        <v>2.6702633656052791E-3</v>
      </c>
      <c r="J281" s="18">
        <f t="shared" si="19"/>
        <v>22.334854742805902</v>
      </c>
      <c r="K281" s="392" t="str">
        <f t="shared" si="18"/>
        <v>A</v>
      </c>
    </row>
    <row r="282" spans="1:11" ht="27.95" customHeight="1" x14ac:dyDescent="0.25">
      <c r="A282" s="391" t="s">
        <v>2855</v>
      </c>
      <c r="B282" s="15" t="s">
        <v>2856</v>
      </c>
      <c r="C282" s="14" t="s">
        <v>82</v>
      </c>
      <c r="D282" s="14" t="s">
        <v>2443</v>
      </c>
      <c r="E282" s="14" t="s">
        <v>226</v>
      </c>
      <c r="F282" s="22">
        <v>1.3322024277E-3</v>
      </c>
      <c r="G282" s="17">
        <v>143750</v>
      </c>
      <c r="H282" s="17">
        <f t="shared" si="16"/>
        <v>191.5</v>
      </c>
      <c r="I282" s="18">
        <f t="shared" si="17"/>
        <v>2.6459455371696731E-3</v>
      </c>
      <c r="J282" s="18">
        <f t="shared" si="19"/>
        <v>22.33750068834307</v>
      </c>
      <c r="K282" s="392" t="str">
        <f t="shared" si="18"/>
        <v>A</v>
      </c>
    </row>
    <row r="283" spans="1:11" ht="20.100000000000001" customHeight="1" x14ac:dyDescent="0.25">
      <c r="A283" s="391" t="s">
        <v>3865</v>
      </c>
      <c r="B283" s="15" t="s">
        <v>3866</v>
      </c>
      <c r="C283" s="14" t="s">
        <v>51</v>
      </c>
      <c r="D283" s="14" t="s">
        <v>1812</v>
      </c>
      <c r="E283" s="14" t="s">
        <v>1817</v>
      </c>
      <c r="F283" s="16">
        <v>5.9861250000000004</v>
      </c>
      <c r="G283" s="17">
        <v>31.52</v>
      </c>
      <c r="H283" s="17">
        <f t="shared" si="16"/>
        <v>188.68</v>
      </c>
      <c r="I283" s="18">
        <f t="shared" si="17"/>
        <v>2.6069817438808041E-3</v>
      </c>
      <c r="J283" s="18">
        <f t="shared" si="19"/>
        <v>22.340107670086951</v>
      </c>
      <c r="K283" s="392" t="str">
        <f t="shared" si="18"/>
        <v>A</v>
      </c>
    </row>
    <row r="284" spans="1:11" ht="20.100000000000001" customHeight="1" x14ac:dyDescent="0.25">
      <c r="A284" s="391" t="s">
        <v>3282</v>
      </c>
      <c r="B284" s="15" t="s">
        <v>3283</v>
      </c>
      <c r="C284" s="14" t="s">
        <v>51</v>
      </c>
      <c r="D284" s="14" t="s">
        <v>1812</v>
      </c>
      <c r="E284" s="14" t="s">
        <v>226</v>
      </c>
      <c r="F284" s="16">
        <v>67.981999999999999</v>
      </c>
      <c r="G284" s="17">
        <v>2.73</v>
      </c>
      <c r="H284" s="17">
        <f t="shared" si="16"/>
        <v>185.59</v>
      </c>
      <c r="I284" s="18">
        <f t="shared" si="17"/>
        <v>2.5642873746387451E-3</v>
      </c>
      <c r="J284" s="18">
        <f t="shared" si="19"/>
        <v>22.34267195746159</v>
      </c>
      <c r="K284" s="392" t="str">
        <f t="shared" si="18"/>
        <v>A</v>
      </c>
    </row>
    <row r="285" spans="1:11" ht="20.100000000000001" customHeight="1" x14ac:dyDescent="0.25">
      <c r="A285" s="391" t="s">
        <v>3506</v>
      </c>
      <c r="B285" s="15" t="s">
        <v>3941</v>
      </c>
      <c r="C285" s="14" t="s">
        <v>194</v>
      </c>
      <c r="D285" s="14" t="s">
        <v>2021</v>
      </c>
      <c r="E285" s="14" t="s">
        <v>2024</v>
      </c>
      <c r="F285" s="16">
        <v>1.8437319177263849</v>
      </c>
      <c r="G285" s="17">
        <v>97.72</v>
      </c>
      <c r="H285" s="17">
        <f t="shared" si="16"/>
        <v>180.17</v>
      </c>
      <c r="I285" s="18">
        <f t="shared" si="17"/>
        <v>2.4893995166154568E-3</v>
      </c>
      <c r="J285" s="18">
        <f t="shared" si="19"/>
        <v>22.345161356978206</v>
      </c>
      <c r="K285" s="392" t="str">
        <f t="shared" si="18"/>
        <v>A</v>
      </c>
    </row>
    <row r="286" spans="1:11" ht="15" customHeight="1" x14ac:dyDescent="0.25">
      <c r="A286" s="391" t="s">
        <v>2144</v>
      </c>
      <c r="B286" s="15" t="s">
        <v>2145</v>
      </c>
      <c r="C286" s="14" t="s">
        <v>341</v>
      </c>
      <c r="D286" s="14" t="s">
        <v>1812</v>
      </c>
      <c r="E286" s="14" t="s">
        <v>579</v>
      </c>
      <c r="F286" s="16">
        <v>16</v>
      </c>
      <c r="G286" s="17">
        <v>11.04</v>
      </c>
      <c r="H286" s="17">
        <f t="shared" si="16"/>
        <v>176.64</v>
      </c>
      <c r="I286" s="18">
        <f t="shared" si="17"/>
        <v>2.4406256902644963E-3</v>
      </c>
      <c r="J286" s="18">
        <f t="shared" si="19"/>
        <v>22.347601982668472</v>
      </c>
      <c r="K286" s="392" t="str">
        <f t="shared" si="18"/>
        <v>A</v>
      </c>
    </row>
    <row r="287" spans="1:11" ht="20.100000000000001" customHeight="1" x14ac:dyDescent="0.25">
      <c r="A287" s="391" t="s">
        <v>3707</v>
      </c>
      <c r="B287" s="15" t="s">
        <v>3708</v>
      </c>
      <c r="C287" s="14" t="s">
        <v>82</v>
      </c>
      <c r="D287" s="14" t="s">
        <v>1812</v>
      </c>
      <c r="E287" s="14" t="s">
        <v>226</v>
      </c>
      <c r="F287" s="16">
        <v>3</v>
      </c>
      <c r="G287" s="17">
        <v>58.81</v>
      </c>
      <c r="H287" s="17">
        <f t="shared" si="16"/>
        <v>176.43</v>
      </c>
      <c r="I287" s="18">
        <f t="shared" si="17"/>
        <v>2.4377241311897935E-3</v>
      </c>
      <c r="J287" s="18">
        <f t="shared" si="19"/>
        <v>22.350039706799663</v>
      </c>
      <c r="K287" s="392" t="str">
        <f t="shared" si="18"/>
        <v>A</v>
      </c>
    </row>
    <row r="288" spans="1:11" ht="20.100000000000001" customHeight="1" x14ac:dyDescent="0.25">
      <c r="A288" s="391" t="s">
        <v>1870</v>
      </c>
      <c r="B288" s="15" t="s">
        <v>1871</v>
      </c>
      <c r="C288" s="14" t="s">
        <v>1859</v>
      </c>
      <c r="D288" s="14" t="s">
        <v>1812</v>
      </c>
      <c r="E288" s="14" t="s">
        <v>188</v>
      </c>
      <c r="F288" s="16">
        <v>30.318750000000001</v>
      </c>
      <c r="G288" s="17">
        <v>5.62</v>
      </c>
      <c r="H288" s="17">
        <f t="shared" si="16"/>
        <v>170.39</v>
      </c>
      <c r="I288" s="18">
        <f t="shared" si="17"/>
        <v>2.354269765422144E-3</v>
      </c>
      <c r="J288" s="18">
        <f t="shared" si="19"/>
        <v>22.352393976565086</v>
      </c>
      <c r="K288" s="392" t="str">
        <f t="shared" si="18"/>
        <v>A</v>
      </c>
    </row>
    <row r="289" spans="1:11" ht="15" customHeight="1" x14ac:dyDescent="0.25">
      <c r="A289" s="391" t="s">
        <v>2587</v>
      </c>
      <c r="B289" s="15" t="s">
        <v>2588</v>
      </c>
      <c r="C289" s="14" t="s">
        <v>82</v>
      </c>
      <c r="D289" s="14" t="s">
        <v>1827</v>
      </c>
      <c r="E289" s="14" t="s">
        <v>1024</v>
      </c>
      <c r="F289" s="16">
        <v>7.9485364650800001</v>
      </c>
      <c r="G289" s="17">
        <v>21.39</v>
      </c>
      <c r="H289" s="17">
        <f t="shared" si="16"/>
        <v>170.02</v>
      </c>
      <c r="I289" s="18">
        <f t="shared" si="17"/>
        <v>2.3491574946714767E-3</v>
      </c>
      <c r="J289" s="18">
        <f t="shared" si="19"/>
        <v>22.354743134059756</v>
      </c>
      <c r="K289" s="392" t="str">
        <f t="shared" si="18"/>
        <v>A</v>
      </c>
    </row>
    <row r="290" spans="1:11" ht="20.100000000000001" customHeight="1" x14ac:dyDescent="0.25">
      <c r="A290" s="391" t="s">
        <v>3503</v>
      </c>
      <c r="B290" s="15" t="s">
        <v>3504</v>
      </c>
      <c r="C290" s="14" t="s">
        <v>51</v>
      </c>
      <c r="D290" s="14" t="s">
        <v>1812</v>
      </c>
      <c r="E290" s="14" t="s">
        <v>188</v>
      </c>
      <c r="F290" s="16">
        <v>5.5</v>
      </c>
      <c r="G290" s="17">
        <v>30.48</v>
      </c>
      <c r="H290" s="17">
        <f t="shared" si="16"/>
        <v>167.64</v>
      </c>
      <c r="I290" s="18">
        <f t="shared" si="17"/>
        <v>2.3162731584915092E-3</v>
      </c>
      <c r="J290" s="18">
        <f t="shared" si="19"/>
        <v>22.357059407218248</v>
      </c>
      <c r="K290" s="392" t="str">
        <f t="shared" si="18"/>
        <v>A</v>
      </c>
    </row>
    <row r="291" spans="1:11" ht="20.100000000000001" customHeight="1" x14ac:dyDescent="0.25">
      <c r="A291" s="391" t="s">
        <v>3084</v>
      </c>
      <c r="B291" s="15" t="s">
        <v>3085</v>
      </c>
      <c r="C291" s="14" t="s">
        <v>194</v>
      </c>
      <c r="D291" s="14" t="s">
        <v>1827</v>
      </c>
      <c r="E291" s="14" t="s">
        <v>1935</v>
      </c>
      <c r="F291" s="16">
        <v>7.0655905149562788</v>
      </c>
      <c r="G291" s="17">
        <v>23.17</v>
      </c>
      <c r="H291" s="17">
        <f t="shared" si="16"/>
        <v>163.71</v>
      </c>
      <c r="I291" s="18">
        <f t="shared" si="17"/>
        <v>2.2619725529506381E-3</v>
      </c>
      <c r="J291" s="18">
        <f t="shared" si="19"/>
        <v>22.359321379771199</v>
      </c>
      <c r="K291" s="392" t="str">
        <f t="shared" si="18"/>
        <v>A</v>
      </c>
    </row>
    <row r="292" spans="1:11" ht="20.100000000000001" customHeight="1" x14ac:dyDescent="0.25">
      <c r="A292" s="391" t="s">
        <v>3292</v>
      </c>
      <c r="B292" s="15" t="s">
        <v>3293</v>
      </c>
      <c r="C292" s="14" t="s">
        <v>51</v>
      </c>
      <c r="D292" s="14" t="s">
        <v>1812</v>
      </c>
      <c r="E292" s="14" t="s">
        <v>188</v>
      </c>
      <c r="F292" s="16">
        <v>38.557200000000002</v>
      </c>
      <c r="G292" s="17">
        <v>4.13</v>
      </c>
      <c r="H292" s="17">
        <f t="shared" si="16"/>
        <v>159.24</v>
      </c>
      <c r="I292" s="18">
        <f t="shared" si="17"/>
        <v>2.2002107955033882E-3</v>
      </c>
      <c r="J292" s="18">
        <f t="shared" si="19"/>
        <v>22.361521590566703</v>
      </c>
      <c r="K292" s="392" t="str">
        <f t="shared" si="18"/>
        <v>A</v>
      </c>
    </row>
    <row r="293" spans="1:11" ht="20.100000000000001" customHeight="1" x14ac:dyDescent="0.25">
      <c r="A293" s="391" t="s">
        <v>2635</v>
      </c>
      <c r="B293" s="15" t="s">
        <v>2636</v>
      </c>
      <c r="C293" s="14" t="s">
        <v>2206</v>
      </c>
      <c r="D293" s="14" t="s">
        <v>1827</v>
      </c>
      <c r="E293" s="14" t="s">
        <v>1935</v>
      </c>
      <c r="F293" s="16">
        <v>6.0780905329570203</v>
      </c>
      <c r="G293" s="17">
        <v>25.86</v>
      </c>
      <c r="H293" s="17">
        <f t="shared" si="16"/>
        <v>157.18</v>
      </c>
      <c r="I293" s="18">
        <f t="shared" si="17"/>
        <v>2.1717478826753485E-3</v>
      </c>
      <c r="J293" s="18">
        <f t="shared" si="19"/>
        <v>22.363693338449377</v>
      </c>
      <c r="K293" s="392" t="str">
        <f t="shared" si="18"/>
        <v>A</v>
      </c>
    </row>
    <row r="294" spans="1:11" ht="15" customHeight="1" x14ac:dyDescent="0.25">
      <c r="A294" s="391" t="s">
        <v>2188</v>
      </c>
      <c r="B294" s="15" t="s">
        <v>2189</v>
      </c>
      <c r="C294" s="14" t="s">
        <v>82</v>
      </c>
      <c r="D294" s="14" t="s">
        <v>1812</v>
      </c>
      <c r="E294" s="14" t="s">
        <v>188</v>
      </c>
      <c r="F294" s="16">
        <v>27.445599999999999</v>
      </c>
      <c r="G294" s="17">
        <v>5.64</v>
      </c>
      <c r="H294" s="17">
        <f t="shared" si="16"/>
        <v>154.79</v>
      </c>
      <c r="I294" s="18">
        <f t="shared" si="17"/>
        <v>2.1387253770156329E-3</v>
      </c>
      <c r="J294" s="18">
        <f t="shared" si="19"/>
        <v>22.365832063826392</v>
      </c>
      <c r="K294" s="392" t="str">
        <f t="shared" si="18"/>
        <v>A</v>
      </c>
    </row>
    <row r="295" spans="1:11" ht="15" customHeight="1" x14ac:dyDescent="0.25">
      <c r="A295" s="391" t="s">
        <v>2567</v>
      </c>
      <c r="B295" s="15" t="s">
        <v>2568</v>
      </c>
      <c r="C295" s="14" t="s">
        <v>82</v>
      </c>
      <c r="D295" s="14" t="s">
        <v>1812</v>
      </c>
      <c r="E295" s="14" t="s">
        <v>1817</v>
      </c>
      <c r="F295" s="16">
        <v>17.399249999999999</v>
      </c>
      <c r="G295" s="17">
        <v>8.89</v>
      </c>
      <c r="H295" s="17">
        <f t="shared" si="16"/>
        <v>154.68</v>
      </c>
      <c r="I295" s="18">
        <f t="shared" si="17"/>
        <v>2.1372055127384078E-3</v>
      </c>
      <c r="J295" s="18">
        <f t="shared" si="19"/>
        <v>22.367969269339131</v>
      </c>
      <c r="K295" s="392" t="str">
        <f t="shared" si="18"/>
        <v>A</v>
      </c>
    </row>
    <row r="296" spans="1:11" ht="15" customHeight="1" x14ac:dyDescent="0.25">
      <c r="A296" s="391" t="s">
        <v>2473</v>
      </c>
      <c r="B296" s="15" t="s">
        <v>2474</v>
      </c>
      <c r="C296" s="14" t="s">
        <v>82</v>
      </c>
      <c r="D296" s="14" t="s">
        <v>1812</v>
      </c>
      <c r="E296" s="14" t="s">
        <v>226</v>
      </c>
      <c r="F296" s="16">
        <v>26.505120000000002</v>
      </c>
      <c r="G296" s="17">
        <v>5.6</v>
      </c>
      <c r="H296" s="17">
        <f t="shared" si="16"/>
        <v>148.43</v>
      </c>
      <c r="I296" s="18">
        <f t="shared" si="17"/>
        <v>2.0508495878960556E-3</v>
      </c>
      <c r="J296" s="18">
        <f t="shared" si="19"/>
        <v>22.370020118927027</v>
      </c>
      <c r="K296" s="392" t="str">
        <f t="shared" si="18"/>
        <v>A</v>
      </c>
    </row>
    <row r="297" spans="1:11" ht="20.100000000000001" customHeight="1" x14ac:dyDescent="0.25">
      <c r="A297" s="391" t="s">
        <v>3557</v>
      </c>
      <c r="B297" s="15" t="s">
        <v>3558</v>
      </c>
      <c r="C297" s="14" t="s">
        <v>51</v>
      </c>
      <c r="D297" s="14" t="s">
        <v>1812</v>
      </c>
      <c r="E297" s="14" t="s">
        <v>226</v>
      </c>
      <c r="F297" s="16">
        <v>1</v>
      </c>
      <c r="G297" s="17">
        <v>146.44999999999999</v>
      </c>
      <c r="H297" s="17">
        <f t="shared" si="16"/>
        <v>146.44999999999999</v>
      </c>
      <c r="I297" s="18">
        <f t="shared" si="17"/>
        <v>2.0234920309059978E-3</v>
      </c>
      <c r="J297" s="18">
        <f t="shared" si="19"/>
        <v>22.372043610957931</v>
      </c>
      <c r="K297" s="392" t="str">
        <f t="shared" si="18"/>
        <v>A</v>
      </c>
    </row>
    <row r="298" spans="1:11" ht="20.100000000000001" customHeight="1" x14ac:dyDescent="0.25">
      <c r="A298" s="391" t="s">
        <v>3809</v>
      </c>
      <c r="B298" s="15" t="s">
        <v>3810</v>
      </c>
      <c r="C298" s="14" t="s">
        <v>51</v>
      </c>
      <c r="D298" s="14" t="s">
        <v>1812</v>
      </c>
      <c r="E298" s="14" t="s">
        <v>188</v>
      </c>
      <c r="F298" s="16">
        <v>23.0214</v>
      </c>
      <c r="G298" s="17">
        <v>6.29</v>
      </c>
      <c r="H298" s="17">
        <f t="shared" si="16"/>
        <v>144.80000000000001</v>
      </c>
      <c r="I298" s="18">
        <f t="shared" si="17"/>
        <v>2.0006940667476173E-3</v>
      </c>
      <c r="J298" s="18">
        <f t="shared" si="19"/>
        <v>22.374044305024679</v>
      </c>
      <c r="K298" s="392" t="str">
        <f t="shared" si="18"/>
        <v>A</v>
      </c>
    </row>
    <row r="299" spans="1:11" ht="20.100000000000001" customHeight="1" x14ac:dyDescent="0.25">
      <c r="A299" s="391" t="s">
        <v>3351</v>
      </c>
      <c r="B299" s="15" t="s">
        <v>3352</v>
      </c>
      <c r="C299" s="14" t="s">
        <v>51</v>
      </c>
      <c r="D299" s="14" t="s">
        <v>1812</v>
      </c>
      <c r="E299" s="14" t="s">
        <v>226</v>
      </c>
      <c r="F299" s="16">
        <v>10.06</v>
      </c>
      <c r="G299" s="17">
        <v>14.1</v>
      </c>
      <c r="H299" s="17">
        <f t="shared" si="16"/>
        <v>141.85</v>
      </c>
      <c r="I299" s="18">
        <f t="shared" si="17"/>
        <v>1.959934070222027E-3</v>
      </c>
      <c r="J299" s="18">
        <f t="shared" si="19"/>
        <v>22.3760042390949</v>
      </c>
      <c r="K299" s="392" t="str">
        <f t="shared" si="18"/>
        <v>A</v>
      </c>
    </row>
    <row r="300" spans="1:11" ht="20.100000000000001" customHeight="1" x14ac:dyDescent="0.25">
      <c r="A300" s="391" t="s">
        <v>3582</v>
      </c>
      <c r="B300" s="15" t="s">
        <v>3583</v>
      </c>
      <c r="C300" s="14" t="s">
        <v>51</v>
      </c>
      <c r="D300" s="14" t="s">
        <v>1812</v>
      </c>
      <c r="E300" s="14" t="s">
        <v>226</v>
      </c>
      <c r="F300" s="16">
        <v>1</v>
      </c>
      <c r="G300" s="17">
        <v>141.79</v>
      </c>
      <c r="H300" s="17">
        <f t="shared" si="16"/>
        <v>141.79</v>
      </c>
      <c r="I300" s="18">
        <f t="shared" si="17"/>
        <v>1.9591050533435401E-3</v>
      </c>
      <c r="J300" s="18">
        <f t="shared" si="19"/>
        <v>22.377963344148245</v>
      </c>
      <c r="K300" s="392" t="str">
        <f t="shared" si="18"/>
        <v>A</v>
      </c>
    </row>
    <row r="301" spans="1:11" ht="15" customHeight="1" x14ac:dyDescent="0.25">
      <c r="A301" s="391" t="s">
        <v>2564</v>
      </c>
      <c r="B301" s="15" t="s">
        <v>2565</v>
      </c>
      <c r="C301" s="14" t="s">
        <v>82</v>
      </c>
      <c r="D301" s="14" t="s">
        <v>1812</v>
      </c>
      <c r="E301" s="14" t="s">
        <v>188</v>
      </c>
      <c r="F301" s="16">
        <v>2.0474999999999999</v>
      </c>
      <c r="G301" s="17">
        <v>68.5</v>
      </c>
      <c r="H301" s="17">
        <f t="shared" si="16"/>
        <v>140.25</v>
      </c>
      <c r="I301" s="18">
        <f t="shared" si="17"/>
        <v>1.9378269534623847E-3</v>
      </c>
      <c r="J301" s="18">
        <f t="shared" si="19"/>
        <v>22.379901171101707</v>
      </c>
      <c r="K301" s="392" t="str">
        <f t="shared" si="18"/>
        <v>A</v>
      </c>
    </row>
    <row r="302" spans="1:11" ht="20.100000000000001" customHeight="1" x14ac:dyDescent="0.25">
      <c r="A302" s="391" t="s">
        <v>3377</v>
      </c>
      <c r="B302" s="15" t="s">
        <v>3378</v>
      </c>
      <c r="C302" s="14" t="s">
        <v>51</v>
      </c>
      <c r="D302" s="14" t="s">
        <v>1812</v>
      </c>
      <c r="E302" s="14" t="s">
        <v>226</v>
      </c>
      <c r="F302" s="16">
        <v>1.0149999999999999</v>
      </c>
      <c r="G302" s="17">
        <v>133.27000000000001</v>
      </c>
      <c r="H302" s="17">
        <f t="shared" si="16"/>
        <v>135.27000000000001</v>
      </c>
      <c r="I302" s="18">
        <f t="shared" si="17"/>
        <v>1.8690185525479983E-3</v>
      </c>
      <c r="J302" s="18">
        <f t="shared" si="19"/>
        <v>22.381770189654254</v>
      </c>
      <c r="K302" s="392" t="str">
        <f t="shared" si="18"/>
        <v>A</v>
      </c>
    </row>
    <row r="303" spans="1:11" ht="20.100000000000001" customHeight="1" x14ac:dyDescent="0.25">
      <c r="A303" s="391" t="s">
        <v>3369</v>
      </c>
      <c r="B303" s="15" t="s">
        <v>3370</v>
      </c>
      <c r="C303" s="14" t="s">
        <v>51</v>
      </c>
      <c r="D303" s="14" t="s">
        <v>1812</v>
      </c>
      <c r="E303" s="14" t="s">
        <v>226</v>
      </c>
      <c r="F303" s="16">
        <v>1.0149999999999999</v>
      </c>
      <c r="G303" s="17">
        <v>132.61000000000001</v>
      </c>
      <c r="H303" s="17">
        <f t="shared" si="16"/>
        <v>134.6</v>
      </c>
      <c r="I303" s="18">
        <f t="shared" si="17"/>
        <v>1.8597611974048979E-3</v>
      </c>
      <c r="J303" s="18">
        <f t="shared" si="19"/>
        <v>22.38362995085166</v>
      </c>
      <c r="K303" s="392" t="str">
        <f t="shared" si="18"/>
        <v>A</v>
      </c>
    </row>
    <row r="304" spans="1:11" ht="15" customHeight="1" x14ac:dyDescent="0.25">
      <c r="A304" s="391" t="s">
        <v>2629</v>
      </c>
      <c r="B304" s="15" t="s">
        <v>2630</v>
      </c>
      <c r="C304" s="14" t="s">
        <v>82</v>
      </c>
      <c r="D304" s="14" t="s">
        <v>1827</v>
      </c>
      <c r="E304" s="14" t="s">
        <v>1024</v>
      </c>
      <c r="F304" s="16">
        <v>5.0619831197999998</v>
      </c>
      <c r="G304" s="17">
        <v>26.02</v>
      </c>
      <c r="H304" s="17">
        <f t="shared" si="16"/>
        <v>131.71</v>
      </c>
      <c r="I304" s="18">
        <f t="shared" si="17"/>
        <v>1.8198302177577948E-3</v>
      </c>
      <c r="J304" s="18">
        <f t="shared" si="19"/>
        <v>22.385449781069418</v>
      </c>
      <c r="K304" s="392" t="str">
        <f t="shared" si="18"/>
        <v>A</v>
      </c>
    </row>
    <row r="305" spans="1:11" ht="15" customHeight="1" x14ac:dyDescent="0.25">
      <c r="A305" s="391" t="s">
        <v>3630</v>
      </c>
      <c r="B305" s="15" t="s">
        <v>3631</v>
      </c>
      <c r="C305" s="14" t="s">
        <v>341</v>
      </c>
      <c r="D305" s="14" t="s">
        <v>1812</v>
      </c>
      <c r="E305" s="14" t="s">
        <v>1951</v>
      </c>
      <c r="F305" s="16">
        <v>26.88</v>
      </c>
      <c r="G305" s="17">
        <v>4.84</v>
      </c>
      <c r="H305" s="17">
        <f t="shared" si="16"/>
        <v>130.1</v>
      </c>
      <c r="I305" s="18">
        <f t="shared" si="17"/>
        <v>1.7975849315184046E-3</v>
      </c>
      <c r="J305" s="18">
        <f t="shared" si="19"/>
        <v>22.387247366000938</v>
      </c>
      <c r="K305" s="392" t="str">
        <f t="shared" si="18"/>
        <v>A</v>
      </c>
    </row>
    <row r="306" spans="1:11" ht="20.100000000000001" customHeight="1" x14ac:dyDescent="0.25">
      <c r="A306" s="391" t="s">
        <v>3574</v>
      </c>
      <c r="B306" s="15" t="s">
        <v>3575</v>
      </c>
      <c r="C306" s="14" t="s">
        <v>51</v>
      </c>
      <c r="D306" s="14" t="s">
        <v>1812</v>
      </c>
      <c r="E306" s="14" t="s">
        <v>226</v>
      </c>
      <c r="F306" s="16">
        <v>1</v>
      </c>
      <c r="G306" s="17">
        <v>129.9</v>
      </c>
      <c r="H306" s="17">
        <f t="shared" si="16"/>
        <v>129.9</v>
      </c>
      <c r="I306" s="18">
        <f t="shared" si="17"/>
        <v>1.7948215419234495E-3</v>
      </c>
      <c r="J306" s="18">
        <f t="shared" si="19"/>
        <v>22.389042187542863</v>
      </c>
      <c r="K306" s="392" t="str">
        <f t="shared" si="18"/>
        <v>A</v>
      </c>
    </row>
    <row r="307" spans="1:11" ht="15" customHeight="1" x14ac:dyDescent="0.25">
      <c r="A307" s="391" t="s">
        <v>3824</v>
      </c>
      <c r="B307" s="15" t="s">
        <v>3825</v>
      </c>
      <c r="C307" s="14" t="s">
        <v>82</v>
      </c>
      <c r="D307" s="14" t="s">
        <v>1812</v>
      </c>
      <c r="E307" s="14" t="s">
        <v>226</v>
      </c>
      <c r="F307" s="16">
        <v>6</v>
      </c>
      <c r="G307" s="17">
        <v>21.57</v>
      </c>
      <c r="H307" s="17">
        <f t="shared" si="16"/>
        <v>129.41999999999999</v>
      </c>
      <c r="I307" s="18">
        <f t="shared" si="17"/>
        <v>1.7881894068955567E-3</v>
      </c>
      <c r="J307" s="18">
        <f t="shared" si="19"/>
        <v>22.390830376949758</v>
      </c>
      <c r="K307" s="392" t="str">
        <f t="shared" si="18"/>
        <v>A</v>
      </c>
    </row>
    <row r="308" spans="1:11" ht="20.100000000000001" customHeight="1" x14ac:dyDescent="0.25">
      <c r="A308" s="391" t="s">
        <v>3337</v>
      </c>
      <c r="B308" s="15" t="s">
        <v>3338</v>
      </c>
      <c r="C308" s="14" t="s">
        <v>51</v>
      </c>
      <c r="D308" s="14" t="s">
        <v>1812</v>
      </c>
      <c r="E308" s="14" t="s">
        <v>226</v>
      </c>
      <c r="F308" s="16">
        <v>37.315460000000002</v>
      </c>
      <c r="G308" s="17">
        <v>3.43</v>
      </c>
      <c r="H308" s="17">
        <f t="shared" si="16"/>
        <v>127.99</v>
      </c>
      <c r="I308" s="18">
        <f t="shared" si="17"/>
        <v>1.7684311712916263E-3</v>
      </c>
      <c r="J308" s="18">
        <f t="shared" si="19"/>
        <v>22.392598808121051</v>
      </c>
      <c r="K308" s="392" t="str">
        <f t="shared" si="18"/>
        <v>A</v>
      </c>
    </row>
    <row r="309" spans="1:11" ht="15" customHeight="1" x14ac:dyDescent="0.25">
      <c r="A309" s="391" t="s">
        <v>2126</v>
      </c>
      <c r="B309" s="15" t="s">
        <v>2127</v>
      </c>
      <c r="C309" s="14" t="s">
        <v>82</v>
      </c>
      <c r="D309" s="14" t="s">
        <v>1812</v>
      </c>
      <c r="E309" s="14" t="s">
        <v>85</v>
      </c>
      <c r="F309" s="16">
        <v>1.4</v>
      </c>
      <c r="G309" s="17">
        <v>91.17</v>
      </c>
      <c r="H309" s="17">
        <f t="shared" si="16"/>
        <v>127.64</v>
      </c>
      <c r="I309" s="18">
        <f t="shared" si="17"/>
        <v>1.7635952395004546E-3</v>
      </c>
      <c r="J309" s="18">
        <f t="shared" si="19"/>
        <v>22.39436240336055</v>
      </c>
      <c r="K309" s="392" t="str">
        <f t="shared" si="18"/>
        <v>A</v>
      </c>
    </row>
    <row r="310" spans="1:11" ht="15" customHeight="1" x14ac:dyDescent="0.25">
      <c r="A310" s="391" t="s">
        <v>3666</v>
      </c>
      <c r="B310" s="15" t="s">
        <v>3667</v>
      </c>
      <c r="C310" s="14" t="s">
        <v>341</v>
      </c>
      <c r="D310" s="14" t="s">
        <v>1812</v>
      </c>
      <c r="E310" s="14" t="s">
        <v>89</v>
      </c>
      <c r="F310" s="16">
        <v>1.272</v>
      </c>
      <c r="G310" s="17">
        <v>100</v>
      </c>
      <c r="H310" s="17">
        <f t="shared" si="16"/>
        <v>127.2</v>
      </c>
      <c r="I310" s="18">
        <f t="shared" si="17"/>
        <v>1.7575157823915531E-3</v>
      </c>
      <c r="J310" s="18">
        <f t="shared" si="19"/>
        <v>22.39611991914294</v>
      </c>
      <c r="K310" s="392" t="str">
        <f t="shared" si="18"/>
        <v>A</v>
      </c>
    </row>
    <row r="311" spans="1:11" ht="20.100000000000001" customHeight="1" x14ac:dyDescent="0.25">
      <c r="A311" s="391" t="s">
        <v>3516</v>
      </c>
      <c r="B311" s="15" t="s">
        <v>3942</v>
      </c>
      <c r="C311" s="14" t="s">
        <v>194</v>
      </c>
      <c r="D311" s="14" t="s">
        <v>2021</v>
      </c>
      <c r="E311" s="14" t="s">
        <v>2024</v>
      </c>
      <c r="F311" s="16">
        <v>1.7776293103448262</v>
      </c>
      <c r="G311" s="17">
        <v>70.84</v>
      </c>
      <c r="H311" s="17">
        <f t="shared" si="16"/>
        <v>125.93</v>
      </c>
      <c r="I311" s="18">
        <f t="shared" si="17"/>
        <v>1.7399682584635873E-3</v>
      </c>
      <c r="J311" s="18">
        <f t="shared" si="19"/>
        <v>22.397859887401403</v>
      </c>
      <c r="K311" s="392" t="str">
        <f t="shared" si="18"/>
        <v>A</v>
      </c>
    </row>
    <row r="312" spans="1:11" ht="15" customHeight="1" x14ac:dyDescent="0.25">
      <c r="A312" s="391" t="s">
        <v>2573</v>
      </c>
      <c r="B312" s="15" t="s">
        <v>2574</v>
      </c>
      <c r="C312" s="14" t="s">
        <v>82</v>
      </c>
      <c r="D312" s="14" t="s">
        <v>1812</v>
      </c>
      <c r="E312" s="14" t="s">
        <v>1817</v>
      </c>
      <c r="F312" s="16">
        <v>13.4178</v>
      </c>
      <c r="G312" s="17">
        <v>8.41</v>
      </c>
      <c r="H312" s="17">
        <f t="shared" si="16"/>
        <v>112.84</v>
      </c>
      <c r="I312" s="18">
        <f t="shared" si="17"/>
        <v>1.5591044094737647E-3</v>
      </c>
      <c r="J312" s="18">
        <f t="shared" si="19"/>
        <v>22.399418991810876</v>
      </c>
      <c r="K312" s="392" t="str">
        <f t="shared" si="18"/>
        <v>A</v>
      </c>
    </row>
    <row r="313" spans="1:11" ht="20.100000000000001" customHeight="1" x14ac:dyDescent="0.25">
      <c r="A313" s="391" t="s">
        <v>3603</v>
      </c>
      <c r="B313" s="15" t="s">
        <v>3604</v>
      </c>
      <c r="C313" s="14" t="s">
        <v>51</v>
      </c>
      <c r="D313" s="14" t="s">
        <v>1812</v>
      </c>
      <c r="E313" s="14" t="s">
        <v>226</v>
      </c>
      <c r="F313" s="16">
        <v>2.64</v>
      </c>
      <c r="G313" s="17">
        <v>42.69</v>
      </c>
      <c r="H313" s="17">
        <f t="shared" si="16"/>
        <v>112.7</v>
      </c>
      <c r="I313" s="18">
        <f t="shared" si="17"/>
        <v>1.5571700367572959E-3</v>
      </c>
      <c r="J313" s="18">
        <f t="shared" si="19"/>
        <v>22.400976161847634</v>
      </c>
      <c r="K313" s="392" t="str">
        <f t="shared" si="18"/>
        <v>A</v>
      </c>
    </row>
    <row r="314" spans="1:11" ht="15" customHeight="1" x14ac:dyDescent="0.25">
      <c r="A314" s="391" t="s">
        <v>3562</v>
      </c>
      <c r="B314" s="15" t="s">
        <v>3563</v>
      </c>
      <c r="C314" s="14" t="s">
        <v>82</v>
      </c>
      <c r="D314" s="14" t="s">
        <v>1812</v>
      </c>
      <c r="E314" s="14" t="s">
        <v>226</v>
      </c>
      <c r="F314" s="16">
        <v>2</v>
      </c>
      <c r="G314" s="17">
        <v>56.11</v>
      </c>
      <c r="H314" s="17">
        <f t="shared" si="16"/>
        <v>112.22</v>
      </c>
      <c r="I314" s="18">
        <f t="shared" si="17"/>
        <v>1.5505379017294032E-3</v>
      </c>
      <c r="J314" s="18">
        <f t="shared" si="19"/>
        <v>22.402526699749362</v>
      </c>
      <c r="K314" s="392" t="str">
        <f t="shared" si="18"/>
        <v>A</v>
      </c>
    </row>
    <row r="315" spans="1:11" ht="20.100000000000001" customHeight="1" x14ac:dyDescent="0.25">
      <c r="A315" s="391" t="s">
        <v>1887</v>
      </c>
      <c r="B315" s="15" t="s">
        <v>1888</v>
      </c>
      <c r="C315" s="14" t="s">
        <v>51</v>
      </c>
      <c r="D315" s="14" t="s">
        <v>1812</v>
      </c>
      <c r="E315" s="14" t="s">
        <v>1817</v>
      </c>
      <c r="F315" s="16">
        <v>6.8118400000000001</v>
      </c>
      <c r="G315" s="17">
        <v>16.46</v>
      </c>
      <c r="H315" s="17">
        <f t="shared" si="16"/>
        <v>112.12</v>
      </c>
      <c r="I315" s="18">
        <f t="shared" si="17"/>
        <v>1.5491562069319257E-3</v>
      </c>
      <c r="J315" s="18">
        <f t="shared" si="19"/>
        <v>22.404075855956293</v>
      </c>
      <c r="K315" s="392" t="str">
        <f t="shared" si="18"/>
        <v>A</v>
      </c>
    </row>
    <row r="316" spans="1:11" ht="15" customHeight="1" x14ac:dyDescent="0.25">
      <c r="A316" s="391" t="s">
        <v>2168</v>
      </c>
      <c r="B316" s="15" t="s">
        <v>2169</v>
      </c>
      <c r="C316" s="14" t="s">
        <v>341</v>
      </c>
      <c r="D316" s="14" t="s">
        <v>1812</v>
      </c>
      <c r="E316" s="14" t="s">
        <v>1951</v>
      </c>
      <c r="F316" s="16">
        <v>5.24</v>
      </c>
      <c r="G316" s="17">
        <v>21.33</v>
      </c>
      <c r="H316" s="17">
        <f t="shared" si="16"/>
        <v>111.77</v>
      </c>
      <c r="I316" s="18">
        <f t="shared" si="17"/>
        <v>1.544320275140754E-3</v>
      </c>
      <c r="J316" s="18">
        <f t="shared" si="19"/>
        <v>22.405620176231434</v>
      </c>
      <c r="K316" s="392" t="str">
        <f t="shared" si="18"/>
        <v>A</v>
      </c>
    </row>
    <row r="317" spans="1:11" ht="27.95" customHeight="1" x14ac:dyDescent="0.25">
      <c r="A317" s="391" t="s">
        <v>2750</v>
      </c>
      <c r="B317" s="15" t="s">
        <v>2751</v>
      </c>
      <c r="C317" s="14" t="s">
        <v>341</v>
      </c>
      <c r="D317" s="14" t="s">
        <v>1932</v>
      </c>
      <c r="E317" s="14" t="s">
        <v>579</v>
      </c>
      <c r="F317" s="28">
        <v>0.1138696</v>
      </c>
      <c r="G317" s="17">
        <v>979.65</v>
      </c>
      <c r="H317" s="17">
        <f t="shared" si="16"/>
        <v>111.55</v>
      </c>
      <c r="I317" s="18">
        <f t="shared" si="17"/>
        <v>1.5412805465863033E-3</v>
      </c>
      <c r="J317" s="18">
        <f t="shared" si="19"/>
        <v>22.40716145677802</v>
      </c>
      <c r="K317" s="392" t="str">
        <f t="shared" si="18"/>
        <v>A</v>
      </c>
    </row>
    <row r="318" spans="1:11" ht="15" customHeight="1" x14ac:dyDescent="0.25">
      <c r="A318" s="391" t="s">
        <v>1820</v>
      </c>
      <c r="B318" s="15" t="s">
        <v>1821</v>
      </c>
      <c r="C318" s="14" t="s">
        <v>341</v>
      </c>
      <c r="D318" s="14" t="s">
        <v>1812</v>
      </c>
      <c r="E318" s="14" t="s">
        <v>72</v>
      </c>
      <c r="F318" s="16">
        <v>16.5</v>
      </c>
      <c r="G318" s="17">
        <v>6.69</v>
      </c>
      <c r="H318" s="17">
        <f t="shared" si="16"/>
        <v>110.39</v>
      </c>
      <c r="I318" s="18">
        <f t="shared" si="17"/>
        <v>1.5252528869355625E-3</v>
      </c>
      <c r="J318" s="18">
        <f t="shared" si="19"/>
        <v>22.408686709664956</v>
      </c>
      <c r="K318" s="392" t="str">
        <f t="shared" si="18"/>
        <v>A</v>
      </c>
    </row>
    <row r="319" spans="1:11" ht="20.100000000000001" customHeight="1" x14ac:dyDescent="0.25">
      <c r="A319" s="391" t="s">
        <v>3080</v>
      </c>
      <c r="B319" s="15" t="s">
        <v>3943</v>
      </c>
      <c r="C319" s="14" t="s">
        <v>194</v>
      </c>
      <c r="D319" s="14" t="s">
        <v>2021</v>
      </c>
      <c r="E319" s="14" t="s">
        <v>2027</v>
      </c>
      <c r="F319" s="16">
        <v>1.0131648701184</v>
      </c>
      <c r="G319" s="17">
        <v>108.86</v>
      </c>
      <c r="H319" s="17">
        <f t="shared" si="16"/>
        <v>110.29</v>
      </c>
      <c r="I319" s="18">
        <f t="shared" si="17"/>
        <v>1.5238711921380849E-3</v>
      </c>
      <c r="J319" s="18">
        <f t="shared" si="19"/>
        <v>22.410210580857093</v>
      </c>
      <c r="K319" s="392" t="str">
        <f t="shared" si="18"/>
        <v>A</v>
      </c>
    </row>
    <row r="320" spans="1:11" ht="20.100000000000001" customHeight="1" x14ac:dyDescent="0.25">
      <c r="A320" s="391" t="s">
        <v>3565</v>
      </c>
      <c r="B320" s="15" t="s">
        <v>3566</v>
      </c>
      <c r="C320" s="14" t="s">
        <v>82</v>
      </c>
      <c r="D320" s="14" t="s">
        <v>1812</v>
      </c>
      <c r="E320" s="14" t="s">
        <v>226</v>
      </c>
      <c r="F320" s="16">
        <v>2</v>
      </c>
      <c r="G320" s="17">
        <v>53.9</v>
      </c>
      <c r="H320" s="17">
        <f t="shared" si="16"/>
        <v>107.8</v>
      </c>
      <c r="I320" s="18">
        <f t="shared" si="17"/>
        <v>1.4894669916808915E-3</v>
      </c>
      <c r="J320" s="18">
        <f t="shared" si="19"/>
        <v>22.411700047848775</v>
      </c>
      <c r="K320" s="392" t="str">
        <f t="shared" si="18"/>
        <v>A</v>
      </c>
    </row>
    <row r="321" spans="1:11" ht="20.100000000000001" customHeight="1" x14ac:dyDescent="0.25">
      <c r="A321" s="391" t="s">
        <v>2075</v>
      </c>
      <c r="B321" s="15" t="s">
        <v>2076</v>
      </c>
      <c r="C321" s="14" t="s">
        <v>2206</v>
      </c>
      <c r="D321" s="14" t="s">
        <v>1812</v>
      </c>
      <c r="E321" s="14" t="s">
        <v>579</v>
      </c>
      <c r="F321" s="16">
        <v>147.12</v>
      </c>
      <c r="G321" s="17">
        <v>0.73</v>
      </c>
      <c r="H321" s="17">
        <f t="shared" si="16"/>
        <v>107.4</v>
      </c>
      <c r="I321" s="18">
        <f t="shared" si="17"/>
        <v>1.4839402124909812E-3</v>
      </c>
      <c r="J321" s="18">
        <f t="shared" si="19"/>
        <v>22.413183988061267</v>
      </c>
      <c r="K321" s="392" t="str">
        <f t="shared" si="18"/>
        <v>A</v>
      </c>
    </row>
    <row r="322" spans="1:11" ht="15" customHeight="1" x14ac:dyDescent="0.25">
      <c r="A322" s="391" t="s">
        <v>2623</v>
      </c>
      <c r="B322" s="15" t="s">
        <v>2624</v>
      </c>
      <c r="C322" s="14" t="s">
        <v>82</v>
      </c>
      <c r="D322" s="14" t="s">
        <v>1827</v>
      </c>
      <c r="E322" s="14" t="s">
        <v>1024</v>
      </c>
      <c r="F322" s="16">
        <v>3.6954601832399998</v>
      </c>
      <c r="G322" s="17">
        <v>28.57</v>
      </c>
      <c r="H322" s="17">
        <f t="shared" si="16"/>
        <v>105.58</v>
      </c>
      <c r="I322" s="18">
        <f t="shared" si="17"/>
        <v>1.4587933671768882E-3</v>
      </c>
      <c r="J322" s="18">
        <f t="shared" si="19"/>
        <v>22.414642781428444</v>
      </c>
      <c r="K322" s="392" t="str">
        <f t="shared" si="18"/>
        <v>A</v>
      </c>
    </row>
    <row r="323" spans="1:11" ht="20.100000000000001" customHeight="1" x14ac:dyDescent="0.25">
      <c r="A323" s="391" t="s">
        <v>1993</v>
      </c>
      <c r="B323" s="15" t="s">
        <v>1994</v>
      </c>
      <c r="C323" s="14" t="s">
        <v>51</v>
      </c>
      <c r="D323" s="14" t="s">
        <v>1812</v>
      </c>
      <c r="E323" s="14" t="s">
        <v>226</v>
      </c>
      <c r="F323" s="16">
        <v>3.8928500000000001</v>
      </c>
      <c r="G323" s="17">
        <v>27.06</v>
      </c>
      <c r="H323" s="17">
        <f t="shared" si="16"/>
        <v>105.34</v>
      </c>
      <c r="I323" s="18">
        <f t="shared" si="17"/>
        <v>1.4554772996629418E-3</v>
      </c>
      <c r="J323" s="18">
        <f t="shared" si="19"/>
        <v>22.416098258728109</v>
      </c>
      <c r="K323" s="392" t="str">
        <f t="shared" si="18"/>
        <v>A</v>
      </c>
    </row>
    <row r="324" spans="1:11" ht="27.95" customHeight="1" x14ac:dyDescent="0.25">
      <c r="A324" s="391" t="s">
        <v>2748</v>
      </c>
      <c r="B324" s="15" t="s">
        <v>2749</v>
      </c>
      <c r="C324" s="14" t="s">
        <v>341</v>
      </c>
      <c r="D324" s="14" t="s">
        <v>1932</v>
      </c>
      <c r="E324" s="14" t="s">
        <v>579</v>
      </c>
      <c r="F324" s="16">
        <v>8.2367603549999995</v>
      </c>
      <c r="G324" s="17">
        <v>12.54</v>
      </c>
      <c r="H324" s="17">
        <f t="shared" si="16"/>
        <v>103.29</v>
      </c>
      <c r="I324" s="18">
        <f t="shared" si="17"/>
        <v>1.4271525563146505E-3</v>
      </c>
      <c r="J324" s="18">
        <f t="shared" si="19"/>
        <v>22.417525411284423</v>
      </c>
      <c r="K324" s="392" t="str">
        <f t="shared" si="18"/>
        <v>A</v>
      </c>
    </row>
    <row r="325" spans="1:11" ht="15" customHeight="1" x14ac:dyDescent="0.25">
      <c r="A325" s="391" t="s">
        <v>2357</v>
      </c>
      <c r="B325" s="15" t="s">
        <v>2358</v>
      </c>
      <c r="C325" s="14" t="s">
        <v>82</v>
      </c>
      <c r="D325" s="14" t="s">
        <v>1827</v>
      </c>
      <c r="E325" s="14" t="s">
        <v>1024</v>
      </c>
      <c r="F325" s="16">
        <v>5.4117063936544003</v>
      </c>
      <c r="G325" s="17">
        <v>18.940000000000001</v>
      </c>
      <c r="H325" s="17">
        <f t="shared" si="16"/>
        <v>102.5</v>
      </c>
      <c r="I325" s="18">
        <f t="shared" si="17"/>
        <v>1.4162371674145769E-3</v>
      </c>
      <c r="J325" s="18">
        <f t="shared" si="19"/>
        <v>22.418941648451838</v>
      </c>
      <c r="K325" s="392" t="str">
        <f t="shared" si="18"/>
        <v>A</v>
      </c>
    </row>
    <row r="326" spans="1:11" ht="27.95" customHeight="1" x14ac:dyDescent="0.25">
      <c r="A326" s="391" t="s">
        <v>2930</v>
      </c>
      <c r="B326" s="15" t="s">
        <v>2931</v>
      </c>
      <c r="C326" s="14" t="s">
        <v>82</v>
      </c>
      <c r="D326" s="14" t="s">
        <v>1932</v>
      </c>
      <c r="E326" s="14" t="s">
        <v>1024</v>
      </c>
      <c r="F326" s="16">
        <v>127.14036378391</v>
      </c>
      <c r="G326" s="17">
        <v>0.8</v>
      </c>
      <c r="H326" s="17">
        <f t="shared" si="16"/>
        <v>101.71</v>
      </c>
      <c r="I326" s="18">
        <f t="shared" si="17"/>
        <v>1.4053217785145035E-3</v>
      </c>
      <c r="J326" s="18">
        <f t="shared" si="19"/>
        <v>22.420346970230352</v>
      </c>
      <c r="K326" s="392" t="str">
        <f t="shared" si="18"/>
        <v>A</v>
      </c>
    </row>
    <row r="327" spans="1:11" ht="27.95" customHeight="1" x14ac:dyDescent="0.25">
      <c r="A327" s="391" t="s">
        <v>2716</v>
      </c>
      <c r="B327" s="15" t="s">
        <v>2717</v>
      </c>
      <c r="C327" s="14" t="s">
        <v>341</v>
      </c>
      <c r="D327" s="14" t="s">
        <v>1932</v>
      </c>
      <c r="E327" s="14" t="s">
        <v>2718</v>
      </c>
      <c r="F327" s="16">
        <v>1.3504433520000001</v>
      </c>
      <c r="G327" s="17">
        <v>73.930000000000007</v>
      </c>
      <c r="H327" s="17">
        <f t="shared" ref="H327:H390" si="20">ROUND(F327*G327,2)</f>
        <v>99.84</v>
      </c>
      <c r="I327" s="18">
        <f t="shared" ref="I327:I390" si="21">H327/VALOR_TOTAL*100</f>
        <v>1.379484085801672E-3</v>
      </c>
      <c r="J327" s="18">
        <f t="shared" si="19"/>
        <v>22.421726454316154</v>
      </c>
      <c r="K327" s="392" t="str">
        <f t="shared" ref="K327:K390" si="22">IF(J327&lt;=50,"A",IF(J327&lt;=80,"B","C"))</f>
        <v>A</v>
      </c>
    </row>
    <row r="328" spans="1:11" ht="20.100000000000001" customHeight="1" x14ac:dyDescent="0.25">
      <c r="A328" s="391" t="s">
        <v>3327</v>
      </c>
      <c r="B328" s="15" t="s">
        <v>3328</v>
      </c>
      <c r="C328" s="14" t="s">
        <v>51</v>
      </c>
      <c r="D328" s="14" t="s">
        <v>1812</v>
      </c>
      <c r="E328" s="14" t="s">
        <v>226</v>
      </c>
      <c r="F328" s="16">
        <v>3.0150000000000001</v>
      </c>
      <c r="G328" s="17">
        <v>33.06</v>
      </c>
      <c r="H328" s="17">
        <f t="shared" si="20"/>
        <v>99.68</v>
      </c>
      <c r="I328" s="18">
        <f t="shared" si="21"/>
        <v>1.3772733741257077E-3</v>
      </c>
      <c r="J328" s="18">
        <f t="shared" ref="J328:J391" si="23">I328+J327</f>
        <v>22.423103727690279</v>
      </c>
      <c r="K328" s="392" t="str">
        <f t="shared" si="22"/>
        <v>A</v>
      </c>
    </row>
    <row r="329" spans="1:11" ht="15" customHeight="1" x14ac:dyDescent="0.25">
      <c r="A329" s="391" t="s">
        <v>2556</v>
      </c>
      <c r="B329" s="15" t="s">
        <v>2557</v>
      </c>
      <c r="C329" s="14" t="s">
        <v>82</v>
      </c>
      <c r="D329" s="14" t="s">
        <v>1812</v>
      </c>
      <c r="E329" s="14" t="s">
        <v>85</v>
      </c>
      <c r="F329" s="21">
        <v>0.65770930961999996</v>
      </c>
      <c r="G329" s="17">
        <v>151.19999999999999</v>
      </c>
      <c r="H329" s="17">
        <f t="shared" si="20"/>
        <v>99.45</v>
      </c>
      <c r="I329" s="18">
        <f t="shared" si="21"/>
        <v>1.3740954760915092E-3</v>
      </c>
      <c r="J329" s="18">
        <f t="shared" si="23"/>
        <v>22.42447782316637</v>
      </c>
      <c r="K329" s="392" t="str">
        <f t="shared" si="22"/>
        <v>A</v>
      </c>
    </row>
    <row r="330" spans="1:11" ht="20.100000000000001" customHeight="1" x14ac:dyDescent="0.25">
      <c r="A330" s="391" t="s">
        <v>3580</v>
      </c>
      <c r="B330" s="15" t="s">
        <v>3581</v>
      </c>
      <c r="C330" s="14" t="s">
        <v>51</v>
      </c>
      <c r="D330" s="14" t="s">
        <v>1812</v>
      </c>
      <c r="E330" s="14" t="s">
        <v>226</v>
      </c>
      <c r="F330" s="16">
        <v>1</v>
      </c>
      <c r="G330" s="17">
        <v>98.73</v>
      </c>
      <c r="H330" s="17">
        <f t="shared" si="20"/>
        <v>98.73</v>
      </c>
      <c r="I330" s="18">
        <f t="shared" si="21"/>
        <v>1.3641472735496701E-3</v>
      </c>
      <c r="J330" s="18">
        <f t="shared" si="23"/>
        <v>22.425841970439919</v>
      </c>
      <c r="K330" s="392" t="str">
        <f t="shared" si="22"/>
        <v>A</v>
      </c>
    </row>
    <row r="331" spans="1:11" ht="20.100000000000001" customHeight="1" x14ac:dyDescent="0.25">
      <c r="A331" s="391" t="s">
        <v>3349</v>
      </c>
      <c r="B331" s="15" t="s">
        <v>3350</v>
      </c>
      <c r="C331" s="14" t="s">
        <v>51</v>
      </c>
      <c r="D331" s="14" t="s">
        <v>1812</v>
      </c>
      <c r="E331" s="14" t="s">
        <v>226</v>
      </c>
      <c r="F331" s="16">
        <v>1.0149999999999999</v>
      </c>
      <c r="G331" s="17">
        <v>91.4</v>
      </c>
      <c r="H331" s="17">
        <f t="shared" si="20"/>
        <v>92.77</v>
      </c>
      <c r="I331" s="18">
        <f t="shared" si="21"/>
        <v>1.2817982636200028E-3</v>
      </c>
      <c r="J331" s="18">
        <f t="shared" si="23"/>
        <v>22.427123768703538</v>
      </c>
      <c r="K331" s="392" t="str">
        <f t="shared" si="22"/>
        <v>A</v>
      </c>
    </row>
    <row r="332" spans="1:11" ht="20.100000000000001" customHeight="1" x14ac:dyDescent="0.25">
      <c r="A332" s="391" t="s">
        <v>1920</v>
      </c>
      <c r="B332" s="15" t="s">
        <v>1921</v>
      </c>
      <c r="C332" s="14" t="s">
        <v>82</v>
      </c>
      <c r="D332" s="14" t="s">
        <v>1812</v>
      </c>
      <c r="E332" s="14" t="s">
        <v>188</v>
      </c>
      <c r="F332" s="16">
        <v>3.69936</v>
      </c>
      <c r="G332" s="17">
        <v>24.92</v>
      </c>
      <c r="H332" s="17">
        <f t="shared" si="20"/>
        <v>92.19</v>
      </c>
      <c r="I332" s="18">
        <f t="shared" si="21"/>
        <v>1.2737844337946326E-3</v>
      </c>
      <c r="J332" s="18">
        <f t="shared" si="23"/>
        <v>22.428397553137334</v>
      </c>
      <c r="K332" s="392" t="str">
        <f t="shared" si="22"/>
        <v>A</v>
      </c>
    </row>
    <row r="333" spans="1:11" ht="15" customHeight="1" x14ac:dyDescent="0.25">
      <c r="A333" s="391" t="s">
        <v>2243</v>
      </c>
      <c r="B333" s="15" t="s">
        <v>2244</v>
      </c>
      <c r="C333" s="14" t="s">
        <v>82</v>
      </c>
      <c r="D333" s="14" t="s">
        <v>1812</v>
      </c>
      <c r="E333" s="14" t="s">
        <v>226</v>
      </c>
      <c r="F333" s="16">
        <v>20</v>
      </c>
      <c r="G333" s="17">
        <v>4.5999999999999996</v>
      </c>
      <c r="H333" s="17">
        <f t="shared" si="20"/>
        <v>92</v>
      </c>
      <c r="I333" s="18">
        <f t="shared" si="21"/>
        <v>1.2711592136794253E-3</v>
      </c>
      <c r="J333" s="18">
        <f t="shared" si="23"/>
        <v>22.429668712351013</v>
      </c>
      <c r="K333" s="392" t="str">
        <f t="shared" si="22"/>
        <v>A</v>
      </c>
    </row>
    <row r="334" spans="1:11" ht="20.100000000000001" customHeight="1" x14ac:dyDescent="0.25">
      <c r="A334" s="391" t="s">
        <v>3231</v>
      </c>
      <c r="B334" s="15" t="s">
        <v>3944</v>
      </c>
      <c r="C334" s="14" t="s">
        <v>51</v>
      </c>
      <c r="D334" s="14" t="s">
        <v>2021</v>
      </c>
      <c r="E334" s="14" t="s">
        <v>2027</v>
      </c>
      <c r="F334" s="22">
        <v>8.5432327615999996E-3</v>
      </c>
      <c r="G334" s="17">
        <v>10714</v>
      </c>
      <c r="H334" s="17">
        <f t="shared" si="20"/>
        <v>91.53</v>
      </c>
      <c r="I334" s="18">
        <f t="shared" si="21"/>
        <v>1.2646652481312804E-3</v>
      </c>
      <c r="J334" s="18">
        <f t="shared" si="23"/>
        <v>22.430933377599146</v>
      </c>
      <c r="K334" s="392" t="str">
        <f t="shared" si="22"/>
        <v>A</v>
      </c>
    </row>
    <row r="335" spans="1:11" ht="20.100000000000001" customHeight="1" x14ac:dyDescent="0.25">
      <c r="A335" s="391" t="s">
        <v>3314</v>
      </c>
      <c r="B335" s="15" t="s">
        <v>3315</v>
      </c>
      <c r="C335" s="14" t="s">
        <v>51</v>
      </c>
      <c r="D335" s="14" t="s">
        <v>1812</v>
      </c>
      <c r="E335" s="14" t="s">
        <v>226</v>
      </c>
      <c r="F335" s="16">
        <v>3.0219</v>
      </c>
      <c r="G335" s="17">
        <v>30.12</v>
      </c>
      <c r="H335" s="17">
        <f t="shared" si="20"/>
        <v>91.02</v>
      </c>
      <c r="I335" s="18">
        <f t="shared" si="21"/>
        <v>1.2576186046641443E-3</v>
      </c>
      <c r="J335" s="18">
        <f t="shared" si="23"/>
        <v>22.432190996203811</v>
      </c>
      <c r="K335" s="392" t="str">
        <f t="shared" si="22"/>
        <v>A</v>
      </c>
    </row>
    <row r="336" spans="1:11" ht="20.100000000000001" customHeight="1" x14ac:dyDescent="0.25">
      <c r="A336" s="391" t="s">
        <v>3393</v>
      </c>
      <c r="B336" s="15" t="s">
        <v>3394</v>
      </c>
      <c r="C336" s="14" t="s">
        <v>51</v>
      </c>
      <c r="D336" s="14" t="s">
        <v>1812</v>
      </c>
      <c r="E336" s="14" t="s">
        <v>188</v>
      </c>
      <c r="F336" s="16">
        <v>20.605515</v>
      </c>
      <c r="G336" s="17">
        <v>4.37</v>
      </c>
      <c r="H336" s="17">
        <f t="shared" si="20"/>
        <v>90.05</v>
      </c>
      <c r="I336" s="18">
        <f t="shared" si="21"/>
        <v>1.2442161651286113E-3</v>
      </c>
      <c r="J336" s="18">
        <f t="shared" si="23"/>
        <v>22.433435212368941</v>
      </c>
      <c r="K336" s="392" t="str">
        <f t="shared" si="22"/>
        <v>A</v>
      </c>
    </row>
    <row r="337" spans="1:11" ht="20.100000000000001" customHeight="1" x14ac:dyDescent="0.25">
      <c r="A337" s="391" t="s">
        <v>3807</v>
      </c>
      <c r="B337" s="15" t="s">
        <v>3808</v>
      </c>
      <c r="C337" s="14" t="s">
        <v>51</v>
      </c>
      <c r="D337" s="14" t="s">
        <v>1812</v>
      </c>
      <c r="E337" s="14" t="s">
        <v>226</v>
      </c>
      <c r="F337" s="16">
        <v>45.14</v>
      </c>
      <c r="G337" s="17">
        <v>1.98</v>
      </c>
      <c r="H337" s="17">
        <f t="shared" si="20"/>
        <v>89.38</v>
      </c>
      <c r="I337" s="18">
        <f t="shared" si="21"/>
        <v>1.2349588099855109E-3</v>
      </c>
      <c r="J337" s="18">
        <f t="shared" si="23"/>
        <v>22.434670171178926</v>
      </c>
      <c r="K337" s="392" t="str">
        <f t="shared" si="22"/>
        <v>A</v>
      </c>
    </row>
    <row r="338" spans="1:11" ht="15" customHeight="1" x14ac:dyDescent="0.25">
      <c r="A338" s="391" t="s">
        <v>2003</v>
      </c>
      <c r="B338" s="15" t="s">
        <v>2004</v>
      </c>
      <c r="C338" s="14" t="s">
        <v>82</v>
      </c>
      <c r="D338" s="14" t="s">
        <v>1812</v>
      </c>
      <c r="E338" s="14" t="s">
        <v>226</v>
      </c>
      <c r="F338" s="16">
        <v>4.5271379999999999</v>
      </c>
      <c r="G338" s="17">
        <v>19.68</v>
      </c>
      <c r="H338" s="17">
        <f t="shared" si="20"/>
        <v>89.09</v>
      </c>
      <c r="I338" s="18">
        <f t="shared" si="21"/>
        <v>1.2309518950728261E-3</v>
      </c>
      <c r="J338" s="18">
        <f t="shared" si="23"/>
        <v>22.435901123074</v>
      </c>
      <c r="K338" s="392" t="str">
        <f t="shared" si="22"/>
        <v>A</v>
      </c>
    </row>
    <row r="339" spans="1:11" ht="20.100000000000001" customHeight="1" x14ac:dyDescent="0.25">
      <c r="A339" s="391" t="s">
        <v>3306</v>
      </c>
      <c r="B339" s="15" t="s">
        <v>3307</v>
      </c>
      <c r="C339" s="14" t="s">
        <v>51</v>
      </c>
      <c r="D339" s="14" t="s">
        <v>1812</v>
      </c>
      <c r="E339" s="14" t="s">
        <v>1817</v>
      </c>
      <c r="F339" s="16">
        <v>6.1528999999999998</v>
      </c>
      <c r="G339" s="17">
        <v>14.4</v>
      </c>
      <c r="H339" s="17">
        <f t="shared" si="20"/>
        <v>88.6</v>
      </c>
      <c r="I339" s="18">
        <f t="shared" si="21"/>
        <v>1.2241815905651855E-3</v>
      </c>
      <c r="J339" s="18">
        <f t="shared" si="23"/>
        <v>22.437125304664566</v>
      </c>
      <c r="K339" s="392" t="str">
        <f t="shared" si="22"/>
        <v>A</v>
      </c>
    </row>
    <row r="340" spans="1:11" ht="15" customHeight="1" x14ac:dyDescent="0.25">
      <c r="A340" s="391" t="s">
        <v>1943</v>
      </c>
      <c r="B340" s="15" t="s">
        <v>1944</v>
      </c>
      <c r="C340" s="14" t="s">
        <v>341</v>
      </c>
      <c r="D340" s="14" t="s">
        <v>1812</v>
      </c>
      <c r="E340" s="14" t="s">
        <v>579</v>
      </c>
      <c r="F340" s="16">
        <v>89.5</v>
      </c>
      <c r="G340" s="17">
        <v>0.97</v>
      </c>
      <c r="H340" s="17">
        <f t="shared" si="20"/>
        <v>86.82</v>
      </c>
      <c r="I340" s="18">
        <f t="shared" si="21"/>
        <v>1.1995874231700834E-3</v>
      </c>
      <c r="J340" s="18">
        <f t="shared" si="23"/>
        <v>22.438324892087735</v>
      </c>
      <c r="K340" s="392" t="str">
        <f t="shared" si="22"/>
        <v>A</v>
      </c>
    </row>
    <row r="341" spans="1:11" ht="15" customHeight="1" x14ac:dyDescent="0.25">
      <c r="A341" s="391" t="s">
        <v>2522</v>
      </c>
      <c r="B341" s="15" t="s">
        <v>2523</v>
      </c>
      <c r="C341" s="14" t="s">
        <v>82</v>
      </c>
      <c r="D341" s="14" t="s">
        <v>1812</v>
      </c>
      <c r="E341" s="14" t="s">
        <v>1006</v>
      </c>
      <c r="F341" s="16">
        <v>12.263591999999999</v>
      </c>
      <c r="G341" s="17">
        <v>6.58</v>
      </c>
      <c r="H341" s="17">
        <f t="shared" si="20"/>
        <v>80.69</v>
      </c>
      <c r="I341" s="18">
        <f t="shared" si="21"/>
        <v>1.1148895320847044E-3</v>
      </c>
      <c r="J341" s="18">
        <f t="shared" si="23"/>
        <v>22.439439781619818</v>
      </c>
      <c r="K341" s="392" t="str">
        <f t="shared" si="22"/>
        <v>A</v>
      </c>
    </row>
    <row r="342" spans="1:11" ht="15" customHeight="1" x14ac:dyDescent="0.25">
      <c r="A342" s="391" t="s">
        <v>2985</v>
      </c>
      <c r="B342" s="15" t="s">
        <v>2986</v>
      </c>
      <c r="C342" s="14" t="s">
        <v>82</v>
      </c>
      <c r="D342" s="14" t="s">
        <v>1812</v>
      </c>
      <c r="E342" s="14" t="s">
        <v>1006</v>
      </c>
      <c r="F342" s="16">
        <v>1.7042999999999999</v>
      </c>
      <c r="G342" s="17">
        <v>46.3</v>
      </c>
      <c r="H342" s="17">
        <f t="shared" si="20"/>
        <v>78.91</v>
      </c>
      <c r="I342" s="18">
        <f t="shared" si="21"/>
        <v>1.0902953646896025E-3</v>
      </c>
      <c r="J342" s="18">
        <f t="shared" si="23"/>
        <v>22.440530076984508</v>
      </c>
      <c r="K342" s="392" t="str">
        <f t="shared" si="22"/>
        <v>A</v>
      </c>
    </row>
    <row r="343" spans="1:11" ht="20.100000000000001" customHeight="1" x14ac:dyDescent="0.25">
      <c r="A343" s="391" t="s">
        <v>3210</v>
      </c>
      <c r="B343" s="15" t="s">
        <v>3211</v>
      </c>
      <c r="C343" s="14" t="s">
        <v>51</v>
      </c>
      <c r="D343" s="14" t="s">
        <v>1812</v>
      </c>
      <c r="E343" s="14" t="s">
        <v>2453</v>
      </c>
      <c r="F343" s="16">
        <v>79.658591236999996</v>
      </c>
      <c r="G343" s="17">
        <v>0.99</v>
      </c>
      <c r="H343" s="17">
        <f t="shared" si="20"/>
        <v>78.86</v>
      </c>
      <c r="I343" s="18">
        <f t="shared" si="21"/>
        <v>1.0896045172908639E-3</v>
      </c>
      <c r="J343" s="18">
        <f t="shared" si="23"/>
        <v>22.441619681501798</v>
      </c>
      <c r="K343" s="392" t="str">
        <f t="shared" si="22"/>
        <v>A</v>
      </c>
    </row>
    <row r="344" spans="1:11" ht="15" customHeight="1" x14ac:dyDescent="0.25">
      <c r="A344" s="391" t="s">
        <v>2981</v>
      </c>
      <c r="B344" s="15" t="s">
        <v>2106</v>
      </c>
      <c r="C344" s="14" t="s">
        <v>1859</v>
      </c>
      <c r="D344" s="14" t="s">
        <v>1812</v>
      </c>
      <c r="E344" s="14" t="s">
        <v>1817</v>
      </c>
      <c r="F344" s="16">
        <v>5.22</v>
      </c>
      <c r="G344" s="17">
        <v>15</v>
      </c>
      <c r="H344" s="17">
        <f t="shared" si="20"/>
        <v>78.3</v>
      </c>
      <c r="I344" s="18">
        <f t="shared" si="21"/>
        <v>1.081867026424989E-3</v>
      </c>
      <c r="J344" s="18">
        <f t="shared" si="23"/>
        <v>22.442701548528223</v>
      </c>
      <c r="K344" s="392" t="str">
        <f t="shared" si="22"/>
        <v>A</v>
      </c>
    </row>
    <row r="345" spans="1:11" ht="20.100000000000001" customHeight="1" x14ac:dyDescent="0.25">
      <c r="A345" s="391" t="s">
        <v>3290</v>
      </c>
      <c r="B345" s="15" t="s">
        <v>3291</v>
      </c>
      <c r="C345" s="14" t="s">
        <v>51</v>
      </c>
      <c r="D345" s="14" t="s">
        <v>1812</v>
      </c>
      <c r="E345" s="14" t="s">
        <v>226</v>
      </c>
      <c r="F345" s="16">
        <v>6.976</v>
      </c>
      <c r="G345" s="17">
        <v>10.95</v>
      </c>
      <c r="H345" s="17">
        <f t="shared" si="20"/>
        <v>76.39</v>
      </c>
      <c r="I345" s="18">
        <f t="shared" si="21"/>
        <v>1.0554766557931662E-3</v>
      </c>
      <c r="J345" s="18">
        <f t="shared" si="23"/>
        <v>22.443757025184016</v>
      </c>
      <c r="K345" s="392" t="str">
        <f t="shared" si="22"/>
        <v>A</v>
      </c>
    </row>
    <row r="346" spans="1:11" ht="20.100000000000001" customHeight="1" x14ac:dyDescent="0.25">
      <c r="A346" s="391" t="s">
        <v>3559</v>
      </c>
      <c r="B346" s="15" t="s">
        <v>3560</v>
      </c>
      <c r="C346" s="14" t="s">
        <v>51</v>
      </c>
      <c r="D346" s="14" t="s">
        <v>1812</v>
      </c>
      <c r="E346" s="14" t="s">
        <v>226</v>
      </c>
      <c r="F346" s="16">
        <v>2</v>
      </c>
      <c r="G346" s="17">
        <v>37.42</v>
      </c>
      <c r="H346" s="17">
        <f t="shared" si="20"/>
        <v>74.84</v>
      </c>
      <c r="I346" s="18">
        <f t="shared" si="21"/>
        <v>1.0340603864322628E-3</v>
      </c>
      <c r="J346" s="18">
        <f t="shared" si="23"/>
        <v>22.444791085570447</v>
      </c>
      <c r="K346" s="392" t="str">
        <f t="shared" si="22"/>
        <v>A</v>
      </c>
    </row>
    <row r="347" spans="1:11" ht="20.100000000000001" customHeight="1" x14ac:dyDescent="0.25">
      <c r="A347" s="391" t="s">
        <v>3701</v>
      </c>
      <c r="B347" s="15" t="s">
        <v>3702</v>
      </c>
      <c r="C347" s="14" t="s">
        <v>82</v>
      </c>
      <c r="D347" s="14" t="s">
        <v>1812</v>
      </c>
      <c r="E347" s="14" t="s">
        <v>226</v>
      </c>
      <c r="F347" s="16">
        <v>65</v>
      </c>
      <c r="G347" s="17">
        <v>1.1499999999999999</v>
      </c>
      <c r="H347" s="17">
        <f t="shared" si="20"/>
        <v>74.75</v>
      </c>
      <c r="I347" s="18">
        <f t="shared" si="21"/>
        <v>1.032816861114533E-3</v>
      </c>
      <c r="J347" s="18">
        <f t="shared" si="23"/>
        <v>22.445823902431563</v>
      </c>
      <c r="K347" s="392" t="str">
        <f t="shared" si="22"/>
        <v>A</v>
      </c>
    </row>
    <row r="348" spans="1:11" ht="20.100000000000001" customHeight="1" x14ac:dyDescent="0.25">
      <c r="A348" s="391" t="s">
        <v>3553</v>
      </c>
      <c r="B348" s="15" t="s">
        <v>3554</v>
      </c>
      <c r="C348" s="14" t="s">
        <v>51</v>
      </c>
      <c r="D348" s="14" t="s">
        <v>1812</v>
      </c>
      <c r="E348" s="14" t="s">
        <v>226</v>
      </c>
      <c r="F348" s="16">
        <v>2</v>
      </c>
      <c r="G348" s="17">
        <v>36.29</v>
      </c>
      <c r="H348" s="17">
        <f t="shared" si="20"/>
        <v>72.58</v>
      </c>
      <c r="I348" s="18">
        <f t="shared" si="21"/>
        <v>1.0028340840092683E-3</v>
      </c>
      <c r="J348" s="18">
        <f t="shared" si="23"/>
        <v>22.446826736515572</v>
      </c>
      <c r="K348" s="392" t="str">
        <f t="shared" si="22"/>
        <v>A</v>
      </c>
    </row>
    <row r="349" spans="1:11" ht="20.100000000000001" customHeight="1" x14ac:dyDescent="0.25">
      <c r="A349" s="391" t="s">
        <v>3280</v>
      </c>
      <c r="B349" s="15" t="s">
        <v>3281</v>
      </c>
      <c r="C349" s="14" t="s">
        <v>51</v>
      </c>
      <c r="D349" s="14" t="s">
        <v>1812</v>
      </c>
      <c r="E349" s="14" t="s">
        <v>226</v>
      </c>
      <c r="F349" s="16">
        <v>1.962</v>
      </c>
      <c r="G349" s="17">
        <v>36.799999999999997</v>
      </c>
      <c r="H349" s="17">
        <f t="shared" si="20"/>
        <v>72.2</v>
      </c>
      <c r="I349" s="18">
        <f t="shared" si="21"/>
        <v>9.9758364377885338E-4</v>
      </c>
      <c r="J349" s="18">
        <f t="shared" si="23"/>
        <v>22.447824320159352</v>
      </c>
      <c r="K349" s="392" t="str">
        <f t="shared" si="22"/>
        <v>A</v>
      </c>
    </row>
    <row r="350" spans="1:11" ht="15" customHeight="1" x14ac:dyDescent="0.25">
      <c r="A350" s="391" t="s">
        <v>2111</v>
      </c>
      <c r="B350" s="15" t="s">
        <v>2112</v>
      </c>
      <c r="C350" s="14" t="s">
        <v>341</v>
      </c>
      <c r="D350" s="14" t="s">
        <v>1812</v>
      </c>
      <c r="E350" s="14" t="s">
        <v>1951</v>
      </c>
      <c r="F350" s="16">
        <v>45.384</v>
      </c>
      <c r="G350" s="17">
        <v>1.59</v>
      </c>
      <c r="H350" s="17">
        <f t="shared" si="20"/>
        <v>72.16</v>
      </c>
      <c r="I350" s="18">
        <f t="shared" si="21"/>
        <v>9.9703096585986202E-4</v>
      </c>
      <c r="J350" s="18">
        <f t="shared" si="23"/>
        <v>22.448821351125211</v>
      </c>
      <c r="K350" s="392" t="str">
        <f t="shared" si="22"/>
        <v>A</v>
      </c>
    </row>
    <row r="351" spans="1:11" ht="20.100000000000001" customHeight="1" x14ac:dyDescent="0.25">
      <c r="A351" s="391" t="s">
        <v>2707</v>
      </c>
      <c r="B351" s="15" t="s">
        <v>2708</v>
      </c>
      <c r="C351" s="14" t="s">
        <v>51</v>
      </c>
      <c r="D351" s="14" t="s">
        <v>1812</v>
      </c>
      <c r="E351" s="14" t="s">
        <v>226</v>
      </c>
      <c r="F351" s="16">
        <v>66.138999999999996</v>
      </c>
      <c r="G351" s="17">
        <v>1.0900000000000001</v>
      </c>
      <c r="H351" s="17">
        <f t="shared" si="20"/>
        <v>72.09</v>
      </c>
      <c r="I351" s="18">
        <f t="shared" si="21"/>
        <v>9.960637795016279E-4</v>
      </c>
      <c r="J351" s="18">
        <f t="shared" si="23"/>
        <v>22.449817414904714</v>
      </c>
      <c r="K351" s="392" t="str">
        <f t="shared" si="22"/>
        <v>A</v>
      </c>
    </row>
    <row r="352" spans="1:11" ht="20.100000000000001" customHeight="1" x14ac:dyDescent="0.25">
      <c r="A352" s="391" t="s">
        <v>3838</v>
      </c>
      <c r="B352" s="15" t="s">
        <v>3839</v>
      </c>
      <c r="C352" s="14" t="s">
        <v>51</v>
      </c>
      <c r="D352" s="14" t="s">
        <v>1812</v>
      </c>
      <c r="E352" s="14" t="s">
        <v>226</v>
      </c>
      <c r="F352" s="16">
        <v>7</v>
      </c>
      <c r="G352" s="17">
        <v>10.23</v>
      </c>
      <c r="H352" s="17">
        <f t="shared" si="20"/>
        <v>71.61</v>
      </c>
      <c r="I352" s="18">
        <f t="shared" si="21"/>
        <v>9.8943164447373526E-4</v>
      </c>
      <c r="J352" s="18">
        <f t="shared" si="23"/>
        <v>22.450806846549188</v>
      </c>
      <c r="K352" s="392" t="str">
        <f t="shared" si="22"/>
        <v>A</v>
      </c>
    </row>
    <row r="353" spans="1:11" ht="15" customHeight="1" x14ac:dyDescent="0.25">
      <c r="A353" s="391" t="s">
        <v>2029</v>
      </c>
      <c r="B353" s="15" t="s">
        <v>2030</v>
      </c>
      <c r="C353" s="14" t="s">
        <v>82</v>
      </c>
      <c r="D353" s="14" t="s">
        <v>1812</v>
      </c>
      <c r="E353" s="14" t="s">
        <v>1817</v>
      </c>
      <c r="F353" s="16">
        <v>1.8179000000000001</v>
      </c>
      <c r="G353" s="17">
        <v>39.36</v>
      </c>
      <c r="H353" s="17">
        <f t="shared" si="20"/>
        <v>71.55</v>
      </c>
      <c r="I353" s="18">
        <f t="shared" si="21"/>
        <v>9.8860262759524866E-4</v>
      </c>
      <c r="J353" s="18">
        <f t="shared" si="23"/>
        <v>22.451795449176782</v>
      </c>
      <c r="K353" s="392" t="str">
        <f t="shared" si="22"/>
        <v>A</v>
      </c>
    </row>
    <row r="354" spans="1:11" ht="20.100000000000001" customHeight="1" x14ac:dyDescent="0.25">
      <c r="A354" s="391" t="s">
        <v>3751</v>
      </c>
      <c r="B354" s="15" t="s">
        <v>3752</v>
      </c>
      <c r="C354" s="14" t="s">
        <v>51</v>
      </c>
      <c r="D354" s="14" t="s">
        <v>1812</v>
      </c>
      <c r="E354" s="14" t="s">
        <v>226</v>
      </c>
      <c r="F354" s="16">
        <v>1</v>
      </c>
      <c r="G354" s="17">
        <v>71.16</v>
      </c>
      <c r="H354" s="17">
        <f t="shared" si="20"/>
        <v>71.16</v>
      </c>
      <c r="I354" s="18">
        <f t="shared" si="21"/>
        <v>9.8321401788508582E-4</v>
      </c>
      <c r="J354" s="18">
        <f t="shared" si="23"/>
        <v>22.452778663194668</v>
      </c>
      <c r="K354" s="392" t="str">
        <f t="shared" si="22"/>
        <v>A</v>
      </c>
    </row>
    <row r="355" spans="1:11" ht="20.100000000000001" customHeight="1" x14ac:dyDescent="0.25">
      <c r="A355" s="391" t="s">
        <v>3312</v>
      </c>
      <c r="B355" s="15" t="s">
        <v>3313</v>
      </c>
      <c r="C355" s="14" t="s">
        <v>51</v>
      </c>
      <c r="D355" s="14" t="s">
        <v>1812</v>
      </c>
      <c r="E355" s="14" t="s">
        <v>226</v>
      </c>
      <c r="F355" s="16">
        <v>3.0219</v>
      </c>
      <c r="G355" s="17">
        <v>23.54</v>
      </c>
      <c r="H355" s="17">
        <f t="shared" si="20"/>
        <v>71.14</v>
      </c>
      <c r="I355" s="18">
        <f t="shared" si="21"/>
        <v>9.8293767892559036E-4</v>
      </c>
      <c r="J355" s="18">
        <f t="shared" si="23"/>
        <v>22.453761600873595</v>
      </c>
      <c r="K355" s="392" t="str">
        <f t="shared" si="22"/>
        <v>A</v>
      </c>
    </row>
    <row r="356" spans="1:11" ht="15" customHeight="1" x14ac:dyDescent="0.25">
      <c r="A356" s="391" t="s">
        <v>3696</v>
      </c>
      <c r="B356" s="15" t="s">
        <v>3697</v>
      </c>
      <c r="C356" s="14" t="s">
        <v>82</v>
      </c>
      <c r="D356" s="14" t="s">
        <v>1812</v>
      </c>
      <c r="E356" s="14" t="s">
        <v>226</v>
      </c>
      <c r="F356" s="16">
        <v>1</v>
      </c>
      <c r="G356" s="17">
        <v>65.930000000000007</v>
      </c>
      <c r="H356" s="17">
        <f t="shared" si="20"/>
        <v>65.930000000000007</v>
      </c>
      <c r="I356" s="18">
        <f t="shared" si="21"/>
        <v>9.109513799770056E-4</v>
      </c>
      <c r="J356" s="18">
        <f t="shared" si="23"/>
        <v>22.454672552253573</v>
      </c>
      <c r="K356" s="392" t="str">
        <f t="shared" si="22"/>
        <v>A</v>
      </c>
    </row>
    <row r="357" spans="1:11" ht="15" customHeight="1" x14ac:dyDescent="0.25">
      <c r="A357" s="391" t="s">
        <v>1908</v>
      </c>
      <c r="B357" s="15" t="s">
        <v>1909</v>
      </c>
      <c r="C357" s="14" t="s">
        <v>1859</v>
      </c>
      <c r="D357" s="14" t="s">
        <v>1812</v>
      </c>
      <c r="E357" s="14" t="s">
        <v>188</v>
      </c>
      <c r="F357" s="16">
        <v>17</v>
      </c>
      <c r="G357" s="17">
        <v>3.86</v>
      </c>
      <c r="H357" s="17">
        <f t="shared" si="20"/>
        <v>65.62</v>
      </c>
      <c r="I357" s="18">
        <f t="shared" si="21"/>
        <v>9.0666812610482484E-4</v>
      </c>
      <c r="J357" s="18">
        <f t="shared" si="23"/>
        <v>22.455579220379679</v>
      </c>
      <c r="K357" s="392" t="str">
        <f t="shared" si="22"/>
        <v>A</v>
      </c>
    </row>
    <row r="358" spans="1:11" ht="15" customHeight="1" x14ac:dyDescent="0.25">
      <c r="A358" s="391" t="s">
        <v>3657</v>
      </c>
      <c r="B358" s="15" t="s">
        <v>3658</v>
      </c>
      <c r="C358" s="14" t="s">
        <v>82</v>
      </c>
      <c r="D358" s="14" t="s">
        <v>1812</v>
      </c>
      <c r="E358" s="14" t="s">
        <v>1817</v>
      </c>
      <c r="F358" s="16">
        <v>90.294899999999998</v>
      </c>
      <c r="G358" s="17">
        <v>0.72</v>
      </c>
      <c r="H358" s="17">
        <f t="shared" si="20"/>
        <v>65.010000000000005</v>
      </c>
      <c r="I358" s="18">
        <f t="shared" si="21"/>
        <v>8.9823978784021137E-4</v>
      </c>
      <c r="J358" s="18">
        <f t="shared" si="23"/>
        <v>22.45647746016752</v>
      </c>
      <c r="K358" s="392" t="str">
        <f t="shared" si="22"/>
        <v>A</v>
      </c>
    </row>
    <row r="359" spans="1:11" ht="27.95" customHeight="1" x14ac:dyDescent="0.25">
      <c r="A359" s="391" t="s">
        <v>2355</v>
      </c>
      <c r="B359" s="15" t="s">
        <v>2356</v>
      </c>
      <c r="C359" s="14" t="s">
        <v>82</v>
      </c>
      <c r="D359" s="14" t="s">
        <v>1932</v>
      </c>
      <c r="E359" s="14" t="s">
        <v>1024</v>
      </c>
      <c r="F359" s="16">
        <v>222.93590975999999</v>
      </c>
      <c r="G359" s="17">
        <v>0.28000000000000003</v>
      </c>
      <c r="H359" s="17">
        <f t="shared" si="20"/>
        <v>62.42</v>
      </c>
      <c r="I359" s="18">
        <f t="shared" si="21"/>
        <v>8.6245389258554053E-4</v>
      </c>
      <c r="J359" s="18">
        <f t="shared" si="23"/>
        <v>22.457339914060107</v>
      </c>
      <c r="K359" s="392" t="str">
        <f t="shared" si="22"/>
        <v>A</v>
      </c>
    </row>
    <row r="360" spans="1:11" ht="20.100000000000001" customHeight="1" x14ac:dyDescent="0.25">
      <c r="A360" s="391" t="s">
        <v>3718</v>
      </c>
      <c r="B360" s="15" t="s">
        <v>3719</v>
      </c>
      <c r="C360" s="14" t="s">
        <v>51</v>
      </c>
      <c r="D360" s="14" t="s">
        <v>1812</v>
      </c>
      <c r="E360" s="14" t="s">
        <v>226</v>
      </c>
      <c r="F360" s="16">
        <v>1</v>
      </c>
      <c r="G360" s="17">
        <v>61.83</v>
      </c>
      <c r="H360" s="17">
        <f t="shared" si="20"/>
        <v>61.83</v>
      </c>
      <c r="I360" s="18">
        <f t="shared" si="21"/>
        <v>8.5430189328042242E-4</v>
      </c>
      <c r="J360" s="18">
        <f t="shared" si="23"/>
        <v>22.458194215953387</v>
      </c>
      <c r="K360" s="392" t="str">
        <f t="shared" si="22"/>
        <v>A</v>
      </c>
    </row>
    <row r="361" spans="1:11" ht="15" customHeight="1" x14ac:dyDescent="0.25">
      <c r="A361" s="391" t="s">
        <v>2811</v>
      </c>
      <c r="B361" s="15" t="s">
        <v>2812</v>
      </c>
      <c r="C361" s="14" t="s">
        <v>82</v>
      </c>
      <c r="D361" s="14" t="s">
        <v>1812</v>
      </c>
      <c r="E361" s="14" t="s">
        <v>226</v>
      </c>
      <c r="F361" s="16">
        <v>46.428199999999997</v>
      </c>
      <c r="G361" s="17">
        <v>1.32</v>
      </c>
      <c r="H361" s="17">
        <f t="shared" si="20"/>
        <v>61.29</v>
      </c>
      <c r="I361" s="18">
        <f t="shared" si="21"/>
        <v>8.4684074137404317E-4</v>
      </c>
      <c r="J361" s="18">
        <f t="shared" si="23"/>
        <v>22.459041056694762</v>
      </c>
      <c r="K361" s="392" t="str">
        <f t="shared" si="22"/>
        <v>A</v>
      </c>
    </row>
    <row r="362" spans="1:11" ht="15" customHeight="1" x14ac:dyDescent="0.25">
      <c r="A362" s="391" t="s">
        <v>2468</v>
      </c>
      <c r="B362" s="15" t="s">
        <v>2469</v>
      </c>
      <c r="C362" s="14" t="s">
        <v>1927</v>
      </c>
      <c r="D362" s="14" t="s">
        <v>1827</v>
      </c>
      <c r="E362" s="14" t="s">
        <v>1935</v>
      </c>
      <c r="F362" s="16">
        <v>1.68</v>
      </c>
      <c r="G362" s="17">
        <v>36.31</v>
      </c>
      <c r="H362" s="17">
        <f t="shared" si="20"/>
        <v>61</v>
      </c>
      <c r="I362" s="18">
        <f t="shared" si="21"/>
        <v>8.4283382646135798E-4</v>
      </c>
      <c r="J362" s="18">
        <f t="shared" si="23"/>
        <v>22.459883890521223</v>
      </c>
      <c r="K362" s="392" t="str">
        <f t="shared" si="22"/>
        <v>A</v>
      </c>
    </row>
    <row r="363" spans="1:11" ht="27.95" customHeight="1" x14ac:dyDescent="0.25">
      <c r="A363" s="391" t="s">
        <v>2744</v>
      </c>
      <c r="B363" s="15" t="s">
        <v>2745</v>
      </c>
      <c r="C363" s="14" t="s">
        <v>341</v>
      </c>
      <c r="D363" s="14" t="s">
        <v>1932</v>
      </c>
      <c r="E363" s="14" t="s">
        <v>579</v>
      </c>
      <c r="F363" s="16">
        <v>3.2947041420000001</v>
      </c>
      <c r="G363" s="17">
        <v>18</v>
      </c>
      <c r="H363" s="17">
        <f t="shared" si="20"/>
        <v>59.3</v>
      </c>
      <c r="I363" s="18">
        <f t="shared" si="21"/>
        <v>8.1934501490423808E-4</v>
      </c>
      <c r="J363" s="18">
        <f t="shared" si="23"/>
        <v>22.460703235536126</v>
      </c>
      <c r="K363" s="392" t="str">
        <f t="shared" si="22"/>
        <v>A</v>
      </c>
    </row>
    <row r="364" spans="1:11" ht="20.100000000000001" customHeight="1" x14ac:dyDescent="0.25">
      <c r="A364" s="391" t="s">
        <v>3599</v>
      </c>
      <c r="B364" s="15" t="s">
        <v>3600</v>
      </c>
      <c r="C364" s="14" t="s">
        <v>51</v>
      </c>
      <c r="D364" s="14" t="s">
        <v>1812</v>
      </c>
      <c r="E364" s="14" t="s">
        <v>188</v>
      </c>
      <c r="F364" s="16">
        <v>6.6</v>
      </c>
      <c r="G364" s="17">
        <v>8.83</v>
      </c>
      <c r="H364" s="17">
        <f t="shared" si="20"/>
        <v>58.28</v>
      </c>
      <c r="I364" s="18">
        <f t="shared" si="21"/>
        <v>8.0525172796996642E-4</v>
      </c>
      <c r="J364" s="18">
        <f t="shared" si="23"/>
        <v>22.461508487264098</v>
      </c>
      <c r="K364" s="392" t="str">
        <f t="shared" si="22"/>
        <v>A</v>
      </c>
    </row>
    <row r="365" spans="1:11" ht="20.100000000000001" customHeight="1" x14ac:dyDescent="0.25">
      <c r="A365" s="391" t="s">
        <v>3302</v>
      </c>
      <c r="B365" s="15" t="s">
        <v>3303</v>
      </c>
      <c r="C365" s="14" t="s">
        <v>51</v>
      </c>
      <c r="D365" s="14" t="s">
        <v>1812</v>
      </c>
      <c r="E365" s="14" t="s">
        <v>226</v>
      </c>
      <c r="F365" s="16">
        <v>49.258380000000002</v>
      </c>
      <c r="G365" s="17">
        <v>1.18</v>
      </c>
      <c r="H365" s="17">
        <f t="shared" si="20"/>
        <v>58.12</v>
      </c>
      <c r="I365" s="18">
        <f t="shared" si="21"/>
        <v>8.0304101629400206E-4</v>
      </c>
      <c r="J365" s="18">
        <f t="shared" si="23"/>
        <v>22.462311528280392</v>
      </c>
      <c r="K365" s="392" t="str">
        <f t="shared" si="22"/>
        <v>A</v>
      </c>
    </row>
    <row r="366" spans="1:11" ht="36" customHeight="1" x14ac:dyDescent="0.25">
      <c r="A366" s="391" t="s">
        <v>3247</v>
      </c>
      <c r="B366" s="15" t="s">
        <v>3945</v>
      </c>
      <c r="C366" s="14" t="s">
        <v>51</v>
      </c>
      <c r="D366" s="14" t="s">
        <v>2021</v>
      </c>
      <c r="E366" s="14" t="s">
        <v>2027</v>
      </c>
      <c r="F366" s="21">
        <v>1.3623191999999999E-4</v>
      </c>
      <c r="G366" s="17">
        <v>419487.79</v>
      </c>
      <c r="H366" s="17">
        <f t="shared" si="20"/>
        <v>57.15</v>
      </c>
      <c r="I366" s="18">
        <f t="shared" si="21"/>
        <v>7.8963857675846906E-4</v>
      </c>
      <c r="J366" s="18">
        <f t="shared" si="23"/>
        <v>22.46310116685715</v>
      </c>
      <c r="K366" s="392" t="str">
        <f t="shared" si="22"/>
        <v>A</v>
      </c>
    </row>
    <row r="367" spans="1:11" ht="15" customHeight="1" x14ac:dyDescent="0.25">
      <c r="A367" s="391" t="s">
        <v>2466</v>
      </c>
      <c r="B367" s="15" t="s">
        <v>2467</v>
      </c>
      <c r="C367" s="14" t="s">
        <v>1927</v>
      </c>
      <c r="D367" s="14" t="s">
        <v>1827</v>
      </c>
      <c r="E367" s="14" t="s">
        <v>1935</v>
      </c>
      <c r="F367" s="16">
        <v>1.68</v>
      </c>
      <c r="G367" s="17">
        <v>33.49</v>
      </c>
      <c r="H367" s="17">
        <f t="shared" si="20"/>
        <v>56.26</v>
      </c>
      <c r="I367" s="18">
        <f t="shared" si="21"/>
        <v>7.7734149306091802E-4</v>
      </c>
      <c r="J367" s="18">
        <f t="shared" si="23"/>
        <v>22.463878508350213</v>
      </c>
      <c r="K367" s="392" t="str">
        <f t="shared" si="22"/>
        <v>A</v>
      </c>
    </row>
    <row r="368" spans="1:11" ht="20.100000000000001" customHeight="1" x14ac:dyDescent="0.25">
      <c r="A368" s="391" t="s">
        <v>3252</v>
      </c>
      <c r="B368" s="15" t="s">
        <v>3253</v>
      </c>
      <c r="C368" s="14" t="s">
        <v>51</v>
      </c>
      <c r="D368" s="14" t="s">
        <v>1812</v>
      </c>
      <c r="E368" s="14" t="s">
        <v>1006</v>
      </c>
      <c r="F368" s="16">
        <v>7.8109019999999996</v>
      </c>
      <c r="G368" s="17">
        <v>7.18</v>
      </c>
      <c r="H368" s="17">
        <f t="shared" si="20"/>
        <v>56.08</v>
      </c>
      <c r="I368" s="18">
        <f t="shared" si="21"/>
        <v>7.748544424254582E-4</v>
      </c>
      <c r="J368" s="18">
        <f t="shared" si="23"/>
        <v>22.464653362792639</v>
      </c>
      <c r="K368" s="392" t="str">
        <f t="shared" si="22"/>
        <v>A</v>
      </c>
    </row>
    <row r="369" spans="1:11" ht="20.100000000000001" customHeight="1" x14ac:dyDescent="0.25">
      <c r="A369" s="391" t="s">
        <v>3300</v>
      </c>
      <c r="B369" s="15" t="s">
        <v>3301</v>
      </c>
      <c r="C369" s="14" t="s">
        <v>51</v>
      </c>
      <c r="D369" s="14" t="s">
        <v>1812</v>
      </c>
      <c r="E369" s="14" t="s">
        <v>226</v>
      </c>
      <c r="F369" s="16">
        <v>30.106000000000002</v>
      </c>
      <c r="G369" s="17">
        <v>1.83</v>
      </c>
      <c r="H369" s="17">
        <f t="shared" si="20"/>
        <v>55.09</v>
      </c>
      <c r="I369" s="18">
        <f t="shared" si="21"/>
        <v>7.6117566393042984E-4</v>
      </c>
      <c r="J369" s="18">
        <f t="shared" si="23"/>
        <v>22.465414538456571</v>
      </c>
      <c r="K369" s="392" t="str">
        <f t="shared" si="22"/>
        <v>A</v>
      </c>
    </row>
    <row r="370" spans="1:11" ht="20.100000000000001" customHeight="1" x14ac:dyDescent="0.25">
      <c r="A370" s="391" t="s">
        <v>3811</v>
      </c>
      <c r="B370" s="15" t="s">
        <v>3812</v>
      </c>
      <c r="C370" s="14" t="s">
        <v>51</v>
      </c>
      <c r="D370" s="14" t="s">
        <v>1812</v>
      </c>
      <c r="E370" s="14" t="s">
        <v>188</v>
      </c>
      <c r="F370" s="16">
        <v>90.28</v>
      </c>
      <c r="G370" s="17">
        <v>0.61</v>
      </c>
      <c r="H370" s="17">
        <f t="shared" si="20"/>
        <v>55.07</v>
      </c>
      <c r="I370" s="18">
        <f t="shared" si="21"/>
        <v>7.6089932497093416E-4</v>
      </c>
      <c r="J370" s="18">
        <f t="shared" si="23"/>
        <v>22.466175437781541</v>
      </c>
      <c r="K370" s="392" t="str">
        <f t="shared" si="22"/>
        <v>A</v>
      </c>
    </row>
    <row r="371" spans="1:11" ht="20.100000000000001" customHeight="1" x14ac:dyDescent="0.25">
      <c r="A371" s="391" t="s">
        <v>2661</v>
      </c>
      <c r="B371" s="15" t="s">
        <v>2662</v>
      </c>
      <c r="C371" s="14" t="s">
        <v>82</v>
      </c>
      <c r="D371" s="14" t="s">
        <v>1812</v>
      </c>
      <c r="E371" s="14" t="s">
        <v>188</v>
      </c>
      <c r="F371" s="16">
        <v>6.93</v>
      </c>
      <c r="G371" s="17">
        <v>7.85</v>
      </c>
      <c r="H371" s="17">
        <f t="shared" si="20"/>
        <v>54.4</v>
      </c>
      <c r="I371" s="18">
        <f t="shared" si="21"/>
        <v>7.5164196982783398E-4</v>
      </c>
      <c r="J371" s="18">
        <f t="shared" si="23"/>
        <v>22.466927079751368</v>
      </c>
      <c r="K371" s="392" t="str">
        <f t="shared" si="22"/>
        <v>A</v>
      </c>
    </row>
    <row r="372" spans="1:11" ht="20.100000000000001" customHeight="1" x14ac:dyDescent="0.25">
      <c r="A372" s="391" t="s">
        <v>3735</v>
      </c>
      <c r="B372" s="15" t="s">
        <v>3736</v>
      </c>
      <c r="C372" s="14" t="s">
        <v>82</v>
      </c>
      <c r="D372" s="14" t="s">
        <v>1812</v>
      </c>
      <c r="E372" s="14" t="s">
        <v>226</v>
      </c>
      <c r="F372" s="16">
        <v>1</v>
      </c>
      <c r="G372" s="17">
        <v>54.33</v>
      </c>
      <c r="H372" s="17">
        <f t="shared" si="20"/>
        <v>54.33</v>
      </c>
      <c r="I372" s="18">
        <f t="shared" si="21"/>
        <v>7.5067478346959975E-4</v>
      </c>
      <c r="J372" s="18">
        <f t="shared" si="23"/>
        <v>22.467677754534837</v>
      </c>
      <c r="K372" s="392" t="str">
        <f t="shared" si="22"/>
        <v>A</v>
      </c>
    </row>
    <row r="373" spans="1:11" ht="20.100000000000001" customHeight="1" x14ac:dyDescent="0.25">
      <c r="A373" s="391" t="s">
        <v>3387</v>
      </c>
      <c r="B373" s="15" t="s">
        <v>3388</v>
      </c>
      <c r="C373" s="14" t="s">
        <v>51</v>
      </c>
      <c r="D373" s="14" t="s">
        <v>1812</v>
      </c>
      <c r="E373" s="14" t="s">
        <v>188</v>
      </c>
      <c r="F373" s="16">
        <v>2.7825500000000001</v>
      </c>
      <c r="G373" s="17">
        <v>19.149999999999999</v>
      </c>
      <c r="H373" s="17">
        <f t="shared" si="20"/>
        <v>53.29</v>
      </c>
      <c r="I373" s="18">
        <f t="shared" si="21"/>
        <v>7.3630515757583219E-4</v>
      </c>
      <c r="J373" s="18">
        <f t="shared" si="23"/>
        <v>22.468414059692414</v>
      </c>
      <c r="K373" s="392" t="str">
        <f t="shared" si="22"/>
        <v>A</v>
      </c>
    </row>
    <row r="374" spans="1:11" ht="20.100000000000001" customHeight="1" x14ac:dyDescent="0.25">
      <c r="A374" s="391" t="s">
        <v>3294</v>
      </c>
      <c r="B374" s="15" t="s">
        <v>3295</v>
      </c>
      <c r="C374" s="14" t="s">
        <v>51</v>
      </c>
      <c r="D374" s="14" t="s">
        <v>1812</v>
      </c>
      <c r="E374" s="14" t="s">
        <v>226</v>
      </c>
      <c r="F374" s="16">
        <v>9.0656999999999996</v>
      </c>
      <c r="G374" s="17">
        <v>5.84</v>
      </c>
      <c r="H374" s="17">
        <f t="shared" si="20"/>
        <v>52.94</v>
      </c>
      <c r="I374" s="18">
        <f t="shared" si="21"/>
        <v>7.314692257846605E-4</v>
      </c>
      <c r="J374" s="18">
        <f t="shared" si="23"/>
        <v>22.469145528918197</v>
      </c>
      <c r="K374" s="392" t="str">
        <f t="shared" si="22"/>
        <v>A</v>
      </c>
    </row>
    <row r="375" spans="1:11" ht="20.100000000000001" customHeight="1" x14ac:dyDescent="0.25">
      <c r="A375" s="391" t="s">
        <v>3288</v>
      </c>
      <c r="B375" s="15" t="s">
        <v>3289</v>
      </c>
      <c r="C375" s="14" t="s">
        <v>51</v>
      </c>
      <c r="D375" s="14" t="s">
        <v>1812</v>
      </c>
      <c r="E375" s="14" t="s">
        <v>226</v>
      </c>
      <c r="F375" s="16">
        <v>15.053000000000001</v>
      </c>
      <c r="G375" s="17">
        <v>3.49</v>
      </c>
      <c r="H375" s="17">
        <f t="shared" si="20"/>
        <v>52.53</v>
      </c>
      <c r="I375" s="18">
        <f t="shared" si="21"/>
        <v>7.258042771150022E-4</v>
      </c>
      <c r="J375" s="18">
        <f t="shared" si="23"/>
        <v>22.469871333195311</v>
      </c>
      <c r="K375" s="392" t="str">
        <f t="shared" si="22"/>
        <v>A</v>
      </c>
    </row>
    <row r="376" spans="1:11" ht="20.100000000000001" customHeight="1" x14ac:dyDescent="0.25">
      <c r="A376" s="391" t="s">
        <v>3347</v>
      </c>
      <c r="B376" s="15" t="s">
        <v>3348</v>
      </c>
      <c r="C376" s="14" t="s">
        <v>51</v>
      </c>
      <c r="D376" s="14" t="s">
        <v>1812</v>
      </c>
      <c r="E376" s="14" t="s">
        <v>226</v>
      </c>
      <c r="F376" s="16">
        <v>1.0149999999999999</v>
      </c>
      <c r="G376" s="17">
        <v>50.2</v>
      </c>
      <c r="H376" s="17">
        <f t="shared" si="20"/>
        <v>50.95</v>
      </c>
      <c r="I376" s="18">
        <f t="shared" si="21"/>
        <v>7.0397349931485562E-4</v>
      </c>
      <c r="J376" s="18">
        <f t="shared" si="23"/>
        <v>22.470575306694627</v>
      </c>
      <c r="K376" s="392" t="str">
        <f t="shared" si="22"/>
        <v>A</v>
      </c>
    </row>
    <row r="377" spans="1:11" ht="15" customHeight="1" x14ac:dyDescent="0.25">
      <c r="A377" s="391" t="s">
        <v>2235</v>
      </c>
      <c r="B377" s="15" t="s">
        <v>2236</v>
      </c>
      <c r="C377" s="14" t="s">
        <v>82</v>
      </c>
      <c r="D377" s="14" t="s">
        <v>1812</v>
      </c>
      <c r="E377" s="14" t="s">
        <v>226</v>
      </c>
      <c r="F377" s="16">
        <v>7</v>
      </c>
      <c r="G377" s="17">
        <v>6.78</v>
      </c>
      <c r="H377" s="17">
        <f t="shared" si="20"/>
        <v>47.46</v>
      </c>
      <c r="I377" s="18">
        <f t="shared" si="21"/>
        <v>6.5575235088288612E-4</v>
      </c>
      <c r="J377" s="18">
        <f t="shared" si="23"/>
        <v>22.471231059045511</v>
      </c>
      <c r="K377" s="392" t="str">
        <f t="shared" si="22"/>
        <v>A</v>
      </c>
    </row>
    <row r="378" spans="1:11" ht="20.100000000000001" customHeight="1" x14ac:dyDescent="0.25">
      <c r="A378" s="391" t="s">
        <v>3488</v>
      </c>
      <c r="B378" s="15" t="s">
        <v>3489</v>
      </c>
      <c r="C378" s="14" t="s">
        <v>51</v>
      </c>
      <c r="D378" s="14" t="s">
        <v>1812</v>
      </c>
      <c r="E378" s="14" t="s">
        <v>1817</v>
      </c>
      <c r="F378" s="16">
        <v>4.4188200000000002</v>
      </c>
      <c r="G378" s="17">
        <v>10.47</v>
      </c>
      <c r="H378" s="17">
        <f t="shared" si="20"/>
        <v>46.27</v>
      </c>
      <c r="I378" s="18">
        <f t="shared" si="21"/>
        <v>6.3931018279290226E-4</v>
      </c>
      <c r="J378" s="18">
        <f t="shared" si="23"/>
        <v>22.471870369228306</v>
      </c>
      <c r="K378" s="392" t="str">
        <f t="shared" si="22"/>
        <v>A</v>
      </c>
    </row>
    <row r="379" spans="1:11" ht="27.95" customHeight="1" x14ac:dyDescent="0.25">
      <c r="A379" s="391" t="s">
        <v>2735</v>
      </c>
      <c r="B379" s="15" t="s">
        <v>2736</v>
      </c>
      <c r="C379" s="14" t="s">
        <v>341</v>
      </c>
      <c r="D379" s="14" t="s">
        <v>1932</v>
      </c>
      <c r="E379" s="14" t="s">
        <v>2718</v>
      </c>
      <c r="F379" s="16">
        <v>4.2098997369999998</v>
      </c>
      <c r="G379" s="17">
        <v>10.87</v>
      </c>
      <c r="H379" s="17">
        <f t="shared" si="20"/>
        <v>45.76</v>
      </c>
      <c r="I379" s="18">
        <f t="shared" si="21"/>
        <v>6.3226353932576622E-4</v>
      </c>
      <c r="J379" s="18">
        <f t="shared" si="23"/>
        <v>22.472502632767632</v>
      </c>
      <c r="K379" s="392" t="str">
        <f t="shared" si="22"/>
        <v>A</v>
      </c>
    </row>
    <row r="380" spans="1:11" ht="15" customHeight="1" x14ac:dyDescent="0.25">
      <c r="A380" s="391" t="s">
        <v>2164</v>
      </c>
      <c r="B380" s="15" t="s">
        <v>2165</v>
      </c>
      <c r="C380" s="14" t="s">
        <v>341</v>
      </c>
      <c r="D380" s="14" t="s">
        <v>1912</v>
      </c>
      <c r="E380" s="14" t="s">
        <v>579</v>
      </c>
      <c r="F380" s="16">
        <v>8.7650000000000006</v>
      </c>
      <c r="G380" s="17">
        <v>5.08</v>
      </c>
      <c r="H380" s="17">
        <f t="shared" si="20"/>
        <v>44.53</v>
      </c>
      <c r="I380" s="18">
        <f t="shared" si="21"/>
        <v>6.1526869331679133E-4</v>
      </c>
      <c r="J380" s="18">
        <f t="shared" si="23"/>
        <v>22.473117901460949</v>
      </c>
      <c r="K380" s="392" t="str">
        <f t="shared" si="22"/>
        <v>A</v>
      </c>
    </row>
    <row r="381" spans="1:11" ht="15" customHeight="1" x14ac:dyDescent="0.25">
      <c r="A381" s="391" t="s">
        <v>2653</v>
      </c>
      <c r="B381" s="15" t="s">
        <v>2654</v>
      </c>
      <c r="C381" s="14" t="s">
        <v>82</v>
      </c>
      <c r="D381" s="14" t="s">
        <v>1812</v>
      </c>
      <c r="E381" s="14" t="s">
        <v>226</v>
      </c>
      <c r="F381" s="16">
        <v>1</v>
      </c>
      <c r="G381" s="17">
        <v>44.36</v>
      </c>
      <c r="H381" s="17">
        <f t="shared" si="20"/>
        <v>44.36</v>
      </c>
      <c r="I381" s="18">
        <f t="shared" si="21"/>
        <v>6.1291981216107935E-4</v>
      </c>
      <c r="J381" s="18">
        <f t="shared" si="23"/>
        <v>22.473730821273112</v>
      </c>
      <c r="K381" s="392" t="str">
        <f t="shared" si="22"/>
        <v>A</v>
      </c>
    </row>
    <row r="382" spans="1:11" ht="20.100000000000001" customHeight="1" x14ac:dyDescent="0.25">
      <c r="A382" s="391" t="s">
        <v>3375</v>
      </c>
      <c r="B382" s="15" t="s">
        <v>3376</v>
      </c>
      <c r="C382" s="14" t="s">
        <v>51</v>
      </c>
      <c r="D382" s="14" t="s">
        <v>1812</v>
      </c>
      <c r="E382" s="14" t="s">
        <v>226</v>
      </c>
      <c r="F382" s="16">
        <v>1.0149999999999999</v>
      </c>
      <c r="G382" s="17">
        <v>43.21</v>
      </c>
      <c r="H382" s="17">
        <f t="shared" si="20"/>
        <v>43.86</v>
      </c>
      <c r="I382" s="18">
        <f t="shared" si="21"/>
        <v>6.0601133817369114E-4</v>
      </c>
      <c r="J382" s="18">
        <f t="shared" si="23"/>
        <v>22.474336832611286</v>
      </c>
      <c r="K382" s="392" t="str">
        <f t="shared" si="22"/>
        <v>A</v>
      </c>
    </row>
    <row r="383" spans="1:11" ht="20.100000000000001" customHeight="1" x14ac:dyDescent="0.25">
      <c r="A383" s="391" t="s">
        <v>3286</v>
      </c>
      <c r="B383" s="15" t="s">
        <v>3287</v>
      </c>
      <c r="C383" s="14" t="s">
        <v>51</v>
      </c>
      <c r="D383" s="14" t="s">
        <v>1812</v>
      </c>
      <c r="E383" s="14" t="s">
        <v>226</v>
      </c>
      <c r="F383" s="16">
        <v>49.258380000000002</v>
      </c>
      <c r="G383" s="17">
        <v>0.89</v>
      </c>
      <c r="H383" s="17">
        <f t="shared" si="20"/>
        <v>43.84</v>
      </c>
      <c r="I383" s="18">
        <f t="shared" si="21"/>
        <v>6.0573499921419568E-4</v>
      </c>
      <c r="J383" s="18">
        <f t="shared" si="23"/>
        <v>22.474942567610501</v>
      </c>
      <c r="K383" s="392" t="str">
        <f t="shared" si="22"/>
        <v>A</v>
      </c>
    </row>
    <row r="384" spans="1:11" ht="20.100000000000001" customHeight="1" x14ac:dyDescent="0.25">
      <c r="A384" s="391" t="s">
        <v>2647</v>
      </c>
      <c r="B384" s="15" t="s">
        <v>3946</v>
      </c>
      <c r="C384" s="14" t="s">
        <v>194</v>
      </c>
      <c r="D384" s="14" t="s">
        <v>2021</v>
      </c>
      <c r="E384" s="14" t="s">
        <v>2024</v>
      </c>
      <c r="F384" s="29">
        <v>0.47492160186660892</v>
      </c>
      <c r="G384" s="17">
        <v>91.54</v>
      </c>
      <c r="H384" s="17">
        <f t="shared" si="20"/>
        <v>43.47</v>
      </c>
      <c r="I384" s="18">
        <f t="shared" si="21"/>
        <v>6.0062272846352841E-4</v>
      </c>
      <c r="J384" s="18">
        <f t="shared" si="23"/>
        <v>22.475543190338964</v>
      </c>
      <c r="K384" s="392" t="str">
        <f t="shared" si="22"/>
        <v>A</v>
      </c>
    </row>
    <row r="385" spans="1:11" ht="15" customHeight="1" x14ac:dyDescent="0.25">
      <c r="A385" s="391" t="s">
        <v>2097</v>
      </c>
      <c r="B385" s="15" t="s">
        <v>2098</v>
      </c>
      <c r="C385" s="14" t="s">
        <v>1859</v>
      </c>
      <c r="D385" s="14" t="s">
        <v>1812</v>
      </c>
      <c r="E385" s="14" t="s">
        <v>226</v>
      </c>
      <c r="F385" s="16">
        <v>139.19999999999999</v>
      </c>
      <c r="G385" s="17">
        <v>0.3</v>
      </c>
      <c r="H385" s="17">
        <f t="shared" si="20"/>
        <v>41.76</v>
      </c>
      <c r="I385" s="18">
        <f t="shared" si="21"/>
        <v>5.7699574742666078E-4</v>
      </c>
      <c r="J385" s="18">
        <f t="shared" si="23"/>
        <v>22.476120186086391</v>
      </c>
      <c r="K385" s="392" t="str">
        <f t="shared" si="22"/>
        <v>A</v>
      </c>
    </row>
    <row r="386" spans="1:11" ht="15" customHeight="1" x14ac:dyDescent="0.25">
      <c r="A386" s="391" t="s">
        <v>3798</v>
      </c>
      <c r="B386" s="15" t="s">
        <v>3799</v>
      </c>
      <c r="C386" s="14" t="s">
        <v>82</v>
      </c>
      <c r="D386" s="14" t="s">
        <v>1812</v>
      </c>
      <c r="E386" s="14" t="s">
        <v>226</v>
      </c>
      <c r="F386" s="16">
        <v>2</v>
      </c>
      <c r="G386" s="17">
        <v>20.27</v>
      </c>
      <c r="H386" s="17">
        <f t="shared" si="20"/>
        <v>40.54</v>
      </c>
      <c r="I386" s="18">
        <f t="shared" si="21"/>
        <v>5.6013907089743373E-4</v>
      </c>
      <c r="J386" s="18">
        <f t="shared" si="23"/>
        <v>22.47668032515729</v>
      </c>
      <c r="K386" s="392" t="str">
        <f t="shared" si="22"/>
        <v>A</v>
      </c>
    </row>
    <row r="387" spans="1:11" ht="15" customHeight="1" x14ac:dyDescent="0.25">
      <c r="A387" s="391" t="s">
        <v>2608</v>
      </c>
      <c r="B387" s="15" t="s">
        <v>2609</v>
      </c>
      <c r="C387" s="14" t="s">
        <v>82</v>
      </c>
      <c r="D387" s="14" t="s">
        <v>1827</v>
      </c>
      <c r="E387" s="14" t="s">
        <v>1024</v>
      </c>
      <c r="F387" s="16">
        <v>1.6358090041267821</v>
      </c>
      <c r="G387" s="17">
        <v>24.42</v>
      </c>
      <c r="H387" s="17">
        <f t="shared" si="20"/>
        <v>39.950000000000003</v>
      </c>
      <c r="I387" s="18">
        <f t="shared" si="21"/>
        <v>5.5198707159231572E-4</v>
      </c>
      <c r="J387" s="18">
        <f t="shared" si="23"/>
        <v>22.477232312228882</v>
      </c>
      <c r="K387" s="392" t="str">
        <f t="shared" si="22"/>
        <v>A</v>
      </c>
    </row>
    <row r="388" spans="1:11" ht="20.100000000000001" customHeight="1" x14ac:dyDescent="0.25">
      <c r="A388" s="391" t="s">
        <v>1868</v>
      </c>
      <c r="B388" s="15" t="s">
        <v>1869</v>
      </c>
      <c r="C388" s="14" t="s">
        <v>1859</v>
      </c>
      <c r="D388" s="14" t="s">
        <v>1812</v>
      </c>
      <c r="E388" s="14" t="s">
        <v>188</v>
      </c>
      <c r="F388" s="16">
        <v>8.0850000000000009</v>
      </c>
      <c r="G388" s="17">
        <v>4.9400000000000004</v>
      </c>
      <c r="H388" s="17">
        <f t="shared" si="20"/>
        <v>39.94</v>
      </c>
      <c r="I388" s="18">
        <f t="shared" si="21"/>
        <v>5.5184890211256777E-4</v>
      </c>
      <c r="J388" s="18">
        <f t="shared" si="23"/>
        <v>22.477784161130995</v>
      </c>
      <c r="K388" s="392" t="str">
        <f t="shared" si="22"/>
        <v>A</v>
      </c>
    </row>
    <row r="389" spans="1:11" ht="27.95" customHeight="1" x14ac:dyDescent="0.25">
      <c r="A389" s="391" t="s">
        <v>2742</v>
      </c>
      <c r="B389" s="15" t="s">
        <v>2743</v>
      </c>
      <c r="C389" s="14" t="s">
        <v>341</v>
      </c>
      <c r="D389" s="14" t="s">
        <v>1932</v>
      </c>
      <c r="E389" s="14" t="s">
        <v>579</v>
      </c>
      <c r="F389" s="16">
        <v>8.2367603549999995</v>
      </c>
      <c r="G389" s="17">
        <v>4.8099999999999996</v>
      </c>
      <c r="H389" s="17">
        <f t="shared" si="20"/>
        <v>39.619999999999997</v>
      </c>
      <c r="I389" s="18">
        <f t="shared" si="21"/>
        <v>5.4742747876063938E-4</v>
      </c>
      <c r="J389" s="18">
        <f t="shared" si="23"/>
        <v>22.478331588609755</v>
      </c>
      <c r="K389" s="392" t="str">
        <f t="shared" si="22"/>
        <v>A</v>
      </c>
    </row>
    <row r="390" spans="1:11" ht="20.100000000000001" customHeight="1" x14ac:dyDescent="0.25">
      <c r="A390" s="391" t="s">
        <v>3331</v>
      </c>
      <c r="B390" s="15" t="s">
        <v>3332</v>
      </c>
      <c r="C390" s="14" t="s">
        <v>51</v>
      </c>
      <c r="D390" s="14" t="s">
        <v>1812</v>
      </c>
      <c r="E390" s="14" t="s">
        <v>226</v>
      </c>
      <c r="F390" s="16">
        <v>1.0149999999999999</v>
      </c>
      <c r="G390" s="17">
        <v>38.99</v>
      </c>
      <c r="H390" s="17">
        <f t="shared" si="20"/>
        <v>39.57</v>
      </c>
      <c r="I390" s="18">
        <f t="shared" si="21"/>
        <v>5.4673663136190062E-4</v>
      </c>
      <c r="J390" s="18">
        <f t="shared" si="23"/>
        <v>22.478878325241116</v>
      </c>
      <c r="K390" s="392" t="str">
        <f t="shared" si="22"/>
        <v>A</v>
      </c>
    </row>
    <row r="391" spans="1:11" ht="20.100000000000001" customHeight="1" x14ac:dyDescent="0.25">
      <c r="A391" s="391" t="s">
        <v>3296</v>
      </c>
      <c r="B391" s="15" t="s">
        <v>3297</v>
      </c>
      <c r="C391" s="14" t="s">
        <v>51</v>
      </c>
      <c r="D391" s="14" t="s">
        <v>1812</v>
      </c>
      <c r="E391" s="14" t="s">
        <v>226</v>
      </c>
      <c r="F391" s="16">
        <v>3.0219</v>
      </c>
      <c r="G391" s="17">
        <v>12.81</v>
      </c>
      <c r="H391" s="17">
        <f t="shared" ref="H391:H454" si="24">ROUND(F391*G391,2)</f>
        <v>38.71</v>
      </c>
      <c r="I391" s="18">
        <f t="shared" ref="I391:I454" si="25">H391/VALOR_TOTAL*100</f>
        <v>5.3485405610359288E-4</v>
      </c>
      <c r="J391" s="18">
        <f t="shared" si="23"/>
        <v>22.479413179297218</v>
      </c>
      <c r="K391" s="392" t="str">
        <f t="shared" ref="K391:K454" si="26">IF(J391&lt;=50,"A",IF(J391&lt;=80,"B","C"))</f>
        <v>A</v>
      </c>
    </row>
    <row r="392" spans="1:11" ht="20.100000000000001" customHeight="1" x14ac:dyDescent="0.25">
      <c r="A392" s="391" t="s">
        <v>1864</v>
      </c>
      <c r="B392" s="15" t="s">
        <v>1865</v>
      </c>
      <c r="C392" s="14" t="s">
        <v>1859</v>
      </c>
      <c r="D392" s="14" t="s">
        <v>1812</v>
      </c>
      <c r="E392" s="14" t="s">
        <v>1817</v>
      </c>
      <c r="F392" s="16">
        <v>11.927685</v>
      </c>
      <c r="G392" s="17">
        <v>3.22</v>
      </c>
      <c r="H392" s="17">
        <f t="shared" si="24"/>
        <v>38.409999999999997</v>
      </c>
      <c r="I392" s="18">
        <f t="shared" si="25"/>
        <v>5.3070897171115996E-4</v>
      </c>
      <c r="J392" s="18">
        <f t="shared" ref="J392:J455" si="27">I392+J391</f>
        <v>22.479943888268931</v>
      </c>
      <c r="K392" s="392" t="str">
        <f t="shared" si="26"/>
        <v>A</v>
      </c>
    </row>
    <row r="393" spans="1:11" ht="20.100000000000001" customHeight="1" x14ac:dyDescent="0.25">
      <c r="A393" s="391" t="s">
        <v>2204</v>
      </c>
      <c r="B393" s="15" t="s">
        <v>2205</v>
      </c>
      <c r="C393" s="14" t="s">
        <v>2206</v>
      </c>
      <c r="D393" s="14" t="s">
        <v>1812</v>
      </c>
      <c r="E393" s="14" t="s">
        <v>579</v>
      </c>
      <c r="F393" s="16">
        <v>1</v>
      </c>
      <c r="G393" s="17">
        <v>37.840000000000003</v>
      </c>
      <c r="H393" s="17">
        <f t="shared" si="24"/>
        <v>37.840000000000003</v>
      </c>
      <c r="I393" s="18">
        <f t="shared" si="25"/>
        <v>5.2283331136553752E-4</v>
      </c>
      <c r="J393" s="18">
        <f t="shared" si="27"/>
        <v>22.480466721580296</v>
      </c>
      <c r="K393" s="392" t="str">
        <f t="shared" si="26"/>
        <v>A</v>
      </c>
    </row>
    <row r="394" spans="1:11" ht="15" customHeight="1" x14ac:dyDescent="0.25">
      <c r="A394" s="391" t="s">
        <v>2383</v>
      </c>
      <c r="B394" s="15" t="s">
        <v>2384</v>
      </c>
      <c r="C394" s="14" t="s">
        <v>82</v>
      </c>
      <c r="D394" s="14" t="s">
        <v>1812</v>
      </c>
      <c r="E394" s="14" t="s">
        <v>1817</v>
      </c>
      <c r="F394" s="16">
        <v>1.5674999999999999</v>
      </c>
      <c r="G394" s="17">
        <v>23.85</v>
      </c>
      <c r="H394" s="17">
        <f t="shared" si="24"/>
        <v>37.380000000000003</v>
      </c>
      <c r="I394" s="18">
        <f t="shared" si="25"/>
        <v>5.1647751529714046E-4</v>
      </c>
      <c r="J394" s="18">
        <f t="shared" si="27"/>
        <v>22.480983199095594</v>
      </c>
      <c r="K394" s="392" t="str">
        <f t="shared" si="26"/>
        <v>A</v>
      </c>
    </row>
    <row r="395" spans="1:11" ht="20.100000000000001" customHeight="1" x14ac:dyDescent="0.25">
      <c r="A395" s="391" t="s">
        <v>2071</v>
      </c>
      <c r="B395" s="15" t="s">
        <v>2072</v>
      </c>
      <c r="C395" s="14" t="s">
        <v>2206</v>
      </c>
      <c r="D395" s="14" t="s">
        <v>1812</v>
      </c>
      <c r="E395" s="14" t="s">
        <v>579</v>
      </c>
      <c r="F395" s="16">
        <v>147.12</v>
      </c>
      <c r="G395" s="17">
        <v>0.25</v>
      </c>
      <c r="H395" s="17">
        <f t="shared" si="24"/>
        <v>36.78</v>
      </c>
      <c r="I395" s="18">
        <f t="shared" si="25"/>
        <v>5.081873465122745E-4</v>
      </c>
      <c r="J395" s="18">
        <f t="shared" si="27"/>
        <v>22.481491386442105</v>
      </c>
      <c r="K395" s="392" t="str">
        <f t="shared" si="26"/>
        <v>A</v>
      </c>
    </row>
    <row r="396" spans="1:11" ht="20.100000000000001" customHeight="1" x14ac:dyDescent="0.25">
      <c r="A396" s="391" t="s">
        <v>2095</v>
      </c>
      <c r="B396" s="15" t="s">
        <v>2096</v>
      </c>
      <c r="C396" s="14" t="s">
        <v>51</v>
      </c>
      <c r="D396" s="14" t="s">
        <v>1812</v>
      </c>
      <c r="E396" s="14" t="s">
        <v>226</v>
      </c>
      <c r="F396" s="16">
        <v>139.19999999999999</v>
      </c>
      <c r="G396" s="17">
        <v>0.26</v>
      </c>
      <c r="H396" s="17">
        <f t="shared" si="24"/>
        <v>36.19</v>
      </c>
      <c r="I396" s="18">
        <f t="shared" si="25"/>
        <v>5.0003534720715638E-4</v>
      </c>
      <c r="J396" s="18">
        <f t="shared" si="27"/>
        <v>22.481991421789314</v>
      </c>
      <c r="K396" s="392" t="str">
        <f t="shared" si="26"/>
        <v>A</v>
      </c>
    </row>
    <row r="397" spans="1:11" ht="20.100000000000001" customHeight="1" x14ac:dyDescent="0.25">
      <c r="A397" s="391" t="s">
        <v>3486</v>
      </c>
      <c r="B397" s="15" t="s">
        <v>3487</v>
      </c>
      <c r="C397" s="14" t="s">
        <v>51</v>
      </c>
      <c r="D397" s="14" t="s">
        <v>1812</v>
      </c>
      <c r="E397" s="14" t="s">
        <v>1817</v>
      </c>
      <c r="F397" s="16">
        <v>45.09</v>
      </c>
      <c r="G397" s="17">
        <v>0.77</v>
      </c>
      <c r="H397" s="17">
        <f t="shared" si="24"/>
        <v>34.72</v>
      </c>
      <c r="I397" s="18">
        <f t="shared" si="25"/>
        <v>4.7972443368423528E-4</v>
      </c>
      <c r="J397" s="18">
        <f t="shared" si="27"/>
        <v>22.482471146222998</v>
      </c>
      <c r="K397" s="392" t="str">
        <f t="shared" si="26"/>
        <v>A</v>
      </c>
    </row>
    <row r="398" spans="1:11" ht="15" customHeight="1" x14ac:dyDescent="0.25">
      <c r="A398" s="391" t="s">
        <v>2411</v>
      </c>
      <c r="B398" s="15" t="s">
        <v>2412</v>
      </c>
      <c r="C398" s="14" t="s">
        <v>82</v>
      </c>
      <c r="D398" s="14" t="s">
        <v>1827</v>
      </c>
      <c r="E398" s="14" t="s">
        <v>1024</v>
      </c>
      <c r="F398" s="16">
        <v>1.7092454268799999</v>
      </c>
      <c r="G398" s="17">
        <v>18.940000000000001</v>
      </c>
      <c r="H398" s="17">
        <f t="shared" si="24"/>
        <v>32.369999999999997</v>
      </c>
      <c r="I398" s="18">
        <f t="shared" si="25"/>
        <v>4.4725460594351076E-4</v>
      </c>
      <c r="J398" s="18">
        <f t="shared" si="27"/>
        <v>22.482918400828943</v>
      </c>
      <c r="K398" s="392" t="str">
        <f t="shared" si="26"/>
        <v>A</v>
      </c>
    </row>
    <row r="399" spans="1:11" ht="20.100000000000001" customHeight="1" x14ac:dyDescent="0.25">
      <c r="A399" s="391" t="s">
        <v>3169</v>
      </c>
      <c r="B399" s="15" t="s">
        <v>3947</v>
      </c>
      <c r="C399" s="14" t="s">
        <v>51</v>
      </c>
      <c r="D399" s="14" t="s">
        <v>2021</v>
      </c>
      <c r="E399" s="14" t="s">
        <v>2027</v>
      </c>
      <c r="F399" s="22">
        <v>2.4322829923999999E-3</v>
      </c>
      <c r="G399" s="17">
        <v>12936.52</v>
      </c>
      <c r="H399" s="17">
        <f t="shared" si="24"/>
        <v>31.47</v>
      </c>
      <c r="I399" s="18">
        <f t="shared" si="25"/>
        <v>4.3481935276621205E-4</v>
      </c>
      <c r="J399" s="18">
        <f t="shared" si="27"/>
        <v>22.483353220181709</v>
      </c>
      <c r="K399" s="392" t="str">
        <f t="shared" si="26"/>
        <v>A</v>
      </c>
    </row>
    <row r="400" spans="1:11" ht="20.100000000000001" customHeight="1" x14ac:dyDescent="0.25">
      <c r="A400" s="391" t="s">
        <v>3214</v>
      </c>
      <c r="B400" s="15" t="s">
        <v>3215</v>
      </c>
      <c r="C400" s="14" t="s">
        <v>51</v>
      </c>
      <c r="D400" s="14" t="s">
        <v>1812</v>
      </c>
      <c r="E400" s="14" t="s">
        <v>1006</v>
      </c>
      <c r="F400" s="16">
        <v>4.3201799999999997</v>
      </c>
      <c r="G400" s="17">
        <v>7.12</v>
      </c>
      <c r="H400" s="17">
        <f t="shared" si="24"/>
        <v>30.76</v>
      </c>
      <c r="I400" s="18">
        <f t="shared" si="25"/>
        <v>4.2500931970412088E-4</v>
      </c>
      <c r="J400" s="18">
        <f t="shared" si="27"/>
        <v>22.483778229501414</v>
      </c>
      <c r="K400" s="392" t="str">
        <f t="shared" si="26"/>
        <v>A</v>
      </c>
    </row>
    <row r="401" spans="1:11" ht="20.100000000000001" customHeight="1" x14ac:dyDescent="0.25">
      <c r="A401" s="391" t="s">
        <v>3373</v>
      </c>
      <c r="B401" s="15" t="s">
        <v>3374</v>
      </c>
      <c r="C401" s="14" t="s">
        <v>51</v>
      </c>
      <c r="D401" s="14" t="s">
        <v>1812</v>
      </c>
      <c r="E401" s="14" t="s">
        <v>226</v>
      </c>
      <c r="F401" s="16">
        <v>1.0149999999999999</v>
      </c>
      <c r="G401" s="17">
        <v>29.51</v>
      </c>
      <c r="H401" s="17">
        <f t="shared" si="24"/>
        <v>29.95</v>
      </c>
      <c r="I401" s="18">
        <f t="shared" si="25"/>
        <v>4.1381759184455196E-4</v>
      </c>
      <c r="J401" s="18">
        <f t="shared" si="27"/>
        <v>22.484192047093259</v>
      </c>
      <c r="K401" s="392" t="str">
        <f t="shared" si="26"/>
        <v>A</v>
      </c>
    </row>
    <row r="402" spans="1:11" ht="20.100000000000001" customHeight="1" x14ac:dyDescent="0.25">
      <c r="A402" s="391" t="s">
        <v>3389</v>
      </c>
      <c r="B402" s="15" t="s">
        <v>3390</v>
      </c>
      <c r="C402" s="14" t="s">
        <v>51</v>
      </c>
      <c r="D402" s="14" t="s">
        <v>1812</v>
      </c>
      <c r="E402" s="14" t="s">
        <v>188</v>
      </c>
      <c r="F402" s="16">
        <v>4.6863999999999999</v>
      </c>
      <c r="G402" s="17">
        <v>6.35</v>
      </c>
      <c r="H402" s="17">
        <f t="shared" si="24"/>
        <v>29.76</v>
      </c>
      <c r="I402" s="18">
        <f t="shared" si="25"/>
        <v>4.1119237172934452E-4</v>
      </c>
      <c r="J402" s="18">
        <f t="shared" si="27"/>
        <v>22.484603239464988</v>
      </c>
      <c r="K402" s="392" t="str">
        <f t="shared" si="26"/>
        <v>A</v>
      </c>
    </row>
    <row r="403" spans="1:11" ht="20.100000000000001" customHeight="1" x14ac:dyDescent="0.25">
      <c r="A403" s="391" t="s">
        <v>3612</v>
      </c>
      <c r="B403" s="15" t="s">
        <v>3613</v>
      </c>
      <c r="C403" s="14" t="s">
        <v>51</v>
      </c>
      <c r="D403" s="14" t="s">
        <v>1812</v>
      </c>
      <c r="E403" s="14" t="s">
        <v>226</v>
      </c>
      <c r="F403" s="16">
        <v>15.218999999999999</v>
      </c>
      <c r="G403" s="17">
        <v>1.95</v>
      </c>
      <c r="H403" s="17">
        <f t="shared" si="24"/>
        <v>29.68</v>
      </c>
      <c r="I403" s="18">
        <f t="shared" si="25"/>
        <v>4.1008701589136234E-4</v>
      </c>
      <c r="J403" s="18">
        <f t="shared" si="27"/>
        <v>22.485013326480878</v>
      </c>
      <c r="K403" s="392" t="str">
        <f t="shared" si="26"/>
        <v>A</v>
      </c>
    </row>
    <row r="404" spans="1:11" ht="20.100000000000001" customHeight="1" x14ac:dyDescent="0.25">
      <c r="A404" s="391" t="s">
        <v>2233</v>
      </c>
      <c r="B404" s="15" t="s">
        <v>2234</v>
      </c>
      <c r="C404" s="14" t="s">
        <v>51</v>
      </c>
      <c r="D404" s="14" t="s">
        <v>1812</v>
      </c>
      <c r="E404" s="14" t="s">
        <v>226</v>
      </c>
      <c r="F404" s="16">
        <v>7</v>
      </c>
      <c r="G404" s="17">
        <v>4.18</v>
      </c>
      <c r="H404" s="17">
        <f t="shared" si="24"/>
        <v>29.26</v>
      </c>
      <c r="I404" s="18">
        <f t="shared" si="25"/>
        <v>4.0428389774195631E-4</v>
      </c>
      <c r="J404" s="18">
        <f t="shared" si="27"/>
        <v>22.485417610378619</v>
      </c>
      <c r="K404" s="392" t="str">
        <f t="shared" si="26"/>
        <v>A</v>
      </c>
    </row>
    <row r="405" spans="1:11" ht="20.100000000000001" customHeight="1" x14ac:dyDescent="0.25">
      <c r="A405" s="391" t="s">
        <v>3540</v>
      </c>
      <c r="B405" s="15" t="s">
        <v>3541</v>
      </c>
      <c r="C405" s="14" t="s">
        <v>51</v>
      </c>
      <c r="D405" s="14" t="s">
        <v>1812</v>
      </c>
      <c r="E405" s="14" t="s">
        <v>1817</v>
      </c>
      <c r="F405" s="16">
        <v>1.925</v>
      </c>
      <c r="G405" s="17">
        <v>15.2</v>
      </c>
      <c r="H405" s="17">
        <f t="shared" si="24"/>
        <v>29.26</v>
      </c>
      <c r="I405" s="18">
        <f t="shared" si="25"/>
        <v>4.0428389774195631E-4</v>
      </c>
      <c r="J405" s="18">
        <f t="shared" si="27"/>
        <v>22.485821894276359</v>
      </c>
      <c r="K405" s="392" t="str">
        <f t="shared" si="26"/>
        <v>A</v>
      </c>
    </row>
    <row r="406" spans="1:11" ht="27.95" customHeight="1" x14ac:dyDescent="0.25">
      <c r="A406" s="391" t="s">
        <v>2733</v>
      </c>
      <c r="B406" s="15" t="s">
        <v>2734</v>
      </c>
      <c r="C406" s="14" t="s">
        <v>341</v>
      </c>
      <c r="D406" s="14" t="s">
        <v>1932</v>
      </c>
      <c r="E406" s="14" t="s">
        <v>579</v>
      </c>
      <c r="F406" s="28">
        <v>0.1138696</v>
      </c>
      <c r="G406" s="17">
        <v>246</v>
      </c>
      <c r="H406" s="17">
        <f t="shared" si="24"/>
        <v>28.01</v>
      </c>
      <c r="I406" s="18">
        <f t="shared" si="25"/>
        <v>3.870127127734859E-4</v>
      </c>
      <c r="J406" s="18">
        <f t="shared" si="27"/>
        <v>22.486208906989134</v>
      </c>
      <c r="K406" s="392" t="str">
        <f t="shared" si="26"/>
        <v>A</v>
      </c>
    </row>
    <row r="407" spans="1:11" ht="15" customHeight="1" x14ac:dyDescent="0.25">
      <c r="A407" s="391" t="s">
        <v>1999</v>
      </c>
      <c r="B407" s="15" t="s">
        <v>2000</v>
      </c>
      <c r="C407" s="14" t="s">
        <v>82</v>
      </c>
      <c r="D407" s="14" t="s">
        <v>1812</v>
      </c>
      <c r="E407" s="14" t="s">
        <v>226</v>
      </c>
      <c r="F407" s="16">
        <v>1.0164</v>
      </c>
      <c r="G407" s="17">
        <v>27.55</v>
      </c>
      <c r="H407" s="17">
        <f t="shared" si="24"/>
        <v>28</v>
      </c>
      <c r="I407" s="18">
        <f t="shared" si="25"/>
        <v>3.8687454329373812E-4</v>
      </c>
      <c r="J407" s="18">
        <f t="shared" si="27"/>
        <v>22.486595781532429</v>
      </c>
      <c r="K407" s="392" t="str">
        <f t="shared" si="26"/>
        <v>A</v>
      </c>
    </row>
    <row r="408" spans="1:11" ht="15" customHeight="1" x14ac:dyDescent="0.25">
      <c r="A408" s="391" t="s">
        <v>3071</v>
      </c>
      <c r="B408" s="15" t="s">
        <v>3072</v>
      </c>
      <c r="C408" s="14" t="s">
        <v>341</v>
      </c>
      <c r="D408" s="14" t="s">
        <v>1812</v>
      </c>
      <c r="E408" s="14" t="s">
        <v>72</v>
      </c>
      <c r="F408" s="16">
        <v>1.3260000000000001</v>
      </c>
      <c r="G408" s="17">
        <v>20.89</v>
      </c>
      <c r="H408" s="17">
        <f t="shared" si="24"/>
        <v>27.7</v>
      </c>
      <c r="I408" s="18">
        <f t="shared" si="25"/>
        <v>3.8272945890130514E-4</v>
      </c>
      <c r="J408" s="18">
        <f t="shared" si="27"/>
        <v>22.486978510991332</v>
      </c>
      <c r="K408" s="392" t="str">
        <f t="shared" si="26"/>
        <v>A</v>
      </c>
    </row>
    <row r="409" spans="1:11" ht="15" customHeight="1" x14ac:dyDescent="0.25">
      <c r="A409" s="391" t="s">
        <v>3878</v>
      </c>
      <c r="B409" s="15" t="s">
        <v>3879</v>
      </c>
      <c r="C409" s="14" t="s">
        <v>82</v>
      </c>
      <c r="D409" s="14" t="s">
        <v>1812</v>
      </c>
      <c r="E409" s="14" t="s">
        <v>188</v>
      </c>
      <c r="F409" s="16">
        <v>6.6594591000000003</v>
      </c>
      <c r="G409" s="17">
        <v>4.07</v>
      </c>
      <c r="H409" s="17">
        <f t="shared" si="24"/>
        <v>27.1</v>
      </c>
      <c r="I409" s="18">
        <f t="shared" si="25"/>
        <v>3.744392901164394E-4</v>
      </c>
      <c r="J409" s="18">
        <f t="shared" si="27"/>
        <v>22.487352950281448</v>
      </c>
      <c r="K409" s="392" t="str">
        <f t="shared" si="26"/>
        <v>A</v>
      </c>
    </row>
    <row r="410" spans="1:11" ht="20.100000000000001" customHeight="1" x14ac:dyDescent="0.25">
      <c r="A410" s="391" t="s">
        <v>3379</v>
      </c>
      <c r="B410" s="15" t="s">
        <v>3380</v>
      </c>
      <c r="C410" s="14" t="s">
        <v>51</v>
      </c>
      <c r="D410" s="14" t="s">
        <v>1812</v>
      </c>
      <c r="E410" s="14" t="s">
        <v>1006</v>
      </c>
      <c r="F410" s="28">
        <v>0.37649250000000001</v>
      </c>
      <c r="G410" s="17">
        <v>70.56</v>
      </c>
      <c r="H410" s="17">
        <f t="shared" si="24"/>
        <v>26.57</v>
      </c>
      <c r="I410" s="18">
        <f t="shared" si="25"/>
        <v>3.6711630768980789E-4</v>
      </c>
      <c r="J410" s="18">
        <f t="shared" si="27"/>
        <v>22.487720066589137</v>
      </c>
      <c r="K410" s="392" t="str">
        <f t="shared" si="26"/>
        <v>A</v>
      </c>
    </row>
    <row r="411" spans="1:11" ht="20.100000000000001" customHeight="1" x14ac:dyDescent="0.25">
      <c r="A411" s="391" t="s">
        <v>3846</v>
      </c>
      <c r="B411" s="15" t="s">
        <v>3847</v>
      </c>
      <c r="C411" s="14" t="s">
        <v>51</v>
      </c>
      <c r="D411" s="14" t="s">
        <v>1812</v>
      </c>
      <c r="E411" s="14" t="s">
        <v>226</v>
      </c>
      <c r="F411" s="16">
        <v>80</v>
      </c>
      <c r="G411" s="17">
        <v>0.33</v>
      </c>
      <c r="H411" s="17">
        <f t="shared" si="24"/>
        <v>26.4</v>
      </c>
      <c r="I411" s="18">
        <f t="shared" si="25"/>
        <v>3.6476742653409591E-4</v>
      </c>
      <c r="J411" s="18">
        <f t="shared" si="27"/>
        <v>22.48808483401567</v>
      </c>
      <c r="K411" s="392" t="str">
        <f t="shared" si="26"/>
        <v>A</v>
      </c>
    </row>
    <row r="412" spans="1:11" ht="15" customHeight="1" x14ac:dyDescent="0.25">
      <c r="A412" s="391" t="s">
        <v>2348</v>
      </c>
      <c r="B412" s="15" t="s">
        <v>2349</v>
      </c>
      <c r="C412" s="14" t="s">
        <v>82</v>
      </c>
      <c r="D412" s="14" t="s">
        <v>1827</v>
      </c>
      <c r="E412" s="14" t="s">
        <v>1024</v>
      </c>
      <c r="F412" s="16">
        <v>1.3883416846200001</v>
      </c>
      <c r="G412" s="17">
        <v>18.940000000000001</v>
      </c>
      <c r="H412" s="17">
        <f t="shared" si="24"/>
        <v>26.3</v>
      </c>
      <c r="I412" s="18">
        <f t="shared" si="25"/>
        <v>3.6338573173661832E-4</v>
      </c>
      <c r="J412" s="18">
        <f t="shared" si="27"/>
        <v>22.488448219747408</v>
      </c>
      <c r="K412" s="392" t="str">
        <f t="shared" si="26"/>
        <v>A</v>
      </c>
    </row>
    <row r="413" spans="1:11" ht="15" customHeight="1" x14ac:dyDescent="0.25">
      <c r="A413" s="391" t="s">
        <v>2055</v>
      </c>
      <c r="B413" s="15" t="s">
        <v>2056</v>
      </c>
      <c r="C413" s="14" t="s">
        <v>341</v>
      </c>
      <c r="D413" s="14" t="s">
        <v>1812</v>
      </c>
      <c r="E413" s="14" t="s">
        <v>1951</v>
      </c>
      <c r="F413" s="16">
        <v>18.879000000000001</v>
      </c>
      <c r="G413" s="17">
        <v>1.36</v>
      </c>
      <c r="H413" s="17">
        <f t="shared" si="24"/>
        <v>25.68</v>
      </c>
      <c r="I413" s="18">
        <f t="shared" si="25"/>
        <v>3.5481922399225696E-4</v>
      </c>
      <c r="J413" s="18">
        <f t="shared" si="27"/>
        <v>22.488803038971401</v>
      </c>
      <c r="K413" s="392" t="str">
        <f t="shared" si="26"/>
        <v>A</v>
      </c>
    </row>
    <row r="414" spans="1:11" ht="20.100000000000001" customHeight="1" x14ac:dyDescent="0.25">
      <c r="A414" s="391" t="s">
        <v>3304</v>
      </c>
      <c r="B414" s="15" t="s">
        <v>3305</v>
      </c>
      <c r="C414" s="14" t="s">
        <v>51</v>
      </c>
      <c r="D414" s="14" t="s">
        <v>1812</v>
      </c>
      <c r="E414" s="14" t="s">
        <v>226</v>
      </c>
      <c r="F414" s="16">
        <v>1.962</v>
      </c>
      <c r="G414" s="17">
        <v>12.99</v>
      </c>
      <c r="H414" s="17">
        <f t="shared" si="24"/>
        <v>25.49</v>
      </c>
      <c r="I414" s="18">
        <f t="shared" si="25"/>
        <v>3.5219400387704941E-4</v>
      </c>
      <c r="J414" s="18">
        <f t="shared" si="27"/>
        <v>22.489155232975278</v>
      </c>
      <c r="K414" s="392" t="str">
        <f t="shared" si="26"/>
        <v>A</v>
      </c>
    </row>
    <row r="415" spans="1:11" ht="20.100000000000001" customHeight="1" x14ac:dyDescent="0.25">
      <c r="A415" s="391" t="s">
        <v>3853</v>
      </c>
      <c r="B415" s="15" t="s">
        <v>3948</v>
      </c>
      <c r="C415" s="14" t="s">
        <v>194</v>
      </c>
      <c r="D415" s="14" t="s">
        <v>2021</v>
      </c>
      <c r="E415" s="14" t="s">
        <v>2024</v>
      </c>
      <c r="F415" s="26">
        <v>0.2127646227248656</v>
      </c>
      <c r="G415" s="17">
        <v>117.11</v>
      </c>
      <c r="H415" s="17">
        <f t="shared" si="24"/>
        <v>24.92</v>
      </c>
      <c r="I415" s="18">
        <f t="shared" si="25"/>
        <v>3.4431834353142692E-4</v>
      </c>
      <c r="J415" s="18">
        <f t="shared" si="27"/>
        <v>22.489499551318811</v>
      </c>
      <c r="K415" s="392" t="str">
        <f t="shared" si="26"/>
        <v>A</v>
      </c>
    </row>
    <row r="416" spans="1:11" ht="20.100000000000001" customHeight="1" x14ac:dyDescent="0.25">
      <c r="A416" s="391" t="s">
        <v>3308</v>
      </c>
      <c r="B416" s="15" t="s">
        <v>3309</v>
      </c>
      <c r="C416" s="14" t="s">
        <v>51</v>
      </c>
      <c r="D416" s="14" t="s">
        <v>1812</v>
      </c>
      <c r="E416" s="14" t="s">
        <v>226</v>
      </c>
      <c r="F416" s="16">
        <v>3.9630000000000001</v>
      </c>
      <c r="G416" s="17">
        <v>6.22</v>
      </c>
      <c r="H416" s="17">
        <f t="shared" si="24"/>
        <v>24.65</v>
      </c>
      <c r="I416" s="18">
        <f t="shared" si="25"/>
        <v>3.405877675782373E-4</v>
      </c>
      <c r="J416" s="18">
        <f t="shared" si="27"/>
        <v>22.48984013908639</v>
      </c>
      <c r="K416" s="392" t="str">
        <f t="shared" si="26"/>
        <v>A</v>
      </c>
    </row>
    <row r="417" spans="1:11" ht="20.100000000000001" customHeight="1" x14ac:dyDescent="0.25">
      <c r="A417" s="391" t="s">
        <v>3545</v>
      </c>
      <c r="B417" s="15" t="s">
        <v>3546</v>
      </c>
      <c r="C417" s="14" t="s">
        <v>51</v>
      </c>
      <c r="D417" s="14" t="s">
        <v>1812</v>
      </c>
      <c r="E417" s="14" t="s">
        <v>1817</v>
      </c>
      <c r="F417" s="24">
        <v>0.29380000000000001</v>
      </c>
      <c r="G417" s="17">
        <v>82.46</v>
      </c>
      <c r="H417" s="17">
        <f t="shared" si="24"/>
        <v>24.23</v>
      </c>
      <c r="I417" s="18">
        <f t="shared" si="25"/>
        <v>3.3478464942883127E-4</v>
      </c>
      <c r="J417" s="18">
        <f t="shared" si="27"/>
        <v>22.490174923735818</v>
      </c>
      <c r="K417" s="392" t="str">
        <f t="shared" si="26"/>
        <v>A</v>
      </c>
    </row>
    <row r="418" spans="1:11" ht="15" customHeight="1" x14ac:dyDescent="0.25">
      <c r="A418" s="391" t="s">
        <v>2599</v>
      </c>
      <c r="B418" s="15" t="s">
        <v>2600</v>
      </c>
      <c r="C418" s="14" t="s">
        <v>82</v>
      </c>
      <c r="D418" s="14" t="s">
        <v>1827</v>
      </c>
      <c r="E418" s="14" t="s">
        <v>1024</v>
      </c>
      <c r="F418" s="21">
        <v>0.85198170348000002</v>
      </c>
      <c r="G418" s="17">
        <v>26.91</v>
      </c>
      <c r="H418" s="17">
        <f t="shared" si="24"/>
        <v>22.93</v>
      </c>
      <c r="I418" s="18">
        <f t="shared" si="25"/>
        <v>3.1682261706162193E-4</v>
      </c>
      <c r="J418" s="18">
        <f t="shared" si="27"/>
        <v>22.49049174635288</v>
      </c>
      <c r="K418" s="392" t="str">
        <f t="shared" si="26"/>
        <v>A</v>
      </c>
    </row>
    <row r="419" spans="1:11" ht="20.100000000000001" customHeight="1" x14ac:dyDescent="0.25">
      <c r="A419" s="391" t="s">
        <v>3512</v>
      </c>
      <c r="B419" s="15" t="s">
        <v>3949</v>
      </c>
      <c r="C419" s="14" t="s">
        <v>194</v>
      </c>
      <c r="D419" s="14" t="s">
        <v>2021</v>
      </c>
      <c r="E419" s="14" t="s">
        <v>2024</v>
      </c>
      <c r="F419" s="26">
        <v>0.1509121874827869</v>
      </c>
      <c r="G419" s="17">
        <v>150.94</v>
      </c>
      <c r="H419" s="17">
        <f t="shared" si="24"/>
        <v>22.78</v>
      </c>
      <c r="I419" s="18">
        <f t="shared" si="25"/>
        <v>3.1475007486540552E-4</v>
      </c>
      <c r="J419" s="18">
        <f t="shared" si="27"/>
        <v>22.490806496427744</v>
      </c>
      <c r="K419" s="392" t="str">
        <f t="shared" si="26"/>
        <v>A</v>
      </c>
    </row>
    <row r="420" spans="1:11" ht="20.100000000000001" customHeight="1" x14ac:dyDescent="0.25">
      <c r="A420" s="391" t="s">
        <v>3171</v>
      </c>
      <c r="B420" s="15" t="s">
        <v>2523</v>
      </c>
      <c r="C420" s="14" t="s">
        <v>51</v>
      </c>
      <c r="D420" s="14" t="s">
        <v>1812</v>
      </c>
      <c r="E420" s="14" t="s">
        <v>1006</v>
      </c>
      <c r="F420" s="16">
        <v>3.5242629999999999</v>
      </c>
      <c r="G420" s="17">
        <v>6.41</v>
      </c>
      <c r="H420" s="17">
        <f t="shared" si="24"/>
        <v>22.59</v>
      </c>
      <c r="I420" s="18">
        <f t="shared" si="25"/>
        <v>3.1212485475019802E-4</v>
      </c>
      <c r="J420" s="18">
        <f t="shared" si="27"/>
        <v>22.491118621282496</v>
      </c>
      <c r="K420" s="392" t="str">
        <f t="shared" si="26"/>
        <v>A</v>
      </c>
    </row>
    <row r="421" spans="1:11" ht="20.100000000000001" customHeight="1" x14ac:dyDescent="0.25">
      <c r="A421" s="391" t="s">
        <v>2517</v>
      </c>
      <c r="B421" s="15" t="s">
        <v>2518</v>
      </c>
      <c r="C421" s="14" t="s">
        <v>82</v>
      </c>
      <c r="D421" s="14" t="s">
        <v>2443</v>
      </c>
      <c r="E421" s="14" t="s">
        <v>226</v>
      </c>
      <c r="F421" s="21">
        <v>1.5990295199999999E-3</v>
      </c>
      <c r="G421" s="17">
        <v>12936.52</v>
      </c>
      <c r="H421" s="17">
        <f t="shared" si="24"/>
        <v>20.69</v>
      </c>
      <c r="I421" s="18">
        <f t="shared" si="25"/>
        <v>2.8587265359812295E-4</v>
      </c>
      <c r="J421" s="18">
        <f t="shared" si="27"/>
        <v>22.491404493936095</v>
      </c>
      <c r="K421" s="392" t="str">
        <f t="shared" si="26"/>
        <v>A</v>
      </c>
    </row>
    <row r="422" spans="1:11" ht="20.100000000000001" customHeight="1" x14ac:dyDescent="0.25">
      <c r="A422" s="391" t="s">
        <v>3774</v>
      </c>
      <c r="B422" s="15" t="s">
        <v>3775</v>
      </c>
      <c r="C422" s="14" t="s">
        <v>82</v>
      </c>
      <c r="D422" s="14" t="s">
        <v>1812</v>
      </c>
      <c r="E422" s="14" t="s">
        <v>226</v>
      </c>
      <c r="F422" s="16">
        <v>14</v>
      </c>
      <c r="G422" s="17">
        <v>1.47</v>
      </c>
      <c r="H422" s="17">
        <f t="shared" si="24"/>
        <v>20.58</v>
      </c>
      <c r="I422" s="18">
        <f t="shared" si="25"/>
        <v>2.8435278932089747E-4</v>
      </c>
      <c r="J422" s="18">
        <f t="shared" si="27"/>
        <v>22.491688846725417</v>
      </c>
      <c r="K422" s="392" t="str">
        <f t="shared" si="26"/>
        <v>A</v>
      </c>
    </row>
    <row r="423" spans="1:11" ht="20.100000000000001" customHeight="1" x14ac:dyDescent="0.25">
      <c r="A423" s="391" t="s">
        <v>3298</v>
      </c>
      <c r="B423" s="15" t="s">
        <v>3299</v>
      </c>
      <c r="C423" s="14" t="s">
        <v>51</v>
      </c>
      <c r="D423" s="14" t="s">
        <v>1812</v>
      </c>
      <c r="E423" s="14" t="s">
        <v>226</v>
      </c>
      <c r="F423" s="16">
        <v>3.0219</v>
      </c>
      <c r="G423" s="17">
        <v>6.42</v>
      </c>
      <c r="H423" s="17">
        <f t="shared" si="24"/>
        <v>19.399999999999999</v>
      </c>
      <c r="I423" s="18">
        <f t="shared" si="25"/>
        <v>2.680487907106614E-4</v>
      </c>
      <c r="J423" s="18">
        <f t="shared" si="27"/>
        <v>22.491956895516129</v>
      </c>
      <c r="K423" s="392" t="str">
        <f t="shared" si="26"/>
        <v>A</v>
      </c>
    </row>
    <row r="424" spans="1:11" ht="15" customHeight="1" x14ac:dyDescent="0.25">
      <c r="A424" s="391" t="s">
        <v>1862</v>
      </c>
      <c r="B424" s="15" t="s">
        <v>1863</v>
      </c>
      <c r="C424" s="14" t="s">
        <v>1859</v>
      </c>
      <c r="D424" s="14" t="s">
        <v>1812</v>
      </c>
      <c r="E424" s="14" t="s">
        <v>188</v>
      </c>
      <c r="F424" s="16">
        <v>8.0850000000000009</v>
      </c>
      <c r="G424" s="17">
        <v>2.37</v>
      </c>
      <c r="H424" s="17">
        <f t="shared" si="24"/>
        <v>19.16</v>
      </c>
      <c r="I424" s="18">
        <f t="shared" si="25"/>
        <v>2.6473272319671508E-4</v>
      </c>
      <c r="J424" s="18">
        <f t="shared" si="27"/>
        <v>22.492221628239324</v>
      </c>
      <c r="K424" s="392" t="str">
        <f t="shared" si="26"/>
        <v>A</v>
      </c>
    </row>
    <row r="425" spans="1:11" ht="20.100000000000001" customHeight="1" x14ac:dyDescent="0.25">
      <c r="A425" s="391" t="s">
        <v>3002</v>
      </c>
      <c r="B425" s="15" t="s">
        <v>3003</v>
      </c>
      <c r="C425" s="14" t="s">
        <v>51</v>
      </c>
      <c r="D425" s="14" t="s">
        <v>1812</v>
      </c>
      <c r="E425" s="14" t="s">
        <v>1006</v>
      </c>
      <c r="F425" s="30">
        <v>0.35855999999999999</v>
      </c>
      <c r="G425" s="17">
        <v>51.91</v>
      </c>
      <c r="H425" s="17">
        <f t="shared" si="24"/>
        <v>18.61</v>
      </c>
      <c r="I425" s="18">
        <f t="shared" si="25"/>
        <v>2.5713340181058805E-4</v>
      </c>
      <c r="J425" s="18">
        <f t="shared" si="27"/>
        <v>22.492478761641134</v>
      </c>
      <c r="K425" s="392" t="str">
        <f t="shared" si="26"/>
        <v>A</v>
      </c>
    </row>
    <row r="426" spans="1:11" ht="15" customHeight="1" x14ac:dyDescent="0.25">
      <c r="A426" s="391" t="s">
        <v>2460</v>
      </c>
      <c r="B426" s="15" t="s">
        <v>2461</v>
      </c>
      <c r="C426" s="14" t="s">
        <v>1927</v>
      </c>
      <c r="D426" s="14" t="s">
        <v>1812</v>
      </c>
      <c r="E426" s="14" t="s">
        <v>72</v>
      </c>
      <c r="F426" s="16">
        <v>2.4986640000000002</v>
      </c>
      <c r="G426" s="17">
        <v>7.29</v>
      </c>
      <c r="H426" s="17">
        <f t="shared" si="24"/>
        <v>18.22</v>
      </c>
      <c r="I426" s="18">
        <f t="shared" si="25"/>
        <v>2.5174479210042527E-4</v>
      </c>
      <c r="J426" s="18">
        <f t="shared" si="27"/>
        <v>22.492730506433233</v>
      </c>
      <c r="K426" s="392" t="str">
        <f t="shared" si="26"/>
        <v>A</v>
      </c>
    </row>
    <row r="427" spans="1:11" ht="20.100000000000001" customHeight="1" x14ac:dyDescent="0.25">
      <c r="A427" s="391" t="s">
        <v>3385</v>
      </c>
      <c r="B427" s="15" t="s">
        <v>3386</v>
      </c>
      <c r="C427" s="14" t="s">
        <v>51</v>
      </c>
      <c r="D427" s="14" t="s">
        <v>1812</v>
      </c>
      <c r="E427" s="14" t="s">
        <v>226</v>
      </c>
      <c r="F427" s="16">
        <v>1.0149999999999999</v>
      </c>
      <c r="G427" s="17">
        <v>17.62</v>
      </c>
      <c r="H427" s="17">
        <f t="shared" si="24"/>
        <v>17.88</v>
      </c>
      <c r="I427" s="18">
        <f t="shared" si="25"/>
        <v>2.4704702978900131E-4</v>
      </c>
      <c r="J427" s="18">
        <f t="shared" si="27"/>
        <v>22.492977553463021</v>
      </c>
      <c r="K427" s="392" t="str">
        <f t="shared" si="26"/>
        <v>A</v>
      </c>
    </row>
    <row r="428" spans="1:11" ht="20.100000000000001" customHeight="1" x14ac:dyDescent="0.25">
      <c r="A428" s="391" t="s">
        <v>2638</v>
      </c>
      <c r="B428" s="15" t="s">
        <v>2639</v>
      </c>
      <c r="C428" s="14" t="s">
        <v>82</v>
      </c>
      <c r="D428" s="14" t="s">
        <v>1827</v>
      </c>
      <c r="E428" s="14" t="s">
        <v>1024</v>
      </c>
      <c r="F428" s="31">
        <v>0.90245524032047997</v>
      </c>
      <c r="G428" s="17">
        <v>19.77</v>
      </c>
      <c r="H428" s="17">
        <f t="shared" si="24"/>
        <v>17.84</v>
      </c>
      <c r="I428" s="18">
        <f t="shared" si="25"/>
        <v>2.4649435187001028E-4</v>
      </c>
      <c r="J428" s="18">
        <f t="shared" si="27"/>
        <v>22.493224047814891</v>
      </c>
      <c r="K428" s="392" t="str">
        <f t="shared" si="26"/>
        <v>A</v>
      </c>
    </row>
    <row r="429" spans="1:11" ht="20.100000000000001" customHeight="1" x14ac:dyDescent="0.25">
      <c r="A429" s="391" t="s">
        <v>3185</v>
      </c>
      <c r="B429" s="15" t="s">
        <v>3950</v>
      </c>
      <c r="C429" s="14" t="s">
        <v>51</v>
      </c>
      <c r="D429" s="14" t="s">
        <v>2021</v>
      </c>
      <c r="E429" s="14" t="s">
        <v>2027</v>
      </c>
      <c r="F429" s="25">
        <v>2.8652112640000001E-3</v>
      </c>
      <c r="G429" s="17">
        <v>6175.81</v>
      </c>
      <c r="H429" s="17">
        <f t="shared" si="24"/>
        <v>17.7</v>
      </c>
      <c r="I429" s="18">
        <f t="shared" si="25"/>
        <v>2.4455997915354155E-4</v>
      </c>
      <c r="J429" s="18">
        <f t="shared" si="27"/>
        <v>22.493468607794046</v>
      </c>
      <c r="K429" s="392" t="str">
        <f t="shared" si="26"/>
        <v>A</v>
      </c>
    </row>
    <row r="430" spans="1:11" ht="15" customHeight="1" x14ac:dyDescent="0.25">
      <c r="A430" s="391" t="s">
        <v>2942</v>
      </c>
      <c r="B430" s="15" t="s">
        <v>2943</v>
      </c>
      <c r="C430" s="14" t="s">
        <v>82</v>
      </c>
      <c r="D430" s="14" t="s">
        <v>1812</v>
      </c>
      <c r="E430" s="14" t="s">
        <v>1817</v>
      </c>
      <c r="F430" s="30">
        <v>0.66005999999999998</v>
      </c>
      <c r="G430" s="17">
        <v>26.09</v>
      </c>
      <c r="H430" s="17">
        <f t="shared" si="24"/>
        <v>17.22</v>
      </c>
      <c r="I430" s="18">
        <f t="shared" si="25"/>
        <v>2.3792784412564891E-4</v>
      </c>
      <c r="J430" s="18">
        <f t="shared" si="27"/>
        <v>22.493706535638172</v>
      </c>
      <c r="K430" s="392" t="str">
        <f t="shared" si="26"/>
        <v>A</v>
      </c>
    </row>
    <row r="431" spans="1:11" ht="20.100000000000001" customHeight="1" x14ac:dyDescent="0.25">
      <c r="A431" s="391" t="s">
        <v>3323</v>
      </c>
      <c r="B431" s="15" t="s">
        <v>3324</v>
      </c>
      <c r="C431" s="14" t="s">
        <v>51</v>
      </c>
      <c r="D431" s="14" t="s">
        <v>1812</v>
      </c>
      <c r="E431" s="14" t="s">
        <v>1817</v>
      </c>
      <c r="F431" s="19">
        <v>0.25975300000000001</v>
      </c>
      <c r="G431" s="17">
        <v>65.900000000000006</v>
      </c>
      <c r="H431" s="17">
        <f t="shared" si="24"/>
        <v>17.12</v>
      </c>
      <c r="I431" s="18">
        <f t="shared" si="25"/>
        <v>2.365461493281713E-4</v>
      </c>
      <c r="J431" s="18">
        <f t="shared" si="27"/>
        <v>22.493943081787499</v>
      </c>
      <c r="K431" s="392" t="str">
        <f t="shared" si="26"/>
        <v>A</v>
      </c>
    </row>
    <row r="432" spans="1:11" ht="20.100000000000001" customHeight="1" x14ac:dyDescent="0.25">
      <c r="A432" s="391" t="s">
        <v>2077</v>
      </c>
      <c r="B432" s="15" t="s">
        <v>2078</v>
      </c>
      <c r="C432" s="14" t="s">
        <v>51</v>
      </c>
      <c r="D432" s="14" t="s">
        <v>1812</v>
      </c>
      <c r="E432" s="14" t="s">
        <v>1817</v>
      </c>
      <c r="F432" s="27">
        <v>0.87519481200000004</v>
      </c>
      <c r="G432" s="17">
        <v>18.87</v>
      </c>
      <c r="H432" s="17">
        <f t="shared" si="24"/>
        <v>16.510000000000002</v>
      </c>
      <c r="I432" s="18">
        <f t="shared" si="25"/>
        <v>2.2811781106355774E-4</v>
      </c>
      <c r="J432" s="18">
        <f t="shared" si="27"/>
        <v>22.494171199598561</v>
      </c>
      <c r="K432" s="392" t="str">
        <f t="shared" si="26"/>
        <v>A</v>
      </c>
    </row>
    <row r="433" spans="1:11" ht="15" customHeight="1" x14ac:dyDescent="0.25">
      <c r="A433" s="391" t="s">
        <v>1822</v>
      </c>
      <c r="B433" s="15" t="s">
        <v>1823</v>
      </c>
      <c r="C433" s="14" t="s">
        <v>341</v>
      </c>
      <c r="D433" s="14" t="s">
        <v>1812</v>
      </c>
      <c r="E433" s="14" t="s">
        <v>579</v>
      </c>
      <c r="F433" s="16">
        <v>10.65</v>
      </c>
      <c r="G433" s="17">
        <v>1.5</v>
      </c>
      <c r="H433" s="17">
        <f t="shared" si="24"/>
        <v>15.98</v>
      </c>
      <c r="I433" s="18">
        <f t="shared" si="25"/>
        <v>2.2079482863692623E-4</v>
      </c>
      <c r="J433" s="18">
        <f t="shared" si="27"/>
        <v>22.494391994427197</v>
      </c>
      <c r="K433" s="392" t="str">
        <f t="shared" si="26"/>
        <v>A</v>
      </c>
    </row>
    <row r="434" spans="1:11" ht="15" customHeight="1" x14ac:dyDescent="0.25">
      <c r="A434" s="391" t="s">
        <v>3776</v>
      </c>
      <c r="B434" s="15" t="s">
        <v>3777</v>
      </c>
      <c r="C434" s="14" t="s">
        <v>82</v>
      </c>
      <c r="D434" s="14" t="s">
        <v>1812</v>
      </c>
      <c r="E434" s="14" t="s">
        <v>226</v>
      </c>
      <c r="F434" s="16">
        <v>14</v>
      </c>
      <c r="G434" s="17">
        <v>1.1100000000000001</v>
      </c>
      <c r="H434" s="17">
        <f t="shared" si="24"/>
        <v>15.54</v>
      </c>
      <c r="I434" s="18">
        <f t="shared" si="25"/>
        <v>2.1471537152802463E-4</v>
      </c>
      <c r="J434" s="18">
        <f t="shared" si="27"/>
        <v>22.494606709798724</v>
      </c>
      <c r="K434" s="392" t="str">
        <f t="shared" si="26"/>
        <v>A</v>
      </c>
    </row>
    <row r="435" spans="1:11" ht="27.95" customHeight="1" x14ac:dyDescent="0.25">
      <c r="A435" s="391" t="s">
        <v>2721</v>
      </c>
      <c r="B435" s="15" t="s">
        <v>2722</v>
      </c>
      <c r="C435" s="14" t="s">
        <v>341</v>
      </c>
      <c r="D435" s="14" t="s">
        <v>1932</v>
      </c>
      <c r="E435" s="14" t="s">
        <v>579</v>
      </c>
      <c r="F435" s="16">
        <v>1.0982347139999999</v>
      </c>
      <c r="G435" s="17">
        <v>13.5</v>
      </c>
      <c r="H435" s="17">
        <f t="shared" si="24"/>
        <v>14.83</v>
      </c>
      <c r="I435" s="18">
        <f t="shared" si="25"/>
        <v>2.0490533846593341E-4</v>
      </c>
      <c r="J435" s="18">
        <f t="shared" si="27"/>
        <v>22.494811615137191</v>
      </c>
      <c r="K435" s="392" t="str">
        <f t="shared" si="26"/>
        <v>A</v>
      </c>
    </row>
    <row r="436" spans="1:11" ht="20.100000000000001" customHeight="1" x14ac:dyDescent="0.25">
      <c r="A436" s="391" t="s">
        <v>3391</v>
      </c>
      <c r="B436" s="15" t="s">
        <v>3392</v>
      </c>
      <c r="C436" s="14" t="s">
        <v>51</v>
      </c>
      <c r="D436" s="14" t="s">
        <v>1812</v>
      </c>
      <c r="E436" s="14" t="s">
        <v>226</v>
      </c>
      <c r="F436" s="16">
        <v>1.0149999999999999</v>
      </c>
      <c r="G436" s="17">
        <v>14.46</v>
      </c>
      <c r="H436" s="17">
        <f t="shared" si="24"/>
        <v>14.68</v>
      </c>
      <c r="I436" s="18">
        <f t="shared" si="25"/>
        <v>2.0283279626971698E-4</v>
      </c>
      <c r="J436" s="18">
        <f t="shared" si="27"/>
        <v>22.49501444793346</v>
      </c>
      <c r="K436" s="392" t="str">
        <f t="shared" si="26"/>
        <v>A</v>
      </c>
    </row>
    <row r="437" spans="1:11" ht="15" customHeight="1" x14ac:dyDescent="0.25">
      <c r="A437" s="391" t="s">
        <v>2906</v>
      </c>
      <c r="B437" s="15" t="s">
        <v>2907</v>
      </c>
      <c r="C437" s="14" t="s">
        <v>82</v>
      </c>
      <c r="D437" s="14" t="s">
        <v>2443</v>
      </c>
      <c r="E437" s="14" t="s">
        <v>226</v>
      </c>
      <c r="F437" s="25">
        <v>2.3088992939999998E-3</v>
      </c>
      <c r="G437" s="17">
        <v>6320.47</v>
      </c>
      <c r="H437" s="17">
        <f t="shared" si="24"/>
        <v>14.59</v>
      </c>
      <c r="I437" s="18">
        <f t="shared" si="25"/>
        <v>2.0158927095198709E-4</v>
      </c>
      <c r="J437" s="18">
        <f t="shared" si="27"/>
        <v>22.495216037204411</v>
      </c>
      <c r="K437" s="392" t="str">
        <f t="shared" si="26"/>
        <v>A</v>
      </c>
    </row>
    <row r="438" spans="1:11" ht="20.100000000000001" customHeight="1" x14ac:dyDescent="0.25">
      <c r="A438" s="391" t="s">
        <v>3056</v>
      </c>
      <c r="B438" s="15" t="s">
        <v>3057</v>
      </c>
      <c r="C438" s="14" t="s">
        <v>2206</v>
      </c>
      <c r="D438" s="14" t="s">
        <v>1812</v>
      </c>
      <c r="E438" s="14" t="s">
        <v>2066</v>
      </c>
      <c r="F438" s="16">
        <v>6.0087495630000003</v>
      </c>
      <c r="G438" s="17">
        <v>2.41</v>
      </c>
      <c r="H438" s="17">
        <f t="shared" si="24"/>
        <v>14.48</v>
      </c>
      <c r="I438" s="18">
        <f t="shared" si="25"/>
        <v>2.0006940667476172E-4</v>
      </c>
      <c r="J438" s="18">
        <f t="shared" si="27"/>
        <v>22.495416106611085</v>
      </c>
      <c r="K438" s="392" t="str">
        <f t="shared" si="26"/>
        <v>A</v>
      </c>
    </row>
    <row r="439" spans="1:11" ht="20.100000000000001" customHeight="1" x14ac:dyDescent="0.25">
      <c r="A439" s="391" t="s">
        <v>3274</v>
      </c>
      <c r="B439" s="15" t="s">
        <v>3275</v>
      </c>
      <c r="C439" s="14" t="s">
        <v>51</v>
      </c>
      <c r="D439" s="14" t="s">
        <v>1812</v>
      </c>
      <c r="E439" s="14" t="s">
        <v>226</v>
      </c>
      <c r="F439" s="16">
        <v>8.8879999999999999</v>
      </c>
      <c r="G439" s="17">
        <v>1.61</v>
      </c>
      <c r="H439" s="17">
        <f t="shared" si="24"/>
        <v>14.31</v>
      </c>
      <c r="I439" s="18">
        <f t="shared" si="25"/>
        <v>1.9772052551904974E-4</v>
      </c>
      <c r="J439" s="18">
        <f t="shared" si="27"/>
        <v>22.495613827136605</v>
      </c>
      <c r="K439" s="392" t="str">
        <f t="shared" si="26"/>
        <v>A</v>
      </c>
    </row>
    <row r="440" spans="1:11" ht="20.100000000000001" customHeight="1" x14ac:dyDescent="0.25">
      <c r="A440" s="391" t="s">
        <v>1872</v>
      </c>
      <c r="B440" s="15" t="s">
        <v>1873</v>
      </c>
      <c r="C440" s="14" t="s">
        <v>1859</v>
      </c>
      <c r="D440" s="14" t="s">
        <v>1812</v>
      </c>
      <c r="E440" s="14" t="s">
        <v>226</v>
      </c>
      <c r="F440" s="16">
        <v>29.51718</v>
      </c>
      <c r="G440" s="17">
        <v>0.44</v>
      </c>
      <c r="H440" s="17">
        <f t="shared" si="24"/>
        <v>12.99</v>
      </c>
      <c r="I440" s="18">
        <f t="shared" si="25"/>
        <v>1.7948215419234494E-4</v>
      </c>
      <c r="J440" s="18">
        <f t="shared" si="27"/>
        <v>22.495793309290796</v>
      </c>
      <c r="K440" s="392" t="str">
        <f t="shared" si="26"/>
        <v>A</v>
      </c>
    </row>
    <row r="441" spans="1:11" ht="20.100000000000001" customHeight="1" x14ac:dyDescent="0.25">
      <c r="A441" s="391" t="s">
        <v>3319</v>
      </c>
      <c r="B441" s="15" t="s">
        <v>3320</v>
      </c>
      <c r="C441" s="14" t="s">
        <v>51</v>
      </c>
      <c r="D441" s="14" t="s">
        <v>1812</v>
      </c>
      <c r="E441" s="14" t="s">
        <v>1817</v>
      </c>
      <c r="F441" s="16">
        <v>2.0018410000000002</v>
      </c>
      <c r="G441" s="17">
        <v>5.97</v>
      </c>
      <c r="H441" s="17">
        <f t="shared" si="24"/>
        <v>11.95</v>
      </c>
      <c r="I441" s="18">
        <f t="shared" si="25"/>
        <v>1.6511252829857749E-4</v>
      </c>
      <c r="J441" s="18">
        <f t="shared" si="27"/>
        <v>22.495958421819093</v>
      </c>
      <c r="K441" s="392" t="str">
        <f t="shared" si="26"/>
        <v>A</v>
      </c>
    </row>
    <row r="442" spans="1:11" ht="27.95" customHeight="1" x14ac:dyDescent="0.25">
      <c r="A442" s="391" t="s">
        <v>2780</v>
      </c>
      <c r="B442" s="15" t="s">
        <v>2781</v>
      </c>
      <c r="C442" s="14" t="s">
        <v>341</v>
      </c>
      <c r="D442" s="14" t="s">
        <v>1932</v>
      </c>
      <c r="E442" s="14" t="s">
        <v>579</v>
      </c>
      <c r="F442" s="28">
        <v>3.63869E-2</v>
      </c>
      <c r="G442" s="17">
        <v>319.89999999999998</v>
      </c>
      <c r="H442" s="17">
        <f t="shared" si="24"/>
        <v>11.64</v>
      </c>
      <c r="I442" s="18">
        <f t="shared" si="25"/>
        <v>1.6082927442639686E-4</v>
      </c>
      <c r="J442" s="18">
        <f t="shared" si="27"/>
        <v>22.496119251093521</v>
      </c>
      <c r="K442" s="392" t="str">
        <f t="shared" si="26"/>
        <v>A</v>
      </c>
    </row>
    <row r="443" spans="1:11" ht="27.95" customHeight="1" x14ac:dyDescent="0.25">
      <c r="A443" s="391" t="s">
        <v>2785</v>
      </c>
      <c r="B443" s="15" t="s">
        <v>2786</v>
      </c>
      <c r="C443" s="14" t="s">
        <v>341</v>
      </c>
      <c r="D443" s="14" t="s">
        <v>1932</v>
      </c>
      <c r="E443" s="14" t="s">
        <v>579</v>
      </c>
      <c r="F443" s="27">
        <v>6.5565237999999998E-2</v>
      </c>
      <c r="G443" s="17">
        <v>175.45</v>
      </c>
      <c r="H443" s="17">
        <f t="shared" si="24"/>
        <v>11.5</v>
      </c>
      <c r="I443" s="18">
        <f t="shared" si="25"/>
        <v>1.5889490170992816E-4</v>
      </c>
      <c r="J443" s="18">
        <f t="shared" si="27"/>
        <v>22.49627814599523</v>
      </c>
      <c r="K443" s="392" t="str">
        <f t="shared" si="26"/>
        <v>A</v>
      </c>
    </row>
    <row r="444" spans="1:11" ht="20.100000000000001" customHeight="1" x14ac:dyDescent="0.25">
      <c r="A444" s="391" t="s">
        <v>2655</v>
      </c>
      <c r="B444" s="15" t="s">
        <v>2208</v>
      </c>
      <c r="C444" s="14" t="s">
        <v>82</v>
      </c>
      <c r="D444" s="14" t="s">
        <v>1812</v>
      </c>
      <c r="E444" s="14" t="s">
        <v>226</v>
      </c>
      <c r="F444" s="16">
        <v>5</v>
      </c>
      <c r="G444" s="17">
        <v>2.2999999999999998</v>
      </c>
      <c r="H444" s="17">
        <f t="shared" si="24"/>
        <v>11.5</v>
      </c>
      <c r="I444" s="18">
        <f t="shared" si="25"/>
        <v>1.5889490170992816E-4</v>
      </c>
      <c r="J444" s="18">
        <f t="shared" si="27"/>
        <v>22.496437040896939</v>
      </c>
      <c r="K444" s="392" t="str">
        <f t="shared" si="26"/>
        <v>A</v>
      </c>
    </row>
    <row r="445" spans="1:11" ht="15" customHeight="1" x14ac:dyDescent="0.25">
      <c r="A445" s="391" t="s">
        <v>2152</v>
      </c>
      <c r="B445" s="15" t="s">
        <v>2153</v>
      </c>
      <c r="C445" s="14" t="s">
        <v>341</v>
      </c>
      <c r="D445" s="14" t="s">
        <v>1812</v>
      </c>
      <c r="E445" s="14" t="s">
        <v>786</v>
      </c>
      <c r="F445" s="24">
        <v>0.21579999999999999</v>
      </c>
      <c r="G445" s="17">
        <v>49.5</v>
      </c>
      <c r="H445" s="17">
        <f t="shared" si="24"/>
        <v>10.68</v>
      </c>
      <c r="I445" s="18">
        <f t="shared" si="25"/>
        <v>1.4756500437061154E-4</v>
      </c>
      <c r="J445" s="18">
        <f t="shared" si="27"/>
        <v>22.496584605901312</v>
      </c>
      <c r="K445" s="392" t="str">
        <f t="shared" si="26"/>
        <v>A</v>
      </c>
    </row>
    <row r="446" spans="1:11" ht="15" customHeight="1" x14ac:dyDescent="0.25">
      <c r="A446" s="391" t="s">
        <v>2451</v>
      </c>
      <c r="B446" s="15" t="s">
        <v>2452</v>
      </c>
      <c r="C446" s="14" t="s">
        <v>82</v>
      </c>
      <c r="D446" s="14" t="s">
        <v>2450</v>
      </c>
      <c r="E446" s="14" t="s">
        <v>2453</v>
      </c>
      <c r="F446" s="16">
        <v>11.120265356225</v>
      </c>
      <c r="G446" s="17">
        <v>0.96</v>
      </c>
      <c r="H446" s="17">
        <f t="shared" si="24"/>
        <v>10.68</v>
      </c>
      <c r="I446" s="18">
        <f t="shared" si="25"/>
        <v>1.4756500437061154E-4</v>
      </c>
      <c r="J446" s="18">
        <f t="shared" si="27"/>
        <v>22.496732170905684</v>
      </c>
      <c r="K446" s="392" t="str">
        <f t="shared" si="26"/>
        <v>A</v>
      </c>
    </row>
    <row r="447" spans="1:11" ht="15" customHeight="1" x14ac:dyDescent="0.25">
      <c r="A447" s="391" t="s">
        <v>2801</v>
      </c>
      <c r="B447" s="15" t="s">
        <v>2802</v>
      </c>
      <c r="C447" s="14" t="s">
        <v>82</v>
      </c>
      <c r="D447" s="14" t="s">
        <v>1812</v>
      </c>
      <c r="E447" s="14" t="s">
        <v>1817</v>
      </c>
      <c r="F447" s="28">
        <v>0.49284480000000003</v>
      </c>
      <c r="G447" s="17">
        <v>21.54</v>
      </c>
      <c r="H447" s="17">
        <f t="shared" si="24"/>
        <v>10.62</v>
      </c>
      <c r="I447" s="18">
        <f t="shared" si="25"/>
        <v>1.4673598749212493E-4</v>
      </c>
      <c r="J447" s="18">
        <f t="shared" si="27"/>
        <v>22.496878906893176</v>
      </c>
      <c r="K447" s="392" t="str">
        <f t="shared" si="26"/>
        <v>A</v>
      </c>
    </row>
    <row r="448" spans="1:11" ht="20.100000000000001" customHeight="1" x14ac:dyDescent="0.25">
      <c r="A448" s="391" t="s">
        <v>1918</v>
      </c>
      <c r="B448" s="15" t="s">
        <v>1919</v>
      </c>
      <c r="C448" s="14" t="s">
        <v>82</v>
      </c>
      <c r="D448" s="14" t="s">
        <v>1812</v>
      </c>
      <c r="E448" s="14" t="s">
        <v>226</v>
      </c>
      <c r="F448" s="16">
        <v>16.929600000000001</v>
      </c>
      <c r="G448" s="17">
        <v>0.61</v>
      </c>
      <c r="H448" s="17">
        <f t="shared" si="24"/>
        <v>10.33</v>
      </c>
      <c r="I448" s="18">
        <f t="shared" si="25"/>
        <v>1.4272907257943982E-4</v>
      </c>
      <c r="J448" s="18">
        <f t="shared" si="27"/>
        <v>22.497021635965755</v>
      </c>
      <c r="K448" s="392" t="str">
        <f t="shared" si="26"/>
        <v>A</v>
      </c>
    </row>
    <row r="449" spans="1:11" ht="27.95" customHeight="1" x14ac:dyDescent="0.25">
      <c r="A449" s="391" t="s">
        <v>2407</v>
      </c>
      <c r="B449" s="15" t="s">
        <v>2408</v>
      </c>
      <c r="C449" s="14" t="s">
        <v>82</v>
      </c>
      <c r="D449" s="14" t="s">
        <v>1932</v>
      </c>
      <c r="E449" s="14" t="s">
        <v>1024</v>
      </c>
      <c r="F449" s="16">
        <v>9.4872019999999999</v>
      </c>
      <c r="G449" s="17">
        <v>1.07</v>
      </c>
      <c r="H449" s="17">
        <f t="shared" si="24"/>
        <v>10.15</v>
      </c>
      <c r="I449" s="18">
        <f t="shared" si="25"/>
        <v>1.4024202194398008E-4</v>
      </c>
      <c r="J449" s="18">
        <f t="shared" si="27"/>
        <v>22.497161877987701</v>
      </c>
      <c r="K449" s="392" t="str">
        <f t="shared" si="26"/>
        <v>A</v>
      </c>
    </row>
    <row r="450" spans="1:11" ht="20.100000000000001" customHeight="1" x14ac:dyDescent="0.25">
      <c r="A450" s="391" t="s">
        <v>2561</v>
      </c>
      <c r="B450" s="15" t="s">
        <v>2562</v>
      </c>
      <c r="C450" s="14" t="s">
        <v>82</v>
      </c>
      <c r="D450" s="14" t="s">
        <v>1812</v>
      </c>
      <c r="E450" s="14" t="s">
        <v>226</v>
      </c>
      <c r="F450" s="16">
        <v>1</v>
      </c>
      <c r="G450" s="17">
        <v>9.94</v>
      </c>
      <c r="H450" s="17">
        <f t="shared" si="24"/>
        <v>9.94</v>
      </c>
      <c r="I450" s="18">
        <f t="shared" si="25"/>
        <v>1.3734046286927702E-4</v>
      </c>
      <c r="J450" s="18">
        <f t="shared" si="27"/>
        <v>22.497299218450571</v>
      </c>
      <c r="K450" s="392" t="str">
        <f t="shared" si="26"/>
        <v>A</v>
      </c>
    </row>
    <row r="451" spans="1:11" ht="20.100000000000001" customHeight="1" x14ac:dyDescent="0.25">
      <c r="A451" s="391" t="s">
        <v>3815</v>
      </c>
      <c r="B451" s="15" t="s">
        <v>3816</v>
      </c>
      <c r="C451" s="14" t="s">
        <v>51</v>
      </c>
      <c r="D451" s="14" t="s">
        <v>1812</v>
      </c>
      <c r="E451" s="14" t="s">
        <v>226</v>
      </c>
      <c r="F451" s="16">
        <v>45.14</v>
      </c>
      <c r="G451" s="17">
        <v>0.22</v>
      </c>
      <c r="H451" s="17">
        <f t="shared" si="24"/>
        <v>9.93</v>
      </c>
      <c r="I451" s="18">
        <f t="shared" si="25"/>
        <v>1.3720229338952926E-4</v>
      </c>
      <c r="J451" s="18">
        <f t="shared" si="27"/>
        <v>22.497436420743959</v>
      </c>
      <c r="K451" s="392" t="str">
        <f t="shared" si="26"/>
        <v>A</v>
      </c>
    </row>
    <row r="452" spans="1:11" ht="27.95" customHeight="1" x14ac:dyDescent="0.25">
      <c r="A452" s="391" t="s">
        <v>2976</v>
      </c>
      <c r="B452" s="15" t="s">
        <v>2977</v>
      </c>
      <c r="C452" s="14" t="s">
        <v>82</v>
      </c>
      <c r="D452" s="14" t="s">
        <v>1932</v>
      </c>
      <c r="E452" s="14" t="s">
        <v>1024</v>
      </c>
      <c r="F452" s="16">
        <v>4.9883550000000003</v>
      </c>
      <c r="G452" s="17">
        <v>1.95</v>
      </c>
      <c r="H452" s="17">
        <f t="shared" si="24"/>
        <v>9.73</v>
      </c>
      <c r="I452" s="18">
        <f t="shared" si="25"/>
        <v>1.34438903794574E-4</v>
      </c>
      <c r="J452" s="18">
        <f t="shared" si="27"/>
        <v>22.497570859647755</v>
      </c>
      <c r="K452" s="392" t="str">
        <f t="shared" si="26"/>
        <v>A</v>
      </c>
    </row>
    <row r="453" spans="1:11" ht="20.100000000000001" customHeight="1" x14ac:dyDescent="0.25">
      <c r="A453" s="391" t="s">
        <v>3058</v>
      </c>
      <c r="B453" s="15" t="s">
        <v>3059</v>
      </c>
      <c r="C453" s="14" t="s">
        <v>2206</v>
      </c>
      <c r="D453" s="14" t="s">
        <v>1812</v>
      </c>
      <c r="E453" s="14" t="s">
        <v>2066</v>
      </c>
      <c r="F453" s="16">
        <v>6.0087495630000003</v>
      </c>
      <c r="G453" s="17">
        <v>1.57</v>
      </c>
      <c r="H453" s="17">
        <f t="shared" si="24"/>
        <v>9.43</v>
      </c>
      <c r="I453" s="18">
        <f t="shared" si="25"/>
        <v>1.3029381940214108E-4</v>
      </c>
      <c r="J453" s="18">
        <f t="shared" si="27"/>
        <v>22.497701153467158</v>
      </c>
      <c r="K453" s="392" t="str">
        <f t="shared" si="26"/>
        <v>A</v>
      </c>
    </row>
    <row r="454" spans="1:11" ht="15" customHeight="1" x14ac:dyDescent="0.25">
      <c r="A454" s="391" t="s">
        <v>2664</v>
      </c>
      <c r="B454" s="15" t="s">
        <v>2665</v>
      </c>
      <c r="C454" s="14" t="s">
        <v>82</v>
      </c>
      <c r="D454" s="14" t="s">
        <v>1812</v>
      </c>
      <c r="E454" s="14" t="s">
        <v>188</v>
      </c>
      <c r="F454" s="16">
        <v>1.3221000000000001</v>
      </c>
      <c r="G454" s="17">
        <v>7.02</v>
      </c>
      <c r="H454" s="17">
        <f t="shared" si="24"/>
        <v>9.2799999999999994</v>
      </c>
      <c r="I454" s="18">
        <f t="shared" si="25"/>
        <v>1.2822127720592464E-4</v>
      </c>
      <c r="J454" s="18">
        <f t="shared" si="27"/>
        <v>22.497829374744363</v>
      </c>
      <c r="K454" s="392" t="str">
        <f t="shared" si="26"/>
        <v>A</v>
      </c>
    </row>
    <row r="455" spans="1:11" ht="20.100000000000001" customHeight="1" x14ac:dyDescent="0.25">
      <c r="A455" s="391" t="s">
        <v>1866</v>
      </c>
      <c r="B455" s="15" t="s">
        <v>1867</v>
      </c>
      <c r="C455" s="14" t="s">
        <v>1859</v>
      </c>
      <c r="D455" s="14" t="s">
        <v>1812</v>
      </c>
      <c r="E455" s="14" t="s">
        <v>226</v>
      </c>
      <c r="F455" s="16">
        <v>308.00038499999999</v>
      </c>
      <c r="G455" s="17">
        <v>0.03</v>
      </c>
      <c r="H455" s="17">
        <f t="shared" ref="H455:H518" si="28">ROUND(F455*G455,2)</f>
        <v>9.24</v>
      </c>
      <c r="I455" s="18">
        <f t="shared" ref="I455:I518" si="29">H455/VALOR_TOTAL*100</f>
        <v>1.2766859928693358E-4</v>
      </c>
      <c r="J455" s="18">
        <f t="shared" si="27"/>
        <v>22.49795704334365</v>
      </c>
      <c r="K455" s="392" t="str">
        <f t="shared" ref="K455:K518" si="30">IF(J455&lt;=50,"A",IF(J455&lt;=80,"B","C"))</f>
        <v>A</v>
      </c>
    </row>
    <row r="456" spans="1:11" ht="20.100000000000001" customHeight="1" x14ac:dyDescent="0.25">
      <c r="A456" s="391" t="s">
        <v>3325</v>
      </c>
      <c r="B456" s="15" t="s">
        <v>3326</v>
      </c>
      <c r="C456" s="14" t="s">
        <v>51</v>
      </c>
      <c r="D456" s="14" t="s">
        <v>1812</v>
      </c>
      <c r="E456" s="14" t="s">
        <v>1817</v>
      </c>
      <c r="F456" s="16">
        <v>1.218</v>
      </c>
      <c r="G456" s="17">
        <v>7.53</v>
      </c>
      <c r="H456" s="17">
        <f t="shared" si="28"/>
        <v>9.17</v>
      </c>
      <c r="I456" s="18">
        <f t="shared" si="29"/>
        <v>1.2670141292869924E-4</v>
      </c>
      <c r="J456" s="18">
        <f t="shared" ref="J456:J519" si="31">I456+J455</f>
        <v>22.498083744756578</v>
      </c>
      <c r="K456" s="392" t="str">
        <f t="shared" si="30"/>
        <v>A</v>
      </c>
    </row>
    <row r="457" spans="1:11" ht="20.100000000000001" customHeight="1" x14ac:dyDescent="0.25">
      <c r="A457" s="391" t="s">
        <v>3704</v>
      </c>
      <c r="B457" s="15" t="s">
        <v>3705</v>
      </c>
      <c r="C457" s="14" t="s">
        <v>82</v>
      </c>
      <c r="D457" s="14" t="s">
        <v>1812</v>
      </c>
      <c r="E457" s="14" t="s">
        <v>226</v>
      </c>
      <c r="F457" s="16">
        <v>6</v>
      </c>
      <c r="G457" s="17">
        <v>1.5</v>
      </c>
      <c r="H457" s="17">
        <f t="shared" si="28"/>
        <v>9</v>
      </c>
      <c r="I457" s="18">
        <f t="shared" si="29"/>
        <v>1.2435253177298724E-4</v>
      </c>
      <c r="J457" s="18">
        <f t="shared" si="31"/>
        <v>22.498208097288352</v>
      </c>
      <c r="K457" s="392" t="str">
        <f t="shared" si="30"/>
        <v>A</v>
      </c>
    </row>
    <row r="458" spans="1:11" ht="20.100000000000001" customHeight="1" x14ac:dyDescent="0.25">
      <c r="A458" s="391" t="s">
        <v>3395</v>
      </c>
      <c r="B458" s="15" t="s">
        <v>3396</v>
      </c>
      <c r="C458" s="14" t="s">
        <v>51</v>
      </c>
      <c r="D458" s="14" t="s">
        <v>1812</v>
      </c>
      <c r="E458" s="14" t="s">
        <v>226</v>
      </c>
      <c r="F458" s="16">
        <v>1.0149999999999999</v>
      </c>
      <c r="G458" s="17">
        <v>8.84</v>
      </c>
      <c r="H458" s="17">
        <f t="shared" si="28"/>
        <v>8.9700000000000006</v>
      </c>
      <c r="I458" s="18">
        <f t="shared" si="29"/>
        <v>1.2393802333374396E-4</v>
      </c>
      <c r="J458" s="18">
        <f t="shared" si="31"/>
        <v>22.498332035311684</v>
      </c>
      <c r="K458" s="392" t="str">
        <f t="shared" si="30"/>
        <v>A</v>
      </c>
    </row>
    <row r="459" spans="1:11" ht="27.95" customHeight="1" x14ac:dyDescent="0.25">
      <c r="A459" s="391" t="s">
        <v>2737</v>
      </c>
      <c r="B459" s="15" t="s">
        <v>2738</v>
      </c>
      <c r="C459" s="14" t="s">
        <v>341</v>
      </c>
      <c r="D459" s="14" t="s">
        <v>1932</v>
      </c>
      <c r="E459" s="14" t="s">
        <v>579</v>
      </c>
      <c r="F459" s="28">
        <v>0.2277392</v>
      </c>
      <c r="G459" s="17">
        <v>39.1</v>
      </c>
      <c r="H459" s="17">
        <f t="shared" si="28"/>
        <v>8.9</v>
      </c>
      <c r="I459" s="18">
        <f t="shared" si="29"/>
        <v>1.2297083697550962E-4</v>
      </c>
      <c r="J459" s="18">
        <f t="shared" si="31"/>
        <v>22.49845500614866</v>
      </c>
      <c r="K459" s="392" t="str">
        <f t="shared" si="30"/>
        <v>A</v>
      </c>
    </row>
    <row r="460" spans="1:11" ht="15" customHeight="1" x14ac:dyDescent="0.25">
      <c r="A460" s="391" t="s">
        <v>3780</v>
      </c>
      <c r="B460" s="15" t="s">
        <v>3781</v>
      </c>
      <c r="C460" s="14" t="s">
        <v>82</v>
      </c>
      <c r="D460" s="14" t="s">
        <v>1812</v>
      </c>
      <c r="E460" s="14" t="s">
        <v>188</v>
      </c>
      <c r="F460" s="16">
        <v>2.56</v>
      </c>
      <c r="G460" s="17">
        <v>3.43</v>
      </c>
      <c r="H460" s="17">
        <f t="shared" si="28"/>
        <v>8.7799999999999994</v>
      </c>
      <c r="I460" s="18">
        <f t="shared" si="29"/>
        <v>1.2131280321853643E-4</v>
      </c>
      <c r="J460" s="18">
        <f t="shared" si="31"/>
        <v>22.49857631895188</v>
      </c>
      <c r="K460" s="392" t="str">
        <f t="shared" si="30"/>
        <v>A</v>
      </c>
    </row>
    <row r="461" spans="1:11" ht="20.100000000000001" customHeight="1" x14ac:dyDescent="0.25">
      <c r="A461" s="391" t="s">
        <v>3365</v>
      </c>
      <c r="B461" s="15" t="s">
        <v>3366</v>
      </c>
      <c r="C461" s="14" t="s">
        <v>51</v>
      </c>
      <c r="D461" s="14" t="s">
        <v>1812</v>
      </c>
      <c r="E461" s="14" t="s">
        <v>226</v>
      </c>
      <c r="F461" s="16">
        <v>4.0599999999999996</v>
      </c>
      <c r="G461" s="17">
        <v>2.16</v>
      </c>
      <c r="H461" s="17">
        <f t="shared" si="28"/>
        <v>8.77</v>
      </c>
      <c r="I461" s="18">
        <f t="shared" si="29"/>
        <v>1.2117463373878868E-4</v>
      </c>
      <c r="J461" s="18">
        <f t="shared" si="31"/>
        <v>22.49869749358562</v>
      </c>
      <c r="K461" s="392" t="str">
        <f t="shared" si="30"/>
        <v>A</v>
      </c>
    </row>
    <row r="462" spans="1:11" ht="20.100000000000001" customHeight="1" x14ac:dyDescent="0.25">
      <c r="A462" s="391" t="s">
        <v>1860</v>
      </c>
      <c r="B462" s="15" t="s">
        <v>1861</v>
      </c>
      <c r="C462" s="14" t="s">
        <v>1859</v>
      </c>
      <c r="D462" s="14" t="s">
        <v>1812</v>
      </c>
      <c r="E462" s="14" t="s">
        <v>188</v>
      </c>
      <c r="F462" s="16">
        <v>32.340000000000003</v>
      </c>
      <c r="G462" s="17">
        <v>0.27</v>
      </c>
      <c r="H462" s="17">
        <f t="shared" si="28"/>
        <v>8.73</v>
      </c>
      <c r="I462" s="18">
        <f t="shared" si="29"/>
        <v>1.2062195581979764E-4</v>
      </c>
      <c r="J462" s="18">
        <f t="shared" si="31"/>
        <v>22.49881811554144</v>
      </c>
      <c r="K462" s="392" t="str">
        <f t="shared" si="30"/>
        <v>A</v>
      </c>
    </row>
    <row r="463" spans="1:11" ht="20.100000000000001" customHeight="1" x14ac:dyDescent="0.25">
      <c r="A463" s="391" t="s">
        <v>3381</v>
      </c>
      <c r="B463" s="15" t="s">
        <v>3382</v>
      </c>
      <c r="C463" s="14" t="s">
        <v>51</v>
      </c>
      <c r="D463" s="14" t="s">
        <v>1812</v>
      </c>
      <c r="E463" s="14" t="s">
        <v>122</v>
      </c>
      <c r="F463" s="24">
        <v>0.1421</v>
      </c>
      <c r="G463" s="17">
        <v>59.89</v>
      </c>
      <c r="H463" s="17">
        <f t="shared" si="28"/>
        <v>8.51</v>
      </c>
      <c r="I463" s="18">
        <f t="shared" si="29"/>
        <v>1.1758222726534683E-4</v>
      </c>
      <c r="J463" s="18">
        <f t="shared" si="31"/>
        <v>22.498935697768705</v>
      </c>
      <c r="K463" s="392" t="str">
        <f t="shared" si="30"/>
        <v>A</v>
      </c>
    </row>
    <row r="464" spans="1:11" ht="20.100000000000001" customHeight="1" x14ac:dyDescent="0.25">
      <c r="A464" s="391" t="s">
        <v>2670</v>
      </c>
      <c r="B464" s="15" t="s">
        <v>2671</v>
      </c>
      <c r="C464" s="14" t="s">
        <v>2206</v>
      </c>
      <c r="D464" s="14" t="s">
        <v>1812</v>
      </c>
      <c r="E464" s="14" t="s">
        <v>2066</v>
      </c>
      <c r="F464" s="16">
        <v>6.0087495630000003</v>
      </c>
      <c r="G464" s="17">
        <v>1.41</v>
      </c>
      <c r="H464" s="17">
        <f t="shared" si="28"/>
        <v>8.4700000000000006</v>
      </c>
      <c r="I464" s="18">
        <f t="shared" si="29"/>
        <v>1.1702954934635579E-4</v>
      </c>
      <c r="J464" s="18">
        <f t="shared" si="31"/>
        <v>22.499052727318052</v>
      </c>
      <c r="K464" s="392" t="str">
        <f t="shared" si="30"/>
        <v>A</v>
      </c>
    </row>
    <row r="465" spans="1:11" ht="15" customHeight="1" x14ac:dyDescent="0.25">
      <c r="A465" s="391" t="s">
        <v>2031</v>
      </c>
      <c r="B465" s="15" t="s">
        <v>2032</v>
      </c>
      <c r="C465" s="14" t="s">
        <v>82</v>
      </c>
      <c r="D465" s="14" t="s">
        <v>1812</v>
      </c>
      <c r="E465" s="14" t="s">
        <v>1817</v>
      </c>
      <c r="F465" s="16">
        <v>3.3271000000000002</v>
      </c>
      <c r="G465" s="17">
        <v>2.54</v>
      </c>
      <c r="H465" s="17">
        <f t="shared" si="28"/>
        <v>8.4499999999999993</v>
      </c>
      <c r="I465" s="18">
        <f t="shared" si="29"/>
        <v>1.1675321038686023E-4</v>
      </c>
      <c r="J465" s="18">
        <f t="shared" si="31"/>
        <v>22.49916948052844</v>
      </c>
      <c r="K465" s="392" t="str">
        <f t="shared" si="30"/>
        <v>A</v>
      </c>
    </row>
    <row r="466" spans="1:11" ht="20.100000000000001" customHeight="1" x14ac:dyDescent="0.25">
      <c r="A466" s="391" t="s">
        <v>3341</v>
      </c>
      <c r="B466" s="15" t="s">
        <v>3342</v>
      </c>
      <c r="C466" s="14" t="s">
        <v>51</v>
      </c>
      <c r="D466" s="14" t="s">
        <v>1812</v>
      </c>
      <c r="E466" s="14" t="s">
        <v>85</v>
      </c>
      <c r="F466" s="19">
        <v>4.6197000000000002E-2</v>
      </c>
      <c r="G466" s="17">
        <v>180.54</v>
      </c>
      <c r="H466" s="17">
        <f t="shared" si="28"/>
        <v>8.34</v>
      </c>
      <c r="I466" s="18">
        <f t="shared" si="29"/>
        <v>1.1523334610963483E-4</v>
      </c>
      <c r="J466" s="18">
        <f t="shared" si="31"/>
        <v>22.499284713874552</v>
      </c>
      <c r="K466" s="392" t="str">
        <f t="shared" si="30"/>
        <v>A</v>
      </c>
    </row>
    <row r="467" spans="1:11" ht="20.100000000000001" customHeight="1" x14ac:dyDescent="0.25">
      <c r="A467" s="391" t="s">
        <v>3793</v>
      </c>
      <c r="B467" s="15" t="s">
        <v>3794</v>
      </c>
      <c r="C467" s="14" t="s">
        <v>82</v>
      </c>
      <c r="D467" s="14" t="s">
        <v>1812</v>
      </c>
      <c r="E467" s="14" t="s">
        <v>226</v>
      </c>
      <c r="F467" s="16">
        <v>6</v>
      </c>
      <c r="G467" s="17">
        <v>1.39</v>
      </c>
      <c r="H467" s="17">
        <f t="shared" si="28"/>
        <v>8.34</v>
      </c>
      <c r="I467" s="18">
        <f t="shared" si="29"/>
        <v>1.1523334610963483E-4</v>
      </c>
      <c r="J467" s="18">
        <f t="shared" si="31"/>
        <v>22.499399947220663</v>
      </c>
      <c r="K467" s="392" t="str">
        <f t="shared" si="30"/>
        <v>A</v>
      </c>
    </row>
    <row r="468" spans="1:11" ht="27.95" customHeight="1" x14ac:dyDescent="0.25">
      <c r="A468" s="391" t="s">
        <v>2974</v>
      </c>
      <c r="B468" s="15" t="s">
        <v>2975</v>
      </c>
      <c r="C468" s="14" t="s">
        <v>82</v>
      </c>
      <c r="D468" s="14" t="s">
        <v>1932</v>
      </c>
      <c r="E468" s="14" t="s">
        <v>1024</v>
      </c>
      <c r="F468" s="16">
        <v>4.9883550000000003</v>
      </c>
      <c r="G468" s="17">
        <v>1.63</v>
      </c>
      <c r="H468" s="17">
        <f t="shared" si="28"/>
        <v>8.1300000000000008</v>
      </c>
      <c r="I468" s="18">
        <f t="shared" si="29"/>
        <v>1.1233178703493182E-4</v>
      </c>
      <c r="J468" s="18">
        <f t="shared" si="31"/>
        <v>22.4995122790077</v>
      </c>
      <c r="K468" s="392" t="str">
        <f t="shared" si="30"/>
        <v>A</v>
      </c>
    </row>
    <row r="469" spans="1:11" ht="27.95" customHeight="1" x14ac:dyDescent="0.25">
      <c r="A469" s="391" t="s">
        <v>2739</v>
      </c>
      <c r="B469" s="15" t="s">
        <v>2740</v>
      </c>
      <c r="C469" s="14" t="s">
        <v>341</v>
      </c>
      <c r="D469" s="14" t="s">
        <v>1932</v>
      </c>
      <c r="E469" s="14" t="s">
        <v>2741</v>
      </c>
      <c r="F469" s="16">
        <v>1.3504433520000001</v>
      </c>
      <c r="G469" s="17">
        <v>6</v>
      </c>
      <c r="H469" s="17">
        <f t="shared" si="28"/>
        <v>8.1</v>
      </c>
      <c r="I469" s="18">
        <f t="shared" si="29"/>
        <v>1.1191727859568852E-4</v>
      </c>
      <c r="J469" s="18">
        <f t="shared" si="31"/>
        <v>22.499624196286295</v>
      </c>
      <c r="K469" s="392" t="str">
        <f t="shared" si="30"/>
        <v>A</v>
      </c>
    </row>
    <row r="470" spans="1:11" ht="15" customHeight="1" x14ac:dyDescent="0.25">
      <c r="A470" s="391" t="s">
        <v>2253</v>
      </c>
      <c r="B470" s="15" t="s">
        <v>2254</v>
      </c>
      <c r="C470" s="14" t="s">
        <v>341</v>
      </c>
      <c r="D470" s="14" t="s">
        <v>1812</v>
      </c>
      <c r="E470" s="14" t="s">
        <v>579</v>
      </c>
      <c r="F470" s="16">
        <v>1</v>
      </c>
      <c r="G470" s="17">
        <v>8</v>
      </c>
      <c r="H470" s="17">
        <f t="shared" si="28"/>
        <v>8</v>
      </c>
      <c r="I470" s="18">
        <f t="shared" si="29"/>
        <v>1.1053558379821089E-4</v>
      </c>
      <c r="J470" s="18">
        <f t="shared" si="31"/>
        <v>22.499734731870092</v>
      </c>
      <c r="K470" s="392" t="str">
        <f t="shared" si="30"/>
        <v>A</v>
      </c>
    </row>
    <row r="471" spans="1:11" ht="20.100000000000001" customHeight="1" x14ac:dyDescent="0.25">
      <c r="A471" s="391" t="s">
        <v>3363</v>
      </c>
      <c r="B471" s="15" t="s">
        <v>3364</v>
      </c>
      <c r="C471" s="14" t="s">
        <v>51</v>
      </c>
      <c r="D471" s="14" t="s">
        <v>1812</v>
      </c>
      <c r="E471" s="14" t="s">
        <v>226</v>
      </c>
      <c r="F471" s="16">
        <v>1.0149999999999999</v>
      </c>
      <c r="G471" s="17">
        <v>7.48</v>
      </c>
      <c r="H471" s="17">
        <f t="shared" si="28"/>
        <v>7.59</v>
      </c>
      <c r="I471" s="18">
        <f t="shared" si="29"/>
        <v>1.0487063512855258E-4</v>
      </c>
      <c r="J471" s="18">
        <f t="shared" si="31"/>
        <v>22.499839602505219</v>
      </c>
      <c r="K471" s="392" t="str">
        <f t="shared" si="30"/>
        <v>A</v>
      </c>
    </row>
    <row r="472" spans="1:11" ht="20.100000000000001" customHeight="1" x14ac:dyDescent="0.25">
      <c r="A472" s="391" t="s">
        <v>3268</v>
      </c>
      <c r="B472" s="15" t="s">
        <v>3269</v>
      </c>
      <c r="C472" s="14" t="s">
        <v>51</v>
      </c>
      <c r="D472" s="14" t="s">
        <v>1812</v>
      </c>
      <c r="E472" s="14" t="s">
        <v>226</v>
      </c>
      <c r="F472" s="16">
        <v>8.8879999999999999</v>
      </c>
      <c r="G472" s="17">
        <v>0.85</v>
      </c>
      <c r="H472" s="17">
        <f t="shared" si="28"/>
        <v>7.55</v>
      </c>
      <c r="I472" s="18">
        <f t="shared" si="29"/>
        <v>1.0431795720956152E-4</v>
      </c>
      <c r="J472" s="18">
        <f t="shared" si="31"/>
        <v>22.499943920462428</v>
      </c>
      <c r="K472" s="392" t="str">
        <f t="shared" si="30"/>
        <v>A</v>
      </c>
    </row>
    <row r="473" spans="1:11" ht="20.100000000000001" customHeight="1" x14ac:dyDescent="0.25">
      <c r="A473" s="391" t="s">
        <v>3270</v>
      </c>
      <c r="B473" s="15" t="s">
        <v>3271</v>
      </c>
      <c r="C473" s="14" t="s">
        <v>51</v>
      </c>
      <c r="D473" s="14" t="s">
        <v>1812</v>
      </c>
      <c r="E473" s="14" t="s">
        <v>226</v>
      </c>
      <c r="F473" s="16">
        <v>3.0219</v>
      </c>
      <c r="G473" s="17">
        <v>2.46</v>
      </c>
      <c r="H473" s="17">
        <f t="shared" si="28"/>
        <v>7.43</v>
      </c>
      <c r="I473" s="18">
        <f t="shared" si="29"/>
        <v>1.0265992345258836E-4</v>
      </c>
      <c r="J473" s="18">
        <f t="shared" si="31"/>
        <v>22.500046580385881</v>
      </c>
      <c r="K473" s="392" t="str">
        <f t="shared" si="30"/>
        <v>A</v>
      </c>
    </row>
    <row r="474" spans="1:11" ht="27.95" customHeight="1" x14ac:dyDescent="0.25">
      <c r="A474" s="391" t="s">
        <v>2719</v>
      </c>
      <c r="B474" s="15" t="s">
        <v>2720</v>
      </c>
      <c r="C474" s="14" t="s">
        <v>341</v>
      </c>
      <c r="D474" s="14" t="s">
        <v>1932</v>
      </c>
      <c r="E474" s="14" t="s">
        <v>579</v>
      </c>
      <c r="F474" s="27">
        <v>0.366078238</v>
      </c>
      <c r="G474" s="17">
        <v>20.11</v>
      </c>
      <c r="H474" s="17">
        <f t="shared" si="28"/>
        <v>7.36</v>
      </c>
      <c r="I474" s="18">
        <f t="shared" si="29"/>
        <v>1.0169273709435402E-4</v>
      </c>
      <c r="J474" s="18">
        <f t="shared" si="31"/>
        <v>22.500148273122974</v>
      </c>
      <c r="K474" s="392" t="str">
        <f t="shared" si="30"/>
        <v>A</v>
      </c>
    </row>
    <row r="475" spans="1:11" ht="15" customHeight="1" x14ac:dyDescent="0.25">
      <c r="A475" s="391" t="s">
        <v>3876</v>
      </c>
      <c r="B475" s="15" t="s">
        <v>3877</v>
      </c>
      <c r="C475" s="14" t="s">
        <v>82</v>
      </c>
      <c r="D475" s="14" t="s">
        <v>1812</v>
      </c>
      <c r="E475" s="14" t="s">
        <v>85</v>
      </c>
      <c r="F475" s="32">
        <v>4.4999999999999998E-2</v>
      </c>
      <c r="G475" s="17">
        <v>152</v>
      </c>
      <c r="H475" s="17">
        <f t="shared" si="28"/>
        <v>6.84</v>
      </c>
      <c r="I475" s="18">
        <f t="shared" si="29"/>
        <v>9.4507924147470309E-5</v>
      </c>
      <c r="J475" s="18">
        <f t="shared" si="31"/>
        <v>22.50024278104712</v>
      </c>
      <c r="K475" s="392" t="str">
        <f t="shared" si="30"/>
        <v>A</v>
      </c>
    </row>
    <row r="476" spans="1:11" ht="20.100000000000001" customHeight="1" x14ac:dyDescent="0.25">
      <c r="A476" s="391" t="s">
        <v>3266</v>
      </c>
      <c r="B476" s="15" t="s">
        <v>3267</v>
      </c>
      <c r="C476" s="14" t="s">
        <v>51</v>
      </c>
      <c r="D476" s="14" t="s">
        <v>1812</v>
      </c>
      <c r="E476" s="14" t="s">
        <v>226</v>
      </c>
      <c r="F476" s="16">
        <v>11.94</v>
      </c>
      <c r="G476" s="17">
        <v>0.55000000000000004</v>
      </c>
      <c r="H476" s="17">
        <f t="shared" si="28"/>
        <v>6.57</v>
      </c>
      <c r="I476" s="18">
        <f t="shared" si="29"/>
        <v>9.0777348194280688E-5</v>
      </c>
      <c r="J476" s="18">
        <f t="shared" si="31"/>
        <v>22.500333558395315</v>
      </c>
      <c r="K476" s="392" t="str">
        <f t="shared" si="30"/>
        <v>A</v>
      </c>
    </row>
    <row r="477" spans="1:11" ht="20.100000000000001" customHeight="1" x14ac:dyDescent="0.25">
      <c r="A477" s="391" t="s">
        <v>3357</v>
      </c>
      <c r="B477" s="15" t="s">
        <v>3358</v>
      </c>
      <c r="C477" s="14" t="s">
        <v>51</v>
      </c>
      <c r="D477" s="14" t="s">
        <v>1812</v>
      </c>
      <c r="E477" s="14" t="s">
        <v>226</v>
      </c>
      <c r="F477" s="16">
        <v>1.0149999999999999</v>
      </c>
      <c r="G477" s="17">
        <v>6.42</v>
      </c>
      <c r="H477" s="17">
        <f t="shared" si="28"/>
        <v>6.52</v>
      </c>
      <c r="I477" s="18">
        <f t="shared" si="29"/>
        <v>9.0086500795541867E-5</v>
      </c>
      <c r="J477" s="18">
        <f t="shared" si="31"/>
        <v>22.500423644896109</v>
      </c>
      <c r="K477" s="392" t="str">
        <f t="shared" si="30"/>
        <v>A</v>
      </c>
    </row>
    <row r="478" spans="1:11" ht="15" customHeight="1" x14ac:dyDescent="0.25">
      <c r="A478" s="391" t="s">
        <v>1991</v>
      </c>
      <c r="B478" s="15" t="s">
        <v>1992</v>
      </c>
      <c r="C478" s="14" t="s">
        <v>82</v>
      </c>
      <c r="D478" s="14" t="s">
        <v>1812</v>
      </c>
      <c r="E478" s="14" t="s">
        <v>1817</v>
      </c>
      <c r="F478" s="30">
        <v>0.26885999999999999</v>
      </c>
      <c r="G478" s="17">
        <v>23.77</v>
      </c>
      <c r="H478" s="17">
        <f t="shared" si="28"/>
        <v>6.39</v>
      </c>
      <c r="I478" s="18">
        <f t="shared" si="29"/>
        <v>8.8290297558820936E-5</v>
      </c>
      <c r="J478" s="18">
        <f t="shared" si="31"/>
        <v>22.500511935193668</v>
      </c>
      <c r="K478" s="392" t="str">
        <f t="shared" si="30"/>
        <v>A</v>
      </c>
    </row>
    <row r="479" spans="1:11" ht="20.100000000000001" customHeight="1" x14ac:dyDescent="0.25">
      <c r="A479" s="391" t="s">
        <v>3508</v>
      </c>
      <c r="B479" s="15" t="s">
        <v>3951</v>
      </c>
      <c r="C479" s="14" t="s">
        <v>194</v>
      </c>
      <c r="D479" s="14" t="s">
        <v>2021</v>
      </c>
      <c r="E479" s="14" t="s">
        <v>2024</v>
      </c>
      <c r="F479" s="16">
        <v>1.7776293103448262</v>
      </c>
      <c r="G479" s="17">
        <v>3.46</v>
      </c>
      <c r="H479" s="17">
        <f t="shared" si="28"/>
        <v>6.15</v>
      </c>
      <c r="I479" s="18">
        <f t="shared" si="29"/>
        <v>8.4974230044874619E-5</v>
      </c>
      <c r="J479" s="18">
        <f t="shared" si="31"/>
        <v>22.500596909423713</v>
      </c>
      <c r="K479" s="392" t="str">
        <f t="shared" si="30"/>
        <v>A</v>
      </c>
    </row>
    <row r="480" spans="1:11" ht="20.100000000000001" customHeight="1" x14ac:dyDescent="0.25">
      <c r="A480" s="391" t="s">
        <v>3508</v>
      </c>
      <c r="B480" s="15" t="s">
        <v>3952</v>
      </c>
      <c r="C480" s="14" t="s">
        <v>194</v>
      </c>
      <c r="D480" s="14" t="s">
        <v>2021</v>
      </c>
      <c r="E480" s="14" t="s">
        <v>2027</v>
      </c>
      <c r="F480" s="16">
        <v>1.2353017241378648</v>
      </c>
      <c r="G480" s="17">
        <v>4.97</v>
      </c>
      <c r="H480" s="17">
        <f t="shared" si="28"/>
        <v>6.14</v>
      </c>
      <c r="I480" s="18">
        <f t="shared" si="29"/>
        <v>8.4836060565126846E-5</v>
      </c>
      <c r="J480" s="18">
        <f t="shared" si="31"/>
        <v>22.500681745484279</v>
      </c>
      <c r="K480" s="392" t="str">
        <f t="shared" si="30"/>
        <v>A</v>
      </c>
    </row>
    <row r="481" spans="1:11" ht="27.95" customHeight="1" x14ac:dyDescent="0.25">
      <c r="A481" s="391" t="s">
        <v>2725</v>
      </c>
      <c r="B481" s="15" t="s">
        <v>2726</v>
      </c>
      <c r="C481" s="14" t="s">
        <v>341</v>
      </c>
      <c r="D481" s="14" t="s">
        <v>1932</v>
      </c>
      <c r="E481" s="14" t="s">
        <v>579</v>
      </c>
      <c r="F481" s="28">
        <v>0.2277392</v>
      </c>
      <c r="G481" s="17">
        <v>26.89</v>
      </c>
      <c r="H481" s="17">
        <f t="shared" si="28"/>
        <v>6.12</v>
      </c>
      <c r="I481" s="18">
        <f t="shared" si="29"/>
        <v>8.4559721605631329E-5</v>
      </c>
      <c r="J481" s="18">
        <f t="shared" si="31"/>
        <v>22.500766305205886</v>
      </c>
      <c r="K481" s="392" t="str">
        <f t="shared" si="30"/>
        <v>A</v>
      </c>
    </row>
    <row r="482" spans="1:11" ht="20.100000000000001" customHeight="1" x14ac:dyDescent="0.25">
      <c r="A482" s="391" t="s">
        <v>2456</v>
      </c>
      <c r="B482" s="15" t="s">
        <v>2457</v>
      </c>
      <c r="C482" s="14" t="s">
        <v>1927</v>
      </c>
      <c r="D482" s="14" t="s">
        <v>1812</v>
      </c>
      <c r="E482" s="14" t="s">
        <v>579</v>
      </c>
      <c r="F482" s="16">
        <v>20.151935999999999</v>
      </c>
      <c r="G482" s="17">
        <v>0.3</v>
      </c>
      <c r="H482" s="17">
        <f t="shared" si="28"/>
        <v>6.05</v>
      </c>
      <c r="I482" s="18">
        <f t="shared" si="29"/>
        <v>8.3592535247396991E-5</v>
      </c>
      <c r="J482" s="18">
        <f t="shared" si="31"/>
        <v>22.500849897741134</v>
      </c>
      <c r="K482" s="392" t="str">
        <f t="shared" si="30"/>
        <v>A</v>
      </c>
    </row>
    <row r="483" spans="1:11" ht="20.100000000000001" customHeight="1" x14ac:dyDescent="0.25">
      <c r="A483" s="391" t="s">
        <v>3367</v>
      </c>
      <c r="B483" s="15" t="s">
        <v>3368</v>
      </c>
      <c r="C483" s="14" t="s">
        <v>51</v>
      </c>
      <c r="D483" s="14" t="s">
        <v>1812</v>
      </c>
      <c r="E483" s="14" t="s">
        <v>226</v>
      </c>
      <c r="F483" s="16">
        <v>5.9450000000000003</v>
      </c>
      <c r="G483" s="17">
        <v>0.96</v>
      </c>
      <c r="H483" s="17">
        <f t="shared" si="28"/>
        <v>5.71</v>
      </c>
      <c r="I483" s="18">
        <f t="shared" si="29"/>
        <v>7.8894772935973018E-5</v>
      </c>
      <c r="J483" s="18">
        <f t="shared" si="31"/>
        <v>22.50092879251407</v>
      </c>
      <c r="K483" s="392" t="str">
        <f t="shared" si="30"/>
        <v>A</v>
      </c>
    </row>
    <row r="484" spans="1:11" ht="20.100000000000001" customHeight="1" x14ac:dyDescent="0.25">
      <c r="A484" s="391" t="s">
        <v>2385</v>
      </c>
      <c r="B484" s="15" t="s">
        <v>2386</v>
      </c>
      <c r="C484" s="14" t="s">
        <v>82</v>
      </c>
      <c r="D484" s="14" t="s">
        <v>1812</v>
      </c>
      <c r="E484" s="14" t="s">
        <v>226</v>
      </c>
      <c r="F484" s="16">
        <v>29.384354999999999</v>
      </c>
      <c r="G484" s="17">
        <v>0.19</v>
      </c>
      <c r="H484" s="17">
        <f t="shared" si="28"/>
        <v>5.58</v>
      </c>
      <c r="I484" s="18">
        <f t="shared" si="29"/>
        <v>7.7098569699252087E-5</v>
      </c>
      <c r="J484" s="18">
        <f t="shared" si="31"/>
        <v>22.501005891083771</v>
      </c>
      <c r="K484" s="392" t="str">
        <f t="shared" si="30"/>
        <v>A</v>
      </c>
    </row>
    <row r="485" spans="1:11" ht="20.100000000000001" customHeight="1" x14ac:dyDescent="0.25">
      <c r="A485" s="391" t="s">
        <v>3062</v>
      </c>
      <c r="B485" s="15" t="s">
        <v>3063</v>
      </c>
      <c r="C485" s="14" t="s">
        <v>2206</v>
      </c>
      <c r="D485" s="14" t="s">
        <v>1812</v>
      </c>
      <c r="E485" s="14" t="s">
        <v>2066</v>
      </c>
      <c r="F485" s="16">
        <v>6.0087495630000003</v>
      </c>
      <c r="G485" s="17">
        <v>0.9</v>
      </c>
      <c r="H485" s="17">
        <f t="shared" si="28"/>
        <v>5.41</v>
      </c>
      <c r="I485" s="18">
        <f t="shared" si="29"/>
        <v>7.4749688543540121E-5</v>
      </c>
      <c r="J485" s="18">
        <f t="shared" si="31"/>
        <v>22.501080640772315</v>
      </c>
      <c r="K485" s="392" t="str">
        <f t="shared" si="30"/>
        <v>A</v>
      </c>
    </row>
    <row r="486" spans="1:11" ht="20.100000000000001" customHeight="1" x14ac:dyDescent="0.25">
      <c r="A486" s="391" t="s">
        <v>3709</v>
      </c>
      <c r="B486" s="15" t="s">
        <v>3710</v>
      </c>
      <c r="C486" s="14" t="s">
        <v>82</v>
      </c>
      <c r="D486" s="14" t="s">
        <v>1812</v>
      </c>
      <c r="E486" s="14" t="s">
        <v>226</v>
      </c>
      <c r="F486" s="16">
        <v>3</v>
      </c>
      <c r="G486" s="17">
        <v>1.79</v>
      </c>
      <c r="H486" s="17">
        <f t="shared" si="28"/>
        <v>5.37</v>
      </c>
      <c r="I486" s="18">
        <f t="shared" si="29"/>
        <v>7.4197010624549059E-5</v>
      </c>
      <c r="J486" s="18">
        <f t="shared" si="31"/>
        <v>22.501154837782941</v>
      </c>
      <c r="K486" s="392" t="str">
        <f t="shared" si="30"/>
        <v>A</v>
      </c>
    </row>
    <row r="487" spans="1:11" ht="15" customHeight="1" x14ac:dyDescent="0.25">
      <c r="A487" s="391" t="s">
        <v>2799</v>
      </c>
      <c r="B487" s="15" t="s">
        <v>2800</v>
      </c>
      <c r="C487" s="14" t="s">
        <v>82</v>
      </c>
      <c r="D487" s="14" t="s">
        <v>1812</v>
      </c>
      <c r="E487" s="14" t="s">
        <v>1817</v>
      </c>
      <c r="F487" s="33">
        <v>0.22178016</v>
      </c>
      <c r="G487" s="17">
        <v>23.4</v>
      </c>
      <c r="H487" s="17">
        <f t="shared" si="28"/>
        <v>5.19</v>
      </c>
      <c r="I487" s="18">
        <f t="shared" si="29"/>
        <v>7.1709959989089321E-5</v>
      </c>
      <c r="J487" s="18">
        <f t="shared" si="31"/>
        <v>22.501226547742931</v>
      </c>
      <c r="K487" s="392" t="str">
        <f t="shared" si="30"/>
        <v>A</v>
      </c>
    </row>
    <row r="488" spans="1:11" ht="20.100000000000001" customHeight="1" x14ac:dyDescent="0.25">
      <c r="A488" s="391" t="s">
        <v>3321</v>
      </c>
      <c r="B488" s="15" t="s">
        <v>3322</v>
      </c>
      <c r="C488" s="14" t="s">
        <v>51</v>
      </c>
      <c r="D488" s="14" t="s">
        <v>1812</v>
      </c>
      <c r="E488" s="14" t="s">
        <v>226</v>
      </c>
      <c r="F488" s="16">
        <v>4.0599999999999996</v>
      </c>
      <c r="G488" s="17">
        <v>1.23</v>
      </c>
      <c r="H488" s="17">
        <f t="shared" si="28"/>
        <v>4.99</v>
      </c>
      <c r="I488" s="18">
        <f t="shared" si="29"/>
        <v>6.8946570394134039E-5</v>
      </c>
      <c r="J488" s="18">
        <f t="shared" si="31"/>
        <v>22.501295494313325</v>
      </c>
      <c r="K488" s="392" t="str">
        <f t="shared" si="30"/>
        <v>A</v>
      </c>
    </row>
    <row r="489" spans="1:11" ht="27.95" customHeight="1" x14ac:dyDescent="0.25">
      <c r="A489" s="391" t="s">
        <v>2731</v>
      </c>
      <c r="B489" s="15" t="s">
        <v>2732</v>
      </c>
      <c r="C489" s="14" t="s">
        <v>341</v>
      </c>
      <c r="D489" s="14" t="s">
        <v>1932</v>
      </c>
      <c r="E489" s="14" t="s">
        <v>579</v>
      </c>
      <c r="F489" s="28">
        <v>0.2277392</v>
      </c>
      <c r="G489" s="17">
        <v>21.3</v>
      </c>
      <c r="H489" s="17">
        <f t="shared" si="28"/>
        <v>4.8499999999999996</v>
      </c>
      <c r="I489" s="18">
        <f t="shared" si="29"/>
        <v>6.7012197677665349E-5</v>
      </c>
      <c r="J489" s="18">
        <f t="shared" si="31"/>
        <v>22.501362506511004</v>
      </c>
      <c r="K489" s="392" t="str">
        <f t="shared" si="30"/>
        <v>A</v>
      </c>
    </row>
    <row r="490" spans="1:11" ht="20.100000000000001" customHeight="1" x14ac:dyDescent="0.25">
      <c r="A490" s="391" t="s">
        <v>2207</v>
      </c>
      <c r="B490" s="15" t="s">
        <v>2208</v>
      </c>
      <c r="C490" s="14" t="s">
        <v>2209</v>
      </c>
      <c r="D490" s="14" t="s">
        <v>1812</v>
      </c>
      <c r="E490" s="14" t="s">
        <v>226</v>
      </c>
      <c r="F490" s="16">
        <v>2</v>
      </c>
      <c r="G490" s="17">
        <v>2.27</v>
      </c>
      <c r="H490" s="17">
        <f t="shared" si="28"/>
        <v>4.54</v>
      </c>
      <c r="I490" s="18">
        <f t="shared" si="29"/>
        <v>6.272894380548468E-5</v>
      </c>
      <c r="J490" s="18">
        <f t="shared" si="31"/>
        <v>22.501425235454811</v>
      </c>
      <c r="K490" s="392" t="str">
        <f t="shared" si="30"/>
        <v>A</v>
      </c>
    </row>
    <row r="491" spans="1:11" ht="20.100000000000001" customHeight="1" x14ac:dyDescent="0.25">
      <c r="A491" s="391" t="s">
        <v>1903</v>
      </c>
      <c r="B491" s="15" t="s">
        <v>1904</v>
      </c>
      <c r="C491" s="14" t="s">
        <v>1859</v>
      </c>
      <c r="D491" s="14" t="s">
        <v>1812</v>
      </c>
      <c r="E491" s="14" t="s">
        <v>1905</v>
      </c>
      <c r="F491" s="32">
        <v>4.5999999999999999E-2</v>
      </c>
      <c r="G491" s="17">
        <v>97.84</v>
      </c>
      <c r="H491" s="17">
        <f t="shared" si="28"/>
        <v>4.5</v>
      </c>
      <c r="I491" s="18">
        <f t="shared" si="29"/>
        <v>6.2176265886493618E-5</v>
      </c>
      <c r="J491" s="18">
        <f t="shared" si="31"/>
        <v>22.501487411720696</v>
      </c>
      <c r="K491" s="392" t="str">
        <f t="shared" si="30"/>
        <v>A</v>
      </c>
    </row>
    <row r="492" spans="1:11" ht="15" customHeight="1" x14ac:dyDescent="0.25">
      <c r="A492" s="391" t="s">
        <v>3778</v>
      </c>
      <c r="B492" s="15" t="s">
        <v>3779</v>
      </c>
      <c r="C492" s="14" t="s">
        <v>82</v>
      </c>
      <c r="D492" s="14" t="s">
        <v>1812</v>
      </c>
      <c r="E492" s="14" t="s">
        <v>226</v>
      </c>
      <c r="F492" s="16">
        <v>16</v>
      </c>
      <c r="G492" s="17">
        <v>0.28000000000000003</v>
      </c>
      <c r="H492" s="17">
        <f t="shared" si="28"/>
        <v>4.4800000000000004</v>
      </c>
      <c r="I492" s="18">
        <f t="shared" si="29"/>
        <v>6.18999269269981E-5</v>
      </c>
      <c r="J492" s="18">
        <f t="shared" si="31"/>
        <v>22.501549311647622</v>
      </c>
      <c r="K492" s="392" t="str">
        <f t="shared" si="30"/>
        <v>A</v>
      </c>
    </row>
    <row r="493" spans="1:11" ht="27.95" customHeight="1" x14ac:dyDescent="0.25">
      <c r="A493" s="391" t="s">
        <v>2752</v>
      </c>
      <c r="B493" s="15" t="s">
        <v>2753</v>
      </c>
      <c r="C493" s="14" t="s">
        <v>341</v>
      </c>
      <c r="D493" s="14" t="s">
        <v>1932</v>
      </c>
      <c r="E493" s="14" t="s">
        <v>579</v>
      </c>
      <c r="F493" s="28">
        <v>0.1138696</v>
      </c>
      <c r="G493" s="17">
        <v>36</v>
      </c>
      <c r="H493" s="17">
        <f t="shared" si="28"/>
        <v>4.0999999999999996</v>
      </c>
      <c r="I493" s="18">
        <f t="shared" si="29"/>
        <v>5.6649486696583072E-5</v>
      </c>
      <c r="J493" s="18">
        <f t="shared" si="31"/>
        <v>22.50160596113432</v>
      </c>
      <c r="K493" s="392" t="str">
        <f t="shared" si="30"/>
        <v>A</v>
      </c>
    </row>
    <row r="494" spans="1:11" ht="27.95" customHeight="1" x14ac:dyDescent="0.25">
      <c r="A494" s="391" t="s">
        <v>2409</v>
      </c>
      <c r="B494" s="15" t="s">
        <v>2410</v>
      </c>
      <c r="C494" s="14" t="s">
        <v>82</v>
      </c>
      <c r="D494" s="14" t="s">
        <v>1932</v>
      </c>
      <c r="E494" s="14" t="s">
        <v>1024</v>
      </c>
      <c r="F494" s="16">
        <v>9.4872019999999999</v>
      </c>
      <c r="G494" s="17">
        <v>0.41</v>
      </c>
      <c r="H494" s="17">
        <f t="shared" si="28"/>
        <v>3.89</v>
      </c>
      <c r="I494" s="18">
        <f t="shared" si="29"/>
        <v>5.3747927621880038E-5</v>
      </c>
      <c r="J494" s="18">
        <f t="shared" si="31"/>
        <v>22.501659709061943</v>
      </c>
      <c r="K494" s="392" t="str">
        <f t="shared" si="30"/>
        <v>A</v>
      </c>
    </row>
    <row r="495" spans="1:11" ht="20.100000000000001" customHeight="1" x14ac:dyDescent="0.25">
      <c r="A495" s="391" t="s">
        <v>3383</v>
      </c>
      <c r="B495" s="15" t="s">
        <v>3384</v>
      </c>
      <c r="C495" s="14" t="s">
        <v>51</v>
      </c>
      <c r="D495" s="14" t="s">
        <v>1812</v>
      </c>
      <c r="E495" s="14" t="s">
        <v>226</v>
      </c>
      <c r="F495" s="16">
        <v>2.0299999999999998</v>
      </c>
      <c r="G495" s="17">
        <v>1.91</v>
      </c>
      <c r="H495" s="17">
        <f t="shared" si="28"/>
        <v>3.88</v>
      </c>
      <c r="I495" s="18">
        <f t="shared" si="29"/>
        <v>5.3609758142132279E-5</v>
      </c>
      <c r="J495" s="18">
        <f t="shared" si="31"/>
        <v>22.501713318820087</v>
      </c>
      <c r="K495" s="392" t="str">
        <f t="shared" si="30"/>
        <v>A</v>
      </c>
    </row>
    <row r="496" spans="1:11" ht="15" customHeight="1" x14ac:dyDescent="0.25">
      <c r="A496" s="391" t="s">
        <v>2983</v>
      </c>
      <c r="B496" s="15" t="s">
        <v>2984</v>
      </c>
      <c r="C496" s="14" t="s">
        <v>82</v>
      </c>
      <c r="D496" s="14" t="s">
        <v>1812</v>
      </c>
      <c r="E496" s="14" t="s">
        <v>1006</v>
      </c>
      <c r="F496" s="30">
        <v>0.17043</v>
      </c>
      <c r="G496" s="17">
        <v>21.68</v>
      </c>
      <c r="H496" s="17">
        <f t="shared" si="28"/>
        <v>3.69</v>
      </c>
      <c r="I496" s="18">
        <f t="shared" si="29"/>
        <v>5.0984538026924769E-5</v>
      </c>
      <c r="J496" s="18">
        <f t="shared" si="31"/>
        <v>22.501764303358115</v>
      </c>
      <c r="K496" s="392" t="str">
        <f t="shared" si="30"/>
        <v>A</v>
      </c>
    </row>
    <row r="497" spans="1:11" ht="20.100000000000001" customHeight="1" x14ac:dyDescent="0.25">
      <c r="A497" s="391" t="s">
        <v>3317</v>
      </c>
      <c r="B497" s="15" t="s">
        <v>3318</v>
      </c>
      <c r="C497" s="14" t="s">
        <v>51</v>
      </c>
      <c r="D497" s="14" t="s">
        <v>1827</v>
      </c>
      <c r="E497" s="14" t="s">
        <v>1024</v>
      </c>
      <c r="F497" s="19">
        <v>0.13925799999999999</v>
      </c>
      <c r="G497" s="17">
        <v>26.03</v>
      </c>
      <c r="H497" s="17">
        <f t="shared" si="28"/>
        <v>3.62</v>
      </c>
      <c r="I497" s="18">
        <f t="shared" si="29"/>
        <v>5.001735166869043E-5</v>
      </c>
      <c r="J497" s="18">
        <f t="shared" si="31"/>
        <v>22.501814320709784</v>
      </c>
      <c r="K497" s="392" t="str">
        <f t="shared" si="30"/>
        <v>A</v>
      </c>
    </row>
    <row r="498" spans="1:11" ht="20.100000000000001" customHeight="1" x14ac:dyDescent="0.25">
      <c r="A498" s="391" t="s">
        <v>3335</v>
      </c>
      <c r="B498" s="15" t="s">
        <v>3336</v>
      </c>
      <c r="C498" s="14" t="s">
        <v>51</v>
      </c>
      <c r="D498" s="14" t="s">
        <v>1812</v>
      </c>
      <c r="E498" s="14" t="s">
        <v>226</v>
      </c>
      <c r="F498" s="16">
        <v>3.9874999999999998</v>
      </c>
      <c r="G498" s="17">
        <v>0.9</v>
      </c>
      <c r="H498" s="17">
        <f t="shared" si="28"/>
        <v>3.59</v>
      </c>
      <c r="I498" s="18">
        <f t="shared" si="29"/>
        <v>4.9602843229447134E-5</v>
      </c>
      <c r="J498" s="18">
        <f t="shared" si="31"/>
        <v>22.501863923553014</v>
      </c>
      <c r="K498" s="392" t="str">
        <f t="shared" si="30"/>
        <v>A</v>
      </c>
    </row>
    <row r="499" spans="1:11" ht="20.100000000000001" customHeight="1" x14ac:dyDescent="0.25">
      <c r="A499" s="391" t="s">
        <v>3339</v>
      </c>
      <c r="B499" s="15" t="s">
        <v>3340</v>
      </c>
      <c r="C499" s="14" t="s">
        <v>51</v>
      </c>
      <c r="D499" s="14" t="s">
        <v>1812</v>
      </c>
      <c r="E499" s="14" t="s">
        <v>85</v>
      </c>
      <c r="F499" s="19">
        <v>1.9748999999999999E-2</v>
      </c>
      <c r="G499" s="17">
        <v>180.54</v>
      </c>
      <c r="H499" s="17">
        <f t="shared" si="28"/>
        <v>3.57</v>
      </c>
      <c r="I499" s="18">
        <f t="shared" si="29"/>
        <v>4.9326504269951603E-5</v>
      </c>
      <c r="J499" s="18">
        <f t="shared" si="31"/>
        <v>22.501913250057285</v>
      </c>
      <c r="K499" s="392" t="str">
        <f t="shared" si="30"/>
        <v>A</v>
      </c>
    </row>
    <row r="500" spans="1:11" ht="20.100000000000001" customHeight="1" x14ac:dyDescent="0.25">
      <c r="A500" s="391" t="s">
        <v>2279</v>
      </c>
      <c r="B500" s="15" t="s">
        <v>2280</v>
      </c>
      <c r="C500" s="14" t="s">
        <v>51</v>
      </c>
      <c r="D500" s="14" t="s">
        <v>1827</v>
      </c>
      <c r="E500" s="14" t="s">
        <v>1024</v>
      </c>
      <c r="F500" s="30">
        <v>0.13195000000000001</v>
      </c>
      <c r="G500" s="17">
        <v>26.03</v>
      </c>
      <c r="H500" s="17">
        <f t="shared" si="28"/>
        <v>3.43</v>
      </c>
      <c r="I500" s="18">
        <f t="shared" si="29"/>
        <v>4.739213155348292E-5</v>
      </c>
      <c r="J500" s="18">
        <f t="shared" si="31"/>
        <v>22.501960642188838</v>
      </c>
      <c r="K500" s="392" t="str">
        <f t="shared" si="30"/>
        <v>A</v>
      </c>
    </row>
    <row r="501" spans="1:11" ht="20.100000000000001" customHeight="1" x14ac:dyDescent="0.25">
      <c r="A501" s="391" t="s">
        <v>3791</v>
      </c>
      <c r="B501" s="15" t="s">
        <v>3792</v>
      </c>
      <c r="C501" s="14" t="s">
        <v>82</v>
      </c>
      <c r="D501" s="14" t="s">
        <v>1812</v>
      </c>
      <c r="E501" s="14" t="s">
        <v>226</v>
      </c>
      <c r="F501" s="16">
        <v>8</v>
      </c>
      <c r="G501" s="17">
        <v>0.41</v>
      </c>
      <c r="H501" s="17">
        <f t="shared" si="28"/>
        <v>3.28</v>
      </c>
      <c r="I501" s="18">
        <f t="shared" si="29"/>
        <v>4.5319589357266465E-5</v>
      </c>
      <c r="J501" s="18">
        <f t="shared" si="31"/>
        <v>22.502005961778195</v>
      </c>
      <c r="K501" s="392" t="str">
        <f t="shared" si="30"/>
        <v>A</v>
      </c>
    </row>
    <row r="502" spans="1:11" ht="27.95" customHeight="1" x14ac:dyDescent="0.25">
      <c r="A502" s="391" t="s">
        <v>2778</v>
      </c>
      <c r="B502" s="15" t="s">
        <v>2779</v>
      </c>
      <c r="C502" s="14" t="s">
        <v>341</v>
      </c>
      <c r="D502" s="14" t="s">
        <v>1932</v>
      </c>
      <c r="E502" s="14" t="s">
        <v>579</v>
      </c>
      <c r="F502" s="28">
        <v>7.27738E-2</v>
      </c>
      <c r="G502" s="17">
        <v>44</v>
      </c>
      <c r="H502" s="17">
        <f t="shared" si="28"/>
        <v>3.2</v>
      </c>
      <c r="I502" s="18">
        <f t="shared" si="29"/>
        <v>4.4214233519284361E-5</v>
      </c>
      <c r="J502" s="18">
        <f t="shared" si="31"/>
        <v>22.502050176011714</v>
      </c>
      <c r="K502" s="392" t="str">
        <f t="shared" si="30"/>
        <v>A</v>
      </c>
    </row>
    <row r="503" spans="1:11" ht="20.100000000000001" customHeight="1" x14ac:dyDescent="0.25">
      <c r="A503" s="391" t="s">
        <v>1922</v>
      </c>
      <c r="B503" s="15" t="s">
        <v>1923</v>
      </c>
      <c r="C503" s="14" t="s">
        <v>82</v>
      </c>
      <c r="D503" s="14" t="s">
        <v>1812</v>
      </c>
      <c r="E503" s="14" t="s">
        <v>1924</v>
      </c>
      <c r="F503" s="19">
        <v>0.107016</v>
      </c>
      <c r="G503" s="17">
        <v>29.78</v>
      </c>
      <c r="H503" s="17">
        <f t="shared" si="28"/>
        <v>3.19</v>
      </c>
      <c r="I503" s="18">
        <f t="shared" si="29"/>
        <v>4.4076064039536589E-5</v>
      </c>
      <c r="J503" s="18">
        <f t="shared" si="31"/>
        <v>22.502094252075754</v>
      </c>
      <c r="K503" s="392" t="str">
        <f t="shared" si="30"/>
        <v>A</v>
      </c>
    </row>
    <row r="504" spans="1:11" ht="20.100000000000001" customHeight="1" x14ac:dyDescent="0.25">
      <c r="A504" s="391" t="s">
        <v>1818</v>
      </c>
      <c r="B504" s="15" t="s">
        <v>1819</v>
      </c>
      <c r="C504" s="14" t="s">
        <v>341</v>
      </c>
      <c r="D504" s="14" t="s">
        <v>1812</v>
      </c>
      <c r="E504" s="14" t="s">
        <v>664</v>
      </c>
      <c r="F504" s="16">
        <v>10.65</v>
      </c>
      <c r="G504" s="17">
        <v>0.28000000000000003</v>
      </c>
      <c r="H504" s="17">
        <f t="shared" si="28"/>
        <v>2.98</v>
      </c>
      <c r="I504" s="18">
        <f t="shared" si="29"/>
        <v>4.1174504964833554E-5</v>
      </c>
      <c r="J504" s="18">
        <f t="shared" si="31"/>
        <v>22.502135426580718</v>
      </c>
      <c r="K504" s="392" t="str">
        <f t="shared" si="30"/>
        <v>A</v>
      </c>
    </row>
    <row r="505" spans="1:11" ht="27.95" customHeight="1" x14ac:dyDescent="0.25">
      <c r="A505" s="391" t="s">
        <v>2763</v>
      </c>
      <c r="B505" s="15" t="s">
        <v>2764</v>
      </c>
      <c r="C505" s="14" t="s">
        <v>341</v>
      </c>
      <c r="D505" s="14" t="s">
        <v>1932</v>
      </c>
      <c r="E505" s="14" t="s">
        <v>579</v>
      </c>
      <c r="F505" s="28">
        <v>0.2547083</v>
      </c>
      <c r="G505" s="17">
        <v>11.6</v>
      </c>
      <c r="H505" s="17">
        <f t="shared" si="28"/>
        <v>2.95</v>
      </c>
      <c r="I505" s="18">
        <f t="shared" si="29"/>
        <v>4.0759996525590271E-5</v>
      </c>
      <c r="J505" s="18">
        <f t="shared" si="31"/>
        <v>22.502176186577245</v>
      </c>
      <c r="K505" s="392" t="str">
        <f t="shared" si="30"/>
        <v>A</v>
      </c>
    </row>
    <row r="506" spans="1:11" ht="15" customHeight="1" x14ac:dyDescent="0.25">
      <c r="A506" s="391" t="s">
        <v>2371</v>
      </c>
      <c r="B506" s="15" t="s">
        <v>2372</v>
      </c>
      <c r="C506" s="14" t="s">
        <v>82</v>
      </c>
      <c r="D506" s="14" t="s">
        <v>1812</v>
      </c>
      <c r="E506" s="14" t="s">
        <v>1817</v>
      </c>
      <c r="F506" s="16">
        <v>1.93224</v>
      </c>
      <c r="G506" s="17">
        <v>1.46</v>
      </c>
      <c r="H506" s="17">
        <f t="shared" si="28"/>
        <v>2.82</v>
      </c>
      <c r="I506" s="18">
        <f t="shared" si="29"/>
        <v>3.8963793288869333E-5</v>
      </c>
      <c r="J506" s="18">
        <f t="shared" si="31"/>
        <v>22.502215150370535</v>
      </c>
      <c r="K506" s="392" t="str">
        <f t="shared" si="30"/>
        <v>A</v>
      </c>
    </row>
    <row r="507" spans="1:11" ht="27.95" customHeight="1" x14ac:dyDescent="0.25">
      <c r="A507" s="391" t="s">
        <v>2759</v>
      </c>
      <c r="B507" s="15" t="s">
        <v>2760</v>
      </c>
      <c r="C507" s="14" t="s">
        <v>341</v>
      </c>
      <c r="D507" s="14" t="s">
        <v>1932</v>
      </c>
      <c r="E507" s="14" t="s">
        <v>579</v>
      </c>
      <c r="F507" s="28">
        <v>0.1455476</v>
      </c>
      <c r="G507" s="17">
        <v>18.8</v>
      </c>
      <c r="H507" s="17">
        <f t="shared" si="28"/>
        <v>2.74</v>
      </c>
      <c r="I507" s="18">
        <f t="shared" si="29"/>
        <v>3.785843745088723E-5</v>
      </c>
      <c r="J507" s="18">
        <f t="shared" si="31"/>
        <v>22.502253008807987</v>
      </c>
      <c r="K507" s="392" t="str">
        <f t="shared" si="30"/>
        <v>A</v>
      </c>
    </row>
    <row r="508" spans="1:11" ht="27.95" customHeight="1" x14ac:dyDescent="0.25">
      <c r="A508" s="391" t="s">
        <v>2770</v>
      </c>
      <c r="B508" s="15" t="s">
        <v>2771</v>
      </c>
      <c r="C508" s="14" t="s">
        <v>341</v>
      </c>
      <c r="D508" s="14" t="s">
        <v>1932</v>
      </c>
      <c r="E508" s="14" t="s">
        <v>579</v>
      </c>
      <c r="F508" s="28">
        <v>0.1455476</v>
      </c>
      <c r="G508" s="17">
        <v>18.75</v>
      </c>
      <c r="H508" s="17">
        <f t="shared" si="28"/>
        <v>2.73</v>
      </c>
      <c r="I508" s="18">
        <f t="shared" si="29"/>
        <v>3.7720267971139464E-5</v>
      </c>
      <c r="J508" s="18">
        <f t="shared" si="31"/>
        <v>22.502290729075959</v>
      </c>
      <c r="K508" s="392" t="str">
        <f t="shared" si="30"/>
        <v>A</v>
      </c>
    </row>
    <row r="509" spans="1:11" ht="27.95" customHeight="1" x14ac:dyDescent="0.25">
      <c r="A509" s="391" t="s">
        <v>2765</v>
      </c>
      <c r="B509" s="15" t="s">
        <v>2766</v>
      </c>
      <c r="C509" s="14" t="s">
        <v>341</v>
      </c>
      <c r="D509" s="14" t="s">
        <v>1932</v>
      </c>
      <c r="E509" s="14" t="s">
        <v>2767</v>
      </c>
      <c r="F509" s="28">
        <v>0.2547083</v>
      </c>
      <c r="G509" s="17">
        <v>10.220000000000001</v>
      </c>
      <c r="H509" s="17">
        <f t="shared" si="28"/>
        <v>2.6</v>
      </c>
      <c r="I509" s="18">
        <f t="shared" si="29"/>
        <v>3.592406473441854E-5</v>
      </c>
      <c r="J509" s="18">
        <f t="shared" si="31"/>
        <v>22.502326653140692</v>
      </c>
      <c r="K509" s="392" t="str">
        <f t="shared" si="30"/>
        <v>A</v>
      </c>
    </row>
    <row r="510" spans="1:11" ht="27.95" customHeight="1" x14ac:dyDescent="0.25">
      <c r="A510" s="391" t="s">
        <v>2932</v>
      </c>
      <c r="B510" s="15" t="s">
        <v>2933</v>
      </c>
      <c r="C510" s="14" t="s">
        <v>82</v>
      </c>
      <c r="D510" s="14" t="s">
        <v>1932</v>
      </c>
      <c r="E510" s="14" t="s">
        <v>1024</v>
      </c>
      <c r="F510" s="16">
        <v>127.14036378391</v>
      </c>
      <c r="G510" s="17">
        <v>0.02</v>
      </c>
      <c r="H510" s="17">
        <f t="shared" si="28"/>
        <v>2.54</v>
      </c>
      <c r="I510" s="18">
        <f t="shared" si="29"/>
        <v>3.5095047855931954E-5</v>
      </c>
      <c r="J510" s="18">
        <f t="shared" si="31"/>
        <v>22.502361748188548</v>
      </c>
      <c r="K510" s="392" t="str">
        <f t="shared" si="30"/>
        <v>A</v>
      </c>
    </row>
    <row r="511" spans="1:11" ht="27.95" customHeight="1" x14ac:dyDescent="0.25">
      <c r="A511" s="391" t="s">
        <v>3205</v>
      </c>
      <c r="B511" s="15" t="s">
        <v>3953</v>
      </c>
      <c r="C511" s="14" t="s">
        <v>51</v>
      </c>
      <c r="D511" s="14" t="s">
        <v>2021</v>
      </c>
      <c r="E511" s="14" t="s">
        <v>2027</v>
      </c>
      <c r="F511" s="21">
        <v>9.7060044000000004E-4</v>
      </c>
      <c r="G511" s="17">
        <v>2573.5</v>
      </c>
      <c r="H511" s="17">
        <f t="shared" si="28"/>
        <v>2.5</v>
      </c>
      <c r="I511" s="18">
        <f t="shared" si="29"/>
        <v>3.4542369936940899E-5</v>
      </c>
      <c r="J511" s="18">
        <f t="shared" si="31"/>
        <v>22.502396290558487</v>
      </c>
      <c r="K511" s="392" t="str">
        <f t="shared" si="30"/>
        <v>A</v>
      </c>
    </row>
    <row r="512" spans="1:11" ht="20.100000000000001" customHeight="1" x14ac:dyDescent="0.25">
      <c r="A512" s="391" t="s">
        <v>3361</v>
      </c>
      <c r="B512" s="15" t="s">
        <v>3362</v>
      </c>
      <c r="C512" s="14" t="s">
        <v>51</v>
      </c>
      <c r="D512" s="14" t="s">
        <v>1812</v>
      </c>
      <c r="E512" s="14" t="s">
        <v>188</v>
      </c>
      <c r="F512" s="16">
        <v>10.1122</v>
      </c>
      <c r="G512" s="17">
        <v>0.24</v>
      </c>
      <c r="H512" s="17">
        <f t="shared" si="28"/>
        <v>2.4300000000000002</v>
      </c>
      <c r="I512" s="18">
        <f t="shared" si="29"/>
        <v>3.3575183578706554E-5</v>
      </c>
      <c r="J512" s="18">
        <f t="shared" si="31"/>
        <v>22.502429865742066</v>
      </c>
      <c r="K512" s="392" t="str">
        <f t="shared" si="30"/>
        <v>A</v>
      </c>
    </row>
    <row r="513" spans="1:11" ht="27.95" customHeight="1" x14ac:dyDescent="0.25">
      <c r="A513" s="391" t="s">
        <v>2789</v>
      </c>
      <c r="B513" s="15" t="s">
        <v>2790</v>
      </c>
      <c r="C513" s="14" t="s">
        <v>341</v>
      </c>
      <c r="D513" s="14" t="s">
        <v>1932</v>
      </c>
      <c r="E513" s="14" t="s">
        <v>579</v>
      </c>
      <c r="F513" s="27">
        <v>6.5565237999999998E-2</v>
      </c>
      <c r="G513" s="17">
        <v>36.9</v>
      </c>
      <c r="H513" s="17">
        <f t="shared" si="28"/>
        <v>2.42</v>
      </c>
      <c r="I513" s="18">
        <f t="shared" si="29"/>
        <v>3.3437014098958795E-5</v>
      </c>
      <c r="J513" s="18">
        <f t="shared" si="31"/>
        <v>22.502463302756166</v>
      </c>
      <c r="K513" s="392" t="str">
        <f t="shared" si="30"/>
        <v>A</v>
      </c>
    </row>
    <row r="514" spans="1:11" ht="20.100000000000001" customHeight="1" x14ac:dyDescent="0.25">
      <c r="A514" s="391" t="s">
        <v>3822</v>
      </c>
      <c r="B514" s="15" t="s">
        <v>3823</v>
      </c>
      <c r="C514" s="14" t="s">
        <v>82</v>
      </c>
      <c r="D514" s="14" t="s">
        <v>1812</v>
      </c>
      <c r="E514" s="14" t="s">
        <v>226</v>
      </c>
      <c r="F514" s="16">
        <v>12</v>
      </c>
      <c r="G514" s="17">
        <v>0.2</v>
      </c>
      <c r="H514" s="17">
        <f t="shared" si="28"/>
        <v>2.4</v>
      </c>
      <c r="I514" s="18">
        <f t="shared" si="29"/>
        <v>3.3160675139463264E-5</v>
      </c>
      <c r="J514" s="18">
        <f t="shared" si="31"/>
        <v>22.502496463431306</v>
      </c>
      <c r="K514" s="392" t="str">
        <f t="shared" si="30"/>
        <v>A</v>
      </c>
    </row>
    <row r="515" spans="1:11" ht="27.95" customHeight="1" x14ac:dyDescent="0.25">
      <c r="A515" s="391" t="s">
        <v>2761</v>
      </c>
      <c r="B515" s="15" t="s">
        <v>2762</v>
      </c>
      <c r="C515" s="14" t="s">
        <v>341</v>
      </c>
      <c r="D515" s="14" t="s">
        <v>1932</v>
      </c>
      <c r="E515" s="14" t="s">
        <v>579</v>
      </c>
      <c r="F515" s="28">
        <v>0.1819345</v>
      </c>
      <c r="G515" s="17">
        <v>12.9</v>
      </c>
      <c r="H515" s="17">
        <f t="shared" si="28"/>
        <v>2.35</v>
      </c>
      <c r="I515" s="18">
        <f t="shared" si="29"/>
        <v>3.246982774072445E-5</v>
      </c>
      <c r="J515" s="18">
        <f t="shared" si="31"/>
        <v>22.502528933259047</v>
      </c>
      <c r="K515" s="392" t="str">
        <f t="shared" si="30"/>
        <v>A</v>
      </c>
    </row>
    <row r="516" spans="1:11" ht="15" customHeight="1" x14ac:dyDescent="0.25">
      <c r="A516" s="391" t="s">
        <v>3789</v>
      </c>
      <c r="B516" s="15" t="s">
        <v>3790</v>
      </c>
      <c r="C516" s="14" t="s">
        <v>82</v>
      </c>
      <c r="D516" s="14" t="s">
        <v>1812</v>
      </c>
      <c r="E516" s="14" t="s">
        <v>226</v>
      </c>
      <c r="F516" s="16">
        <v>6</v>
      </c>
      <c r="G516" s="17">
        <v>0.37</v>
      </c>
      <c r="H516" s="17">
        <f t="shared" si="28"/>
        <v>2.2200000000000002</v>
      </c>
      <c r="I516" s="18">
        <f t="shared" si="29"/>
        <v>3.0673624504003519E-5</v>
      </c>
      <c r="J516" s="18">
        <f t="shared" si="31"/>
        <v>22.502559606883551</v>
      </c>
      <c r="K516" s="392" t="str">
        <f t="shared" si="30"/>
        <v>A</v>
      </c>
    </row>
    <row r="517" spans="1:11" ht="20.100000000000001" customHeight="1" x14ac:dyDescent="0.25">
      <c r="A517" s="391" t="s">
        <v>2808</v>
      </c>
      <c r="B517" s="15" t="s">
        <v>2809</v>
      </c>
      <c r="C517" s="14" t="s">
        <v>2206</v>
      </c>
      <c r="D517" s="14" t="s">
        <v>1812</v>
      </c>
      <c r="E517" s="14" t="s">
        <v>2066</v>
      </c>
      <c r="F517" s="16">
        <v>6.0087495630000003</v>
      </c>
      <c r="G517" s="17">
        <v>0.34</v>
      </c>
      <c r="H517" s="17">
        <f t="shared" si="28"/>
        <v>2.04</v>
      </c>
      <c r="I517" s="18">
        <f t="shared" si="29"/>
        <v>2.8186573868543777E-5</v>
      </c>
      <c r="J517" s="18">
        <f t="shared" si="31"/>
        <v>22.502587793457419</v>
      </c>
      <c r="K517" s="392" t="str">
        <f t="shared" si="30"/>
        <v>A</v>
      </c>
    </row>
    <row r="518" spans="1:11" ht="20.100000000000001" customHeight="1" x14ac:dyDescent="0.25">
      <c r="A518" s="391" t="s">
        <v>3259</v>
      </c>
      <c r="B518" s="15" t="s">
        <v>3260</v>
      </c>
      <c r="C518" s="14" t="s">
        <v>51</v>
      </c>
      <c r="D518" s="14" t="s">
        <v>1812</v>
      </c>
      <c r="E518" s="14" t="s">
        <v>1817</v>
      </c>
      <c r="F518" s="19">
        <v>0.146315</v>
      </c>
      <c r="G518" s="17">
        <v>13.65</v>
      </c>
      <c r="H518" s="17">
        <f t="shared" si="28"/>
        <v>2</v>
      </c>
      <c r="I518" s="18">
        <f t="shared" si="29"/>
        <v>2.7633895949552722E-5</v>
      </c>
      <c r="J518" s="18">
        <f t="shared" si="31"/>
        <v>22.502615427353369</v>
      </c>
      <c r="K518" s="392" t="str">
        <f t="shared" si="30"/>
        <v>A</v>
      </c>
    </row>
    <row r="519" spans="1:11" ht="27.95" customHeight="1" x14ac:dyDescent="0.25">
      <c r="A519" s="391" t="s">
        <v>2791</v>
      </c>
      <c r="B519" s="15" t="s">
        <v>2792</v>
      </c>
      <c r="C519" s="14" t="s">
        <v>341</v>
      </c>
      <c r="D519" s="14" t="s">
        <v>1932</v>
      </c>
      <c r="E519" s="14" t="s">
        <v>579</v>
      </c>
      <c r="F519" s="27">
        <v>9.8347856999999997E-2</v>
      </c>
      <c r="G519" s="17">
        <v>18.579999999999998</v>
      </c>
      <c r="H519" s="17">
        <f t="shared" ref="H519:H552" si="32">ROUND(F519*G519,2)</f>
        <v>1.83</v>
      </c>
      <c r="I519" s="18">
        <f t="shared" ref="I519:I552" si="33">H519/VALOR_TOTAL*100</f>
        <v>2.5285014793840743E-5</v>
      </c>
      <c r="J519" s="18">
        <f t="shared" si="31"/>
        <v>22.502640712368162</v>
      </c>
      <c r="K519" s="392" t="str">
        <f t="shared" ref="K519:K552" si="34">IF(J519&lt;=50,"A",IF(J519&lt;=80,"B","C"))</f>
        <v>A</v>
      </c>
    </row>
    <row r="520" spans="1:11" ht="20.100000000000001" customHeight="1" x14ac:dyDescent="0.25">
      <c r="A520" s="391" t="s">
        <v>2921</v>
      </c>
      <c r="B520" s="15" t="s">
        <v>2922</v>
      </c>
      <c r="C520" s="14" t="s">
        <v>82</v>
      </c>
      <c r="D520" s="14" t="s">
        <v>2443</v>
      </c>
      <c r="E520" s="14" t="s">
        <v>226</v>
      </c>
      <c r="F520" s="22">
        <v>1.354523376E-4</v>
      </c>
      <c r="G520" s="17">
        <v>10714</v>
      </c>
      <c r="H520" s="17">
        <f t="shared" si="32"/>
        <v>1.45</v>
      </c>
      <c r="I520" s="18">
        <f t="shared" si="33"/>
        <v>2.0034574563425722E-5</v>
      </c>
      <c r="J520" s="18">
        <f t="shared" ref="J520:J552" si="35">I520+J519</f>
        <v>22.502660746942727</v>
      </c>
      <c r="K520" s="392" t="str">
        <f t="shared" si="34"/>
        <v>A</v>
      </c>
    </row>
    <row r="521" spans="1:11" ht="27.95" customHeight="1" x14ac:dyDescent="0.25">
      <c r="A521" s="391" t="s">
        <v>2787</v>
      </c>
      <c r="B521" s="15" t="s">
        <v>2788</v>
      </c>
      <c r="C521" s="14" t="s">
        <v>341</v>
      </c>
      <c r="D521" s="14" t="s">
        <v>1932</v>
      </c>
      <c r="E521" s="14" t="s">
        <v>579</v>
      </c>
      <c r="F521" s="27">
        <v>3.2782618999999999E-2</v>
      </c>
      <c r="G521" s="17">
        <v>39.5</v>
      </c>
      <c r="H521" s="17">
        <f t="shared" si="32"/>
        <v>1.29</v>
      </c>
      <c r="I521" s="18">
        <f t="shared" si="33"/>
        <v>1.7823862887461505E-5</v>
      </c>
      <c r="J521" s="18">
        <f t="shared" si="35"/>
        <v>22.502678570805614</v>
      </c>
      <c r="K521" s="392" t="str">
        <f t="shared" si="34"/>
        <v>A</v>
      </c>
    </row>
    <row r="522" spans="1:11" ht="20.100000000000001" customHeight="1" x14ac:dyDescent="0.25">
      <c r="A522" s="391" t="s">
        <v>3841</v>
      </c>
      <c r="B522" s="15" t="s">
        <v>3842</v>
      </c>
      <c r="C522" s="14" t="s">
        <v>82</v>
      </c>
      <c r="D522" s="14" t="s">
        <v>1812</v>
      </c>
      <c r="E522" s="14" t="s">
        <v>226</v>
      </c>
      <c r="F522" s="16">
        <v>2</v>
      </c>
      <c r="G522" s="17">
        <v>0.59</v>
      </c>
      <c r="H522" s="17">
        <f t="shared" si="32"/>
        <v>1.18</v>
      </c>
      <c r="I522" s="18">
        <f t="shared" si="33"/>
        <v>1.6303998610236104E-5</v>
      </c>
      <c r="J522" s="18">
        <f t="shared" si="35"/>
        <v>22.502694874804224</v>
      </c>
      <c r="K522" s="392" t="str">
        <f t="shared" si="34"/>
        <v>A</v>
      </c>
    </row>
    <row r="523" spans="1:11" ht="27.95" customHeight="1" x14ac:dyDescent="0.25">
      <c r="A523" s="391" t="s">
        <v>2774</v>
      </c>
      <c r="B523" s="15" t="s">
        <v>2775</v>
      </c>
      <c r="C523" s="14" t="s">
        <v>341</v>
      </c>
      <c r="D523" s="14" t="s">
        <v>1932</v>
      </c>
      <c r="E523" s="14" t="s">
        <v>579</v>
      </c>
      <c r="F523" s="28">
        <v>7.27738E-2</v>
      </c>
      <c r="G523" s="17">
        <v>15.4</v>
      </c>
      <c r="H523" s="17">
        <f t="shared" si="32"/>
        <v>1.1200000000000001</v>
      </c>
      <c r="I523" s="18">
        <f t="shared" si="33"/>
        <v>1.5474981731749525E-5</v>
      </c>
      <c r="J523" s="18">
        <f t="shared" si="35"/>
        <v>22.502710349785957</v>
      </c>
      <c r="K523" s="392" t="str">
        <f t="shared" si="34"/>
        <v>A</v>
      </c>
    </row>
    <row r="524" spans="1:11" ht="27.95" customHeight="1" x14ac:dyDescent="0.25">
      <c r="A524" s="391" t="s">
        <v>2772</v>
      </c>
      <c r="B524" s="15" t="s">
        <v>2773</v>
      </c>
      <c r="C524" s="14" t="s">
        <v>341</v>
      </c>
      <c r="D524" s="14" t="s">
        <v>1932</v>
      </c>
      <c r="E524" s="14" t="s">
        <v>579</v>
      </c>
      <c r="F524" s="28">
        <v>3.63869E-2</v>
      </c>
      <c r="G524" s="17">
        <v>28</v>
      </c>
      <c r="H524" s="17">
        <f t="shared" si="32"/>
        <v>1.02</v>
      </c>
      <c r="I524" s="18">
        <f t="shared" si="33"/>
        <v>1.4093286934271889E-5</v>
      </c>
      <c r="J524" s="18">
        <f t="shared" si="35"/>
        <v>22.502724443072893</v>
      </c>
      <c r="K524" s="392" t="str">
        <f t="shared" si="34"/>
        <v>A</v>
      </c>
    </row>
    <row r="525" spans="1:11" ht="27.95" customHeight="1" x14ac:dyDescent="0.25">
      <c r="A525" s="391" t="s">
        <v>2768</v>
      </c>
      <c r="B525" s="15" t="s">
        <v>2769</v>
      </c>
      <c r="C525" s="14" t="s">
        <v>341</v>
      </c>
      <c r="D525" s="14" t="s">
        <v>1932</v>
      </c>
      <c r="E525" s="14" t="s">
        <v>579</v>
      </c>
      <c r="F525" s="28">
        <v>7.27738E-2</v>
      </c>
      <c r="G525" s="17">
        <v>13.52</v>
      </c>
      <c r="H525" s="17">
        <f t="shared" si="32"/>
        <v>0.98</v>
      </c>
      <c r="I525" s="18">
        <f t="shared" si="33"/>
        <v>1.3540609015280834E-5</v>
      </c>
      <c r="J525" s="18">
        <f t="shared" si="35"/>
        <v>22.502737983681907</v>
      </c>
      <c r="K525" s="392" t="str">
        <f t="shared" si="34"/>
        <v>A</v>
      </c>
    </row>
    <row r="526" spans="1:11" ht="20.100000000000001" customHeight="1" x14ac:dyDescent="0.25">
      <c r="A526" s="391" t="s">
        <v>2444</v>
      </c>
      <c r="B526" s="15" t="s">
        <v>2445</v>
      </c>
      <c r="C526" s="14" t="s">
        <v>82</v>
      </c>
      <c r="D526" s="14" t="s">
        <v>2443</v>
      </c>
      <c r="E526" s="14" t="s">
        <v>226</v>
      </c>
      <c r="F526" s="26">
        <v>1.8629284791070799E-4</v>
      </c>
      <c r="G526" s="17">
        <v>5175</v>
      </c>
      <c r="H526" s="17">
        <f t="shared" si="32"/>
        <v>0.96</v>
      </c>
      <c r="I526" s="18">
        <f t="shared" si="33"/>
        <v>1.3264270055785308E-5</v>
      </c>
      <c r="J526" s="18">
        <f t="shared" si="35"/>
        <v>22.502751247951963</v>
      </c>
      <c r="K526" s="392" t="str">
        <f t="shared" si="34"/>
        <v>A</v>
      </c>
    </row>
    <row r="527" spans="1:11" ht="27.95" customHeight="1" x14ac:dyDescent="0.25">
      <c r="A527" s="391" t="s">
        <v>2776</v>
      </c>
      <c r="B527" s="15" t="s">
        <v>2777</v>
      </c>
      <c r="C527" s="14" t="s">
        <v>341</v>
      </c>
      <c r="D527" s="14" t="s">
        <v>1932</v>
      </c>
      <c r="E527" s="14" t="s">
        <v>579</v>
      </c>
      <c r="F527" s="28">
        <v>3.63869E-2</v>
      </c>
      <c r="G527" s="17">
        <v>25.95</v>
      </c>
      <c r="H527" s="17">
        <f t="shared" si="32"/>
        <v>0.94</v>
      </c>
      <c r="I527" s="18">
        <f t="shared" si="33"/>
        <v>1.298793109628978E-5</v>
      </c>
      <c r="J527" s="18">
        <f t="shared" si="35"/>
        <v>22.50276423588306</v>
      </c>
      <c r="K527" s="392" t="str">
        <f t="shared" si="34"/>
        <v>A</v>
      </c>
    </row>
    <row r="528" spans="1:11" ht="20.100000000000001" customHeight="1" x14ac:dyDescent="0.25">
      <c r="A528" s="391" t="s">
        <v>3813</v>
      </c>
      <c r="B528" s="15" t="s">
        <v>3814</v>
      </c>
      <c r="C528" s="14" t="s">
        <v>51</v>
      </c>
      <c r="D528" s="14" t="s">
        <v>1812</v>
      </c>
      <c r="E528" s="14" t="s">
        <v>226</v>
      </c>
      <c r="F528" s="19">
        <v>2.7084E-2</v>
      </c>
      <c r="G528" s="17">
        <v>34.82</v>
      </c>
      <c r="H528" s="17">
        <f t="shared" si="32"/>
        <v>0.94</v>
      </c>
      <c r="I528" s="18">
        <f t="shared" si="33"/>
        <v>1.298793109628978E-5</v>
      </c>
      <c r="J528" s="18">
        <f t="shared" si="35"/>
        <v>22.502777223814157</v>
      </c>
      <c r="K528" s="392" t="str">
        <f t="shared" si="34"/>
        <v>A</v>
      </c>
    </row>
    <row r="529" spans="1:11" ht="15" customHeight="1" x14ac:dyDescent="0.25">
      <c r="A529" s="391" t="s">
        <v>1973</v>
      </c>
      <c r="B529" s="15" t="s">
        <v>1974</v>
      </c>
      <c r="C529" s="14" t="s">
        <v>341</v>
      </c>
      <c r="D529" s="14" t="s">
        <v>1812</v>
      </c>
      <c r="E529" s="14" t="s">
        <v>1951</v>
      </c>
      <c r="F529" s="32">
        <v>1.2E-2</v>
      </c>
      <c r="G529" s="17">
        <v>74.89</v>
      </c>
      <c r="H529" s="17">
        <f t="shared" si="32"/>
        <v>0.9</v>
      </c>
      <c r="I529" s="18">
        <f t="shared" si="33"/>
        <v>1.2435253177298725E-5</v>
      </c>
      <c r="J529" s="18">
        <f t="shared" si="35"/>
        <v>22.502789659067332</v>
      </c>
      <c r="K529" s="392" t="str">
        <f t="shared" si="34"/>
        <v>A</v>
      </c>
    </row>
    <row r="530" spans="1:11" ht="20.100000000000001" customHeight="1" x14ac:dyDescent="0.25">
      <c r="A530" s="391" t="s">
        <v>3047</v>
      </c>
      <c r="B530" s="15" t="s">
        <v>3048</v>
      </c>
      <c r="C530" s="14" t="s">
        <v>82</v>
      </c>
      <c r="D530" s="14" t="s">
        <v>2443</v>
      </c>
      <c r="E530" s="14" t="s">
        <v>226</v>
      </c>
      <c r="F530" s="23">
        <v>6.7321115299199998E-4</v>
      </c>
      <c r="G530" s="17">
        <v>1284.27</v>
      </c>
      <c r="H530" s="17">
        <f t="shared" si="32"/>
        <v>0.86</v>
      </c>
      <c r="I530" s="18">
        <f t="shared" si="33"/>
        <v>1.188257525830767E-5</v>
      </c>
      <c r="J530" s="18">
        <f t="shared" si="35"/>
        <v>22.50280154164259</v>
      </c>
      <c r="K530" s="392" t="str">
        <f t="shared" si="34"/>
        <v>A</v>
      </c>
    </row>
    <row r="531" spans="1:11" ht="20.100000000000001" customHeight="1" x14ac:dyDescent="0.25">
      <c r="A531" s="391" t="s">
        <v>3187</v>
      </c>
      <c r="B531" s="15" t="s">
        <v>3188</v>
      </c>
      <c r="C531" s="14" t="s">
        <v>51</v>
      </c>
      <c r="D531" s="14" t="s">
        <v>1812</v>
      </c>
      <c r="E531" s="14" t="s">
        <v>226</v>
      </c>
      <c r="F531" s="25">
        <v>2.5585050880000001E-3</v>
      </c>
      <c r="G531" s="17">
        <v>297.10000000000002</v>
      </c>
      <c r="H531" s="17">
        <f t="shared" si="32"/>
        <v>0.76</v>
      </c>
      <c r="I531" s="18">
        <f t="shared" si="33"/>
        <v>1.0500880460830033E-5</v>
      </c>
      <c r="J531" s="18">
        <f t="shared" si="35"/>
        <v>22.50281204252305</v>
      </c>
      <c r="K531" s="392" t="str">
        <f t="shared" si="34"/>
        <v>A</v>
      </c>
    </row>
    <row r="532" spans="1:11" ht="20.100000000000001" customHeight="1" x14ac:dyDescent="0.25">
      <c r="A532" s="391" t="s">
        <v>3343</v>
      </c>
      <c r="B532" s="15" t="s">
        <v>3344</v>
      </c>
      <c r="C532" s="14" t="s">
        <v>51</v>
      </c>
      <c r="D532" s="14" t="s">
        <v>1812</v>
      </c>
      <c r="E532" s="14" t="s">
        <v>226</v>
      </c>
      <c r="F532" s="16">
        <v>8.06</v>
      </c>
      <c r="G532" s="17">
        <v>0.09</v>
      </c>
      <c r="H532" s="17">
        <f t="shared" si="32"/>
        <v>0.73</v>
      </c>
      <c r="I532" s="18">
        <f t="shared" si="33"/>
        <v>1.0086372021586744E-5</v>
      </c>
      <c r="J532" s="18">
        <f t="shared" si="35"/>
        <v>22.502822128895072</v>
      </c>
      <c r="K532" s="392" t="str">
        <f t="shared" si="34"/>
        <v>A</v>
      </c>
    </row>
    <row r="533" spans="1:11" ht="20.100000000000001" customHeight="1" x14ac:dyDescent="0.25">
      <c r="A533" s="391" t="s">
        <v>3060</v>
      </c>
      <c r="B533" s="15" t="s">
        <v>3061</v>
      </c>
      <c r="C533" s="14" t="s">
        <v>2206</v>
      </c>
      <c r="D533" s="14" t="s">
        <v>1812</v>
      </c>
      <c r="E533" s="14" t="s">
        <v>2066</v>
      </c>
      <c r="F533" s="16">
        <v>6.0087495630000003</v>
      </c>
      <c r="G533" s="17">
        <v>0.11</v>
      </c>
      <c r="H533" s="17">
        <f t="shared" si="32"/>
        <v>0.66</v>
      </c>
      <c r="I533" s="18">
        <f t="shared" si="33"/>
        <v>9.1191856633523988E-6</v>
      </c>
      <c r="J533" s="18">
        <f t="shared" si="35"/>
        <v>22.502831248080735</v>
      </c>
      <c r="K533" s="392" t="str">
        <f t="shared" si="34"/>
        <v>A</v>
      </c>
    </row>
    <row r="534" spans="1:11" ht="20.100000000000001" customHeight="1" x14ac:dyDescent="0.25">
      <c r="A534" s="391" t="s">
        <v>3353</v>
      </c>
      <c r="B534" s="15" t="s">
        <v>3354</v>
      </c>
      <c r="C534" s="14" t="s">
        <v>51</v>
      </c>
      <c r="D534" s="14" t="s">
        <v>1812</v>
      </c>
      <c r="E534" s="14" t="s">
        <v>1006</v>
      </c>
      <c r="F534" s="30">
        <v>5.6840000000000002E-2</v>
      </c>
      <c r="G534" s="17">
        <v>11.57</v>
      </c>
      <c r="H534" s="17">
        <f t="shared" si="32"/>
        <v>0.66</v>
      </c>
      <c r="I534" s="18">
        <f t="shared" si="33"/>
        <v>9.1191856633523988E-6</v>
      </c>
      <c r="J534" s="18">
        <f t="shared" si="35"/>
        <v>22.502840367266398</v>
      </c>
      <c r="K534" s="392" t="str">
        <f t="shared" si="34"/>
        <v>A</v>
      </c>
    </row>
    <row r="535" spans="1:11" ht="20.100000000000001" customHeight="1" x14ac:dyDescent="0.25">
      <c r="A535" s="391" t="s">
        <v>3154</v>
      </c>
      <c r="B535" s="15" t="s">
        <v>3155</v>
      </c>
      <c r="C535" s="14" t="s">
        <v>51</v>
      </c>
      <c r="D535" s="14" t="s">
        <v>1812</v>
      </c>
      <c r="E535" s="14" t="s">
        <v>2453</v>
      </c>
      <c r="F535" s="27">
        <v>0.64205257500000001</v>
      </c>
      <c r="G535" s="17">
        <v>0.99</v>
      </c>
      <c r="H535" s="17">
        <f t="shared" si="32"/>
        <v>0.64</v>
      </c>
      <c r="I535" s="18">
        <f t="shared" si="33"/>
        <v>8.8428467038568712E-6</v>
      </c>
      <c r="J535" s="18">
        <f t="shared" si="35"/>
        <v>22.502849210113101</v>
      </c>
      <c r="K535" s="392" t="str">
        <f t="shared" si="34"/>
        <v>A</v>
      </c>
    </row>
    <row r="536" spans="1:11" ht="20.100000000000001" customHeight="1" x14ac:dyDescent="0.25">
      <c r="A536" s="391" t="s">
        <v>2940</v>
      </c>
      <c r="B536" s="15" t="s">
        <v>2941</v>
      </c>
      <c r="C536" s="14" t="s">
        <v>82</v>
      </c>
      <c r="D536" s="14" t="s">
        <v>1812</v>
      </c>
      <c r="E536" s="14" t="s">
        <v>1006</v>
      </c>
      <c r="F536" s="30">
        <v>7.3340000000000002E-2</v>
      </c>
      <c r="G536" s="17">
        <v>5.97</v>
      </c>
      <c r="H536" s="17">
        <f t="shared" si="32"/>
        <v>0.44</v>
      </c>
      <c r="I536" s="18">
        <f t="shared" si="33"/>
        <v>6.0794571089015995E-6</v>
      </c>
      <c r="J536" s="18">
        <f t="shared" si="35"/>
        <v>22.50285528957021</v>
      </c>
      <c r="K536" s="392" t="str">
        <f t="shared" si="34"/>
        <v>A</v>
      </c>
    </row>
    <row r="537" spans="1:11" ht="20.100000000000001" customHeight="1" x14ac:dyDescent="0.25">
      <c r="A537" s="391" t="s">
        <v>3329</v>
      </c>
      <c r="B537" s="15" t="s">
        <v>3330</v>
      </c>
      <c r="C537" s="14" t="s">
        <v>51</v>
      </c>
      <c r="D537" s="14" t="s">
        <v>1812</v>
      </c>
      <c r="E537" s="14" t="s">
        <v>1817</v>
      </c>
      <c r="F537" s="28">
        <v>3.4814499999999998E-2</v>
      </c>
      <c r="G537" s="17">
        <v>12.07</v>
      </c>
      <c r="H537" s="17">
        <f t="shared" si="32"/>
        <v>0.42</v>
      </c>
      <c r="I537" s="18">
        <f t="shared" si="33"/>
        <v>5.803118149406071E-6</v>
      </c>
      <c r="J537" s="18">
        <f t="shared" si="35"/>
        <v>22.502861092688359</v>
      </c>
      <c r="K537" s="392" t="str">
        <f t="shared" si="34"/>
        <v>A</v>
      </c>
    </row>
    <row r="538" spans="1:11" ht="20.100000000000001" customHeight="1" x14ac:dyDescent="0.25">
      <c r="A538" s="391" t="s">
        <v>3149</v>
      </c>
      <c r="B538" s="15" t="s">
        <v>3954</v>
      </c>
      <c r="C538" s="14" t="s">
        <v>51</v>
      </c>
      <c r="D538" s="14" t="s">
        <v>2021</v>
      </c>
      <c r="E538" s="14" t="s">
        <v>2027</v>
      </c>
      <c r="F538" s="22">
        <v>7.3994261400000004E-5</v>
      </c>
      <c r="G538" s="17">
        <v>4939</v>
      </c>
      <c r="H538" s="17">
        <f t="shared" si="32"/>
        <v>0.37</v>
      </c>
      <c r="I538" s="18">
        <f t="shared" si="33"/>
        <v>5.1122707506672537E-6</v>
      </c>
      <c r="J538" s="18">
        <f t="shared" si="35"/>
        <v>22.502866204959108</v>
      </c>
      <c r="K538" s="392" t="str">
        <f t="shared" si="34"/>
        <v>A</v>
      </c>
    </row>
    <row r="539" spans="1:11" ht="20.100000000000001" customHeight="1" x14ac:dyDescent="0.25">
      <c r="A539" s="391" t="s">
        <v>3122</v>
      </c>
      <c r="B539" s="15" t="s">
        <v>3123</v>
      </c>
      <c r="C539" s="14" t="s">
        <v>82</v>
      </c>
      <c r="D539" s="14" t="s">
        <v>2443</v>
      </c>
      <c r="E539" s="14" t="s">
        <v>226</v>
      </c>
      <c r="F539" s="21">
        <v>4.8979720000000003E-5</v>
      </c>
      <c r="G539" s="17">
        <v>3799.73</v>
      </c>
      <c r="H539" s="17">
        <f t="shared" si="32"/>
        <v>0.19</v>
      </c>
      <c r="I539" s="18">
        <f t="shared" si="33"/>
        <v>2.6252201152075083E-6</v>
      </c>
      <c r="J539" s="18">
        <f t="shared" si="35"/>
        <v>22.502868830179224</v>
      </c>
      <c r="K539" s="392" t="str">
        <f t="shared" si="34"/>
        <v>A</v>
      </c>
    </row>
    <row r="540" spans="1:11" ht="15" customHeight="1" x14ac:dyDescent="0.25">
      <c r="A540" s="391" t="s">
        <v>1975</v>
      </c>
      <c r="B540" s="15" t="s">
        <v>1976</v>
      </c>
      <c r="C540" s="14" t="s">
        <v>341</v>
      </c>
      <c r="D540" s="14" t="s">
        <v>1812</v>
      </c>
      <c r="E540" s="14" t="s">
        <v>579</v>
      </c>
      <c r="F540" s="32">
        <v>1.6E-2</v>
      </c>
      <c r="G540" s="17">
        <v>5.45</v>
      </c>
      <c r="H540" s="17">
        <f t="shared" si="32"/>
        <v>0.09</v>
      </c>
      <c r="I540" s="18">
        <f t="shared" si="33"/>
        <v>1.2435253177298725E-6</v>
      </c>
      <c r="J540" s="18">
        <f t="shared" si="35"/>
        <v>22.502870073704543</v>
      </c>
      <c r="K540" s="392" t="str">
        <f t="shared" si="34"/>
        <v>A</v>
      </c>
    </row>
    <row r="541" spans="1:11" ht="20.100000000000001" customHeight="1" x14ac:dyDescent="0.25">
      <c r="A541" s="391" t="s">
        <v>3514</v>
      </c>
      <c r="B541" s="15" t="s">
        <v>3955</v>
      </c>
      <c r="C541" s="14" t="s">
        <v>194</v>
      </c>
      <c r="D541" s="14" t="s">
        <v>2021</v>
      </c>
      <c r="E541" s="14" t="s">
        <v>2024</v>
      </c>
      <c r="F541" s="16">
        <v>0</v>
      </c>
      <c r="G541" s="17">
        <v>109.71</v>
      </c>
      <c r="H541" s="17">
        <f t="shared" si="32"/>
        <v>0</v>
      </c>
      <c r="I541" s="18">
        <f t="shared" si="33"/>
        <v>0</v>
      </c>
      <c r="J541" s="18">
        <f t="shared" si="35"/>
        <v>22.502870073704543</v>
      </c>
      <c r="K541" s="392" t="str">
        <f t="shared" si="34"/>
        <v>A</v>
      </c>
    </row>
    <row r="542" spans="1:11" ht="27.95" customHeight="1" x14ac:dyDescent="0.25">
      <c r="A542" s="391" t="s">
        <v>3205</v>
      </c>
      <c r="B542" s="15" t="s">
        <v>3956</v>
      </c>
      <c r="C542" s="14" t="s">
        <v>51</v>
      </c>
      <c r="D542" s="14" t="s">
        <v>2021</v>
      </c>
      <c r="E542" s="14" t="s">
        <v>2024</v>
      </c>
      <c r="F542" s="16">
        <v>0</v>
      </c>
      <c r="G542" s="17">
        <v>0</v>
      </c>
      <c r="H542" s="17">
        <f t="shared" si="32"/>
        <v>0</v>
      </c>
      <c r="I542" s="18">
        <f t="shared" si="33"/>
        <v>0</v>
      </c>
      <c r="J542" s="18">
        <f t="shared" si="35"/>
        <v>22.502870073704543</v>
      </c>
      <c r="K542" s="392" t="str">
        <f t="shared" si="34"/>
        <v>A</v>
      </c>
    </row>
    <row r="543" spans="1:11" ht="20.100000000000001" customHeight="1" x14ac:dyDescent="0.25">
      <c r="A543" s="391" t="s">
        <v>3082</v>
      </c>
      <c r="B543" s="15" t="s">
        <v>3957</v>
      </c>
      <c r="C543" s="14" t="s">
        <v>194</v>
      </c>
      <c r="D543" s="14" t="s">
        <v>2021</v>
      </c>
      <c r="E543" s="14" t="s">
        <v>2024</v>
      </c>
      <c r="F543" s="16">
        <v>0</v>
      </c>
      <c r="G543" s="17">
        <v>233.27</v>
      </c>
      <c r="H543" s="17">
        <f t="shared" si="32"/>
        <v>0</v>
      </c>
      <c r="I543" s="18">
        <f t="shared" si="33"/>
        <v>0</v>
      </c>
      <c r="J543" s="18">
        <f t="shared" si="35"/>
        <v>22.502870073704543</v>
      </c>
      <c r="K543" s="392" t="str">
        <f t="shared" si="34"/>
        <v>A</v>
      </c>
    </row>
    <row r="544" spans="1:11" ht="20.100000000000001" customHeight="1" x14ac:dyDescent="0.25">
      <c r="A544" s="391" t="s">
        <v>3606</v>
      </c>
      <c r="B544" s="15" t="s">
        <v>3595</v>
      </c>
      <c r="C544" s="14" t="s">
        <v>51</v>
      </c>
      <c r="D544" s="14" t="s">
        <v>3958</v>
      </c>
      <c r="E544" s="14" t="s">
        <v>3959</v>
      </c>
      <c r="F544" s="16">
        <v>0</v>
      </c>
      <c r="G544" s="17">
        <v>151.12</v>
      </c>
      <c r="H544" s="17">
        <f t="shared" si="32"/>
        <v>0</v>
      </c>
      <c r="I544" s="18">
        <f t="shared" si="33"/>
        <v>0</v>
      </c>
      <c r="J544" s="18">
        <f t="shared" si="35"/>
        <v>22.502870073704543</v>
      </c>
      <c r="K544" s="392" t="str">
        <f t="shared" si="34"/>
        <v>A</v>
      </c>
    </row>
    <row r="545" spans="1:11" ht="20.100000000000001" customHeight="1" x14ac:dyDescent="0.25">
      <c r="A545" s="391" t="s">
        <v>3080</v>
      </c>
      <c r="B545" s="15" t="s">
        <v>3960</v>
      </c>
      <c r="C545" s="14" t="s">
        <v>194</v>
      </c>
      <c r="D545" s="14" t="s">
        <v>2021</v>
      </c>
      <c r="E545" s="14" t="s">
        <v>2024</v>
      </c>
      <c r="F545" s="16">
        <v>0</v>
      </c>
      <c r="G545" s="17">
        <v>10.77</v>
      </c>
      <c r="H545" s="17">
        <f t="shared" si="32"/>
        <v>0</v>
      </c>
      <c r="I545" s="18">
        <f t="shared" si="33"/>
        <v>0</v>
      </c>
      <c r="J545" s="18">
        <f t="shared" si="35"/>
        <v>22.502870073704543</v>
      </c>
      <c r="K545" s="392" t="str">
        <f t="shared" si="34"/>
        <v>A</v>
      </c>
    </row>
    <row r="546" spans="1:11" ht="27.95" customHeight="1" x14ac:dyDescent="0.25">
      <c r="A546" s="391" t="s">
        <v>3231</v>
      </c>
      <c r="B546" s="15" t="s">
        <v>3961</v>
      </c>
      <c r="C546" s="14" t="s">
        <v>51</v>
      </c>
      <c r="D546" s="14" t="s">
        <v>2021</v>
      </c>
      <c r="E546" s="14" t="s">
        <v>2024</v>
      </c>
      <c r="F546" s="16">
        <v>0</v>
      </c>
      <c r="G546" s="17">
        <v>0</v>
      </c>
      <c r="H546" s="17">
        <f t="shared" si="32"/>
        <v>0</v>
      </c>
      <c r="I546" s="18">
        <f t="shared" si="33"/>
        <v>0</v>
      </c>
      <c r="J546" s="18">
        <f t="shared" si="35"/>
        <v>22.502870073704543</v>
      </c>
      <c r="K546" s="392" t="str">
        <f t="shared" si="34"/>
        <v>A</v>
      </c>
    </row>
    <row r="547" spans="1:11" ht="20.100000000000001" customHeight="1" x14ac:dyDescent="0.25">
      <c r="A547" s="391" t="s">
        <v>3185</v>
      </c>
      <c r="B547" s="15" t="s">
        <v>3962</v>
      </c>
      <c r="C547" s="14" t="s">
        <v>51</v>
      </c>
      <c r="D547" s="14" t="s">
        <v>2021</v>
      </c>
      <c r="E547" s="14" t="s">
        <v>2024</v>
      </c>
      <c r="F547" s="16">
        <v>0</v>
      </c>
      <c r="G547" s="17">
        <v>0</v>
      </c>
      <c r="H547" s="17">
        <f t="shared" si="32"/>
        <v>0</v>
      </c>
      <c r="I547" s="18">
        <f t="shared" si="33"/>
        <v>0</v>
      </c>
      <c r="J547" s="18">
        <f t="shared" si="35"/>
        <v>22.502870073704543</v>
      </c>
      <c r="K547" s="392" t="str">
        <f t="shared" si="34"/>
        <v>A</v>
      </c>
    </row>
    <row r="548" spans="1:11" ht="20.100000000000001" customHeight="1" x14ac:dyDescent="0.25">
      <c r="A548" s="391" t="s">
        <v>3594</v>
      </c>
      <c r="B548" s="15" t="s">
        <v>3595</v>
      </c>
      <c r="C548" s="14" t="s">
        <v>51</v>
      </c>
      <c r="D548" s="14" t="s">
        <v>3958</v>
      </c>
      <c r="E548" s="14" t="s">
        <v>3959</v>
      </c>
      <c r="F548" s="16">
        <v>0</v>
      </c>
      <c r="G548" s="17">
        <v>390.96</v>
      </c>
      <c r="H548" s="17">
        <f t="shared" si="32"/>
        <v>0</v>
      </c>
      <c r="I548" s="18">
        <f t="shared" si="33"/>
        <v>0</v>
      </c>
      <c r="J548" s="18">
        <f t="shared" si="35"/>
        <v>22.502870073704543</v>
      </c>
      <c r="K548" s="392" t="str">
        <f t="shared" si="34"/>
        <v>A</v>
      </c>
    </row>
    <row r="549" spans="1:11" ht="36" customHeight="1" x14ac:dyDescent="0.25">
      <c r="A549" s="391" t="s">
        <v>3247</v>
      </c>
      <c r="B549" s="15" t="s">
        <v>3963</v>
      </c>
      <c r="C549" s="14" t="s">
        <v>51</v>
      </c>
      <c r="D549" s="14" t="s">
        <v>2021</v>
      </c>
      <c r="E549" s="14" t="s">
        <v>2024</v>
      </c>
      <c r="F549" s="16">
        <v>0</v>
      </c>
      <c r="G549" s="17">
        <v>0</v>
      </c>
      <c r="H549" s="17">
        <f t="shared" si="32"/>
        <v>0</v>
      </c>
      <c r="I549" s="18">
        <f t="shared" si="33"/>
        <v>0</v>
      </c>
      <c r="J549" s="18">
        <f t="shared" si="35"/>
        <v>22.502870073704543</v>
      </c>
      <c r="K549" s="392" t="str">
        <f t="shared" si="34"/>
        <v>A</v>
      </c>
    </row>
    <row r="550" spans="1:11" ht="20.100000000000001" customHeight="1" x14ac:dyDescent="0.25">
      <c r="A550" s="391" t="s">
        <v>3851</v>
      </c>
      <c r="B550" s="15" t="s">
        <v>3964</v>
      </c>
      <c r="C550" s="14" t="s">
        <v>194</v>
      </c>
      <c r="D550" s="14" t="s">
        <v>2021</v>
      </c>
      <c r="E550" s="14" t="s">
        <v>2024</v>
      </c>
      <c r="F550" s="16">
        <v>0</v>
      </c>
      <c r="G550" s="17">
        <v>154.34</v>
      </c>
      <c r="H550" s="17">
        <f t="shared" si="32"/>
        <v>0</v>
      </c>
      <c r="I550" s="18">
        <f t="shared" si="33"/>
        <v>0</v>
      </c>
      <c r="J550" s="18">
        <f t="shared" si="35"/>
        <v>22.502870073704543</v>
      </c>
      <c r="K550" s="392" t="str">
        <f t="shared" si="34"/>
        <v>A</v>
      </c>
    </row>
    <row r="551" spans="1:11" ht="20.100000000000001" customHeight="1" x14ac:dyDescent="0.25">
      <c r="A551" s="391" t="s">
        <v>3149</v>
      </c>
      <c r="B551" s="15" t="s">
        <v>3965</v>
      </c>
      <c r="C551" s="14" t="s">
        <v>51</v>
      </c>
      <c r="D551" s="14" t="s">
        <v>2021</v>
      </c>
      <c r="E551" s="14" t="s">
        <v>2024</v>
      </c>
      <c r="F551" s="16">
        <v>0</v>
      </c>
      <c r="G551" s="17">
        <v>0</v>
      </c>
      <c r="H551" s="17">
        <f t="shared" si="32"/>
        <v>0</v>
      </c>
      <c r="I551" s="18">
        <f t="shared" si="33"/>
        <v>0</v>
      </c>
      <c r="J551" s="18">
        <f t="shared" si="35"/>
        <v>22.502870073704543</v>
      </c>
      <c r="K551" s="392" t="str">
        <f t="shared" si="34"/>
        <v>A</v>
      </c>
    </row>
    <row r="552" spans="1:11" ht="20.100000000000001" customHeight="1" x14ac:dyDescent="0.25">
      <c r="A552" s="391" t="s">
        <v>3169</v>
      </c>
      <c r="B552" s="15" t="s">
        <v>3966</v>
      </c>
      <c r="C552" s="14" t="s">
        <v>51</v>
      </c>
      <c r="D552" s="14" t="s">
        <v>2021</v>
      </c>
      <c r="E552" s="14" t="s">
        <v>2024</v>
      </c>
      <c r="F552" s="16">
        <v>0</v>
      </c>
      <c r="G552" s="17">
        <v>0</v>
      </c>
      <c r="H552" s="17">
        <f t="shared" si="32"/>
        <v>0</v>
      </c>
      <c r="I552" s="18">
        <f t="shared" si="33"/>
        <v>0</v>
      </c>
      <c r="J552" s="18">
        <f t="shared" si="35"/>
        <v>22.502870073704543</v>
      </c>
      <c r="K552" s="392" t="str">
        <f t="shared" si="34"/>
        <v>A</v>
      </c>
    </row>
    <row r="553" spans="1:11" ht="18" customHeight="1" x14ac:dyDescent="0.25">
      <c r="A553" s="167"/>
      <c r="B553" s="178"/>
      <c r="C553" s="546" t="s">
        <v>1804</v>
      </c>
      <c r="D553" s="546"/>
      <c r="E553" s="546"/>
      <c r="F553" s="546"/>
      <c r="G553" s="178"/>
      <c r="H553" s="178"/>
      <c r="I553" s="178"/>
      <c r="J553" s="178"/>
      <c r="K553" s="168"/>
    </row>
    <row r="554" spans="1:11" ht="18" customHeight="1" x14ac:dyDescent="0.25">
      <c r="A554" s="167"/>
      <c r="B554" s="178"/>
      <c r="C554" s="178"/>
      <c r="D554" s="178"/>
      <c r="E554" s="178"/>
      <c r="F554" s="178"/>
      <c r="G554" s="546" t="str">
        <f>"Subtotal até "&amp;TRUNC(J552,2)&amp;"%"</f>
        <v>Subtotal até 22,5%</v>
      </c>
      <c r="H554" s="546"/>
      <c r="I554" s="547">
        <f>SUM(H7:H552)</f>
        <v>1628642.5999999996</v>
      </c>
      <c r="J554" s="547"/>
      <c r="K554" s="548"/>
    </row>
    <row r="555" spans="1:11" ht="18" customHeight="1" x14ac:dyDescent="0.25">
      <c r="A555" s="167"/>
      <c r="B555" s="178"/>
      <c r="C555" s="178"/>
      <c r="D555" s="178"/>
      <c r="E555" s="178"/>
      <c r="F555" s="178"/>
      <c r="G555" s="546" t="s">
        <v>3922</v>
      </c>
      <c r="H555" s="546"/>
      <c r="I555" s="547">
        <f>I556-I554</f>
        <v>4365.6600000003818</v>
      </c>
      <c r="J555" s="547"/>
      <c r="K555" s="548"/>
    </row>
    <row r="556" spans="1:11" ht="18" customHeight="1" x14ac:dyDescent="0.25">
      <c r="A556" s="167"/>
      <c r="B556" s="178"/>
      <c r="C556" s="178"/>
      <c r="D556" s="178"/>
      <c r="E556" s="178"/>
      <c r="F556" s="178"/>
      <c r="G556" s="546" t="s">
        <v>3923</v>
      </c>
      <c r="H556" s="546"/>
      <c r="I556" s="547">
        <v>1633008.26</v>
      </c>
      <c r="J556" s="547"/>
      <c r="K556" s="548"/>
    </row>
    <row r="557" spans="1:11" ht="26.1" customHeight="1" thickBot="1" x14ac:dyDescent="0.3">
      <c r="A557" s="468" t="s">
        <v>25</v>
      </c>
      <c r="B557" s="469"/>
      <c r="C557" s="469"/>
      <c r="D557" s="469"/>
      <c r="E557" s="469"/>
      <c r="F557" s="469"/>
      <c r="G557" s="469"/>
      <c r="H557" s="469"/>
      <c r="I557" s="469"/>
      <c r="J557" s="469"/>
      <c r="K557" s="470"/>
    </row>
  </sheetData>
  <mergeCells count="17">
    <mergeCell ref="G555:H555"/>
    <mergeCell ref="I555:K555"/>
    <mergeCell ref="G556:H556"/>
    <mergeCell ref="I556:K556"/>
    <mergeCell ref="A557:K557"/>
    <mergeCell ref="A1:K1"/>
    <mergeCell ref="C553:F553"/>
    <mergeCell ref="G554:H554"/>
    <mergeCell ref="I554:K554"/>
    <mergeCell ref="A2:A5"/>
    <mergeCell ref="B2:F2"/>
    <mergeCell ref="G2:K2"/>
    <mergeCell ref="B3:F3"/>
    <mergeCell ref="G3:K3"/>
    <mergeCell ref="B4:F4"/>
    <mergeCell ref="G4:K4"/>
    <mergeCell ref="B5:K5"/>
  </mergeCells>
  <pageMargins left="0.7" right="0.7" top="0.75" bottom="0.75" header="0.3" footer="0.3"/>
  <pageSetup paperSize="9" scale="46"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Views>
    <sheetView workbookViewId="0">
      <selection activeCell="I17" sqref="I16:I17"/>
    </sheetView>
  </sheetViews>
  <sheetFormatPr defaultRowHeight="15" x14ac:dyDescent="0.25"/>
  <cols>
    <col min="1" max="1" width="22" customWidth="1"/>
    <col min="2" max="6" width="18" customWidth="1"/>
    <col min="7" max="7" width="3" customWidth="1"/>
    <col min="8" max="8" width="20" customWidth="1"/>
    <col min="9" max="9" width="25" customWidth="1"/>
    <col min="10" max="10" width="3" customWidth="1"/>
    <col min="11" max="11" width="22" customWidth="1"/>
    <col min="12" max="12" width="14" customWidth="1"/>
  </cols>
  <sheetData>
    <row r="1" spans="1:12" ht="24" customHeight="1" x14ac:dyDescent="0.25">
      <c r="A1" s="47"/>
      <c r="B1" s="553" t="s">
        <v>3967</v>
      </c>
      <c r="C1" s="553"/>
      <c r="D1" s="553"/>
      <c r="E1" s="553"/>
      <c r="F1" s="553"/>
      <c r="G1" s="48"/>
      <c r="H1" s="48" t="s">
        <v>3968</v>
      </c>
      <c r="I1" s="48" t="s">
        <v>3969</v>
      </c>
      <c r="J1" s="48"/>
      <c r="K1" s="48" t="s">
        <v>3970</v>
      </c>
      <c r="L1" s="49" t="s">
        <v>2328</v>
      </c>
    </row>
    <row r="2" spans="1:12" ht="32.1" customHeight="1" x14ac:dyDescent="0.25">
      <c r="A2" s="50" t="s">
        <v>3971</v>
      </c>
      <c r="B2" s="554" t="s">
        <v>3972</v>
      </c>
      <c r="C2" s="554"/>
      <c r="D2" s="554"/>
      <c r="E2" s="554"/>
      <c r="F2" s="554"/>
      <c r="G2" s="46"/>
      <c r="H2" s="45" t="s">
        <v>51</v>
      </c>
      <c r="I2" s="46" t="s">
        <v>3973</v>
      </c>
      <c r="J2" s="46"/>
      <c r="K2" s="45" t="s">
        <v>3974</v>
      </c>
      <c r="L2" s="51">
        <v>0.33250000000000002</v>
      </c>
    </row>
    <row r="3" spans="1:12" ht="32.1" customHeight="1" x14ac:dyDescent="0.25">
      <c r="A3" s="50" t="s">
        <v>3975</v>
      </c>
      <c r="B3" s="554" t="s">
        <v>3972</v>
      </c>
      <c r="C3" s="554"/>
      <c r="D3" s="554"/>
      <c r="E3" s="554"/>
      <c r="F3" s="554"/>
      <c r="G3" s="46"/>
      <c r="H3" s="45" t="s">
        <v>3976</v>
      </c>
      <c r="I3" s="46" t="s">
        <v>3977</v>
      </c>
      <c r="J3" s="46"/>
      <c r="K3" s="45" t="s">
        <v>3978</v>
      </c>
      <c r="L3" s="51">
        <v>1.5727</v>
      </c>
    </row>
    <row r="4" spans="1:12" ht="32.1" customHeight="1" x14ac:dyDescent="0.25">
      <c r="A4" s="50" t="s">
        <v>3979</v>
      </c>
      <c r="B4" s="554" t="s">
        <v>3980</v>
      </c>
      <c r="C4" s="554"/>
      <c r="D4" s="554"/>
      <c r="E4" s="554"/>
      <c r="F4" s="554"/>
      <c r="G4" s="46"/>
      <c r="H4" s="45" t="s">
        <v>194</v>
      </c>
      <c r="I4" s="46" t="s">
        <v>3977</v>
      </c>
      <c r="J4" s="46"/>
      <c r="K4" s="46"/>
      <c r="L4" s="52"/>
    </row>
    <row r="5" spans="1:12" ht="32.1" customHeight="1" x14ac:dyDescent="0.25">
      <c r="A5" s="50" t="s">
        <v>3981</v>
      </c>
      <c r="B5" s="554" t="s">
        <v>3982</v>
      </c>
      <c r="C5" s="554"/>
      <c r="D5" s="554"/>
      <c r="E5" s="554"/>
      <c r="F5" s="554"/>
      <c r="G5" s="46"/>
      <c r="H5" s="45" t="s">
        <v>82</v>
      </c>
      <c r="I5" s="46" t="s">
        <v>3983</v>
      </c>
      <c r="J5" s="46"/>
      <c r="K5" s="46"/>
      <c r="L5" s="52"/>
    </row>
    <row r="6" spans="1:12" ht="32.1" customHeight="1" x14ac:dyDescent="0.25">
      <c r="A6" s="53"/>
      <c r="B6" s="46"/>
      <c r="C6" s="46"/>
      <c r="D6" s="46"/>
      <c r="E6" s="46"/>
      <c r="F6" s="46"/>
      <c r="G6" s="46"/>
      <c r="H6" s="45" t="s">
        <v>341</v>
      </c>
      <c r="I6" s="46" t="s">
        <v>3984</v>
      </c>
      <c r="J6" s="46"/>
      <c r="K6" s="46"/>
      <c r="L6" s="52"/>
    </row>
    <row r="7" spans="1:12" ht="32.1" customHeight="1" x14ac:dyDescent="0.25">
      <c r="A7" s="54"/>
      <c r="B7" s="55"/>
      <c r="C7" s="55"/>
      <c r="D7" s="55"/>
      <c r="E7" s="55"/>
      <c r="F7" s="55"/>
      <c r="G7" s="55"/>
      <c r="H7" s="56" t="s">
        <v>77</v>
      </c>
      <c r="I7" s="55" t="s">
        <v>3985</v>
      </c>
      <c r="J7" s="55"/>
      <c r="K7" s="55"/>
      <c r="L7" s="57"/>
    </row>
  </sheetData>
  <mergeCells count="5">
    <mergeCell ref="B1:F1"/>
    <mergeCell ref="B2:F2"/>
    <mergeCell ref="B3:F3"/>
    <mergeCell ref="B4:F4"/>
    <mergeCell ref="B5:F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4"/>
  <sheetViews>
    <sheetView topLeftCell="A389" workbookViewId="0">
      <selection sqref="A1:J1"/>
    </sheetView>
  </sheetViews>
  <sheetFormatPr defaultRowHeight="15" x14ac:dyDescent="0.25"/>
  <cols>
    <col min="1" max="1" width="16" customWidth="1"/>
    <col min="2" max="2" width="15" customWidth="1"/>
    <col min="3" max="3" width="16" customWidth="1"/>
    <col min="4" max="4" width="58" customWidth="1"/>
    <col min="5" max="5" width="9" customWidth="1"/>
    <col min="6" max="6" width="12" customWidth="1"/>
    <col min="7" max="10" width="18" customWidth="1"/>
  </cols>
  <sheetData>
    <row r="1" spans="1:10" ht="27.95" customHeight="1" x14ac:dyDescent="0.25">
      <c r="A1" s="555" t="s">
        <v>3986</v>
      </c>
      <c r="B1" s="555"/>
      <c r="C1" s="556"/>
      <c r="D1" s="555"/>
      <c r="E1" s="555"/>
      <c r="F1" s="555"/>
      <c r="G1" s="555"/>
      <c r="H1" s="555"/>
      <c r="I1" s="555"/>
      <c r="J1" s="555"/>
    </row>
    <row r="2" spans="1:10" ht="21.95" customHeight="1" x14ac:dyDescent="0.25">
      <c r="A2" s="58" t="s">
        <v>3987</v>
      </c>
      <c r="B2" s="557" t="s">
        <v>3988</v>
      </c>
      <c r="C2" s="558"/>
      <c r="D2" s="557"/>
      <c r="E2" s="557"/>
      <c r="F2" s="557"/>
      <c r="G2" s="557"/>
      <c r="H2" s="557"/>
      <c r="I2" s="557"/>
      <c r="J2" s="557"/>
    </row>
    <row r="3" spans="1:10" ht="21.95" customHeight="1" x14ac:dyDescent="0.25">
      <c r="A3" s="58" t="s">
        <v>3989</v>
      </c>
      <c r="B3" s="58"/>
      <c r="C3" s="90">
        <f>'DADOS DO ORÇAMENTO'!L2</f>
        <v>0.33250000000000002</v>
      </c>
      <c r="D3" s="58"/>
      <c r="E3" s="58"/>
      <c r="F3" s="58"/>
      <c r="G3" s="58"/>
      <c r="H3" s="58"/>
      <c r="I3" s="58" t="s">
        <v>24</v>
      </c>
      <c r="J3" s="91">
        <f>ROUND(RESUMO!D12,2)</f>
        <v>7237488.3499999996</v>
      </c>
    </row>
    <row r="4" spans="1:10" x14ac:dyDescent="0.25">
      <c r="C4" s="98"/>
    </row>
    <row r="5" spans="1:10" ht="30" x14ac:dyDescent="0.25">
      <c r="A5" s="59" t="s">
        <v>26</v>
      </c>
      <c r="B5" s="59" t="s">
        <v>42</v>
      </c>
      <c r="C5" s="99" t="s">
        <v>43</v>
      </c>
      <c r="D5" s="59" t="s">
        <v>27</v>
      </c>
      <c r="E5" s="59" t="s">
        <v>3990</v>
      </c>
      <c r="F5" s="59" t="s">
        <v>45</v>
      </c>
      <c r="G5" s="59" t="s">
        <v>3991</v>
      </c>
      <c r="H5" s="59" t="s">
        <v>3992</v>
      </c>
      <c r="I5" s="59" t="s">
        <v>3993</v>
      </c>
      <c r="J5" s="59" t="s">
        <v>3994</v>
      </c>
    </row>
    <row r="6" spans="1:10" x14ac:dyDescent="0.25">
      <c r="A6" s="60" t="s">
        <v>3995</v>
      </c>
      <c r="B6" s="60"/>
      <c r="C6" s="100"/>
      <c r="D6" s="61"/>
      <c r="E6" s="60"/>
      <c r="F6" s="68"/>
      <c r="G6" s="73"/>
      <c r="H6" s="73"/>
      <c r="I6" s="73" t="s">
        <v>3996</v>
      </c>
      <c r="J6" s="73" t="e">
        <f>J20</f>
        <v>#REF!</v>
      </c>
    </row>
    <row r="7" spans="1:10" x14ac:dyDescent="0.25">
      <c r="A7" s="58" t="s">
        <v>1</v>
      </c>
      <c r="B7" s="58"/>
      <c r="C7" s="101"/>
      <c r="D7" s="62"/>
      <c r="E7" s="58"/>
      <c r="F7" s="69"/>
      <c r="G7" s="74"/>
      <c r="H7" s="74"/>
      <c r="I7" s="74" t="s">
        <v>3997</v>
      </c>
      <c r="J7" s="74">
        <f>J16</f>
        <v>221373.83</v>
      </c>
    </row>
    <row r="8" spans="1:10" x14ac:dyDescent="0.25">
      <c r="A8" s="44" t="s">
        <v>50</v>
      </c>
      <c r="B8" s="44" t="s">
        <v>51</v>
      </c>
      <c r="C8" s="102" t="s">
        <v>3998</v>
      </c>
      <c r="D8" s="63" t="s">
        <v>53</v>
      </c>
      <c r="E8" s="44" t="s">
        <v>54</v>
      </c>
      <c r="F8" s="70">
        <f>'PLANILHA ORCAMENTARIA'!F9</f>
        <v>16</v>
      </c>
      <c r="G8" s="75">
        <f>'PLANILHA ORCAMENTARIA'!G9</f>
        <v>241.93</v>
      </c>
      <c r="H8" s="75">
        <f>'PLANILHA ORCAMENTARIA'!H9</f>
        <v>322.37</v>
      </c>
      <c r="I8" s="75">
        <f>ROUND('PLANILHA ORCAMENTARIA'!I9,2)</f>
        <v>3870.88</v>
      </c>
      <c r="J8" s="75">
        <f>ROUND('PLANILHA ORCAMENTARIA'!J9,2)</f>
        <v>5157.92</v>
      </c>
    </row>
    <row r="9" spans="1:10" ht="60" x14ac:dyDescent="0.25">
      <c r="A9" s="44" t="s">
        <v>55</v>
      </c>
      <c r="B9" s="44" t="s">
        <v>51</v>
      </c>
      <c r="C9" s="102" t="s">
        <v>3999</v>
      </c>
      <c r="D9" s="63" t="s">
        <v>57</v>
      </c>
      <c r="E9" s="44" t="s">
        <v>54</v>
      </c>
      <c r="F9" s="70">
        <f>'PLANILHA ORCAMENTARIA'!F11</f>
        <v>19</v>
      </c>
      <c r="G9" s="75">
        <f>'PLANILHA ORCAMENTARIA'!G11</f>
        <v>603.45000000000005</v>
      </c>
      <c r="H9" s="75">
        <f>'PLANILHA ORCAMENTARIA'!H11</f>
        <v>804.1</v>
      </c>
      <c r="I9" s="75">
        <f>ROUND('PLANILHA ORCAMENTARIA'!I11,2)</f>
        <v>11465.55</v>
      </c>
      <c r="J9" s="75">
        <f>ROUND('PLANILHA ORCAMENTARIA'!J11,2)</f>
        <v>15277.9</v>
      </c>
    </row>
    <row r="10" spans="1:10" ht="60" x14ac:dyDescent="0.25">
      <c r="A10" s="44" t="s">
        <v>58</v>
      </c>
      <c r="B10" s="44" t="s">
        <v>51</v>
      </c>
      <c r="C10" s="102" t="s">
        <v>4000</v>
      </c>
      <c r="D10" s="63" t="s">
        <v>60</v>
      </c>
      <c r="E10" s="44" t="s">
        <v>54</v>
      </c>
      <c r="F10" s="70">
        <f>'PLANILHA ORCAMENTARIA'!F13</f>
        <v>14.5</v>
      </c>
      <c r="G10" s="75">
        <f>'PLANILHA ORCAMENTARIA'!G13</f>
        <v>876.88</v>
      </c>
      <c r="H10" s="75">
        <f>'PLANILHA ORCAMENTARIA'!H13</f>
        <v>1168.44</v>
      </c>
      <c r="I10" s="75">
        <f>ROUND('PLANILHA ORCAMENTARIA'!I13,2)</f>
        <v>12714.76</v>
      </c>
      <c r="J10" s="75">
        <f>ROUND('PLANILHA ORCAMENTARIA'!J13,2)</f>
        <v>16942.38</v>
      </c>
    </row>
    <row r="11" spans="1:10" ht="60" x14ac:dyDescent="0.25">
      <c r="A11" s="44" t="s">
        <v>61</v>
      </c>
      <c r="B11" s="44" t="s">
        <v>51</v>
      </c>
      <c r="C11" s="102" t="s">
        <v>4001</v>
      </c>
      <c r="D11" s="63" t="s">
        <v>63</v>
      </c>
      <c r="E11" s="44" t="s">
        <v>64</v>
      </c>
      <c r="F11" s="70">
        <f>'PLANILHA ORCAMENTARIA'!F14</f>
        <v>12</v>
      </c>
      <c r="G11" s="75">
        <f>'PLANILHA ORCAMENTARIA'!G14</f>
        <v>1199.25</v>
      </c>
      <c r="H11" s="75">
        <f>'PLANILHA ORCAMENTARIA'!H14</f>
        <v>1598</v>
      </c>
      <c r="I11" s="75">
        <f>ROUND('PLANILHA ORCAMENTARIA'!I14,2)</f>
        <v>14391</v>
      </c>
      <c r="J11" s="75">
        <f>ROUND('PLANILHA ORCAMENTARIA'!J14,2)</f>
        <v>19176</v>
      </c>
    </row>
    <row r="12" spans="1:10" ht="30" x14ac:dyDescent="0.25">
      <c r="A12" s="44" t="s">
        <v>65</v>
      </c>
      <c r="B12" s="44" t="s">
        <v>51</v>
      </c>
      <c r="C12" s="102" t="s">
        <v>4002</v>
      </c>
      <c r="D12" s="63" t="s">
        <v>67</v>
      </c>
      <c r="E12" s="44" t="s">
        <v>68</v>
      </c>
      <c r="F12" s="70">
        <f>'PLANILHA ORCAMENTARIA'!F15</f>
        <v>1</v>
      </c>
      <c r="G12" s="75">
        <f>'PLANILHA ORCAMENTARIA'!G15</f>
        <v>1766.67</v>
      </c>
      <c r="H12" s="75">
        <f>'PLANILHA ORCAMENTARIA'!H15</f>
        <v>2354.09</v>
      </c>
      <c r="I12" s="75">
        <f>ROUND('PLANILHA ORCAMENTARIA'!I15,2)</f>
        <v>1766.67</v>
      </c>
      <c r="J12" s="75">
        <f>ROUND('PLANILHA ORCAMENTARIA'!J15,2)</f>
        <v>2354.09</v>
      </c>
    </row>
    <row r="13" spans="1:10" ht="60" x14ac:dyDescent="0.25">
      <c r="A13" s="44" t="s">
        <v>69</v>
      </c>
      <c r="B13" s="44" t="s">
        <v>51</v>
      </c>
      <c r="C13" s="102" t="s">
        <v>4003</v>
      </c>
      <c r="D13" s="63" t="s">
        <v>71</v>
      </c>
      <c r="E13" s="44" t="s">
        <v>72</v>
      </c>
      <c r="F13" s="70">
        <f>'PLANILHA ORCAMENTARIA'!F16</f>
        <v>698</v>
      </c>
      <c r="G13" s="75">
        <f>'PLANILHA ORCAMENTARIA'!G16</f>
        <v>158.66</v>
      </c>
      <c r="H13" s="75">
        <f>'PLANILHA ORCAMENTARIA'!H16</f>
        <v>211.41</v>
      </c>
      <c r="I13" s="75">
        <f>ROUND('PLANILHA ORCAMENTARIA'!I16,2)</f>
        <v>110744.68</v>
      </c>
      <c r="J13" s="75">
        <f>ROUND('PLANILHA ORCAMENTARIA'!J16,2)</f>
        <v>147564.18</v>
      </c>
    </row>
    <row r="14" spans="1:10" ht="30" x14ac:dyDescent="0.25">
      <c r="A14" s="44" t="s">
        <v>73</v>
      </c>
      <c r="B14" s="44" t="s">
        <v>51</v>
      </c>
      <c r="C14" s="102" t="s">
        <v>4004</v>
      </c>
      <c r="D14" s="63" t="s">
        <v>75</v>
      </c>
      <c r="E14" s="44" t="s">
        <v>72</v>
      </c>
      <c r="F14" s="70">
        <f>'PLANILHA ORCAMENTARIA'!F17</f>
        <v>468</v>
      </c>
      <c r="G14" s="75">
        <f>'PLANILHA ORCAMENTARIA'!G17</f>
        <v>21.78</v>
      </c>
      <c r="H14" s="75">
        <f>'PLANILHA ORCAMENTARIA'!H17</f>
        <v>29.02</v>
      </c>
      <c r="I14" s="75">
        <f>ROUND('PLANILHA ORCAMENTARIA'!I17,2)</f>
        <v>10193.040000000001</v>
      </c>
      <c r="J14" s="75">
        <f>ROUND('PLANILHA ORCAMENTARIA'!J17,2)</f>
        <v>13581.36</v>
      </c>
    </row>
    <row r="15" spans="1:10" ht="60" x14ac:dyDescent="0.25">
      <c r="A15" s="44" t="s">
        <v>76</v>
      </c>
      <c r="B15" s="44" t="s">
        <v>77</v>
      </c>
      <c r="C15" s="102" t="s">
        <v>4005</v>
      </c>
      <c r="D15" s="63" t="s">
        <v>79</v>
      </c>
      <c r="E15" s="44" t="s">
        <v>72</v>
      </c>
      <c r="F15" s="70">
        <f>'PLANILHA ORCAMENTARIA'!F18</f>
        <v>30</v>
      </c>
      <c r="G15" s="75">
        <f>'PLANILHA ORCAMENTARIA'!G18</f>
        <v>33.020000000000003</v>
      </c>
      <c r="H15" s="75">
        <f>'PLANILHA ORCAMENTARIA'!H18</f>
        <v>44</v>
      </c>
      <c r="I15" s="75">
        <f>ROUND('PLANILHA ORCAMENTARIA'!I18,2)</f>
        <v>990.6</v>
      </c>
      <c r="J15" s="75">
        <f>ROUND('PLANILHA ORCAMENTARIA'!J18,2)</f>
        <v>1320</v>
      </c>
    </row>
    <row r="16" spans="1:10" x14ac:dyDescent="0.25">
      <c r="A16" s="66" t="s">
        <v>3997</v>
      </c>
      <c r="B16" s="66"/>
      <c r="C16" s="103"/>
      <c r="D16" s="64" t="s">
        <v>1</v>
      </c>
      <c r="E16" s="66"/>
      <c r="F16" s="71"/>
      <c r="G16" s="76"/>
      <c r="H16" s="76"/>
      <c r="I16" s="76">
        <f>ROUND(SUM(I8:I15),2)</f>
        <v>166137.18</v>
      </c>
      <c r="J16" s="76">
        <f>ROUND(SUM(J8:J15),2)</f>
        <v>221373.83</v>
      </c>
    </row>
    <row r="17" spans="1:10" x14ac:dyDescent="0.25">
      <c r="A17" s="58" t="s">
        <v>4006</v>
      </c>
      <c r="B17" s="58"/>
      <c r="C17" s="101"/>
      <c r="D17" s="62"/>
      <c r="E17" s="58"/>
      <c r="F17" s="69"/>
      <c r="G17" s="74"/>
      <c r="H17" s="74"/>
      <c r="I17" s="74" t="s">
        <v>3997</v>
      </c>
      <c r="J17" s="74" t="e">
        <f>J19</f>
        <v>#REF!</v>
      </c>
    </row>
    <row r="18" spans="1:10" ht="60" x14ac:dyDescent="0.25">
      <c r="A18" s="44" t="s">
        <v>743</v>
      </c>
      <c r="B18" s="44" t="s">
        <v>705</v>
      </c>
      <c r="C18" s="102" t="s">
        <v>4007</v>
      </c>
      <c r="D18" s="63" t="s">
        <v>745</v>
      </c>
      <c r="E18" s="44" t="s">
        <v>54</v>
      </c>
      <c r="F18" s="70" t="e">
        <f>'PLANILHA ORCAMENTARIA'!#REF!</f>
        <v>#REF!</v>
      </c>
      <c r="G18" s="75" t="e">
        <f>'PLANILHA ORCAMENTARIA'!#REF!</f>
        <v>#REF!</v>
      </c>
      <c r="H18" s="75" t="e">
        <f>'PLANILHA ORCAMENTARIA'!#REF!</f>
        <v>#REF!</v>
      </c>
      <c r="I18" s="75" t="e">
        <f>ROUND('PLANILHA ORCAMENTARIA'!#REF!,2)</f>
        <v>#REF!</v>
      </c>
      <c r="J18" s="75" t="e">
        <f>ROUND('PLANILHA ORCAMENTARIA'!#REF!,2)</f>
        <v>#REF!</v>
      </c>
    </row>
    <row r="19" spans="1:10" x14ac:dyDescent="0.25">
      <c r="A19" s="66" t="s">
        <v>3997</v>
      </c>
      <c r="B19" s="66"/>
      <c r="C19" s="103"/>
      <c r="D19" s="64" t="s">
        <v>4006</v>
      </c>
      <c r="E19" s="66"/>
      <c r="F19" s="71"/>
      <c r="G19" s="76"/>
      <c r="H19" s="76"/>
      <c r="I19" s="76" t="e">
        <f>ROUND(SUM(I18:I18),2)</f>
        <v>#REF!</v>
      </c>
      <c r="J19" s="76" t="e">
        <f>ROUND(SUM(J18:J18),2)</f>
        <v>#REF!</v>
      </c>
    </row>
    <row r="20" spans="1:10" x14ac:dyDescent="0.25">
      <c r="A20" s="67" t="s">
        <v>3996</v>
      </c>
      <c r="B20" s="67"/>
      <c r="C20" s="104"/>
      <c r="D20" s="65" t="s">
        <v>3995</v>
      </c>
      <c r="E20" s="67"/>
      <c r="F20" s="72"/>
      <c r="G20" s="77"/>
      <c r="H20" s="77"/>
      <c r="I20" s="77" t="e">
        <f>I16+I19</f>
        <v>#REF!</v>
      </c>
      <c r="J20" s="77" t="e">
        <f>J16+J19</f>
        <v>#REF!</v>
      </c>
    </row>
    <row r="21" spans="1:10" x14ac:dyDescent="0.25">
      <c r="A21" s="44"/>
      <c r="B21" s="44"/>
      <c r="C21" s="102"/>
      <c r="D21" s="63"/>
      <c r="E21" s="44"/>
      <c r="F21" s="70"/>
      <c r="G21" s="75"/>
      <c r="H21" s="75"/>
      <c r="I21" s="75"/>
      <c r="J21" s="75"/>
    </row>
    <row r="22" spans="1:10" x14ac:dyDescent="0.25">
      <c r="A22" s="60" t="s">
        <v>4008</v>
      </c>
      <c r="B22" s="60"/>
      <c r="C22" s="100"/>
      <c r="D22" s="61"/>
      <c r="E22" s="60"/>
      <c r="F22" s="68"/>
      <c r="G22" s="73"/>
      <c r="H22" s="73"/>
      <c r="I22" s="73" t="s">
        <v>3996</v>
      </c>
      <c r="J22" s="73" t="e">
        <f>J339</f>
        <v>#REF!</v>
      </c>
    </row>
    <row r="23" spans="1:10" x14ac:dyDescent="0.25">
      <c r="A23" s="58" t="s">
        <v>4009</v>
      </c>
      <c r="B23" s="58"/>
      <c r="C23" s="101"/>
      <c r="D23" s="62"/>
      <c r="E23" s="58"/>
      <c r="F23" s="69"/>
      <c r="G23" s="74"/>
      <c r="H23" s="74"/>
      <c r="I23" s="74" t="s">
        <v>3997</v>
      </c>
      <c r="J23" s="74">
        <f>J36</f>
        <v>51759.42</v>
      </c>
    </row>
    <row r="24" spans="1:10" ht="30" x14ac:dyDescent="0.25">
      <c r="A24" s="44" t="s">
        <v>81</v>
      </c>
      <c r="B24" s="44" t="s">
        <v>82</v>
      </c>
      <c r="C24" s="102" t="s">
        <v>4010</v>
      </c>
      <c r="D24" s="63" t="s">
        <v>84</v>
      </c>
      <c r="E24" s="44" t="s">
        <v>85</v>
      </c>
      <c r="F24" s="70">
        <f>'PLANILHA ORCAMENTARIA'!F21</f>
        <v>48.9</v>
      </c>
      <c r="G24" s="75">
        <f>'PLANILHA ORCAMENTARIA'!G21</f>
        <v>75.819999999999993</v>
      </c>
      <c r="H24" s="75">
        <f>'PLANILHA ORCAMENTARIA'!H21</f>
        <v>101.03</v>
      </c>
      <c r="I24" s="75">
        <f>ROUND('PLANILHA ORCAMENTARIA'!I21,2)</f>
        <v>3707.6</v>
      </c>
      <c r="J24" s="75">
        <f>ROUND('PLANILHA ORCAMENTARIA'!J21,2)</f>
        <v>4940.37</v>
      </c>
    </row>
    <row r="25" spans="1:10" ht="45" x14ac:dyDescent="0.25">
      <c r="A25" s="44" t="s">
        <v>86</v>
      </c>
      <c r="B25" s="44" t="s">
        <v>51</v>
      </c>
      <c r="C25" s="102" t="s">
        <v>4011</v>
      </c>
      <c r="D25" s="63" t="s">
        <v>88</v>
      </c>
      <c r="E25" s="44" t="s">
        <v>89</v>
      </c>
      <c r="F25" s="70">
        <f>'PLANILHA ORCAMENTARIA'!F22</f>
        <v>39.9</v>
      </c>
      <c r="G25" s="75">
        <f>'PLANILHA ORCAMENTARIA'!G22</f>
        <v>95.82</v>
      </c>
      <c r="H25" s="75">
        <f>'PLANILHA ORCAMENTARIA'!H22</f>
        <v>127.68</v>
      </c>
      <c r="I25" s="75">
        <f>ROUND('PLANILHA ORCAMENTARIA'!I22,2)</f>
        <v>3823.22</v>
      </c>
      <c r="J25" s="75">
        <f>ROUND('PLANILHA ORCAMENTARIA'!J22,2)</f>
        <v>5094.43</v>
      </c>
    </row>
    <row r="26" spans="1:10" ht="45" x14ac:dyDescent="0.25">
      <c r="A26" s="44" t="s">
        <v>90</v>
      </c>
      <c r="B26" s="44" t="s">
        <v>82</v>
      </c>
      <c r="C26" s="102" t="s">
        <v>4012</v>
      </c>
      <c r="D26" s="63" t="s">
        <v>92</v>
      </c>
      <c r="E26" s="44" t="s">
        <v>85</v>
      </c>
      <c r="F26" s="70">
        <f>'PLANILHA ORCAMENTARIA'!F23</f>
        <v>12.9</v>
      </c>
      <c r="G26" s="75">
        <f>'PLANILHA ORCAMENTARIA'!G23</f>
        <v>244.09</v>
      </c>
      <c r="H26" s="75">
        <f>'PLANILHA ORCAMENTARIA'!H23</f>
        <v>325.25</v>
      </c>
      <c r="I26" s="75">
        <f>ROUND('PLANILHA ORCAMENTARIA'!I23,2)</f>
        <v>3148.76</v>
      </c>
      <c r="J26" s="75">
        <f>ROUND('PLANILHA ORCAMENTARIA'!J23,2)</f>
        <v>4195.7299999999996</v>
      </c>
    </row>
    <row r="27" spans="1:10" ht="30" x14ac:dyDescent="0.25">
      <c r="A27" s="44" t="s">
        <v>93</v>
      </c>
      <c r="B27" s="44" t="s">
        <v>51</v>
      </c>
      <c r="C27" s="102" t="s">
        <v>4013</v>
      </c>
      <c r="D27" s="63" t="s">
        <v>95</v>
      </c>
      <c r="E27" s="44" t="s">
        <v>54</v>
      </c>
      <c r="F27" s="70">
        <f>'PLANILHA ORCAMENTARIA'!F24</f>
        <v>562.65</v>
      </c>
      <c r="G27" s="75">
        <f>'PLANILHA ORCAMENTARIA'!G24</f>
        <v>7.82</v>
      </c>
      <c r="H27" s="75">
        <f>'PLANILHA ORCAMENTARIA'!H24</f>
        <v>10.42</v>
      </c>
      <c r="I27" s="75">
        <f>ROUND('PLANILHA ORCAMENTARIA'!I24,2)</f>
        <v>4399.92</v>
      </c>
      <c r="J27" s="75">
        <f>ROUND('PLANILHA ORCAMENTARIA'!J24,2)</f>
        <v>5862.81</v>
      </c>
    </row>
    <row r="28" spans="1:10" ht="30" x14ac:dyDescent="0.25">
      <c r="A28" s="44" t="s">
        <v>96</v>
      </c>
      <c r="B28" s="44" t="s">
        <v>51</v>
      </c>
      <c r="C28" s="102" t="s">
        <v>4014</v>
      </c>
      <c r="D28" s="63" t="s">
        <v>98</v>
      </c>
      <c r="E28" s="44" t="s">
        <v>54</v>
      </c>
      <c r="F28" s="70">
        <f>'PLANILHA ORCAMENTARIA'!F25</f>
        <v>562.65</v>
      </c>
      <c r="G28" s="75">
        <f>'PLANILHA ORCAMENTARIA'!G25</f>
        <v>15.67</v>
      </c>
      <c r="H28" s="75">
        <f>'PLANILHA ORCAMENTARIA'!H25</f>
        <v>20.88</v>
      </c>
      <c r="I28" s="75">
        <f>ROUND('PLANILHA ORCAMENTARIA'!I25,2)</f>
        <v>8816.73</v>
      </c>
      <c r="J28" s="75">
        <f>ROUND('PLANILHA ORCAMENTARIA'!J25,2)</f>
        <v>11748.13</v>
      </c>
    </row>
    <row r="29" spans="1:10" ht="45" x14ac:dyDescent="0.25">
      <c r="A29" s="44" t="s">
        <v>99</v>
      </c>
      <c r="B29" s="44" t="s">
        <v>51</v>
      </c>
      <c r="C29" s="102" t="s">
        <v>4015</v>
      </c>
      <c r="D29" s="63" t="s">
        <v>101</v>
      </c>
      <c r="E29" s="44" t="s">
        <v>54</v>
      </c>
      <c r="F29" s="70">
        <f>'PLANILHA ORCAMENTARIA'!F28</f>
        <v>42.9</v>
      </c>
      <c r="G29" s="75">
        <f>'PLANILHA ORCAMENTARIA'!G28</f>
        <v>13.14</v>
      </c>
      <c r="H29" s="75">
        <f>'PLANILHA ORCAMENTARIA'!H28</f>
        <v>17.510000000000002</v>
      </c>
      <c r="I29" s="75">
        <f>ROUND('PLANILHA ORCAMENTARIA'!I28,2)</f>
        <v>563.71</v>
      </c>
      <c r="J29" s="75">
        <f>ROUND('PLANILHA ORCAMENTARIA'!J28,2)</f>
        <v>751.18</v>
      </c>
    </row>
    <row r="30" spans="1:10" ht="30" x14ac:dyDescent="0.25">
      <c r="A30" s="44" t="s">
        <v>102</v>
      </c>
      <c r="B30" s="44" t="s">
        <v>51</v>
      </c>
      <c r="C30" s="102" t="s">
        <v>4016</v>
      </c>
      <c r="D30" s="63" t="s">
        <v>104</v>
      </c>
      <c r="E30" s="44" t="s">
        <v>54</v>
      </c>
      <c r="F30" s="70">
        <f>'PLANILHA ORCAMENTARIA'!F29</f>
        <v>2.73</v>
      </c>
      <c r="G30" s="75">
        <f>'PLANILHA ORCAMENTARIA'!G29</f>
        <v>23.54</v>
      </c>
      <c r="H30" s="75">
        <f>'PLANILHA ORCAMENTARIA'!H29</f>
        <v>31.37</v>
      </c>
      <c r="I30" s="75">
        <f>ROUND('PLANILHA ORCAMENTARIA'!I29,2)</f>
        <v>64.260000000000005</v>
      </c>
      <c r="J30" s="75">
        <f>ROUND('PLANILHA ORCAMENTARIA'!J29,2)</f>
        <v>85.64</v>
      </c>
    </row>
    <row r="31" spans="1:10" ht="45" x14ac:dyDescent="0.25">
      <c r="A31" s="44" t="s">
        <v>105</v>
      </c>
      <c r="B31" s="44" t="s">
        <v>51</v>
      </c>
      <c r="C31" s="102" t="s">
        <v>4017</v>
      </c>
      <c r="D31" s="63" t="s">
        <v>107</v>
      </c>
      <c r="E31" s="44" t="s">
        <v>68</v>
      </c>
      <c r="F31" s="70">
        <f>'PLANILHA ORCAMENTARIA'!F30</f>
        <v>2</v>
      </c>
      <c r="G31" s="75">
        <f>'PLANILHA ORCAMENTARIA'!G30</f>
        <v>21.34</v>
      </c>
      <c r="H31" s="75">
        <f>'PLANILHA ORCAMENTARIA'!H30</f>
        <v>28.44</v>
      </c>
      <c r="I31" s="75">
        <f>ROUND('PLANILHA ORCAMENTARIA'!I30,2)</f>
        <v>42.68</v>
      </c>
      <c r="J31" s="75">
        <f>ROUND('PLANILHA ORCAMENTARIA'!J30,2)</f>
        <v>56.88</v>
      </c>
    </row>
    <row r="32" spans="1:10" ht="30" x14ac:dyDescent="0.25">
      <c r="A32" s="44" t="s">
        <v>108</v>
      </c>
      <c r="B32" s="44" t="s">
        <v>51</v>
      </c>
      <c r="C32" s="102" t="s">
        <v>4018</v>
      </c>
      <c r="D32" s="63" t="s">
        <v>110</v>
      </c>
      <c r="E32" s="44" t="s">
        <v>68</v>
      </c>
      <c r="F32" s="70">
        <f>'PLANILHA ORCAMENTARIA'!F31</f>
        <v>4</v>
      </c>
      <c r="G32" s="75">
        <f>'PLANILHA ORCAMENTARIA'!G31</f>
        <v>13.74</v>
      </c>
      <c r="H32" s="75">
        <f>'PLANILHA ORCAMENTARIA'!H31</f>
        <v>18.309999999999999</v>
      </c>
      <c r="I32" s="75">
        <f>ROUND('PLANILHA ORCAMENTARIA'!I31,2)</f>
        <v>54.96</v>
      </c>
      <c r="J32" s="75">
        <f>ROUND('PLANILHA ORCAMENTARIA'!J31,2)</f>
        <v>73.239999999999995</v>
      </c>
    </row>
    <row r="33" spans="1:10" ht="45" x14ac:dyDescent="0.25">
      <c r="A33" s="44" t="s">
        <v>111</v>
      </c>
      <c r="B33" s="44" t="s">
        <v>77</v>
      </c>
      <c r="C33" s="102" t="s">
        <v>4019</v>
      </c>
      <c r="D33" s="63" t="s">
        <v>113</v>
      </c>
      <c r="E33" s="44" t="s">
        <v>68</v>
      </c>
      <c r="F33" s="70">
        <f>'PLANILHA ORCAMENTARIA'!F32</f>
        <v>1</v>
      </c>
      <c r="G33" s="75">
        <f>'PLANILHA ORCAMENTARIA'!G32</f>
        <v>67.16</v>
      </c>
      <c r="H33" s="75">
        <f>'PLANILHA ORCAMENTARIA'!H32</f>
        <v>89.49</v>
      </c>
      <c r="I33" s="75">
        <f>ROUND('PLANILHA ORCAMENTARIA'!I32,2)</f>
        <v>67.16</v>
      </c>
      <c r="J33" s="75">
        <f>ROUND('PLANILHA ORCAMENTARIA'!J32,2)</f>
        <v>89.49</v>
      </c>
    </row>
    <row r="34" spans="1:10" ht="45" x14ac:dyDescent="0.25">
      <c r="A34" s="44" t="s">
        <v>114</v>
      </c>
      <c r="B34" s="44" t="s">
        <v>82</v>
      </c>
      <c r="C34" s="102" t="s">
        <v>4020</v>
      </c>
      <c r="D34" s="63" t="s">
        <v>116</v>
      </c>
      <c r="E34" s="44" t="s">
        <v>85</v>
      </c>
      <c r="F34" s="70">
        <f>'PLANILHA ORCAMENTARIA'!F33</f>
        <v>9.27</v>
      </c>
      <c r="G34" s="75">
        <f>'PLANILHA ORCAMENTARIA'!G33</f>
        <v>129.32</v>
      </c>
      <c r="H34" s="75">
        <f>'PLANILHA ORCAMENTARIA'!H33</f>
        <v>172.32</v>
      </c>
      <c r="I34" s="75">
        <f>ROUND('PLANILHA ORCAMENTARIA'!I33,2)</f>
        <v>1198.8</v>
      </c>
      <c r="J34" s="75">
        <f>ROUND('PLANILHA ORCAMENTARIA'!J33,2)</f>
        <v>1597.41</v>
      </c>
    </row>
    <row r="35" spans="1:10" ht="60" x14ac:dyDescent="0.25">
      <c r="A35" s="44" t="s">
        <v>117</v>
      </c>
      <c r="B35" s="44" t="s">
        <v>51</v>
      </c>
      <c r="C35" s="102" t="s">
        <v>4021</v>
      </c>
      <c r="D35" s="63" t="s">
        <v>119</v>
      </c>
      <c r="E35" s="44" t="s">
        <v>89</v>
      </c>
      <c r="F35" s="70">
        <f>'PLANILHA ORCAMENTARIA'!F34</f>
        <v>145.47999999999999</v>
      </c>
      <c r="G35" s="75">
        <f>'PLANILHA ORCAMENTARIA'!G34</f>
        <v>89.06</v>
      </c>
      <c r="H35" s="75">
        <f>'PLANILHA ORCAMENTARIA'!H34</f>
        <v>118.67</v>
      </c>
      <c r="I35" s="75">
        <f>ROUND('PLANILHA ORCAMENTARIA'!I34,2)</f>
        <v>12956.45</v>
      </c>
      <c r="J35" s="75">
        <f>ROUND('PLANILHA ORCAMENTARIA'!J34,2)</f>
        <v>17264.11</v>
      </c>
    </row>
    <row r="36" spans="1:10" x14ac:dyDescent="0.25">
      <c r="A36" s="66" t="s">
        <v>3997</v>
      </c>
      <c r="B36" s="66"/>
      <c r="C36" s="103"/>
      <c r="D36" s="64" t="s">
        <v>4009</v>
      </c>
      <c r="E36" s="66"/>
      <c r="F36" s="71"/>
      <c r="G36" s="76"/>
      <c r="H36" s="76"/>
      <c r="I36" s="76">
        <f>ROUND(SUM(I24:I35),2)</f>
        <v>38844.25</v>
      </c>
      <c r="J36" s="76">
        <f>ROUND(SUM(J24:J35),2)</f>
        <v>51759.42</v>
      </c>
    </row>
    <row r="37" spans="1:10" x14ac:dyDescent="0.25">
      <c r="A37" s="58" t="s">
        <v>4022</v>
      </c>
      <c r="B37" s="58"/>
      <c r="C37" s="101"/>
      <c r="D37" s="62"/>
      <c r="E37" s="58"/>
      <c r="F37" s="69"/>
      <c r="G37" s="74"/>
      <c r="H37" s="74"/>
      <c r="I37" s="74" t="s">
        <v>3997</v>
      </c>
      <c r="J37" s="74" t="e">
        <f>J187</f>
        <v>#REF!</v>
      </c>
    </row>
    <row r="38" spans="1:10" ht="135" x14ac:dyDescent="0.25">
      <c r="A38" s="44" t="s">
        <v>154</v>
      </c>
      <c r="B38" s="44" t="s">
        <v>77</v>
      </c>
      <c r="C38" s="102" t="s">
        <v>4023</v>
      </c>
      <c r="D38" s="63" t="s">
        <v>156</v>
      </c>
      <c r="E38" s="44" t="s">
        <v>122</v>
      </c>
      <c r="F38" s="70">
        <f>'PLANILHA ORCAMENTARIA'!F37</f>
        <v>11.55</v>
      </c>
      <c r="G38" s="75">
        <f>'PLANILHA ORCAMENTARIA'!G37</f>
        <v>124.47</v>
      </c>
      <c r="H38" s="75">
        <f>'PLANILHA ORCAMENTARIA'!H37</f>
        <v>165.86</v>
      </c>
      <c r="I38" s="75">
        <f>ROUND('PLANILHA ORCAMENTARIA'!I37,2)</f>
        <v>1437.63</v>
      </c>
      <c r="J38" s="75">
        <f>ROUND('PLANILHA ORCAMENTARIA'!J37,2)</f>
        <v>1915.68</v>
      </c>
    </row>
    <row r="39" spans="1:10" ht="45" x14ac:dyDescent="0.25">
      <c r="A39" s="44" t="s">
        <v>157</v>
      </c>
      <c r="B39" s="44" t="s">
        <v>51</v>
      </c>
      <c r="C39" s="102" t="s">
        <v>4024</v>
      </c>
      <c r="D39" s="63" t="s">
        <v>159</v>
      </c>
      <c r="E39" s="44" t="s">
        <v>54</v>
      </c>
      <c r="F39" s="70">
        <f>'PLANILHA ORCAMENTARIA'!F38</f>
        <v>626</v>
      </c>
      <c r="G39" s="75">
        <f>'PLANILHA ORCAMENTARIA'!G38</f>
        <v>65.959999999999994</v>
      </c>
      <c r="H39" s="75">
        <f>'PLANILHA ORCAMENTARIA'!H38</f>
        <v>87.89</v>
      </c>
      <c r="I39" s="75">
        <f>ROUND('PLANILHA ORCAMENTARIA'!I38,2)</f>
        <v>41290.959999999999</v>
      </c>
      <c r="J39" s="75">
        <f>ROUND('PLANILHA ORCAMENTARIA'!J38,2)</f>
        <v>55019.14</v>
      </c>
    </row>
    <row r="40" spans="1:10" ht="75" x14ac:dyDescent="0.25">
      <c r="A40" s="44" t="s">
        <v>160</v>
      </c>
      <c r="B40" s="44" t="s">
        <v>51</v>
      </c>
      <c r="C40" s="102" t="s">
        <v>4025</v>
      </c>
      <c r="D40" s="63" t="s">
        <v>162</v>
      </c>
      <c r="E40" s="44" t="s">
        <v>54</v>
      </c>
      <c r="F40" s="70">
        <f>'PLANILHA ORCAMENTARIA'!F39</f>
        <v>389</v>
      </c>
      <c r="G40" s="75">
        <f>'PLANILHA ORCAMENTARIA'!G39</f>
        <v>71.08</v>
      </c>
      <c r="H40" s="75">
        <f>'PLANILHA ORCAMENTARIA'!H39</f>
        <v>94.71</v>
      </c>
      <c r="I40" s="75">
        <f>ROUND('PLANILHA ORCAMENTARIA'!I39,2)</f>
        <v>27650.12</v>
      </c>
      <c r="J40" s="75">
        <f>ROUND('PLANILHA ORCAMENTARIA'!J39,2)</f>
        <v>36842.19</v>
      </c>
    </row>
    <row r="41" spans="1:10" ht="30" x14ac:dyDescent="0.25">
      <c r="A41" s="44" t="s">
        <v>164</v>
      </c>
      <c r="B41" s="44" t="s">
        <v>51</v>
      </c>
      <c r="C41" s="102" t="s">
        <v>4026</v>
      </c>
      <c r="D41" s="63" t="s">
        <v>166</v>
      </c>
      <c r="E41" s="44" t="s">
        <v>54</v>
      </c>
      <c r="F41" s="70">
        <f>'PLANILHA ORCAMENTARIA'!F41</f>
        <v>1980</v>
      </c>
      <c r="G41" s="75">
        <f>'PLANILHA ORCAMENTARIA'!G41</f>
        <v>30.79</v>
      </c>
      <c r="H41" s="75">
        <f>'PLANILHA ORCAMENTARIA'!H41</f>
        <v>41.03</v>
      </c>
      <c r="I41" s="75">
        <f>ROUND('PLANILHA ORCAMENTARIA'!I41,2)</f>
        <v>60964.2</v>
      </c>
      <c r="J41" s="75">
        <f>ROUND('PLANILHA ORCAMENTARIA'!J41,2)</f>
        <v>81239.399999999994</v>
      </c>
    </row>
    <row r="42" spans="1:10" ht="60" x14ac:dyDescent="0.25">
      <c r="A42" s="44" t="s">
        <v>167</v>
      </c>
      <c r="B42" s="44" t="s">
        <v>51</v>
      </c>
      <c r="C42" s="102" t="s">
        <v>4027</v>
      </c>
      <c r="D42" s="63" t="s">
        <v>169</v>
      </c>
      <c r="E42" s="44" t="s">
        <v>54</v>
      </c>
      <c r="F42" s="70">
        <f>'PLANILHA ORCAMENTARIA'!F42</f>
        <v>10.02</v>
      </c>
      <c r="G42" s="75">
        <f>'PLANILHA ORCAMENTARIA'!G42</f>
        <v>88.41</v>
      </c>
      <c r="H42" s="75">
        <f>'PLANILHA ORCAMENTARIA'!H42</f>
        <v>117.81</v>
      </c>
      <c r="I42" s="75">
        <f>ROUND('PLANILHA ORCAMENTARIA'!I42,2)</f>
        <v>885.87</v>
      </c>
      <c r="J42" s="75">
        <f>ROUND('PLANILHA ORCAMENTARIA'!J42,2)</f>
        <v>1180.46</v>
      </c>
    </row>
    <row r="43" spans="1:10" ht="30" x14ac:dyDescent="0.25">
      <c r="A43" s="44" t="s">
        <v>170</v>
      </c>
      <c r="B43" s="44" t="s">
        <v>51</v>
      </c>
      <c r="C43" s="102" t="s">
        <v>4026</v>
      </c>
      <c r="D43" s="63" t="s">
        <v>166</v>
      </c>
      <c r="E43" s="44" t="s">
        <v>54</v>
      </c>
      <c r="F43" s="70">
        <f>'PLANILHA ORCAMENTARIA'!F43</f>
        <v>498</v>
      </c>
      <c r="G43" s="75">
        <f>'PLANILHA ORCAMENTARIA'!G43</f>
        <v>30.79</v>
      </c>
      <c r="H43" s="75">
        <f>'PLANILHA ORCAMENTARIA'!H43</f>
        <v>41.03</v>
      </c>
      <c r="I43" s="75">
        <f>ROUND('PLANILHA ORCAMENTARIA'!I43,2)</f>
        <v>15333.42</v>
      </c>
      <c r="J43" s="75">
        <f>ROUND('PLANILHA ORCAMENTARIA'!J43,2)</f>
        <v>20432.939999999999</v>
      </c>
    </row>
    <row r="44" spans="1:10" ht="30" x14ac:dyDescent="0.25">
      <c r="A44" s="44" t="s">
        <v>171</v>
      </c>
      <c r="B44" s="44" t="s">
        <v>51</v>
      </c>
      <c r="C44" s="102" t="s">
        <v>4028</v>
      </c>
      <c r="D44" s="63" t="s">
        <v>173</v>
      </c>
      <c r="E44" s="44" t="s">
        <v>54</v>
      </c>
      <c r="F44" s="70">
        <f>'PLANILHA ORCAMENTARIA'!F44</f>
        <v>86</v>
      </c>
      <c r="G44" s="75">
        <f>'PLANILHA ORCAMENTARIA'!G44</f>
        <v>67.239999999999995</v>
      </c>
      <c r="H44" s="75">
        <f>'PLANILHA ORCAMENTARIA'!H44</f>
        <v>89.6</v>
      </c>
      <c r="I44" s="75">
        <f>ROUND('PLANILHA ORCAMENTARIA'!I44,2)</f>
        <v>5782.64</v>
      </c>
      <c r="J44" s="75">
        <f>ROUND('PLANILHA ORCAMENTARIA'!J44,2)</f>
        <v>7705.6</v>
      </c>
    </row>
    <row r="45" spans="1:10" ht="30" x14ac:dyDescent="0.25">
      <c r="A45" s="44" t="s">
        <v>174</v>
      </c>
      <c r="B45" s="44" t="s">
        <v>51</v>
      </c>
      <c r="C45" s="102" t="s">
        <v>4029</v>
      </c>
      <c r="D45" s="63" t="s">
        <v>176</v>
      </c>
      <c r="E45" s="44" t="s">
        <v>54</v>
      </c>
      <c r="F45" s="70">
        <f>'PLANILHA ORCAMENTARIA'!F45</f>
        <v>725</v>
      </c>
      <c r="G45" s="75">
        <f>'PLANILHA ORCAMENTARIA'!G45</f>
        <v>31.29</v>
      </c>
      <c r="H45" s="75">
        <f>'PLANILHA ORCAMENTARIA'!H45</f>
        <v>41.69</v>
      </c>
      <c r="I45" s="75">
        <f>ROUND('PLANILHA ORCAMENTARIA'!I45,2)</f>
        <v>22685.25</v>
      </c>
      <c r="J45" s="75">
        <f>ROUND('PLANILHA ORCAMENTARIA'!J45,2)</f>
        <v>30225.25</v>
      </c>
    </row>
    <row r="46" spans="1:10" ht="30" x14ac:dyDescent="0.25">
      <c r="A46" s="44" t="s">
        <v>179</v>
      </c>
      <c r="B46" s="44" t="s">
        <v>51</v>
      </c>
      <c r="C46" s="102" t="s">
        <v>4030</v>
      </c>
      <c r="D46" s="63" t="s">
        <v>181</v>
      </c>
      <c r="E46" s="44" t="s">
        <v>54</v>
      </c>
      <c r="F46" s="70">
        <f>'PLANILHA ORCAMENTARIA'!F47</f>
        <v>186.68</v>
      </c>
      <c r="G46" s="75">
        <f>'PLANILHA ORCAMENTARIA'!G47</f>
        <v>27.85</v>
      </c>
      <c r="H46" s="75">
        <f>'PLANILHA ORCAMENTARIA'!H47</f>
        <v>37.11</v>
      </c>
      <c r="I46" s="75">
        <f>ROUND('PLANILHA ORCAMENTARIA'!I47,2)</f>
        <v>5199.04</v>
      </c>
      <c r="J46" s="75">
        <f>ROUND('PLANILHA ORCAMENTARIA'!J47,2)</f>
        <v>6927.69</v>
      </c>
    </row>
    <row r="47" spans="1:10" ht="75" x14ac:dyDescent="0.25">
      <c r="A47" s="44" t="s">
        <v>182</v>
      </c>
      <c r="B47" s="44" t="s">
        <v>77</v>
      </c>
      <c r="C47" s="102" t="s">
        <v>4031</v>
      </c>
      <c r="D47" s="63" t="s">
        <v>184</v>
      </c>
      <c r="E47" s="44" t="s">
        <v>54</v>
      </c>
      <c r="F47" s="70">
        <f>'PLANILHA ORCAMENTARIA'!F48</f>
        <v>60.82</v>
      </c>
      <c r="G47" s="75">
        <f>'PLANILHA ORCAMENTARIA'!G48</f>
        <v>155.6</v>
      </c>
      <c r="H47" s="75">
        <f>'PLANILHA ORCAMENTARIA'!H48</f>
        <v>207.34</v>
      </c>
      <c r="I47" s="75">
        <f>ROUND('PLANILHA ORCAMENTARIA'!I48,2)</f>
        <v>9463.59</v>
      </c>
      <c r="J47" s="75">
        <f>ROUND('PLANILHA ORCAMENTARIA'!J48,2)</f>
        <v>12610.42</v>
      </c>
    </row>
    <row r="48" spans="1:10" x14ac:dyDescent="0.25">
      <c r="A48" s="44" t="s">
        <v>185</v>
      </c>
      <c r="B48" s="44" t="s">
        <v>82</v>
      </c>
      <c r="C48" s="102" t="s">
        <v>4032</v>
      </c>
      <c r="D48" s="63" t="s">
        <v>187</v>
      </c>
      <c r="E48" s="44" t="s">
        <v>188</v>
      </c>
      <c r="F48" s="70">
        <f>'PLANILHA ORCAMENTARIA'!F49</f>
        <v>53.93</v>
      </c>
      <c r="G48" s="75">
        <f>'PLANILHA ORCAMENTARIA'!G49</f>
        <v>58.28</v>
      </c>
      <c r="H48" s="75">
        <f>'PLANILHA ORCAMENTARIA'!H49</f>
        <v>77.66</v>
      </c>
      <c r="I48" s="75">
        <f>ROUND('PLANILHA ORCAMENTARIA'!I49,2)</f>
        <v>3143.04</v>
      </c>
      <c r="J48" s="75">
        <f>ROUND('PLANILHA ORCAMENTARIA'!J49,2)</f>
        <v>4188.2</v>
      </c>
    </row>
    <row r="49" spans="1:10" x14ac:dyDescent="0.25">
      <c r="A49" s="44" t="s">
        <v>189</v>
      </c>
      <c r="B49" s="44" t="s">
        <v>51</v>
      </c>
      <c r="C49" s="102" t="s">
        <v>4033</v>
      </c>
      <c r="D49" s="63" t="s">
        <v>191</v>
      </c>
      <c r="E49" s="44" t="s">
        <v>72</v>
      </c>
      <c r="F49" s="70">
        <f>'PLANILHA ORCAMENTARIA'!F50</f>
        <v>5.5</v>
      </c>
      <c r="G49" s="75">
        <f>'PLANILHA ORCAMENTARIA'!G50</f>
        <v>51.74</v>
      </c>
      <c r="H49" s="75">
        <f>'PLANILHA ORCAMENTARIA'!H50</f>
        <v>68.94</v>
      </c>
      <c r="I49" s="75">
        <f>ROUND('PLANILHA ORCAMENTARIA'!I50,2)</f>
        <v>284.57</v>
      </c>
      <c r="J49" s="75">
        <f>ROUND('PLANILHA ORCAMENTARIA'!J50,2)</f>
        <v>379.17</v>
      </c>
    </row>
    <row r="50" spans="1:10" ht="30" x14ac:dyDescent="0.25">
      <c r="A50" s="44" t="s">
        <v>192</v>
      </c>
      <c r="B50" s="44" t="s">
        <v>51</v>
      </c>
      <c r="C50" s="102" t="s">
        <v>4028</v>
      </c>
      <c r="D50" s="63" t="s">
        <v>173</v>
      </c>
      <c r="E50" s="44" t="s">
        <v>54</v>
      </c>
      <c r="F50" s="70">
        <f>'PLANILHA ORCAMENTARIA'!F51</f>
        <v>14.43</v>
      </c>
      <c r="G50" s="75">
        <f>'PLANILHA ORCAMENTARIA'!G51</f>
        <v>67.239999999999995</v>
      </c>
      <c r="H50" s="75">
        <f>'PLANILHA ORCAMENTARIA'!H51</f>
        <v>89.6</v>
      </c>
      <c r="I50" s="75">
        <f>ROUND('PLANILHA ORCAMENTARIA'!I51,2)</f>
        <v>970.27</v>
      </c>
      <c r="J50" s="75">
        <f>ROUND('PLANILHA ORCAMENTARIA'!J51,2)</f>
        <v>1292.93</v>
      </c>
    </row>
    <row r="51" spans="1:10" x14ac:dyDescent="0.25">
      <c r="A51" s="44" t="s">
        <v>193</v>
      </c>
      <c r="B51" s="44" t="s">
        <v>194</v>
      </c>
      <c r="C51" s="102" t="s">
        <v>4034</v>
      </c>
      <c r="D51" s="63" t="s">
        <v>196</v>
      </c>
      <c r="E51" s="44" t="s">
        <v>197</v>
      </c>
      <c r="F51" s="70">
        <f>'PLANILHA ORCAMENTARIA'!F52</f>
        <v>115.92</v>
      </c>
      <c r="G51" s="75">
        <f>'PLANILHA ORCAMENTARIA'!G52</f>
        <v>2.14</v>
      </c>
      <c r="H51" s="75">
        <f>'PLANILHA ORCAMENTARIA'!H52</f>
        <v>2.85</v>
      </c>
      <c r="I51" s="75">
        <f>ROUND('PLANILHA ORCAMENTARIA'!I52,2)</f>
        <v>248.07</v>
      </c>
      <c r="J51" s="75">
        <f>ROUND('PLANILHA ORCAMENTARIA'!J52,2)</f>
        <v>330.37</v>
      </c>
    </row>
    <row r="52" spans="1:10" ht="75" x14ac:dyDescent="0.25">
      <c r="A52" s="44" t="s">
        <v>198</v>
      </c>
      <c r="B52" s="44" t="s">
        <v>51</v>
      </c>
      <c r="C52" s="102" t="s">
        <v>4035</v>
      </c>
      <c r="D52" s="63" t="s">
        <v>200</v>
      </c>
      <c r="E52" s="44" t="s">
        <v>54</v>
      </c>
      <c r="F52" s="70">
        <f>'PLANILHA ORCAMENTARIA'!F53</f>
        <v>115.92</v>
      </c>
      <c r="G52" s="75">
        <f>'PLANILHA ORCAMENTARIA'!G53</f>
        <v>111.54</v>
      </c>
      <c r="H52" s="75">
        <f>'PLANILHA ORCAMENTARIA'!H53</f>
        <v>148.63</v>
      </c>
      <c r="I52" s="75">
        <f>ROUND('PLANILHA ORCAMENTARIA'!I53,2)</f>
        <v>12929.72</v>
      </c>
      <c r="J52" s="75">
        <f>ROUND('PLANILHA ORCAMENTARIA'!J53,2)</f>
        <v>17229.189999999999</v>
      </c>
    </row>
    <row r="53" spans="1:10" ht="30" x14ac:dyDescent="0.25">
      <c r="A53" s="44" t="s">
        <v>201</v>
      </c>
      <c r="B53" s="44" t="s">
        <v>77</v>
      </c>
      <c r="C53" s="102" t="s">
        <v>4036</v>
      </c>
      <c r="D53" s="63" t="s">
        <v>203</v>
      </c>
      <c r="E53" s="44" t="s">
        <v>122</v>
      </c>
      <c r="F53" s="70">
        <f>'PLANILHA ORCAMENTARIA'!F54</f>
        <v>113.92</v>
      </c>
      <c r="G53" s="75">
        <f>'PLANILHA ORCAMENTARIA'!G54</f>
        <v>373.96</v>
      </c>
      <c r="H53" s="75">
        <f>'PLANILHA ORCAMENTARIA'!H54</f>
        <v>498.3</v>
      </c>
      <c r="I53" s="75">
        <f>ROUND('PLANILHA ORCAMENTARIA'!I54,2)</f>
        <v>42601.52</v>
      </c>
      <c r="J53" s="75">
        <f>ROUND('PLANILHA ORCAMENTARIA'!J54,2)</f>
        <v>56766.34</v>
      </c>
    </row>
    <row r="54" spans="1:10" ht="45" x14ac:dyDescent="0.25">
      <c r="A54" s="44" t="s">
        <v>206</v>
      </c>
      <c r="B54" s="44" t="s">
        <v>51</v>
      </c>
      <c r="C54" s="102" t="s">
        <v>4037</v>
      </c>
      <c r="D54" s="63" t="s">
        <v>208</v>
      </c>
      <c r="E54" s="44" t="s">
        <v>54</v>
      </c>
      <c r="F54" s="70">
        <f>'PLANILHA ORCAMENTARIA'!F56</f>
        <v>60.82</v>
      </c>
      <c r="G54" s="75">
        <f>'PLANILHA ORCAMENTARIA'!G56</f>
        <v>99.96</v>
      </c>
      <c r="H54" s="75">
        <f>'PLANILHA ORCAMENTARIA'!H56</f>
        <v>133.19999999999999</v>
      </c>
      <c r="I54" s="75">
        <f>ROUND('PLANILHA ORCAMENTARIA'!I56,2)</f>
        <v>6079.57</v>
      </c>
      <c r="J54" s="75">
        <f>ROUND('PLANILHA ORCAMENTARIA'!J56,2)</f>
        <v>8101.22</v>
      </c>
    </row>
    <row r="55" spans="1:10" x14ac:dyDescent="0.25">
      <c r="A55" s="44" t="s">
        <v>209</v>
      </c>
      <c r="B55" s="44" t="s">
        <v>51</v>
      </c>
      <c r="C55" s="102" t="s">
        <v>4038</v>
      </c>
      <c r="D55" s="63" t="s">
        <v>211</v>
      </c>
      <c r="E55" s="44" t="s">
        <v>72</v>
      </c>
      <c r="F55" s="70" t="e">
        <f>'PLANILHA ORCAMENTARIA'!#REF!</f>
        <v>#REF!</v>
      </c>
      <c r="G55" s="75" t="e">
        <f>'PLANILHA ORCAMENTARIA'!#REF!</f>
        <v>#REF!</v>
      </c>
      <c r="H55" s="75" t="e">
        <f>'PLANILHA ORCAMENTARIA'!#REF!</f>
        <v>#REF!</v>
      </c>
      <c r="I55" s="75" t="e">
        <f>ROUND('PLANILHA ORCAMENTARIA'!#REF!,2)</f>
        <v>#REF!</v>
      </c>
      <c r="J55" s="75" t="e">
        <f>ROUND('PLANILHA ORCAMENTARIA'!#REF!,2)</f>
        <v>#REF!</v>
      </c>
    </row>
    <row r="56" spans="1:10" ht="60" x14ac:dyDescent="0.25">
      <c r="A56" s="44" t="s">
        <v>214</v>
      </c>
      <c r="B56" s="44" t="s">
        <v>51</v>
      </c>
      <c r="C56" s="102" t="s">
        <v>4039</v>
      </c>
      <c r="D56" s="63" t="s">
        <v>216</v>
      </c>
      <c r="E56" s="44" t="s">
        <v>68</v>
      </c>
      <c r="F56" s="70">
        <f>'PLANILHA ORCAMENTARIA'!F62</f>
        <v>2</v>
      </c>
      <c r="G56" s="75">
        <f>'PLANILHA ORCAMENTARIA'!G62</f>
        <v>1910.62</v>
      </c>
      <c r="H56" s="75">
        <f>'PLANILHA ORCAMENTARIA'!H62</f>
        <v>2545.9</v>
      </c>
      <c r="I56" s="75">
        <f>ROUND('PLANILHA ORCAMENTARIA'!I62,2)</f>
        <v>3821.24</v>
      </c>
      <c r="J56" s="75">
        <f>ROUND('PLANILHA ORCAMENTARIA'!J62,2)</f>
        <v>5091.8</v>
      </c>
    </row>
    <row r="57" spans="1:10" ht="30" x14ac:dyDescent="0.25">
      <c r="A57" s="44" t="s">
        <v>217</v>
      </c>
      <c r="B57" s="44" t="s">
        <v>51</v>
      </c>
      <c r="C57" s="102" t="s">
        <v>4040</v>
      </c>
      <c r="D57" s="63" t="s">
        <v>219</v>
      </c>
      <c r="E57" s="44" t="s">
        <v>68</v>
      </c>
      <c r="F57" s="70">
        <f>'PLANILHA ORCAMENTARIA'!F63</f>
        <v>2</v>
      </c>
      <c r="G57" s="75">
        <f>'PLANILHA ORCAMENTARIA'!G63</f>
        <v>284.67</v>
      </c>
      <c r="H57" s="75">
        <f>'PLANILHA ORCAMENTARIA'!H63</f>
        <v>379.32</v>
      </c>
      <c r="I57" s="75">
        <f>ROUND('PLANILHA ORCAMENTARIA'!I63,2)</f>
        <v>569.34</v>
      </c>
      <c r="J57" s="75">
        <f>ROUND('PLANILHA ORCAMENTARIA'!J63,2)</f>
        <v>758.64</v>
      </c>
    </row>
    <row r="58" spans="1:10" ht="75" x14ac:dyDescent="0.25">
      <c r="A58" s="44" t="s">
        <v>220</v>
      </c>
      <c r="B58" s="44" t="s">
        <v>51</v>
      </c>
      <c r="C58" s="102" t="s">
        <v>4041</v>
      </c>
      <c r="D58" s="63" t="s">
        <v>222</v>
      </c>
      <c r="E58" s="44" t="s">
        <v>68</v>
      </c>
      <c r="F58" s="70">
        <f>'PLANILHA ORCAMENTARIA'!F64</f>
        <v>1</v>
      </c>
      <c r="G58" s="75">
        <f>'PLANILHA ORCAMENTARIA'!G64</f>
        <v>1539.95</v>
      </c>
      <c r="H58" s="75">
        <f>'PLANILHA ORCAMENTARIA'!H64</f>
        <v>2051.98</v>
      </c>
      <c r="I58" s="75">
        <f>ROUND('PLANILHA ORCAMENTARIA'!I64,2)</f>
        <v>1539.95</v>
      </c>
      <c r="J58" s="75">
        <f>ROUND('PLANILHA ORCAMENTARIA'!J64,2)</f>
        <v>2051.98</v>
      </c>
    </row>
    <row r="59" spans="1:10" ht="30" x14ac:dyDescent="0.25">
      <c r="A59" s="44" t="s">
        <v>223</v>
      </c>
      <c r="B59" s="44" t="s">
        <v>82</v>
      </c>
      <c r="C59" s="102" t="s">
        <v>4042</v>
      </c>
      <c r="D59" s="63" t="s">
        <v>225</v>
      </c>
      <c r="E59" s="44" t="s">
        <v>226</v>
      </c>
      <c r="F59" s="70">
        <f>'PLANILHA ORCAMENTARIA'!F65</f>
        <v>2</v>
      </c>
      <c r="G59" s="75">
        <f>'PLANILHA ORCAMENTARIA'!G65</f>
        <v>76.989999999999995</v>
      </c>
      <c r="H59" s="75">
        <f>'PLANILHA ORCAMENTARIA'!H65</f>
        <v>102.59</v>
      </c>
      <c r="I59" s="75">
        <f>ROUND('PLANILHA ORCAMENTARIA'!I65,2)</f>
        <v>153.97999999999999</v>
      </c>
      <c r="J59" s="75">
        <f>ROUND('PLANILHA ORCAMENTARIA'!J65,2)</f>
        <v>205.18</v>
      </c>
    </row>
    <row r="60" spans="1:10" ht="45" x14ac:dyDescent="0.25">
      <c r="A60" s="44" t="s">
        <v>227</v>
      </c>
      <c r="B60" s="44" t="s">
        <v>82</v>
      </c>
      <c r="C60" s="102" t="s">
        <v>4043</v>
      </c>
      <c r="D60" s="63" t="s">
        <v>229</v>
      </c>
      <c r="E60" s="44" t="s">
        <v>226</v>
      </c>
      <c r="F60" s="70">
        <f>'PLANILHA ORCAMENTARIA'!F66</f>
        <v>2</v>
      </c>
      <c r="G60" s="75">
        <f>'PLANILHA ORCAMENTARIA'!G66</f>
        <v>66.59</v>
      </c>
      <c r="H60" s="75">
        <f>'PLANILHA ORCAMENTARIA'!H66</f>
        <v>88.73</v>
      </c>
      <c r="I60" s="75">
        <f>ROUND('PLANILHA ORCAMENTARIA'!I66,2)</f>
        <v>133.18</v>
      </c>
      <c r="J60" s="75">
        <f>ROUND('PLANILHA ORCAMENTARIA'!J66,2)</f>
        <v>177.46</v>
      </c>
    </row>
    <row r="61" spans="1:10" ht="30" x14ac:dyDescent="0.25">
      <c r="A61" s="44" t="s">
        <v>230</v>
      </c>
      <c r="B61" s="44" t="s">
        <v>51</v>
      </c>
      <c r="C61" s="102" t="s">
        <v>4044</v>
      </c>
      <c r="D61" s="63" t="s">
        <v>232</v>
      </c>
      <c r="E61" s="44" t="s">
        <v>68</v>
      </c>
      <c r="F61" s="70">
        <f>'PLANILHA ORCAMENTARIA'!F67</f>
        <v>2</v>
      </c>
      <c r="G61" s="75">
        <f>'PLANILHA ORCAMENTARIA'!G67</f>
        <v>341.11</v>
      </c>
      <c r="H61" s="75">
        <f>'PLANILHA ORCAMENTARIA'!H67</f>
        <v>454.53</v>
      </c>
      <c r="I61" s="75">
        <f>ROUND('PLANILHA ORCAMENTARIA'!I67,2)</f>
        <v>682.22</v>
      </c>
      <c r="J61" s="75">
        <f>ROUND('PLANILHA ORCAMENTARIA'!J67,2)</f>
        <v>909.06</v>
      </c>
    </row>
    <row r="62" spans="1:10" ht="45" x14ac:dyDescent="0.25">
      <c r="A62" s="44" t="s">
        <v>233</v>
      </c>
      <c r="B62" s="44" t="s">
        <v>51</v>
      </c>
      <c r="C62" s="102" t="s">
        <v>4045</v>
      </c>
      <c r="D62" s="63" t="s">
        <v>235</v>
      </c>
      <c r="E62" s="44" t="s">
        <v>68</v>
      </c>
      <c r="F62" s="70">
        <f>'PLANILHA ORCAMENTARIA'!F68</f>
        <v>2</v>
      </c>
      <c r="G62" s="75">
        <f>'PLANILHA ORCAMENTARIA'!G68</f>
        <v>135.75</v>
      </c>
      <c r="H62" s="75">
        <f>'PLANILHA ORCAMENTARIA'!H68</f>
        <v>180.89</v>
      </c>
      <c r="I62" s="75">
        <f>ROUND('PLANILHA ORCAMENTARIA'!I68,2)</f>
        <v>271.5</v>
      </c>
      <c r="J62" s="75">
        <f>ROUND('PLANILHA ORCAMENTARIA'!J68,2)</f>
        <v>361.78</v>
      </c>
    </row>
    <row r="63" spans="1:10" ht="45" x14ac:dyDescent="0.25">
      <c r="A63" s="44" t="s">
        <v>236</v>
      </c>
      <c r="B63" s="44" t="s">
        <v>51</v>
      </c>
      <c r="C63" s="102" t="s">
        <v>4046</v>
      </c>
      <c r="D63" s="63" t="s">
        <v>238</v>
      </c>
      <c r="E63" s="44" t="s">
        <v>68</v>
      </c>
      <c r="F63" s="70">
        <f>'PLANILHA ORCAMENTARIA'!F69</f>
        <v>1</v>
      </c>
      <c r="G63" s="75">
        <f>'PLANILHA ORCAMENTARIA'!G69</f>
        <v>161.83000000000001</v>
      </c>
      <c r="H63" s="75">
        <f>'PLANILHA ORCAMENTARIA'!H69</f>
        <v>215.64</v>
      </c>
      <c r="I63" s="75">
        <f>ROUND('PLANILHA ORCAMENTARIA'!I69,2)</f>
        <v>161.83000000000001</v>
      </c>
      <c r="J63" s="75">
        <f>ROUND('PLANILHA ORCAMENTARIA'!J69,2)</f>
        <v>215.64</v>
      </c>
    </row>
    <row r="64" spans="1:10" ht="45" x14ac:dyDescent="0.25">
      <c r="A64" s="44" t="s">
        <v>239</v>
      </c>
      <c r="B64" s="44" t="s">
        <v>51</v>
      </c>
      <c r="C64" s="102" t="s">
        <v>4047</v>
      </c>
      <c r="D64" s="63" t="s">
        <v>241</v>
      </c>
      <c r="E64" s="44" t="s">
        <v>68</v>
      </c>
      <c r="F64" s="70">
        <f>'PLANILHA ORCAMENTARIA'!F70</f>
        <v>2</v>
      </c>
      <c r="G64" s="75">
        <f>'PLANILHA ORCAMENTARIA'!G70</f>
        <v>178.2</v>
      </c>
      <c r="H64" s="75">
        <f>'PLANILHA ORCAMENTARIA'!H70</f>
        <v>237.45</v>
      </c>
      <c r="I64" s="75">
        <f>ROUND('PLANILHA ORCAMENTARIA'!I70,2)</f>
        <v>356.4</v>
      </c>
      <c r="J64" s="75">
        <f>ROUND('PLANILHA ORCAMENTARIA'!J70,2)</f>
        <v>474.9</v>
      </c>
    </row>
    <row r="65" spans="1:10" ht="60" x14ac:dyDescent="0.25">
      <c r="A65" s="44" t="s">
        <v>242</v>
      </c>
      <c r="B65" s="44" t="s">
        <v>51</v>
      </c>
      <c r="C65" s="102" t="s">
        <v>4048</v>
      </c>
      <c r="D65" s="63" t="s">
        <v>244</v>
      </c>
      <c r="E65" s="44" t="s">
        <v>68</v>
      </c>
      <c r="F65" s="70">
        <f>'PLANILHA ORCAMENTARIA'!F71</f>
        <v>1</v>
      </c>
      <c r="G65" s="75">
        <f>'PLANILHA ORCAMENTARIA'!G71</f>
        <v>355.12</v>
      </c>
      <c r="H65" s="75">
        <f>'PLANILHA ORCAMENTARIA'!H71</f>
        <v>473.2</v>
      </c>
      <c r="I65" s="75">
        <f>ROUND('PLANILHA ORCAMENTARIA'!I71,2)</f>
        <v>355.12</v>
      </c>
      <c r="J65" s="75">
        <f>ROUND('PLANILHA ORCAMENTARIA'!J71,2)</f>
        <v>473.2</v>
      </c>
    </row>
    <row r="66" spans="1:10" x14ac:dyDescent="0.25">
      <c r="A66" s="44" t="s">
        <v>245</v>
      </c>
      <c r="B66" s="44" t="s">
        <v>77</v>
      </c>
      <c r="C66" s="102" t="s">
        <v>4049</v>
      </c>
      <c r="D66" s="63" t="s">
        <v>247</v>
      </c>
      <c r="E66" s="44" t="s">
        <v>54</v>
      </c>
      <c r="F66" s="70">
        <f>'PLANILHA ORCAMENTARIA'!F72</f>
        <v>0.96</v>
      </c>
      <c r="G66" s="75">
        <f>'PLANILHA ORCAMENTARIA'!G72</f>
        <v>481.17</v>
      </c>
      <c r="H66" s="75">
        <f>'PLANILHA ORCAMENTARIA'!H72</f>
        <v>641.16</v>
      </c>
      <c r="I66" s="75">
        <f>ROUND('PLANILHA ORCAMENTARIA'!I72,2)</f>
        <v>461.92</v>
      </c>
      <c r="J66" s="75">
        <f>ROUND('PLANILHA ORCAMENTARIA'!J72,2)</f>
        <v>615.51</v>
      </c>
    </row>
    <row r="67" spans="1:10" ht="45" x14ac:dyDescent="0.25">
      <c r="A67" s="44" t="s">
        <v>248</v>
      </c>
      <c r="B67" s="44" t="s">
        <v>77</v>
      </c>
      <c r="C67" s="102" t="s">
        <v>4050</v>
      </c>
      <c r="D67" s="63" t="s">
        <v>250</v>
      </c>
      <c r="E67" s="44" t="s">
        <v>251</v>
      </c>
      <c r="F67" s="70">
        <f>'PLANILHA ORCAMENTARIA'!F73</f>
        <v>2</v>
      </c>
      <c r="G67" s="75">
        <f>'PLANILHA ORCAMENTARIA'!G73</f>
        <v>939.94</v>
      </c>
      <c r="H67" s="75">
        <f>'PLANILHA ORCAMENTARIA'!H73</f>
        <v>1252.47</v>
      </c>
      <c r="I67" s="75">
        <f>ROUND('PLANILHA ORCAMENTARIA'!I73,2)</f>
        <v>1879.88</v>
      </c>
      <c r="J67" s="75">
        <f>ROUND('PLANILHA ORCAMENTARIA'!J73,2)</f>
        <v>2504.94</v>
      </c>
    </row>
    <row r="68" spans="1:10" ht="45" x14ac:dyDescent="0.25">
      <c r="A68" s="44" t="s">
        <v>256</v>
      </c>
      <c r="B68" s="44" t="s">
        <v>51</v>
      </c>
      <c r="C68" s="102" t="s">
        <v>4051</v>
      </c>
      <c r="D68" s="63" t="s">
        <v>258</v>
      </c>
      <c r="E68" s="44" t="s">
        <v>54</v>
      </c>
      <c r="F68" s="70">
        <f>'PLANILHA ORCAMENTARIA'!F76</f>
        <v>1.89</v>
      </c>
      <c r="G68" s="75">
        <f>'PLANILHA ORCAMENTARIA'!G76</f>
        <v>1014.07</v>
      </c>
      <c r="H68" s="75">
        <f>'PLANILHA ORCAMENTARIA'!H76</f>
        <v>1351.25</v>
      </c>
      <c r="I68" s="75">
        <f>ROUND('PLANILHA ORCAMENTARIA'!I76,2)</f>
        <v>1916.59</v>
      </c>
      <c r="J68" s="75">
        <f>ROUND('PLANILHA ORCAMENTARIA'!J76,2)</f>
        <v>2553.86</v>
      </c>
    </row>
    <row r="69" spans="1:10" ht="30" x14ac:dyDescent="0.25">
      <c r="A69" s="44" t="s">
        <v>259</v>
      </c>
      <c r="B69" s="44" t="s">
        <v>77</v>
      </c>
      <c r="C69" s="102" t="s">
        <v>4052</v>
      </c>
      <c r="D69" s="63" t="s">
        <v>261</v>
      </c>
      <c r="E69" s="44" t="s">
        <v>122</v>
      </c>
      <c r="F69" s="70">
        <f>'PLANILHA ORCAMENTARIA'!F77</f>
        <v>1.68</v>
      </c>
      <c r="G69" s="75">
        <f>'PLANILHA ORCAMENTARIA'!G77</f>
        <v>595.65</v>
      </c>
      <c r="H69" s="75">
        <f>'PLANILHA ORCAMENTARIA'!H77</f>
        <v>793.7</v>
      </c>
      <c r="I69" s="75">
        <f>ROUND('PLANILHA ORCAMENTARIA'!I77,2)</f>
        <v>1000.69</v>
      </c>
      <c r="J69" s="75">
        <f>ROUND('PLANILHA ORCAMENTARIA'!J77,2)</f>
        <v>1333.42</v>
      </c>
    </row>
    <row r="70" spans="1:10" ht="30" x14ac:dyDescent="0.25">
      <c r="A70" s="44" t="s">
        <v>262</v>
      </c>
      <c r="B70" s="44" t="s">
        <v>77</v>
      </c>
      <c r="C70" s="102" t="s">
        <v>4053</v>
      </c>
      <c r="D70" s="63" t="s">
        <v>264</v>
      </c>
      <c r="E70" s="44" t="s">
        <v>54</v>
      </c>
      <c r="F70" s="70">
        <f>'PLANILHA ORCAMENTARIA'!F78</f>
        <v>9.11</v>
      </c>
      <c r="G70" s="75">
        <f>'PLANILHA ORCAMENTARIA'!G78</f>
        <v>65.39</v>
      </c>
      <c r="H70" s="75">
        <f>'PLANILHA ORCAMENTARIA'!H78</f>
        <v>87.13</v>
      </c>
      <c r="I70" s="75">
        <f>ROUND('PLANILHA ORCAMENTARIA'!I78,2)</f>
        <v>595.70000000000005</v>
      </c>
      <c r="J70" s="75">
        <f>ROUND('PLANILHA ORCAMENTARIA'!J78,2)</f>
        <v>793.75</v>
      </c>
    </row>
    <row r="71" spans="1:10" ht="30" x14ac:dyDescent="0.25">
      <c r="A71" s="44" t="s">
        <v>265</v>
      </c>
      <c r="B71" s="44" t="s">
        <v>77</v>
      </c>
      <c r="C71" s="102" t="s">
        <v>4054</v>
      </c>
      <c r="D71" s="63" t="s">
        <v>267</v>
      </c>
      <c r="E71" s="44" t="s">
        <v>54</v>
      </c>
      <c r="F71" s="70">
        <f>'PLANILHA ORCAMENTARIA'!F79</f>
        <v>51.32</v>
      </c>
      <c r="G71" s="75">
        <f>'PLANILHA ORCAMENTARIA'!G79</f>
        <v>346.47</v>
      </c>
      <c r="H71" s="75">
        <f>'PLANILHA ORCAMENTARIA'!H79</f>
        <v>461.67</v>
      </c>
      <c r="I71" s="75">
        <f>ROUND('PLANILHA ORCAMENTARIA'!I79,2)</f>
        <v>17780.84</v>
      </c>
      <c r="J71" s="75">
        <f>ROUND('PLANILHA ORCAMENTARIA'!J79,2)</f>
        <v>23692.9</v>
      </c>
    </row>
    <row r="72" spans="1:10" ht="45" x14ac:dyDescent="0.25">
      <c r="A72" s="44" t="s">
        <v>268</v>
      </c>
      <c r="B72" s="44" t="s">
        <v>77</v>
      </c>
      <c r="C72" s="102" t="s">
        <v>4055</v>
      </c>
      <c r="D72" s="63" t="s">
        <v>270</v>
      </c>
      <c r="E72" s="44" t="s">
        <v>226</v>
      </c>
      <c r="F72" s="70">
        <f>'PLANILHA ORCAMENTARIA'!F80</f>
        <v>1</v>
      </c>
      <c r="G72" s="75">
        <f>'PLANILHA ORCAMENTARIA'!G80</f>
        <v>3630.02</v>
      </c>
      <c r="H72" s="75">
        <f>'PLANILHA ORCAMENTARIA'!H80</f>
        <v>4837</v>
      </c>
      <c r="I72" s="75">
        <f>ROUND('PLANILHA ORCAMENTARIA'!I80,2)</f>
        <v>3630.02</v>
      </c>
      <c r="J72" s="75">
        <f>ROUND('PLANILHA ORCAMENTARIA'!J80,2)</f>
        <v>4837</v>
      </c>
    </row>
    <row r="73" spans="1:10" ht="45" x14ac:dyDescent="0.25">
      <c r="A73" s="44" t="s">
        <v>271</v>
      </c>
      <c r="B73" s="44" t="s">
        <v>77</v>
      </c>
      <c r="C73" s="102" t="s">
        <v>4056</v>
      </c>
      <c r="D73" s="63" t="s">
        <v>273</v>
      </c>
      <c r="E73" s="44" t="s">
        <v>226</v>
      </c>
      <c r="F73" s="70">
        <f>'PLANILHA ORCAMENTARIA'!F81</f>
        <v>1</v>
      </c>
      <c r="G73" s="75">
        <f>'PLANILHA ORCAMENTARIA'!G81</f>
        <v>3434.25</v>
      </c>
      <c r="H73" s="75">
        <f>'PLANILHA ORCAMENTARIA'!H81</f>
        <v>4576.1400000000003</v>
      </c>
      <c r="I73" s="75">
        <f>ROUND('PLANILHA ORCAMENTARIA'!I81,2)</f>
        <v>3434.25</v>
      </c>
      <c r="J73" s="75">
        <f>ROUND('PLANILHA ORCAMENTARIA'!J81,2)</f>
        <v>4576.1400000000003</v>
      </c>
    </row>
    <row r="74" spans="1:10" ht="45" x14ac:dyDescent="0.25">
      <c r="A74" s="44" t="s">
        <v>274</v>
      </c>
      <c r="B74" s="44" t="s">
        <v>77</v>
      </c>
      <c r="C74" s="102" t="s">
        <v>4057</v>
      </c>
      <c r="D74" s="63" t="s">
        <v>276</v>
      </c>
      <c r="E74" s="44" t="s">
        <v>54</v>
      </c>
      <c r="F74" s="70">
        <f>'PLANILHA ORCAMENTARIA'!F82</f>
        <v>0.04</v>
      </c>
      <c r="G74" s="75">
        <f>'PLANILHA ORCAMENTARIA'!G82</f>
        <v>73.89</v>
      </c>
      <c r="H74" s="75">
        <f>'PLANILHA ORCAMENTARIA'!H82</f>
        <v>98.46</v>
      </c>
      <c r="I74" s="75">
        <f>ROUND('PLANILHA ORCAMENTARIA'!I82,2)</f>
        <v>2.96</v>
      </c>
      <c r="J74" s="75">
        <f>ROUND('PLANILHA ORCAMENTARIA'!J82,2)</f>
        <v>3.94</v>
      </c>
    </row>
    <row r="75" spans="1:10" ht="90" x14ac:dyDescent="0.25">
      <c r="A75" s="44" t="s">
        <v>277</v>
      </c>
      <c r="B75" s="44" t="s">
        <v>77</v>
      </c>
      <c r="C75" s="102" t="s">
        <v>4058</v>
      </c>
      <c r="D75" s="63" t="s">
        <v>279</v>
      </c>
      <c r="E75" s="44" t="s">
        <v>122</v>
      </c>
      <c r="F75" s="70">
        <f>'PLANILHA ORCAMENTARIA'!F83</f>
        <v>25.66</v>
      </c>
      <c r="G75" s="75">
        <f>'PLANILHA ORCAMENTARIA'!G83</f>
        <v>114.08</v>
      </c>
      <c r="H75" s="75">
        <f>'PLANILHA ORCAMENTARIA'!H83</f>
        <v>152.01</v>
      </c>
      <c r="I75" s="75">
        <f>ROUND('PLANILHA ORCAMENTARIA'!I83,2)</f>
        <v>2927.29</v>
      </c>
      <c r="J75" s="75">
        <f>ROUND('PLANILHA ORCAMENTARIA'!J83,2)</f>
        <v>3900.58</v>
      </c>
    </row>
    <row r="76" spans="1:10" ht="45" x14ac:dyDescent="0.25">
      <c r="A76" s="44" t="s">
        <v>280</v>
      </c>
      <c r="B76" s="44" t="s">
        <v>77</v>
      </c>
      <c r="C76" s="102" t="s">
        <v>4059</v>
      </c>
      <c r="D76" s="63" t="s">
        <v>282</v>
      </c>
      <c r="E76" s="44" t="s">
        <v>122</v>
      </c>
      <c r="F76" s="70">
        <f>'PLANILHA ORCAMENTARIA'!F84</f>
        <v>2.57</v>
      </c>
      <c r="G76" s="75">
        <f>'PLANILHA ORCAMENTARIA'!G84</f>
        <v>331.91</v>
      </c>
      <c r="H76" s="75">
        <f>'PLANILHA ORCAMENTARIA'!H84</f>
        <v>442.27</v>
      </c>
      <c r="I76" s="75">
        <f>ROUND('PLANILHA ORCAMENTARIA'!I84,2)</f>
        <v>853.01</v>
      </c>
      <c r="J76" s="75">
        <f>ROUND('PLANILHA ORCAMENTARIA'!J84,2)</f>
        <v>1136.6300000000001</v>
      </c>
    </row>
    <row r="77" spans="1:10" ht="45" x14ac:dyDescent="0.25">
      <c r="A77" s="44" t="s">
        <v>283</v>
      </c>
      <c r="B77" s="44" t="s">
        <v>77</v>
      </c>
      <c r="C77" s="102" t="s">
        <v>4059</v>
      </c>
      <c r="D77" s="63" t="s">
        <v>284</v>
      </c>
      <c r="E77" s="44" t="s">
        <v>122</v>
      </c>
      <c r="F77" s="70">
        <f>'PLANILHA ORCAMENTARIA'!F85</f>
        <v>2.57</v>
      </c>
      <c r="G77" s="75">
        <f>'PLANILHA ORCAMENTARIA'!G85</f>
        <v>331.91</v>
      </c>
      <c r="H77" s="75">
        <f>'PLANILHA ORCAMENTARIA'!H85</f>
        <v>442.27</v>
      </c>
      <c r="I77" s="75">
        <f>ROUND('PLANILHA ORCAMENTARIA'!I85,2)</f>
        <v>853.01</v>
      </c>
      <c r="J77" s="75">
        <f>ROUND('PLANILHA ORCAMENTARIA'!J85,2)</f>
        <v>1136.6300000000001</v>
      </c>
    </row>
    <row r="78" spans="1:10" ht="30" x14ac:dyDescent="0.25">
      <c r="A78" s="44" t="s">
        <v>287</v>
      </c>
      <c r="B78" s="44" t="s">
        <v>77</v>
      </c>
      <c r="C78" s="102" t="s">
        <v>4060</v>
      </c>
      <c r="D78" s="63" t="s">
        <v>289</v>
      </c>
      <c r="E78" s="44" t="s">
        <v>122</v>
      </c>
      <c r="F78" s="70">
        <f>'PLANILHA ORCAMENTARIA'!F87</f>
        <v>4.62</v>
      </c>
      <c r="G78" s="75">
        <f>'PLANILHA ORCAMENTARIA'!G87</f>
        <v>1618.74</v>
      </c>
      <c r="H78" s="75">
        <f>'PLANILHA ORCAMENTARIA'!H87</f>
        <v>2156.9699999999998</v>
      </c>
      <c r="I78" s="75">
        <f>ROUND('PLANILHA ORCAMENTARIA'!I87,2)</f>
        <v>7478.58</v>
      </c>
      <c r="J78" s="75">
        <f>ROUND('PLANILHA ORCAMENTARIA'!J87,2)</f>
        <v>9965.2000000000007</v>
      </c>
    </row>
    <row r="79" spans="1:10" ht="30" x14ac:dyDescent="0.25">
      <c r="A79" s="44" t="s">
        <v>290</v>
      </c>
      <c r="B79" s="44" t="s">
        <v>77</v>
      </c>
      <c r="C79" s="102" t="s">
        <v>4054</v>
      </c>
      <c r="D79" s="63" t="s">
        <v>267</v>
      </c>
      <c r="E79" s="44" t="s">
        <v>54</v>
      </c>
      <c r="F79" s="70">
        <f>'PLANILHA ORCAMENTARIA'!F88</f>
        <v>38.18</v>
      </c>
      <c r="G79" s="75">
        <f>'PLANILHA ORCAMENTARIA'!G88</f>
        <v>346.47</v>
      </c>
      <c r="H79" s="75">
        <f>'PLANILHA ORCAMENTARIA'!H88</f>
        <v>461.67</v>
      </c>
      <c r="I79" s="75">
        <f>ROUND('PLANILHA ORCAMENTARIA'!I88,2)</f>
        <v>13228.22</v>
      </c>
      <c r="J79" s="75">
        <f>ROUND('PLANILHA ORCAMENTARIA'!J88,2)</f>
        <v>17626.560000000001</v>
      </c>
    </row>
    <row r="80" spans="1:10" ht="90" x14ac:dyDescent="0.25">
      <c r="A80" s="44" t="s">
        <v>291</v>
      </c>
      <c r="B80" s="44" t="s">
        <v>77</v>
      </c>
      <c r="C80" s="102" t="s">
        <v>4058</v>
      </c>
      <c r="D80" s="63" t="s">
        <v>279</v>
      </c>
      <c r="E80" s="44" t="s">
        <v>122</v>
      </c>
      <c r="F80" s="70">
        <f>'PLANILHA ORCAMENTARIA'!F89</f>
        <v>19.09</v>
      </c>
      <c r="G80" s="75">
        <f>'PLANILHA ORCAMENTARIA'!G89</f>
        <v>114.08</v>
      </c>
      <c r="H80" s="75">
        <f>'PLANILHA ORCAMENTARIA'!H89</f>
        <v>152.01</v>
      </c>
      <c r="I80" s="75">
        <f>ROUND('PLANILHA ORCAMENTARIA'!I89,2)</f>
        <v>2177.79</v>
      </c>
      <c r="J80" s="75">
        <f>ROUND('PLANILHA ORCAMENTARIA'!J89,2)</f>
        <v>2901.87</v>
      </c>
    </row>
    <row r="81" spans="1:10" ht="45" x14ac:dyDescent="0.25">
      <c r="A81" s="44" t="s">
        <v>292</v>
      </c>
      <c r="B81" s="44" t="s">
        <v>77</v>
      </c>
      <c r="C81" s="102" t="s">
        <v>4059</v>
      </c>
      <c r="D81" s="63" t="s">
        <v>282</v>
      </c>
      <c r="E81" s="44" t="s">
        <v>122</v>
      </c>
      <c r="F81" s="70">
        <f>'PLANILHA ORCAMENTARIA'!F90</f>
        <v>3.82</v>
      </c>
      <c r="G81" s="75">
        <f>'PLANILHA ORCAMENTARIA'!G90</f>
        <v>331.91</v>
      </c>
      <c r="H81" s="75">
        <f>'PLANILHA ORCAMENTARIA'!H90</f>
        <v>442.27</v>
      </c>
      <c r="I81" s="75">
        <f>ROUND('PLANILHA ORCAMENTARIA'!I90,2)</f>
        <v>1267.9000000000001</v>
      </c>
      <c r="J81" s="75">
        <f>ROUND('PLANILHA ORCAMENTARIA'!J90,2)</f>
        <v>1689.47</v>
      </c>
    </row>
    <row r="82" spans="1:10" ht="45" x14ac:dyDescent="0.25">
      <c r="A82" s="44" t="s">
        <v>293</v>
      </c>
      <c r="B82" s="44" t="s">
        <v>77</v>
      </c>
      <c r="C82" s="102" t="s">
        <v>4059</v>
      </c>
      <c r="D82" s="63" t="s">
        <v>284</v>
      </c>
      <c r="E82" s="44" t="s">
        <v>122</v>
      </c>
      <c r="F82" s="70">
        <f>'PLANILHA ORCAMENTARIA'!F91</f>
        <v>5.73</v>
      </c>
      <c r="G82" s="75">
        <f>'PLANILHA ORCAMENTARIA'!G91</f>
        <v>331.91</v>
      </c>
      <c r="H82" s="75">
        <f>'PLANILHA ORCAMENTARIA'!H91</f>
        <v>442.27</v>
      </c>
      <c r="I82" s="75">
        <f>ROUND('PLANILHA ORCAMENTARIA'!I91,2)</f>
        <v>1901.84</v>
      </c>
      <c r="J82" s="75">
        <f>ROUND('PLANILHA ORCAMENTARIA'!J91,2)</f>
        <v>2534.21</v>
      </c>
    </row>
    <row r="83" spans="1:10" ht="60" x14ac:dyDescent="0.25">
      <c r="A83" s="44" t="s">
        <v>296</v>
      </c>
      <c r="B83" s="44" t="s">
        <v>77</v>
      </c>
      <c r="C83" s="102" t="s">
        <v>4061</v>
      </c>
      <c r="D83" s="63" t="s">
        <v>298</v>
      </c>
      <c r="E83" s="44" t="s">
        <v>54</v>
      </c>
      <c r="F83" s="70">
        <f>'PLANILHA ORCAMENTARIA'!F93</f>
        <v>2.21</v>
      </c>
      <c r="G83" s="75">
        <f>'PLANILHA ORCAMENTARIA'!G93</f>
        <v>825.2</v>
      </c>
      <c r="H83" s="75">
        <f>'PLANILHA ORCAMENTARIA'!H93</f>
        <v>1099.58</v>
      </c>
      <c r="I83" s="75">
        <f>ROUND('PLANILHA ORCAMENTARIA'!I93,2)</f>
        <v>1823.69</v>
      </c>
      <c r="J83" s="75">
        <f>ROUND('PLANILHA ORCAMENTARIA'!J93,2)</f>
        <v>2430.0700000000002</v>
      </c>
    </row>
    <row r="84" spans="1:10" ht="30" x14ac:dyDescent="0.25">
      <c r="A84" s="44" t="s">
        <v>299</v>
      </c>
      <c r="B84" s="44" t="s">
        <v>77</v>
      </c>
      <c r="C84" s="102" t="s">
        <v>4062</v>
      </c>
      <c r="D84" s="63" t="s">
        <v>301</v>
      </c>
      <c r="E84" s="44" t="s">
        <v>188</v>
      </c>
      <c r="F84" s="70">
        <f>'PLANILHA ORCAMENTARIA'!F94</f>
        <v>5.65</v>
      </c>
      <c r="G84" s="75">
        <f>'PLANILHA ORCAMENTARIA'!G94</f>
        <v>77.33</v>
      </c>
      <c r="H84" s="75">
        <f>'PLANILHA ORCAMENTARIA'!H94</f>
        <v>103.04</v>
      </c>
      <c r="I84" s="75">
        <f>ROUND('PLANILHA ORCAMENTARIA'!I94,2)</f>
        <v>436.91</v>
      </c>
      <c r="J84" s="75">
        <f>ROUND('PLANILHA ORCAMENTARIA'!J94,2)</f>
        <v>582.17999999999995</v>
      </c>
    </row>
    <row r="85" spans="1:10" ht="30" x14ac:dyDescent="0.25">
      <c r="A85" s="44" t="s">
        <v>302</v>
      </c>
      <c r="B85" s="44" t="s">
        <v>77</v>
      </c>
      <c r="C85" s="102" t="s">
        <v>4063</v>
      </c>
      <c r="D85" s="63" t="s">
        <v>304</v>
      </c>
      <c r="E85" s="44" t="s">
        <v>122</v>
      </c>
      <c r="F85" s="70">
        <f>'PLANILHA ORCAMENTARIA'!F95</f>
        <v>3.43</v>
      </c>
      <c r="G85" s="75">
        <f>'PLANILHA ORCAMENTARIA'!G95</f>
        <v>550.92999999999995</v>
      </c>
      <c r="H85" s="75">
        <f>'PLANILHA ORCAMENTARIA'!H95</f>
        <v>734.11</v>
      </c>
      <c r="I85" s="75">
        <f>ROUND('PLANILHA ORCAMENTARIA'!I95,2)</f>
        <v>1889.69</v>
      </c>
      <c r="J85" s="75">
        <f>ROUND('PLANILHA ORCAMENTARIA'!J95,2)</f>
        <v>2518</v>
      </c>
    </row>
    <row r="86" spans="1:10" ht="30" x14ac:dyDescent="0.25">
      <c r="A86" s="44" t="s">
        <v>307</v>
      </c>
      <c r="B86" s="44" t="s">
        <v>51</v>
      </c>
      <c r="C86" s="102" t="s">
        <v>4064</v>
      </c>
      <c r="D86" s="63" t="s">
        <v>309</v>
      </c>
      <c r="E86" s="44" t="s">
        <v>54</v>
      </c>
      <c r="F86" s="70">
        <f>'PLANILHA ORCAMENTARIA'!F97</f>
        <v>6.6</v>
      </c>
      <c r="G86" s="75">
        <f>'PLANILHA ORCAMENTARIA'!G97</f>
        <v>732.22</v>
      </c>
      <c r="H86" s="75">
        <f>'PLANILHA ORCAMENTARIA'!H97</f>
        <v>975.68</v>
      </c>
      <c r="I86" s="75">
        <f>ROUND('PLANILHA ORCAMENTARIA'!I97,2)</f>
        <v>4832.6499999999996</v>
      </c>
      <c r="J86" s="75">
        <f>ROUND('PLANILHA ORCAMENTARIA'!J97,2)</f>
        <v>6439.49</v>
      </c>
    </row>
    <row r="87" spans="1:10" x14ac:dyDescent="0.25">
      <c r="A87" s="44" t="s">
        <v>310</v>
      </c>
      <c r="B87" s="44" t="s">
        <v>51</v>
      </c>
      <c r="C87" s="102" t="s">
        <v>4065</v>
      </c>
      <c r="D87" s="63" t="s">
        <v>312</v>
      </c>
      <c r="E87" s="44" t="s">
        <v>54</v>
      </c>
      <c r="F87" s="70">
        <f>'PLANILHA ORCAMENTARIA'!F98</f>
        <v>44.13</v>
      </c>
      <c r="G87" s="75">
        <f>'PLANILHA ORCAMENTARIA'!G98</f>
        <v>369.28</v>
      </c>
      <c r="H87" s="75">
        <f>'PLANILHA ORCAMENTARIA'!H98</f>
        <v>492.07</v>
      </c>
      <c r="I87" s="75">
        <f>ROUND('PLANILHA ORCAMENTARIA'!I98,2)</f>
        <v>16296.33</v>
      </c>
      <c r="J87" s="75">
        <f>ROUND('PLANILHA ORCAMENTARIA'!J98,2)</f>
        <v>21715.05</v>
      </c>
    </row>
    <row r="88" spans="1:10" ht="45" x14ac:dyDescent="0.25">
      <c r="A88" s="44" t="s">
        <v>313</v>
      </c>
      <c r="B88" s="44" t="s">
        <v>51</v>
      </c>
      <c r="C88" s="102" t="s">
        <v>4066</v>
      </c>
      <c r="D88" s="63" t="s">
        <v>315</v>
      </c>
      <c r="E88" s="44" t="s">
        <v>54</v>
      </c>
      <c r="F88" s="70">
        <f>'PLANILHA ORCAMENTARIA'!F99</f>
        <v>50.73</v>
      </c>
      <c r="G88" s="75">
        <f>'PLANILHA ORCAMENTARIA'!G99</f>
        <v>53.06</v>
      </c>
      <c r="H88" s="75">
        <f>'PLANILHA ORCAMENTARIA'!H99</f>
        <v>70.7</v>
      </c>
      <c r="I88" s="75">
        <f>ROUND('PLANILHA ORCAMENTARIA'!I99,2)</f>
        <v>2691.73</v>
      </c>
      <c r="J88" s="75">
        <f>ROUND('PLANILHA ORCAMENTARIA'!J99,2)</f>
        <v>3586.61</v>
      </c>
    </row>
    <row r="89" spans="1:10" ht="45" x14ac:dyDescent="0.25">
      <c r="A89" s="44" t="s">
        <v>316</v>
      </c>
      <c r="B89" s="44" t="s">
        <v>51</v>
      </c>
      <c r="C89" s="102" t="s">
        <v>4015</v>
      </c>
      <c r="D89" s="63" t="s">
        <v>101</v>
      </c>
      <c r="E89" s="44" t="s">
        <v>54</v>
      </c>
      <c r="F89" s="70">
        <f>'PLANILHA ORCAMENTARIA'!F100</f>
        <v>1.31</v>
      </c>
      <c r="G89" s="75">
        <f>'PLANILHA ORCAMENTARIA'!G100</f>
        <v>13.14</v>
      </c>
      <c r="H89" s="75">
        <f>'PLANILHA ORCAMENTARIA'!H100</f>
        <v>17.510000000000002</v>
      </c>
      <c r="I89" s="75">
        <f>ROUND('PLANILHA ORCAMENTARIA'!I100,2)</f>
        <v>17.21</v>
      </c>
      <c r="J89" s="75">
        <f>ROUND('PLANILHA ORCAMENTARIA'!J100,2)</f>
        <v>22.94</v>
      </c>
    </row>
    <row r="90" spans="1:10" ht="30" x14ac:dyDescent="0.25">
      <c r="A90" s="44" t="s">
        <v>320</v>
      </c>
      <c r="B90" s="44" t="s">
        <v>51</v>
      </c>
      <c r="C90" s="102" t="s">
        <v>4067</v>
      </c>
      <c r="D90" s="63" t="s">
        <v>322</v>
      </c>
      <c r="E90" s="44" t="s">
        <v>54</v>
      </c>
      <c r="F90" s="70">
        <f>'PLANILHA ORCAMENTARIA'!F212</f>
        <v>96.02</v>
      </c>
      <c r="G90" s="75">
        <f>'PLANILHA ORCAMENTARIA'!G212</f>
        <v>9.4499999999999993</v>
      </c>
      <c r="H90" s="75">
        <f>'PLANILHA ORCAMENTARIA'!H212</f>
        <v>12.59</v>
      </c>
      <c r="I90" s="75">
        <f>ROUND('PLANILHA ORCAMENTARIA'!I212,2)</f>
        <v>907.39</v>
      </c>
      <c r="J90" s="75">
        <f>ROUND('PLANILHA ORCAMENTARIA'!J212,2)</f>
        <v>1208.8900000000001</v>
      </c>
    </row>
    <row r="91" spans="1:10" ht="30" x14ac:dyDescent="0.25">
      <c r="A91" s="44" t="s">
        <v>323</v>
      </c>
      <c r="B91" s="44" t="s">
        <v>51</v>
      </c>
      <c r="C91" s="102" t="s">
        <v>4068</v>
      </c>
      <c r="D91" s="63" t="s">
        <v>325</v>
      </c>
      <c r="E91" s="44" t="s">
        <v>54</v>
      </c>
      <c r="F91" s="70">
        <f>'PLANILHA ORCAMENTARIA'!F213</f>
        <v>224.05</v>
      </c>
      <c r="G91" s="75">
        <f>'PLANILHA ORCAMENTARIA'!G213</f>
        <v>10.73</v>
      </c>
      <c r="H91" s="75">
        <f>'PLANILHA ORCAMENTARIA'!H213</f>
        <v>14.3</v>
      </c>
      <c r="I91" s="75">
        <f>ROUND('PLANILHA ORCAMENTARIA'!I213,2)</f>
        <v>2404.06</v>
      </c>
      <c r="J91" s="75">
        <f>ROUND('PLANILHA ORCAMENTARIA'!J213,2)</f>
        <v>3203.92</v>
      </c>
    </row>
    <row r="92" spans="1:10" ht="45" x14ac:dyDescent="0.25">
      <c r="A92" s="44" t="s">
        <v>326</v>
      </c>
      <c r="B92" s="44" t="s">
        <v>51</v>
      </c>
      <c r="C92" s="102" t="s">
        <v>4024</v>
      </c>
      <c r="D92" s="63" t="s">
        <v>159</v>
      </c>
      <c r="E92" s="44" t="s">
        <v>54</v>
      </c>
      <c r="F92" s="70">
        <f>'PLANILHA ORCAMENTARIA'!F225</f>
        <v>224.05</v>
      </c>
      <c r="G92" s="75">
        <f>'PLANILHA ORCAMENTARIA'!G225</f>
        <v>65.959999999999994</v>
      </c>
      <c r="H92" s="75">
        <f>'PLANILHA ORCAMENTARIA'!H225</f>
        <v>87.89</v>
      </c>
      <c r="I92" s="75">
        <f>ROUND('PLANILHA ORCAMENTARIA'!I225,2)</f>
        <v>14778.34</v>
      </c>
      <c r="J92" s="75">
        <f>ROUND('PLANILHA ORCAMENTARIA'!J225,2)</f>
        <v>19691.75</v>
      </c>
    </row>
    <row r="93" spans="1:10" ht="30" x14ac:dyDescent="0.25">
      <c r="A93" s="44" t="s">
        <v>327</v>
      </c>
      <c r="B93" s="44" t="s">
        <v>51</v>
      </c>
      <c r="C93" s="102" t="s">
        <v>4026</v>
      </c>
      <c r="D93" s="63" t="s">
        <v>166</v>
      </c>
      <c r="E93" s="44" t="s">
        <v>54</v>
      </c>
      <c r="F93" s="70">
        <f>'PLANILHA ORCAMENTARIA'!F226</f>
        <v>320.07</v>
      </c>
      <c r="G93" s="75">
        <f>'PLANILHA ORCAMENTARIA'!G226</f>
        <v>30.79</v>
      </c>
      <c r="H93" s="75">
        <f>'PLANILHA ORCAMENTARIA'!H226</f>
        <v>41.03</v>
      </c>
      <c r="I93" s="75">
        <f>ROUND('PLANILHA ORCAMENTARIA'!I226,2)</f>
        <v>9854.9599999999991</v>
      </c>
      <c r="J93" s="75">
        <f>ROUND('PLANILHA ORCAMENTARIA'!J226,2)</f>
        <v>13132.47</v>
      </c>
    </row>
    <row r="94" spans="1:10" ht="45" x14ac:dyDescent="0.25">
      <c r="A94" s="44" t="s">
        <v>328</v>
      </c>
      <c r="B94" s="44" t="s">
        <v>77</v>
      </c>
      <c r="C94" s="102" t="s">
        <v>4069</v>
      </c>
      <c r="D94" s="63" t="s">
        <v>330</v>
      </c>
      <c r="E94" s="44" t="s">
        <v>54</v>
      </c>
      <c r="F94" s="70">
        <f>'PLANILHA ORCAMENTARIA'!F227</f>
        <v>111.02</v>
      </c>
      <c r="G94" s="75">
        <f>'PLANILHA ORCAMENTARIA'!G227</f>
        <v>573.4</v>
      </c>
      <c r="H94" s="75">
        <f>'PLANILHA ORCAMENTARIA'!H227</f>
        <v>764.06</v>
      </c>
      <c r="I94" s="75">
        <f>ROUND('PLANILHA ORCAMENTARIA'!I227,2)</f>
        <v>63658.87</v>
      </c>
      <c r="J94" s="75">
        <f>ROUND('PLANILHA ORCAMENTARIA'!J227,2)</f>
        <v>84825.94</v>
      </c>
    </row>
    <row r="95" spans="1:10" ht="45" x14ac:dyDescent="0.25">
      <c r="A95" s="44" t="s">
        <v>331</v>
      </c>
      <c r="B95" s="44" t="s">
        <v>77</v>
      </c>
      <c r="C95" s="102" t="s">
        <v>4070</v>
      </c>
      <c r="D95" s="63" t="s">
        <v>333</v>
      </c>
      <c r="E95" s="44" t="s">
        <v>54</v>
      </c>
      <c r="F95" s="70">
        <f>'PLANILHA ORCAMENTARIA'!F228</f>
        <v>12.8</v>
      </c>
      <c r="G95" s="75">
        <f>'PLANILHA ORCAMENTARIA'!G228</f>
        <v>117.68</v>
      </c>
      <c r="H95" s="75">
        <f>'PLANILHA ORCAMENTARIA'!H228</f>
        <v>156.81</v>
      </c>
      <c r="I95" s="75">
        <f>ROUND('PLANILHA ORCAMENTARIA'!I228,2)</f>
        <v>1506.3</v>
      </c>
      <c r="J95" s="75">
        <f>ROUND('PLANILHA ORCAMENTARIA'!J228,2)</f>
        <v>2007.17</v>
      </c>
    </row>
    <row r="96" spans="1:10" ht="60" x14ac:dyDescent="0.25">
      <c r="A96" s="44" t="s">
        <v>334</v>
      </c>
      <c r="B96" s="44" t="s">
        <v>51</v>
      </c>
      <c r="C96" s="102" t="s">
        <v>4071</v>
      </c>
      <c r="D96" s="63" t="s">
        <v>336</v>
      </c>
      <c r="E96" s="44" t="s">
        <v>54</v>
      </c>
      <c r="F96" s="70">
        <f>'PLANILHA ORCAMENTARIA'!F229</f>
        <v>123.82</v>
      </c>
      <c r="G96" s="75">
        <f>'PLANILHA ORCAMENTARIA'!G229</f>
        <v>28.61</v>
      </c>
      <c r="H96" s="75">
        <f>'PLANILHA ORCAMENTARIA'!H229</f>
        <v>38.119999999999997</v>
      </c>
      <c r="I96" s="75">
        <f>ROUND('PLANILHA ORCAMENTARIA'!I229,2)</f>
        <v>3542.49</v>
      </c>
      <c r="J96" s="75">
        <f>ROUND('PLANILHA ORCAMENTARIA'!J229,2)</f>
        <v>4720.0200000000004</v>
      </c>
    </row>
    <row r="97" spans="1:10" ht="60" x14ac:dyDescent="0.25">
      <c r="A97" s="44" t="s">
        <v>337</v>
      </c>
      <c r="B97" s="44" t="s">
        <v>51</v>
      </c>
      <c r="C97" s="102" t="s">
        <v>4072</v>
      </c>
      <c r="D97" s="63" t="s">
        <v>339</v>
      </c>
      <c r="E97" s="44" t="s">
        <v>54</v>
      </c>
      <c r="F97" s="70">
        <f>'PLANILHA ORCAMENTARIA'!F230</f>
        <v>27.18</v>
      </c>
      <c r="G97" s="75">
        <f>'PLANILHA ORCAMENTARIA'!G230</f>
        <v>25.15</v>
      </c>
      <c r="H97" s="75">
        <f>'PLANILHA ORCAMENTARIA'!H230</f>
        <v>33.51</v>
      </c>
      <c r="I97" s="75">
        <f>ROUND('PLANILHA ORCAMENTARIA'!I230,2)</f>
        <v>683.58</v>
      </c>
      <c r="J97" s="75">
        <f>ROUND('PLANILHA ORCAMENTARIA'!J230,2)</f>
        <v>910.8</v>
      </c>
    </row>
    <row r="98" spans="1:10" ht="30" x14ac:dyDescent="0.25">
      <c r="A98" s="44" t="s">
        <v>340</v>
      </c>
      <c r="B98" s="44" t="s">
        <v>341</v>
      </c>
      <c r="C98" s="102" t="s">
        <v>4073</v>
      </c>
      <c r="D98" s="63" t="s">
        <v>343</v>
      </c>
      <c r="E98" s="44" t="s">
        <v>54</v>
      </c>
      <c r="F98" s="70">
        <f>'PLANILHA ORCAMENTARIA'!F231</f>
        <v>14.4</v>
      </c>
      <c r="G98" s="75">
        <f>'PLANILHA ORCAMENTARIA'!G231</f>
        <v>354.24</v>
      </c>
      <c r="H98" s="75">
        <f>'PLANILHA ORCAMENTARIA'!H231</f>
        <v>472.02</v>
      </c>
      <c r="I98" s="75">
        <f>ROUND('PLANILHA ORCAMENTARIA'!I231,2)</f>
        <v>5101.0600000000004</v>
      </c>
      <c r="J98" s="75">
        <f>ROUND('PLANILHA ORCAMENTARIA'!J231,2)</f>
        <v>6797.09</v>
      </c>
    </row>
    <row r="99" spans="1:10" ht="30" x14ac:dyDescent="0.25">
      <c r="A99" s="44" t="s">
        <v>344</v>
      </c>
      <c r="B99" s="44" t="s">
        <v>341</v>
      </c>
      <c r="C99" s="102" t="s">
        <v>4074</v>
      </c>
      <c r="D99" s="63" t="s">
        <v>346</v>
      </c>
      <c r="E99" s="44" t="s">
        <v>54</v>
      </c>
      <c r="F99" s="70">
        <f>'PLANILHA ORCAMENTARIA'!F232</f>
        <v>14.4</v>
      </c>
      <c r="G99" s="75">
        <f>'PLANILHA ORCAMENTARIA'!G232</f>
        <v>158.35</v>
      </c>
      <c r="H99" s="75">
        <f>'PLANILHA ORCAMENTARIA'!H232</f>
        <v>211</v>
      </c>
      <c r="I99" s="75">
        <f>ROUND('PLANILHA ORCAMENTARIA'!I232,2)</f>
        <v>2280.2399999999998</v>
      </c>
      <c r="J99" s="75">
        <f>ROUND('PLANILHA ORCAMENTARIA'!J232,2)</f>
        <v>3038.4</v>
      </c>
    </row>
    <row r="100" spans="1:10" ht="45" x14ac:dyDescent="0.25">
      <c r="A100" s="44" t="s">
        <v>349</v>
      </c>
      <c r="B100" s="44" t="s">
        <v>51</v>
      </c>
      <c r="C100" s="102" t="s">
        <v>4075</v>
      </c>
      <c r="D100" s="63" t="s">
        <v>351</v>
      </c>
      <c r="E100" s="44" t="s">
        <v>54</v>
      </c>
      <c r="F100" s="70">
        <f>'PLANILHA ORCAMENTARIA'!F234</f>
        <v>13.09</v>
      </c>
      <c r="G100" s="75">
        <f>'PLANILHA ORCAMENTARIA'!G234</f>
        <v>11.92</v>
      </c>
      <c r="H100" s="75">
        <f>'PLANILHA ORCAMENTARIA'!H234</f>
        <v>15.88</v>
      </c>
      <c r="I100" s="75">
        <f>ROUND('PLANILHA ORCAMENTARIA'!I234,2)</f>
        <v>156.03</v>
      </c>
      <c r="J100" s="75">
        <f>ROUND('PLANILHA ORCAMENTARIA'!J234,2)</f>
        <v>207.87</v>
      </c>
    </row>
    <row r="101" spans="1:10" ht="45" x14ac:dyDescent="0.25">
      <c r="A101" s="44" t="s">
        <v>352</v>
      </c>
      <c r="B101" s="44" t="s">
        <v>77</v>
      </c>
      <c r="C101" s="102" t="s">
        <v>4076</v>
      </c>
      <c r="D101" s="63" t="s">
        <v>354</v>
      </c>
      <c r="E101" s="44" t="s">
        <v>54</v>
      </c>
      <c r="F101" s="70">
        <f>'PLANILHA ORCAMENTARIA'!F235</f>
        <v>13.09</v>
      </c>
      <c r="G101" s="75">
        <f>'PLANILHA ORCAMENTARIA'!G235</f>
        <v>103.34</v>
      </c>
      <c r="H101" s="75">
        <f>'PLANILHA ORCAMENTARIA'!H235</f>
        <v>137.69999999999999</v>
      </c>
      <c r="I101" s="75">
        <f>ROUND('PLANILHA ORCAMENTARIA'!I235,2)</f>
        <v>1352.72</v>
      </c>
      <c r="J101" s="75">
        <f>ROUND('PLANILHA ORCAMENTARIA'!J235,2)</f>
        <v>1802.49</v>
      </c>
    </row>
    <row r="102" spans="1:10" ht="60" x14ac:dyDescent="0.25">
      <c r="A102" s="44" t="s">
        <v>355</v>
      </c>
      <c r="B102" s="44" t="s">
        <v>51</v>
      </c>
      <c r="C102" s="102" t="s">
        <v>4021</v>
      </c>
      <c r="D102" s="63" t="s">
        <v>119</v>
      </c>
      <c r="E102" s="44" t="s">
        <v>89</v>
      </c>
      <c r="F102" s="70">
        <f>'PLANILHA ORCAMENTARIA'!F236</f>
        <v>0.26</v>
      </c>
      <c r="G102" s="75">
        <f>'PLANILHA ORCAMENTARIA'!G236</f>
        <v>89.06</v>
      </c>
      <c r="H102" s="75">
        <f>'PLANILHA ORCAMENTARIA'!H236</f>
        <v>118.67</v>
      </c>
      <c r="I102" s="75">
        <f>ROUND('PLANILHA ORCAMENTARIA'!I236,2)</f>
        <v>23.16</v>
      </c>
      <c r="J102" s="75">
        <f>ROUND('PLANILHA ORCAMENTARIA'!J236,2)</f>
        <v>30.85</v>
      </c>
    </row>
    <row r="103" spans="1:10" ht="45" x14ac:dyDescent="0.25">
      <c r="A103" s="44" t="s">
        <v>358</v>
      </c>
      <c r="B103" s="44" t="s">
        <v>77</v>
      </c>
      <c r="C103" s="102" t="s">
        <v>4076</v>
      </c>
      <c r="D103" s="63" t="s">
        <v>354</v>
      </c>
      <c r="E103" s="44" t="s">
        <v>54</v>
      </c>
      <c r="F103" s="70">
        <f>'PLANILHA ORCAMENTARIA'!F238</f>
        <v>49.84</v>
      </c>
      <c r="G103" s="75">
        <f>'PLANILHA ORCAMENTARIA'!G238</f>
        <v>103.34</v>
      </c>
      <c r="H103" s="75">
        <f>'PLANILHA ORCAMENTARIA'!H238</f>
        <v>137.69999999999999</v>
      </c>
      <c r="I103" s="75">
        <f>ROUND('PLANILHA ORCAMENTARIA'!I238,2)</f>
        <v>5150.47</v>
      </c>
      <c r="J103" s="75">
        <f>ROUND('PLANILHA ORCAMENTARIA'!J238,2)</f>
        <v>6862.97</v>
      </c>
    </row>
    <row r="104" spans="1:10" ht="30" x14ac:dyDescent="0.25">
      <c r="A104" s="44" t="s">
        <v>359</v>
      </c>
      <c r="B104" s="44" t="s">
        <v>341</v>
      </c>
      <c r="C104" s="102" t="s">
        <v>4077</v>
      </c>
      <c r="D104" s="63" t="s">
        <v>361</v>
      </c>
      <c r="E104" s="44" t="s">
        <v>72</v>
      </c>
      <c r="F104" s="70">
        <f>'PLANILHA ORCAMENTARIA'!F239</f>
        <v>13.24</v>
      </c>
      <c r="G104" s="75">
        <f>'PLANILHA ORCAMENTARIA'!G239</f>
        <v>123.16</v>
      </c>
      <c r="H104" s="75">
        <f>'PLANILHA ORCAMENTARIA'!H239</f>
        <v>164.11</v>
      </c>
      <c r="I104" s="75">
        <f>ROUND('PLANILHA ORCAMENTARIA'!I239,2)</f>
        <v>1630.64</v>
      </c>
      <c r="J104" s="75">
        <f>ROUND('PLANILHA ORCAMENTARIA'!J239,2)</f>
        <v>2172.8200000000002</v>
      </c>
    </row>
    <row r="105" spans="1:10" ht="45" x14ac:dyDescent="0.25">
      <c r="A105" s="44" t="s">
        <v>364</v>
      </c>
      <c r="B105" s="44" t="s">
        <v>77</v>
      </c>
      <c r="C105" s="102" t="s">
        <v>4078</v>
      </c>
      <c r="D105" s="63" t="s">
        <v>366</v>
      </c>
      <c r="E105" s="44" t="s">
        <v>54</v>
      </c>
      <c r="F105" s="70">
        <f>'PLANILHA ORCAMENTARIA'!F241</f>
        <v>13.11</v>
      </c>
      <c r="G105" s="75">
        <f>'PLANILHA ORCAMENTARIA'!G241</f>
        <v>462.37</v>
      </c>
      <c r="H105" s="75">
        <f>'PLANILHA ORCAMENTARIA'!H241</f>
        <v>616.11</v>
      </c>
      <c r="I105" s="75">
        <f>ROUND('PLANILHA ORCAMENTARIA'!I241,2)</f>
        <v>6061.67</v>
      </c>
      <c r="J105" s="75">
        <f>ROUND('PLANILHA ORCAMENTARIA'!J241,2)</f>
        <v>8077.2</v>
      </c>
    </row>
    <row r="106" spans="1:10" ht="30" x14ac:dyDescent="0.25">
      <c r="A106" s="44" t="s">
        <v>367</v>
      </c>
      <c r="B106" s="44" t="s">
        <v>51</v>
      </c>
      <c r="C106" s="102" t="s">
        <v>4067</v>
      </c>
      <c r="D106" s="63" t="s">
        <v>322</v>
      </c>
      <c r="E106" s="44" t="s">
        <v>54</v>
      </c>
      <c r="F106" s="70">
        <f>'PLANILHA ORCAMENTARIA'!F242</f>
        <v>9.6999999999999993</v>
      </c>
      <c r="G106" s="75">
        <f>'PLANILHA ORCAMENTARIA'!G242</f>
        <v>9.4499999999999993</v>
      </c>
      <c r="H106" s="75">
        <f>'PLANILHA ORCAMENTARIA'!H242</f>
        <v>12.59</v>
      </c>
      <c r="I106" s="75">
        <f>ROUND('PLANILHA ORCAMENTARIA'!I242,2)</f>
        <v>91.67</v>
      </c>
      <c r="J106" s="75">
        <f>ROUND('PLANILHA ORCAMENTARIA'!J242,2)</f>
        <v>122.12</v>
      </c>
    </row>
    <row r="107" spans="1:10" ht="30" x14ac:dyDescent="0.25">
      <c r="A107" s="44" t="s">
        <v>368</v>
      </c>
      <c r="B107" s="44" t="s">
        <v>51</v>
      </c>
      <c r="C107" s="102" t="s">
        <v>4026</v>
      </c>
      <c r="D107" s="63" t="s">
        <v>166</v>
      </c>
      <c r="E107" s="44" t="s">
        <v>54</v>
      </c>
      <c r="F107" s="70">
        <f>'PLANILHA ORCAMENTARIA'!F243</f>
        <v>9.6999999999999993</v>
      </c>
      <c r="G107" s="75">
        <f>'PLANILHA ORCAMENTARIA'!G243</f>
        <v>30.79</v>
      </c>
      <c r="H107" s="75">
        <f>'PLANILHA ORCAMENTARIA'!H243</f>
        <v>41.03</v>
      </c>
      <c r="I107" s="75">
        <f>ROUND('PLANILHA ORCAMENTARIA'!I243,2)</f>
        <v>298.66000000000003</v>
      </c>
      <c r="J107" s="75">
        <f>ROUND('PLANILHA ORCAMENTARIA'!J243,2)</f>
        <v>397.99</v>
      </c>
    </row>
    <row r="108" spans="1:10" ht="30" x14ac:dyDescent="0.25">
      <c r="A108" s="44" t="s">
        <v>369</v>
      </c>
      <c r="B108" s="44" t="s">
        <v>51</v>
      </c>
      <c r="C108" s="102" t="s">
        <v>4079</v>
      </c>
      <c r="D108" s="63" t="s">
        <v>371</v>
      </c>
      <c r="E108" s="44" t="s">
        <v>54</v>
      </c>
      <c r="F108" s="70">
        <f>'PLANILHA ORCAMENTARIA'!F244</f>
        <v>4.3</v>
      </c>
      <c r="G108" s="75">
        <f>'PLANILHA ORCAMENTARIA'!G244</f>
        <v>3.38</v>
      </c>
      <c r="H108" s="75">
        <f>'PLANILHA ORCAMENTARIA'!H244</f>
        <v>4.5</v>
      </c>
      <c r="I108" s="75">
        <f>ROUND('PLANILHA ORCAMENTARIA'!I244,2)</f>
        <v>14.53</v>
      </c>
      <c r="J108" s="75">
        <f>ROUND('PLANILHA ORCAMENTARIA'!J244,2)</f>
        <v>19.350000000000001</v>
      </c>
    </row>
    <row r="109" spans="1:10" ht="45" x14ac:dyDescent="0.25">
      <c r="A109" s="44" t="s">
        <v>372</v>
      </c>
      <c r="B109" s="44" t="s">
        <v>82</v>
      </c>
      <c r="C109" s="102" t="s">
        <v>4080</v>
      </c>
      <c r="D109" s="63" t="s">
        <v>374</v>
      </c>
      <c r="E109" s="44" t="s">
        <v>85</v>
      </c>
      <c r="F109" s="70">
        <f>'PLANILHA ORCAMENTARIA'!F245</f>
        <v>0.95</v>
      </c>
      <c r="G109" s="75">
        <f>'PLANILHA ORCAMENTARIA'!G245</f>
        <v>4396.8100000000004</v>
      </c>
      <c r="H109" s="75">
        <f>'PLANILHA ORCAMENTARIA'!H245</f>
        <v>5858.75</v>
      </c>
      <c r="I109" s="75">
        <f>ROUND('PLANILHA ORCAMENTARIA'!I245,2)</f>
        <v>4176.97</v>
      </c>
      <c r="J109" s="75">
        <f>ROUND('PLANILHA ORCAMENTARIA'!J245,2)</f>
        <v>5565.81</v>
      </c>
    </row>
    <row r="110" spans="1:10" ht="60" x14ac:dyDescent="0.25">
      <c r="A110" s="44" t="s">
        <v>375</v>
      </c>
      <c r="B110" s="44" t="s">
        <v>51</v>
      </c>
      <c r="C110" s="102" t="s">
        <v>4021</v>
      </c>
      <c r="D110" s="63" t="s">
        <v>119</v>
      </c>
      <c r="E110" s="44" t="s">
        <v>89</v>
      </c>
      <c r="F110" s="70">
        <f>'PLANILHA ORCAMENTARIA'!F246</f>
        <v>0.06</v>
      </c>
      <c r="G110" s="75">
        <f>'PLANILHA ORCAMENTARIA'!G246</f>
        <v>89.06</v>
      </c>
      <c r="H110" s="75">
        <f>'PLANILHA ORCAMENTARIA'!H246</f>
        <v>118.67</v>
      </c>
      <c r="I110" s="75">
        <f>ROUND('PLANILHA ORCAMENTARIA'!I246,2)</f>
        <v>5.34</v>
      </c>
      <c r="J110" s="75">
        <f>ROUND('PLANILHA ORCAMENTARIA'!J246,2)</f>
        <v>7.12</v>
      </c>
    </row>
    <row r="111" spans="1:10" ht="30" x14ac:dyDescent="0.25">
      <c r="A111" s="44" t="s">
        <v>378</v>
      </c>
      <c r="B111" s="44" t="s">
        <v>51</v>
      </c>
      <c r="C111" s="102" t="s">
        <v>4067</v>
      </c>
      <c r="D111" s="63" t="s">
        <v>322</v>
      </c>
      <c r="E111" s="44" t="s">
        <v>54</v>
      </c>
      <c r="F111" s="70">
        <f>'PLANILHA ORCAMENTARIA'!F248</f>
        <v>109.12</v>
      </c>
      <c r="G111" s="75">
        <f>'PLANILHA ORCAMENTARIA'!G248</f>
        <v>9.4499999999999993</v>
      </c>
      <c r="H111" s="75">
        <f>'PLANILHA ORCAMENTARIA'!H248</f>
        <v>12.59</v>
      </c>
      <c r="I111" s="75">
        <f>ROUND('PLANILHA ORCAMENTARIA'!I248,2)</f>
        <v>1031.18</v>
      </c>
      <c r="J111" s="75">
        <f>ROUND('PLANILHA ORCAMENTARIA'!J248,2)</f>
        <v>1373.82</v>
      </c>
    </row>
    <row r="112" spans="1:10" ht="30" x14ac:dyDescent="0.25">
      <c r="A112" s="44" t="s">
        <v>379</v>
      </c>
      <c r="B112" s="44" t="s">
        <v>51</v>
      </c>
      <c r="C112" s="102" t="s">
        <v>4068</v>
      </c>
      <c r="D112" s="63" t="s">
        <v>325</v>
      </c>
      <c r="E112" s="44" t="s">
        <v>54</v>
      </c>
      <c r="F112" s="70">
        <f>'PLANILHA ORCAMENTARIA'!F249</f>
        <v>109.12</v>
      </c>
      <c r="G112" s="75">
        <f>'PLANILHA ORCAMENTARIA'!G249</f>
        <v>10.73</v>
      </c>
      <c r="H112" s="75">
        <f>'PLANILHA ORCAMENTARIA'!H249</f>
        <v>14.3</v>
      </c>
      <c r="I112" s="75">
        <f>ROUND('PLANILHA ORCAMENTARIA'!I249,2)</f>
        <v>1170.8599999999999</v>
      </c>
      <c r="J112" s="75">
        <f>ROUND('PLANILHA ORCAMENTARIA'!J249,2)</f>
        <v>1560.42</v>
      </c>
    </row>
    <row r="113" spans="1:10" ht="45" x14ac:dyDescent="0.25">
      <c r="A113" s="44" t="s">
        <v>380</v>
      </c>
      <c r="B113" s="44" t="s">
        <v>51</v>
      </c>
      <c r="C113" s="102" t="s">
        <v>4081</v>
      </c>
      <c r="D113" s="63" t="s">
        <v>382</v>
      </c>
      <c r="E113" s="44" t="s">
        <v>54</v>
      </c>
      <c r="F113" s="70">
        <f>'PLANILHA ORCAMENTARIA'!F250</f>
        <v>23.16</v>
      </c>
      <c r="G113" s="75">
        <f>'PLANILHA ORCAMENTARIA'!G250</f>
        <v>42.98</v>
      </c>
      <c r="H113" s="75">
        <f>'PLANILHA ORCAMENTARIA'!H250</f>
        <v>57.27</v>
      </c>
      <c r="I113" s="75">
        <f>ROUND('PLANILHA ORCAMENTARIA'!I250,2)</f>
        <v>995.42</v>
      </c>
      <c r="J113" s="75">
        <f>ROUND('PLANILHA ORCAMENTARIA'!J250,2)</f>
        <v>1326.37</v>
      </c>
    </row>
    <row r="114" spans="1:10" ht="45" x14ac:dyDescent="0.25">
      <c r="A114" s="44" t="s">
        <v>383</v>
      </c>
      <c r="B114" s="44" t="s">
        <v>51</v>
      </c>
      <c r="C114" s="102" t="s">
        <v>4024</v>
      </c>
      <c r="D114" s="63" t="s">
        <v>159</v>
      </c>
      <c r="E114" s="44" t="s">
        <v>54</v>
      </c>
      <c r="F114" s="70">
        <f>'PLANILHA ORCAMENTARIA'!F251</f>
        <v>109.12</v>
      </c>
      <c r="G114" s="75">
        <f>'PLANILHA ORCAMENTARIA'!G251</f>
        <v>65.959999999999994</v>
      </c>
      <c r="H114" s="75">
        <f>'PLANILHA ORCAMENTARIA'!H251</f>
        <v>87.89</v>
      </c>
      <c r="I114" s="75">
        <f>ROUND('PLANILHA ORCAMENTARIA'!I251,2)</f>
        <v>7197.56</v>
      </c>
      <c r="J114" s="75">
        <f>ROUND('PLANILHA ORCAMENTARIA'!J251,2)</f>
        <v>9590.56</v>
      </c>
    </row>
    <row r="115" spans="1:10" ht="30" x14ac:dyDescent="0.25">
      <c r="A115" s="44" t="s">
        <v>384</v>
      </c>
      <c r="B115" s="44" t="s">
        <v>51</v>
      </c>
      <c r="C115" s="102" t="s">
        <v>4026</v>
      </c>
      <c r="D115" s="63" t="s">
        <v>166</v>
      </c>
      <c r="E115" s="44" t="s">
        <v>54</v>
      </c>
      <c r="F115" s="70">
        <f>'PLANILHA ORCAMENTARIA'!F252</f>
        <v>109.12</v>
      </c>
      <c r="G115" s="75">
        <f>'PLANILHA ORCAMENTARIA'!G252</f>
        <v>30.79</v>
      </c>
      <c r="H115" s="75">
        <f>'PLANILHA ORCAMENTARIA'!H252</f>
        <v>41.03</v>
      </c>
      <c r="I115" s="75">
        <f>ROUND('PLANILHA ORCAMENTARIA'!I252,2)</f>
        <v>3359.8</v>
      </c>
      <c r="J115" s="75">
        <f>ROUND('PLANILHA ORCAMENTARIA'!J252,2)</f>
        <v>4477.1899999999996</v>
      </c>
    </row>
    <row r="116" spans="1:10" ht="60" x14ac:dyDescent="0.25">
      <c r="A116" s="44" t="s">
        <v>385</v>
      </c>
      <c r="B116" s="44" t="s">
        <v>51</v>
      </c>
      <c r="C116" s="102" t="s">
        <v>4072</v>
      </c>
      <c r="D116" s="63" t="s">
        <v>339</v>
      </c>
      <c r="E116" s="44" t="s">
        <v>54</v>
      </c>
      <c r="F116" s="70">
        <f>'PLANILHA ORCAMENTARIA'!F253</f>
        <v>25.4</v>
      </c>
      <c r="G116" s="75">
        <f>'PLANILHA ORCAMENTARIA'!G253</f>
        <v>25.15</v>
      </c>
      <c r="H116" s="75">
        <f>'PLANILHA ORCAMENTARIA'!H253</f>
        <v>33.51</v>
      </c>
      <c r="I116" s="75">
        <f>ROUND('PLANILHA ORCAMENTARIA'!I253,2)</f>
        <v>638.80999999999995</v>
      </c>
      <c r="J116" s="75">
        <f>ROUND('PLANILHA ORCAMENTARIA'!J253,2)</f>
        <v>851.15</v>
      </c>
    </row>
    <row r="117" spans="1:10" ht="60" x14ac:dyDescent="0.25">
      <c r="A117" s="44" t="s">
        <v>386</v>
      </c>
      <c r="B117" s="44" t="s">
        <v>51</v>
      </c>
      <c r="C117" s="102" t="s">
        <v>4021</v>
      </c>
      <c r="D117" s="63" t="s">
        <v>119</v>
      </c>
      <c r="E117" s="44" t="s">
        <v>89</v>
      </c>
      <c r="F117" s="70">
        <f>'PLANILHA ORCAMENTARIA'!F254</f>
        <v>2.93</v>
      </c>
      <c r="G117" s="75">
        <f>'PLANILHA ORCAMENTARIA'!G254</f>
        <v>89.06</v>
      </c>
      <c r="H117" s="75">
        <f>'PLANILHA ORCAMENTARIA'!H254</f>
        <v>118.67</v>
      </c>
      <c r="I117" s="75">
        <f>ROUND('PLANILHA ORCAMENTARIA'!I254,2)</f>
        <v>260.95</v>
      </c>
      <c r="J117" s="75">
        <f>ROUND('PLANILHA ORCAMENTARIA'!J254,2)</f>
        <v>347.7</v>
      </c>
    </row>
    <row r="118" spans="1:10" ht="30" x14ac:dyDescent="0.25">
      <c r="A118" s="44" t="s">
        <v>388</v>
      </c>
      <c r="B118" s="44" t="s">
        <v>51</v>
      </c>
      <c r="C118" s="102" t="s">
        <v>4067</v>
      </c>
      <c r="D118" s="63" t="s">
        <v>322</v>
      </c>
      <c r="E118" s="44" t="s">
        <v>54</v>
      </c>
      <c r="F118" s="70">
        <f>'PLANILHA ORCAMENTARIA'!F256</f>
        <v>43.63</v>
      </c>
      <c r="G118" s="75">
        <f>'PLANILHA ORCAMENTARIA'!G256</f>
        <v>9.4499999999999993</v>
      </c>
      <c r="H118" s="75">
        <f>'PLANILHA ORCAMENTARIA'!H256</f>
        <v>12.59</v>
      </c>
      <c r="I118" s="75">
        <f>ROUND('PLANILHA ORCAMENTARIA'!I256,2)</f>
        <v>412.3</v>
      </c>
      <c r="J118" s="75">
        <f>ROUND('PLANILHA ORCAMENTARIA'!J256,2)</f>
        <v>549.29999999999995</v>
      </c>
    </row>
    <row r="119" spans="1:10" ht="30" x14ac:dyDescent="0.25">
      <c r="A119" s="44" t="s">
        <v>389</v>
      </c>
      <c r="B119" s="44" t="s">
        <v>51</v>
      </c>
      <c r="C119" s="102" t="s">
        <v>4068</v>
      </c>
      <c r="D119" s="63" t="s">
        <v>325</v>
      </c>
      <c r="E119" s="44" t="s">
        <v>54</v>
      </c>
      <c r="F119" s="70">
        <f>'PLANILHA ORCAMENTARIA'!F257</f>
        <v>43.63</v>
      </c>
      <c r="G119" s="75">
        <f>'PLANILHA ORCAMENTARIA'!G257</f>
        <v>10.73</v>
      </c>
      <c r="H119" s="75">
        <f>'PLANILHA ORCAMENTARIA'!H257</f>
        <v>14.3</v>
      </c>
      <c r="I119" s="75">
        <f>ROUND('PLANILHA ORCAMENTARIA'!I257,2)</f>
        <v>468.15</v>
      </c>
      <c r="J119" s="75">
        <f>ROUND('PLANILHA ORCAMENTARIA'!J257,2)</f>
        <v>623.91</v>
      </c>
    </row>
    <row r="120" spans="1:10" ht="45" x14ac:dyDescent="0.25">
      <c r="A120" s="44" t="s">
        <v>390</v>
      </c>
      <c r="B120" s="44" t="s">
        <v>51</v>
      </c>
      <c r="C120" s="102" t="s">
        <v>4081</v>
      </c>
      <c r="D120" s="63" t="s">
        <v>382</v>
      </c>
      <c r="E120" s="44" t="s">
        <v>54</v>
      </c>
      <c r="F120" s="70">
        <f>'PLANILHA ORCAMENTARIA'!F258</f>
        <v>18.899999999999999</v>
      </c>
      <c r="G120" s="75">
        <f>'PLANILHA ORCAMENTARIA'!G258</f>
        <v>42.98</v>
      </c>
      <c r="H120" s="75">
        <f>'PLANILHA ORCAMENTARIA'!H258</f>
        <v>57.27</v>
      </c>
      <c r="I120" s="75">
        <f>ROUND('PLANILHA ORCAMENTARIA'!I258,2)</f>
        <v>812.32</v>
      </c>
      <c r="J120" s="75">
        <f>ROUND('PLANILHA ORCAMENTARIA'!J258,2)</f>
        <v>1082.4000000000001</v>
      </c>
    </row>
    <row r="121" spans="1:10" ht="45" x14ac:dyDescent="0.25">
      <c r="A121" s="44" t="s">
        <v>391</v>
      </c>
      <c r="B121" s="44" t="s">
        <v>51</v>
      </c>
      <c r="C121" s="102" t="s">
        <v>4024</v>
      </c>
      <c r="D121" s="63" t="s">
        <v>159</v>
      </c>
      <c r="E121" s="44" t="s">
        <v>54</v>
      </c>
      <c r="F121" s="70">
        <f>'PLANILHA ORCAMENTARIA'!F259</f>
        <v>43.63</v>
      </c>
      <c r="G121" s="75">
        <f>'PLANILHA ORCAMENTARIA'!G259</f>
        <v>65.959999999999994</v>
      </c>
      <c r="H121" s="75">
        <f>'PLANILHA ORCAMENTARIA'!H259</f>
        <v>87.89</v>
      </c>
      <c r="I121" s="75">
        <f>ROUND('PLANILHA ORCAMENTARIA'!I259,2)</f>
        <v>2877.83</v>
      </c>
      <c r="J121" s="75">
        <f>ROUND('PLANILHA ORCAMENTARIA'!J259,2)</f>
        <v>3834.64</v>
      </c>
    </row>
    <row r="122" spans="1:10" ht="30" x14ac:dyDescent="0.25">
      <c r="A122" s="44" t="s">
        <v>392</v>
      </c>
      <c r="B122" s="44" t="s">
        <v>51</v>
      </c>
      <c r="C122" s="102" t="s">
        <v>4026</v>
      </c>
      <c r="D122" s="63" t="s">
        <v>166</v>
      </c>
      <c r="E122" s="44" t="s">
        <v>54</v>
      </c>
      <c r="F122" s="70">
        <f>'PLANILHA ORCAMENTARIA'!F260</f>
        <v>43.63</v>
      </c>
      <c r="G122" s="75">
        <f>'PLANILHA ORCAMENTARIA'!G260</f>
        <v>30.79</v>
      </c>
      <c r="H122" s="75">
        <f>'PLANILHA ORCAMENTARIA'!H260</f>
        <v>41.03</v>
      </c>
      <c r="I122" s="75">
        <f>ROUND('PLANILHA ORCAMENTARIA'!I260,2)</f>
        <v>1343.37</v>
      </c>
      <c r="J122" s="75">
        <f>ROUND('PLANILHA ORCAMENTARIA'!J260,2)</f>
        <v>1790.14</v>
      </c>
    </row>
    <row r="123" spans="1:10" ht="60" x14ac:dyDescent="0.25">
      <c r="A123" s="44" t="s">
        <v>393</v>
      </c>
      <c r="B123" s="44" t="s">
        <v>51</v>
      </c>
      <c r="C123" s="102" t="s">
        <v>4072</v>
      </c>
      <c r="D123" s="63" t="s">
        <v>339</v>
      </c>
      <c r="E123" s="44" t="s">
        <v>54</v>
      </c>
      <c r="F123" s="70">
        <f>'PLANILHA ORCAMENTARIA'!F261</f>
        <v>20.100000000000001</v>
      </c>
      <c r="G123" s="75">
        <f>'PLANILHA ORCAMENTARIA'!G261</f>
        <v>25.15</v>
      </c>
      <c r="H123" s="75">
        <f>'PLANILHA ORCAMENTARIA'!H261</f>
        <v>33.51</v>
      </c>
      <c r="I123" s="75">
        <f>ROUND('PLANILHA ORCAMENTARIA'!I261,2)</f>
        <v>505.52</v>
      </c>
      <c r="J123" s="75">
        <f>ROUND('PLANILHA ORCAMENTARIA'!J261,2)</f>
        <v>673.55</v>
      </c>
    </row>
    <row r="124" spans="1:10" ht="60" x14ac:dyDescent="0.25">
      <c r="A124" s="44" t="s">
        <v>394</v>
      </c>
      <c r="B124" s="44" t="s">
        <v>51</v>
      </c>
      <c r="C124" s="102" t="s">
        <v>4021</v>
      </c>
      <c r="D124" s="63" t="s">
        <v>119</v>
      </c>
      <c r="E124" s="44" t="s">
        <v>89</v>
      </c>
      <c r="F124" s="70">
        <f>'PLANILHA ORCAMENTARIA'!F262</f>
        <v>1.0900000000000001</v>
      </c>
      <c r="G124" s="75">
        <f>'PLANILHA ORCAMENTARIA'!G262</f>
        <v>89.06</v>
      </c>
      <c r="H124" s="75">
        <f>'PLANILHA ORCAMENTARIA'!H262</f>
        <v>118.67</v>
      </c>
      <c r="I124" s="75">
        <f>ROUND('PLANILHA ORCAMENTARIA'!I262,2)</f>
        <v>97.08</v>
      </c>
      <c r="J124" s="75">
        <f>ROUND('PLANILHA ORCAMENTARIA'!J262,2)</f>
        <v>129.35</v>
      </c>
    </row>
    <row r="125" spans="1:10" ht="30" x14ac:dyDescent="0.25">
      <c r="A125" s="44" t="s">
        <v>395</v>
      </c>
      <c r="B125" s="44" t="s">
        <v>341</v>
      </c>
      <c r="C125" s="102" t="s">
        <v>4073</v>
      </c>
      <c r="D125" s="63" t="s">
        <v>343</v>
      </c>
      <c r="E125" s="44" t="s">
        <v>54</v>
      </c>
      <c r="F125" s="70">
        <f>'PLANILHA ORCAMENTARIA'!F263</f>
        <v>39.36</v>
      </c>
      <c r="G125" s="75">
        <f>'PLANILHA ORCAMENTARIA'!G263</f>
        <v>354.24</v>
      </c>
      <c r="H125" s="75">
        <f>'PLANILHA ORCAMENTARIA'!H263</f>
        <v>472.02</v>
      </c>
      <c r="I125" s="75">
        <f>ROUND('PLANILHA ORCAMENTARIA'!I263,2)</f>
        <v>13942.89</v>
      </c>
      <c r="J125" s="75">
        <f>ROUND('PLANILHA ORCAMENTARIA'!J263,2)</f>
        <v>18578.71</v>
      </c>
    </row>
    <row r="126" spans="1:10" ht="30" x14ac:dyDescent="0.25">
      <c r="A126" s="44" t="s">
        <v>396</v>
      </c>
      <c r="B126" s="44" t="s">
        <v>341</v>
      </c>
      <c r="C126" s="102" t="s">
        <v>4074</v>
      </c>
      <c r="D126" s="63" t="s">
        <v>346</v>
      </c>
      <c r="E126" s="44" t="s">
        <v>54</v>
      </c>
      <c r="F126" s="70">
        <f>'PLANILHA ORCAMENTARIA'!F264</f>
        <v>39.36</v>
      </c>
      <c r="G126" s="75">
        <f>'PLANILHA ORCAMENTARIA'!G264</f>
        <v>158.35</v>
      </c>
      <c r="H126" s="75">
        <f>'PLANILHA ORCAMENTARIA'!H264</f>
        <v>211</v>
      </c>
      <c r="I126" s="75">
        <f>ROUND('PLANILHA ORCAMENTARIA'!I264,2)</f>
        <v>6232.66</v>
      </c>
      <c r="J126" s="75">
        <f>ROUND('PLANILHA ORCAMENTARIA'!J264,2)</f>
        <v>8304.9599999999991</v>
      </c>
    </row>
    <row r="127" spans="1:10" ht="30" x14ac:dyDescent="0.25">
      <c r="A127" s="44" t="s">
        <v>398</v>
      </c>
      <c r="B127" s="44" t="s">
        <v>51</v>
      </c>
      <c r="C127" s="102" t="s">
        <v>4067</v>
      </c>
      <c r="D127" s="63" t="s">
        <v>322</v>
      </c>
      <c r="E127" s="44" t="s">
        <v>54</v>
      </c>
      <c r="F127" s="70">
        <f>'PLANILHA ORCAMENTARIA'!F266</f>
        <v>72.81</v>
      </c>
      <c r="G127" s="75">
        <f>'PLANILHA ORCAMENTARIA'!G266</f>
        <v>9.4499999999999993</v>
      </c>
      <c r="H127" s="75">
        <f>'PLANILHA ORCAMENTARIA'!H266</f>
        <v>12.59</v>
      </c>
      <c r="I127" s="75">
        <f>ROUND('PLANILHA ORCAMENTARIA'!I266,2)</f>
        <v>688.05</v>
      </c>
      <c r="J127" s="75">
        <f>ROUND('PLANILHA ORCAMENTARIA'!J266,2)</f>
        <v>916.68</v>
      </c>
    </row>
    <row r="128" spans="1:10" ht="30" x14ac:dyDescent="0.25">
      <c r="A128" s="44" t="s">
        <v>399</v>
      </c>
      <c r="B128" s="44" t="s">
        <v>51</v>
      </c>
      <c r="C128" s="102" t="s">
        <v>4068</v>
      </c>
      <c r="D128" s="63" t="s">
        <v>325</v>
      </c>
      <c r="E128" s="44" t="s">
        <v>54</v>
      </c>
      <c r="F128" s="70">
        <f>'PLANILHA ORCAMENTARIA'!F267</f>
        <v>41.45</v>
      </c>
      <c r="G128" s="75">
        <f>'PLANILHA ORCAMENTARIA'!G267</f>
        <v>10.73</v>
      </c>
      <c r="H128" s="75">
        <f>'PLANILHA ORCAMENTARIA'!H267</f>
        <v>14.3</v>
      </c>
      <c r="I128" s="75">
        <f>ROUND('PLANILHA ORCAMENTARIA'!I267,2)</f>
        <v>444.76</v>
      </c>
      <c r="J128" s="75">
        <f>ROUND('PLANILHA ORCAMENTARIA'!J267,2)</f>
        <v>592.74</v>
      </c>
    </row>
    <row r="129" spans="1:10" ht="45" x14ac:dyDescent="0.25">
      <c r="A129" s="44" t="s">
        <v>400</v>
      </c>
      <c r="B129" s="44" t="s">
        <v>51</v>
      </c>
      <c r="C129" s="102" t="s">
        <v>4024</v>
      </c>
      <c r="D129" s="63" t="s">
        <v>159</v>
      </c>
      <c r="E129" s="44" t="s">
        <v>54</v>
      </c>
      <c r="F129" s="70">
        <f>'PLANILHA ORCAMENTARIA'!F268</f>
        <v>41.45</v>
      </c>
      <c r="G129" s="75">
        <f>'PLANILHA ORCAMENTARIA'!G268</f>
        <v>65.959999999999994</v>
      </c>
      <c r="H129" s="75">
        <f>'PLANILHA ORCAMENTARIA'!H268</f>
        <v>87.89</v>
      </c>
      <c r="I129" s="75">
        <f>ROUND('PLANILHA ORCAMENTARIA'!I268,2)</f>
        <v>2734.04</v>
      </c>
      <c r="J129" s="75">
        <f>ROUND('PLANILHA ORCAMENTARIA'!J268,2)</f>
        <v>3643.04</v>
      </c>
    </row>
    <row r="130" spans="1:10" ht="30" x14ac:dyDescent="0.25">
      <c r="A130" s="44" t="s">
        <v>401</v>
      </c>
      <c r="B130" s="44" t="s">
        <v>51</v>
      </c>
      <c r="C130" s="102" t="s">
        <v>4026</v>
      </c>
      <c r="D130" s="63" t="s">
        <v>166</v>
      </c>
      <c r="E130" s="44" t="s">
        <v>54</v>
      </c>
      <c r="F130" s="70">
        <f>'PLANILHA ORCAMENTARIA'!F269</f>
        <v>41.45</v>
      </c>
      <c r="G130" s="75">
        <f>'PLANILHA ORCAMENTARIA'!G269</f>
        <v>30.79</v>
      </c>
      <c r="H130" s="75">
        <f>'PLANILHA ORCAMENTARIA'!H269</f>
        <v>41.03</v>
      </c>
      <c r="I130" s="75">
        <f>ROUND('PLANILHA ORCAMENTARIA'!I269,2)</f>
        <v>1276.25</v>
      </c>
      <c r="J130" s="75">
        <f>ROUND('PLANILHA ORCAMENTARIA'!J269,2)</f>
        <v>1700.69</v>
      </c>
    </row>
    <row r="131" spans="1:10" ht="30" x14ac:dyDescent="0.25">
      <c r="A131" s="44" t="s">
        <v>402</v>
      </c>
      <c r="B131" s="44" t="s">
        <v>341</v>
      </c>
      <c r="C131" s="102" t="s">
        <v>4077</v>
      </c>
      <c r="D131" s="63" t="s">
        <v>361</v>
      </c>
      <c r="E131" s="44" t="s">
        <v>72</v>
      </c>
      <c r="F131" s="70">
        <f>'PLANILHA ORCAMENTARIA'!F270</f>
        <v>9.7799999999999994</v>
      </c>
      <c r="G131" s="75">
        <f>'PLANILHA ORCAMENTARIA'!G270</f>
        <v>123.16</v>
      </c>
      <c r="H131" s="75">
        <f>'PLANILHA ORCAMENTARIA'!H270</f>
        <v>164.11</v>
      </c>
      <c r="I131" s="75">
        <f>ROUND('PLANILHA ORCAMENTARIA'!I270,2)</f>
        <v>1204.5</v>
      </c>
      <c r="J131" s="75">
        <f>ROUND('PLANILHA ORCAMENTARIA'!J270,2)</f>
        <v>1605</v>
      </c>
    </row>
    <row r="132" spans="1:10" ht="60" x14ac:dyDescent="0.25">
      <c r="A132" s="44" t="s">
        <v>403</v>
      </c>
      <c r="B132" s="44" t="s">
        <v>51</v>
      </c>
      <c r="C132" s="102" t="s">
        <v>4071</v>
      </c>
      <c r="D132" s="63" t="s">
        <v>336</v>
      </c>
      <c r="E132" s="44" t="s">
        <v>54</v>
      </c>
      <c r="F132" s="70">
        <f>'PLANILHA ORCAMENTARIA'!F271</f>
        <v>31.36</v>
      </c>
      <c r="G132" s="75">
        <f>'PLANILHA ORCAMENTARIA'!G271</f>
        <v>28.61</v>
      </c>
      <c r="H132" s="75">
        <f>'PLANILHA ORCAMENTARIA'!H271</f>
        <v>38.119999999999997</v>
      </c>
      <c r="I132" s="75">
        <f>ROUND('PLANILHA ORCAMENTARIA'!I271,2)</f>
        <v>897.21</v>
      </c>
      <c r="J132" s="75">
        <f>ROUND('PLANILHA ORCAMENTARIA'!J271,2)</f>
        <v>1195.44</v>
      </c>
    </row>
    <row r="133" spans="1:10" ht="45" x14ac:dyDescent="0.25">
      <c r="A133" s="44" t="s">
        <v>404</v>
      </c>
      <c r="B133" s="44" t="s">
        <v>77</v>
      </c>
      <c r="C133" s="102" t="s">
        <v>4069</v>
      </c>
      <c r="D133" s="63" t="s">
        <v>330</v>
      </c>
      <c r="E133" s="44" t="s">
        <v>54</v>
      </c>
      <c r="F133" s="70">
        <f>'PLANILHA ORCAMENTARIA'!F272</f>
        <v>0.96</v>
      </c>
      <c r="G133" s="75">
        <f>'PLANILHA ORCAMENTARIA'!G272</f>
        <v>573.4</v>
      </c>
      <c r="H133" s="75">
        <f>'PLANILHA ORCAMENTARIA'!H272</f>
        <v>764.06</v>
      </c>
      <c r="I133" s="75">
        <f>ROUND('PLANILHA ORCAMENTARIA'!I272,2)</f>
        <v>550.46</v>
      </c>
      <c r="J133" s="75">
        <f>ROUND('PLANILHA ORCAMENTARIA'!J272,2)</f>
        <v>733.5</v>
      </c>
    </row>
    <row r="134" spans="1:10" ht="30" x14ac:dyDescent="0.25">
      <c r="A134" s="44" t="s">
        <v>406</v>
      </c>
      <c r="B134" s="44" t="s">
        <v>51</v>
      </c>
      <c r="C134" s="102" t="s">
        <v>4067</v>
      </c>
      <c r="D134" s="63" t="s">
        <v>322</v>
      </c>
      <c r="E134" s="44" t="s">
        <v>54</v>
      </c>
      <c r="F134" s="70">
        <f>'PLANILHA ORCAMENTARIA'!F274</f>
        <v>23.59</v>
      </c>
      <c r="G134" s="75">
        <f>'PLANILHA ORCAMENTARIA'!G274</f>
        <v>9.4499999999999993</v>
      </c>
      <c r="H134" s="75">
        <f>'PLANILHA ORCAMENTARIA'!H274</f>
        <v>12.59</v>
      </c>
      <c r="I134" s="75">
        <f>ROUND('PLANILHA ORCAMENTARIA'!I274,2)</f>
        <v>222.93</v>
      </c>
      <c r="J134" s="75">
        <f>ROUND('PLANILHA ORCAMENTARIA'!J274,2)</f>
        <v>297</v>
      </c>
    </row>
    <row r="135" spans="1:10" ht="30" x14ac:dyDescent="0.25">
      <c r="A135" s="44" t="s">
        <v>407</v>
      </c>
      <c r="B135" s="44" t="s">
        <v>82</v>
      </c>
      <c r="C135" s="102" t="s">
        <v>4082</v>
      </c>
      <c r="D135" s="63" t="s">
        <v>409</v>
      </c>
      <c r="E135" s="44" t="s">
        <v>122</v>
      </c>
      <c r="F135" s="70">
        <f>'PLANILHA ORCAMENTARIA'!F275</f>
        <v>31.84</v>
      </c>
      <c r="G135" s="75">
        <f>'PLANILHA ORCAMENTARIA'!G275</f>
        <v>30.33</v>
      </c>
      <c r="H135" s="75">
        <f>'PLANILHA ORCAMENTARIA'!H275</f>
        <v>40.409999999999997</v>
      </c>
      <c r="I135" s="75">
        <f>ROUND('PLANILHA ORCAMENTARIA'!I275,2)</f>
        <v>965.71</v>
      </c>
      <c r="J135" s="75">
        <f>ROUND('PLANILHA ORCAMENTARIA'!J275,2)</f>
        <v>1286.6500000000001</v>
      </c>
    </row>
    <row r="136" spans="1:10" ht="30" x14ac:dyDescent="0.25">
      <c r="A136" s="44" t="s">
        <v>410</v>
      </c>
      <c r="B136" s="44" t="s">
        <v>51</v>
      </c>
      <c r="C136" s="102" t="s">
        <v>4068</v>
      </c>
      <c r="D136" s="63" t="s">
        <v>325</v>
      </c>
      <c r="E136" s="44" t="s">
        <v>54</v>
      </c>
      <c r="F136" s="70">
        <f>'PLANILHA ORCAMENTARIA'!F276</f>
        <v>55.43</v>
      </c>
      <c r="G136" s="75">
        <f>'PLANILHA ORCAMENTARIA'!G276</f>
        <v>10.73</v>
      </c>
      <c r="H136" s="75">
        <f>'PLANILHA ORCAMENTARIA'!H276</f>
        <v>14.3</v>
      </c>
      <c r="I136" s="75">
        <f>ROUND('PLANILHA ORCAMENTARIA'!I276,2)</f>
        <v>594.76</v>
      </c>
      <c r="J136" s="75">
        <f>ROUND('PLANILHA ORCAMENTARIA'!J276,2)</f>
        <v>792.65</v>
      </c>
    </row>
    <row r="137" spans="1:10" ht="30" x14ac:dyDescent="0.25">
      <c r="A137" s="44" t="s">
        <v>411</v>
      </c>
      <c r="B137" s="44" t="s">
        <v>51</v>
      </c>
      <c r="C137" s="102" t="s">
        <v>4083</v>
      </c>
      <c r="D137" s="63" t="s">
        <v>413</v>
      </c>
      <c r="E137" s="44" t="s">
        <v>54</v>
      </c>
      <c r="F137" s="70">
        <f>'PLANILHA ORCAMENTARIA'!F277</f>
        <v>21.43</v>
      </c>
      <c r="G137" s="75">
        <f>'PLANILHA ORCAMENTARIA'!G277</f>
        <v>21.13</v>
      </c>
      <c r="H137" s="75">
        <f>'PLANILHA ORCAMENTARIA'!H277</f>
        <v>28.16</v>
      </c>
      <c r="I137" s="75">
        <f>ROUND('PLANILHA ORCAMENTARIA'!I277,2)</f>
        <v>452.82</v>
      </c>
      <c r="J137" s="75">
        <f>ROUND('PLANILHA ORCAMENTARIA'!J277,2)</f>
        <v>603.47</v>
      </c>
    </row>
    <row r="138" spans="1:10" ht="30" x14ac:dyDescent="0.25">
      <c r="A138" s="44" t="s">
        <v>414</v>
      </c>
      <c r="B138" s="44" t="s">
        <v>82</v>
      </c>
      <c r="C138" s="102" t="s">
        <v>4084</v>
      </c>
      <c r="D138" s="63" t="s">
        <v>416</v>
      </c>
      <c r="E138" s="44" t="s">
        <v>122</v>
      </c>
      <c r="F138" s="70">
        <f>'PLANILHA ORCAMENTARIA'!F278</f>
        <v>21.42</v>
      </c>
      <c r="G138" s="75">
        <f>'PLANILHA ORCAMENTARIA'!G278</f>
        <v>2.74</v>
      </c>
      <c r="H138" s="75">
        <f>'PLANILHA ORCAMENTARIA'!H278</f>
        <v>3.65</v>
      </c>
      <c r="I138" s="75">
        <f>ROUND('PLANILHA ORCAMENTARIA'!I278,2)</f>
        <v>58.69</v>
      </c>
      <c r="J138" s="75">
        <f>ROUND('PLANILHA ORCAMENTARIA'!J278,2)</f>
        <v>78.180000000000007</v>
      </c>
    </row>
    <row r="139" spans="1:10" ht="45" x14ac:dyDescent="0.25">
      <c r="A139" s="44" t="s">
        <v>417</v>
      </c>
      <c r="B139" s="44" t="s">
        <v>51</v>
      </c>
      <c r="C139" s="102" t="s">
        <v>4024</v>
      </c>
      <c r="D139" s="63" t="s">
        <v>159</v>
      </c>
      <c r="E139" s="44" t="s">
        <v>54</v>
      </c>
      <c r="F139" s="70">
        <f>'PLANILHA ORCAMENTARIA'!F279</f>
        <v>55.43</v>
      </c>
      <c r="G139" s="75">
        <f>'PLANILHA ORCAMENTARIA'!G279</f>
        <v>65.959999999999994</v>
      </c>
      <c r="H139" s="75">
        <f>'PLANILHA ORCAMENTARIA'!H279</f>
        <v>87.89</v>
      </c>
      <c r="I139" s="75">
        <f>ROUND('PLANILHA ORCAMENTARIA'!I279,2)</f>
        <v>3656.16</v>
      </c>
      <c r="J139" s="75">
        <f>ROUND('PLANILHA ORCAMENTARIA'!J279,2)</f>
        <v>4871.74</v>
      </c>
    </row>
    <row r="140" spans="1:10" ht="30" x14ac:dyDescent="0.25">
      <c r="A140" s="44" t="s">
        <v>418</v>
      </c>
      <c r="B140" s="44" t="s">
        <v>51</v>
      </c>
      <c r="C140" s="102" t="s">
        <v>4026</v>
      </c>
      <c r="D140" s="63" t="s">
        <v>166</v>
      </c>
      <c r="E140" s="44" t="s">
        <v>54</v>
      </c>
      <c r="F140" s="70">
        <f>'PLANILHA ORCAMENTARIA'!F280</f>
        <v>27.72</v>
      </c>
      <c r="G140" s="75">
        <f>'PLANILHA ORCAMENTARIA'!G280</f>
        <v>30.79</v>
      </c>
      <c r="H140" s="75">
        <f>'PLANILHA ORCAMENTARIA'!H280</f>
        <v>41.03</v>
      </c>
      <c r="I140" s="75">
        <f>ROUND('PLANILHA ORCAMENTARIA'!I280,2)</f>
        <v>853.5</v>
      </c>
      <c r="J140" s="75">
        <f>ROUND('PLANILHA ORCAMENTARIA'!J280,2)</f>
        <v>1137.3499999999999</v>
      </c>
    </row>
    <row r="141" spans="1:10" ht="45" x14ac:dyDescent="0.25">
      <c r="A141" s="44" t="s">
        <v>419</v>
      </c>
      <c r="B141" s="44" t="s">
        <v>77</v>
      </c>
      <c r="C141" s="102" t="s">
        <v>4070</v>
      </c>
      <c r="D141" s="63" t="s">
        <v>333</v>
      </c>
      <c r="E141" s="44" t="s">
        <v>54</v>
      </c>
      <c r="F141" s="70">
        <f>'PLANILHA ORCAMENTARIA'!F281</f>
        <v>27.72</v>
      </c>
      <c r="G141" s="75">
        <f>'PLANILHA ORCAMENTARIA'!G281</f>
        <v>117.68</v>
      </c>
      <c r="H141" s="75">
        <f>'PLANILHA ORCAMENTARIA'!H281</f>
        <v>156.81</v>
      </c>
      <c r="I141" s="75">
        <f>ROUND('PLANILHA ORCAMENTARIA'!I281,2)</f>
        <v>3262.09</v>
      </c>
      <c r="J141" s="75">
        <f>ROUND('PLANILHA ORCAMENTARIA'!J281,2)</f>
        <v>4346.7700000000004</v>
      </c>
    </row>
    <row r="142" spans="1:10" ht="45" x14ac:dyDescent="0.25">
      <c r="A142" s="44" t="s">
        <v>420</v>
      </c>
      <c r="B142" s="44" t="s">
        <v>77</v>
      </c>
      <c r="C142" s="102" t="s">
        <v>4085</v>
      </c>
      <c r="D142" s="63" t="s">
        <v>422</v>
      </c>
      <c r="E142" s="44" t="s">
        <v>54</v>
      </c>
      <c r="F142" s="70">
        <f>'PLANILHA ORCAMENTARIA'!F282</f>
        <v>21.42</v>
      </c>
      <c r="G142" s="75">
        <f>'PLANILHA ORCAMENTARIA'!G282</f>
        <v>197.27</v>
      </c>
      <c r="H142" s="75">
        <f>'PLANILHA ORCAMENTARIA'!H282</f>
        <v>262.86</v>
      </c>
      <c r="I142" s="75">
        <f>ROUND('PLANILHA ORCAMENTARIA'!I282,2)</f>
        <v>4225.5200000000004</v>
      </c>
      <c r="J142" s="75">
        <f>ROUND('PLANILHA ORCAMENTARIA'!J282,2)</f>
        <v>5630.46</v>
      </c>
    </row>
    <row r="143" spans="1:10" ht="60" x14ac:dyDescent="0.25">
      <c r="A143" s="44" t="s">
        <v>423</v>
      </c>
      <c r="B143" s="44" t="s">
        <v>51</v>
      </c>
      <c r="C143" s="102" t="s">
        <v>4071</v>
      </c>
      <c r="D143" s="63" t="s">
        <v>336</v>
      </c>
      <c r="E143" s="44" t="s">
        <v>54</v>
      </c>
      <c r="F143" s="70">
        <f>'PLANILHA ORCAMENTARIA'!F283</f>
        <v>21.42</v>
      </c>
      <c r="G143" s="75">
        <f>'PLANILHA ORCAMENTARIA'!G283</f>
        <v>28.61</v>
      </c>
      <c r="H143" s="75">
        <f>'PLANILHA ORCAMENTARIA'!H283</f>
        <v>38.119999999999997</v>
      </c>
      <c r="I143" s="75">
        <f>ROUND('PLANILHA ORCAMENTARIA'!I283,2)</f>
        <v>612.83000000000004</v>
      </c>
      <c r="J143" s="75">
        <f>ROUND('PLANILHA ORCAMENTARIA'!J283,2)</f>
        <v>816.53</v>
      </c>
    </row>
    <row r="144" spans="1:10" x14ac:dyDescent="0.25">
      <c r="A144" s="44" t="s">
        <v>424</v>
      </c>
      <c r="B144" s="44" t="s">
        <v>77</v>
      </c>
      <c r="C144" s="102" t="s">
        <v>4086</v>
      </c>
      <c r="D144" s="63" t="s">
        <v>426</v>
      </c>
      <c r="E144" s="44" t="s">
        <v>72</v>
      </c>
      <c r="F144" s="70">
        <f>'PLANILHA ORCAMENTARIA'!F284</f>
        <v>21.25</v>
      </c>
      <c r="G144" s="75">
        <f>'PLANILHA ORCAMENTARIA'!G284</f>
        <v>151.93</v>
      </c>
      <c r="H144" s="75">
        <f>'PLANILHA ORCAMENTARIA'!H284</f>
        <v>202.45</v>
      </c>
      <c r="I144" s="75">
        <f>ROUND('PLANILHA ORCAMENTARIA'!I284,2)</f>
        <v>3228.51</v>
      </c>
      <c r="J144" s="75">
        <f>ROUND('PLANILHA ORCAMENTARIA'!J284,2)</f>
        <v>4302.0600000000004</v>
      </c>
    </row>
    <row r="145" spans="1:10" ht="60" x14ac:dyDescent="0.25">
      <c r="A145" s="44" t="s">
        <v>427</v>
      </c>
      <c r="B145" s="44" t="s">
        <v>51</v>
      </c>
      <c r="C145" s="102" t="s">
        <v>4021</v>
      </c>
      <c r="D145" s="63" t="s">
        <v>119</v>
      </c>
      <c r="E145" s="44" t="s">
        <v>89</v>
      </c>
      <c r="F145" s="70">
        <f>'PLANILHA ORCAMENTARIA'!F285</f>
        <v>3.26</v>
      </c>
      <c r="G145" s="75">
        <f>'PLANILHA ORCAMENTARIA'!G285</f>
        <v>89.06</v>
      </c>
      <c r="H145" s="75">
        <f>'PLANILHA ORCAMENTARIA'!H285</f>
        <v>118.67</v>
      </c>
      <c r="I145" s="75">
        <f>ROUND('PLANILHA ORCAMENTARIA'!I285,2)</f>
        <v>290.33999999999997</v>
      </c>
      <c r="J145" s="75">
        <f>ROUND('PLANILHA ORCAMENTARIA'!J285,2)</f>
        <v>386.86</v>
      </c>
    </row>
    <row r="146" spans="1:10" ht="45" x14ac:dyDescent="0.25">
      <c r="A146" s="44" t="s">
        <v>429</v>
      </c>
      <c r="B146" s="44" t="s">
        <v>51</v>
      </c>
      <c r="C146" s="102" t="s">
        <v>4081</v>
      </c>
      <c r="D146" s="63" t="s">
        <v>382</v>
      </c>
      <c r="E146" s="44" t="s">
        <v>54</v>
      </c>
      <c r="F146" s="70">
        <f>'PLANILHA ORCAMENTARIA'!F287</f>
        <v>12.15</v>
      </c>
      <c r="G146" s="75">
        <f>'PLANILHA ORCAMENTARIA'!G287</f>
        <v>42.98</v>
      </c>
      <c r="H146" s="75">
        <f>'PLANILHA ORCAMENTARIA'!H287</f>
        <v>57.27</v>
      </c>
      <c r="I146" s="75">
        <f>ROUND('PLANILHA ORCAMENTARIA'!I287,2)</f>
        <v>522.21</v>
      </c>
      <c r="J146" s="75">
        <f>ROUND('PLANILHA ORCAMENTARIA'!J287,2)</f>
        <v>695.83</v>
      </c>
    </row>
    <row r="147" spans="1:10" ht="30" x14ac:dyDescent="0.25">
      <c r="A147" s="44" t="s">
        <v>430</v>
      </c>
      <c r="B147" s="44" t="s">
        <v>51</v>
      </c>
      <c r="C147" s="102" t="s">
        <v>4026</v>
      </c>
      <c r="D147" s="63" t="s">
        <v>166</v>
      </c>
      <c r="E147" s="44" t="s">
        <v>54</v>
      </c>
      <c r="F147" s="70">
        <f>'PLANILHA ORCAMENTARIA'!F288</f>
        <v>112.88</v>
      </c>
      <c r="G147" s="75">
        <f>'PLANILHA ORCAMENTARIA'!G288</f>
        <v>30.79</v>
      </c>
      <c r="H147" s="75">
        <f>'PLANILHA ORCAMENTARIA'!H288</f>
        <v>41.03</v>
      </c>
      <c r="I147" s="75">
        <f>ROUND('PLANILHA ORCAMENTARIA'!I288,2)</f>
        <v>3475.58</v>
      </c>
      <c r="J147" s="75">
        <f>ROUND('PLANILHA ORCAMENTARIA'!J288,2)</f>
        <v>4631.47</v>
      </c>
    </row>
    <row r="148" spans="1:10" ht="30" x14ac:dyDescent="0.25">
      <c r="A148" s="44" t="s">
        <v>432</v>
      </c>
      <c r="B148" s="44" t="s">
        <v>51</v>
      </c>
      <c r="C148" s="102" t="s">
        <v>4067</v>
      </c>
      <c r="D148" s="63" t="s">
        <v>322</v>
      </c>
      <c r="E148" s="44" t="s">
        <v>54</v>
      </c>
      <c r="F148" s="70">
        <f>'PLANILHA ORCAMENTARIA'!F290</f>
        <v>42.39</v>
      </c>
      <c r="G148" s="75">
        <f>'PLANILHA ORCAMENTARIA'!G290</f>
        <v>9.4499999999999993</v>
      </c>
      <c r="H148" s="75">
        <f>'PLANILHA ORCAMENTARIA'!H290</f>
        <v>12.59</v>
      </c>
      <c r="I148" s="75">
        <f>ROUND('PLANILHA ORCAMENTARIA'!I290,2)</f>
        <v>400.59</v>
      </c>
      <c r="J148" s="75">
        <f>ROUND('PLANILHA ORCAMENTARIA'!J290,2)</f>
        <v>533.69000000000005</v>
      </c>
    </row>
    <row r="149" spans="1:10" ht="30" x14ac:dyDescent="0.25">
      <c r="A149" s="44" t="s">
        <v>433</v>
      </c>
      <c r="B149" s="44" t="s">
        <v>51</v>
      </c>
      <c r="C149" s="102" t="s">
        <v>4068</v>
      </c>
      <c r="D149" s="63" t="s">
        <v>325</v>
      </c>
      <c r="E149" s="44" t="s">
        <v>54</v>
      </c>
      <c r="F149" s="70">
        <f>'PLANILHA ORCAMENTARIA'!F291</f>
        <v>42.39</v>
      </c>
      <c r="G149" s="75">
        <f>'PLANILHA ORCAMENTARIA'!G291</f>
        <v>10.73</v>
      </c>
      <c r="H149" s="75">
        <f>'PLANILHA ORCAMENTARIA'!H291</f>
        <v>14.3</v>
      </c>
      <c r="I149" s="75">
        <f>ROUND('PLANILHA ORCAMENTARIA'!I291,2)</f>
        <v>454.84</v>
      </c>
      <c r="J149" s="75">
        <f>ROUND('PLANILHA ORCAMENTARIA'!J291,2)</f>
        <v>606.17999999999995</v>
      </c>
    </row>
    <row r="150" spans="1:10" ht="30" x14ac:dyDescent="0.25">
      <c r="A150" s="44" t="s">
        <v>434</v>
      </c>
      <c r="B150" s="44" t="s">
        <v>51</v>
      </c>
      <c r="C150" s="102" t="s">
        <v>4083</v>
      </c>
      <c r="D150" s="63" t="s">
        <v>413</v>
      </c>
      <c r="E150" s="44" t="s">
        <v>54</v>
      </c>
      <c r="F150" s="70">
        <f>'PLANILHA ORCAMENTARIA'!F292</f>
        <v>15.36</v>
      </c>
      <c r="G150" s="75">
        <f>'PLANILHA ORCAMENTARIA'!G292</f>
        <v>21.13</v>
      </c>
      <c r="H150" s="75">
        <f>'PLANILHA ORCAMENTARIA'!H292</f>
        <v>28.16</v>
      </c>
      <c r="I150" s="75">
        <f>ROUND('PLANILHA ORCAMENTARIA'!I292,2)</f>
        <v>324.56</v>
      </c>
      <c r="J150" s="75">
        <f>ROUND('PLANILHA ORCAMENTARIA'!J292,2)</f>
        <v>432.54</v>
      </c>
    </row>
    <row r="151" spans="1:10" ht="30" x14ac:dyDescent="0.25">
      <c r="A151" s="44" t="s">
        <v>435</v>
      </c>
      <c r="B151" s="44" t="s">
        <v>82</v>
      </c>
      <c r="C151" s="102" t="s">
        <v>4082</v>
      </c>
      <c r="D151" s="63" t="s">
        <v>409</v>
      </c>
      <c r="E151" s="44" t="s">
        <v>122</v>
      </c>
      <c r="F151" s="70">
        <f>'PLANILHA ORCAMENTARIA'!F293</f>
        <v>0.84</v>
      </c>
      <c r="G151" s="75">
        <f>'PLANILHA ORCAMENTARIA'!G293</f>
        <v>30.33</v>
      </c>
      <c r="H151" s="75">
        <f>'PLANILHA ORCAMENTARIA'!H293</f>
        <v>40.409999999999997</v>
      </c>
      <c r="I151" s="75">
        <f>ROUND('PLANILHA ORCAMENTARIA'!I293,2)</f>
        <v>25.48</v>
      </c>
      <c r="J151" s="75">
        <f>ROUND('PLANILHA ORCAMENTARIA'!J293,2)</f>
        <v>33.94</v>
      </c>
    </row>
    <row r="152" spans="1:10" ht="30" x14ac:dyDescent="0.25">
      <c r="A152" s="44" t="s">
        <v>436</v>
      </c>
      <c r="B152" s="44" t="s">
        <v>82</v>
      </c>
      <c r="C152" s="102" t="s">
        <v>4084</v>
      </c>
      <c r="D152" s="63" t="s">
        <v>416</v>
      </c>
      <c r="E152" s="44" t="s">
        <v>122</v>
      </c>
      <c r="F152" s="70">
        <f>'PLANILHA ORCAMENTARIA'!F294</f>
        <v>15.36</v>
      </c>
      <c r="G152" s="75">
        <f>'PLANILHA ORCAMENTARIA'!G294</f>
        <v>2.74</v>
      </c>
      <c r="H152" s="75">
        <f>'PLANILHA ORCAMENTARIA'!H294</f>
        <v>3.65</v>
      </c>
      <c r="I152" s="75">
        <f>ROUND('PLANILHA ORCAMENTARIA'!I294,2)</f>
        <v>42.09</v>
      </c>
      <c r="J152" s="75">
        <f>ROUND('PLANILHA ORCAMENTARIA'!J294,2)</f>
        <v>56.06</v>
      </c>
    </row>
    <row r="153" spans="1:10" ht="45" x14ac:dyDescent="0.25">
      <c r="A153" s="44" t="s">
        <v>437</v>
      </c>
      <c r="B153" s="44" t="s">
        <v>77</v>
      </c>
      <c r="C153" s="102" t="s">
        <v>4070</v>
      </c>
      <c r="D153" s="63" t="s">
        <v>333</v>
      </c>
      <c r="E153" s="44" t="s">
        <v>54</v>
      </c>
      <c r="F153" s="70">
        <f>'PLANILHA ORCAMENTARIA'!F295</f>
        <v>15.36</v>
      </c>
      <c r="G153" s="75">
        <f>'PLANILHA ORCAMENTARIA'!G295</f>
        <v>117.68</v>
      </c>
      <c r="H153" s="75">
        <f>'PLANILHA ORCAMENTARIA'!H295</f>
        <v>156.81</v>
      </c>
      <c r="I153" s="75">
        <f>ROUND('PLANILHA ORCAMENTARIA'!I295,2)</f>
        <v>1807.56</v>
      </c>
      <c r="J153" s="75">
        <f>ROUND('PLANILHA ORCAMENTARIA'!J295,2)</f>
        <v>2408.6</v>
      </c>
    </row>
    <row r="154" spans="1:10" ht="45" x14ac:dyDescent="0.25">
      <c r="A154" s="44" t="s">
        <v>438</v>
      </c>
      <c r="B154" s="44" t="s">
        <v>51</v>
      </c>
      <c r="C154" s="102" t="s">
        <v>4024</v>
      </c>
      <c r="D154" s="63" t="s">
        <v>159</v>
      </c>
      <c r="E154" s="44" t="s">
        <v>54</v>
      </c>
      <c r="F154" s="70">
        <f>'PLANILHA ORCAMENTARIA'!F296</f>
        <v>42.39</v>
      </c>
      <c r="G154" s="75">
        <f>'PLANILHA ORCAMENTARIA'!G296</f>
        <v>65.959999999999994</v>
      </c>
      <c r="H154" s="75">
        <f>'PLANILHA ORCAMENTARIA'!H296</f>
        <v>87.89</v>
      </c>
      <c r="I154" s="75">
        <f>ROUND('PLANILHA ORCAMENTARIA'!I296,2)</f>
        <v>2796.04</v>
      </c>
      <c r="J154" s="75">
        <f>ROUND('PLANILHA ORCAMENTARIA'!J296,2)</f>
        <v>3725.66</v>
      </c>
    </row>
    <row r="155" spans="1:10" ht="45" x14ac:dyDescent="0.25">
      <c r="A155" s="44" t="s">
        <v>439</v>
      </c>
      <c r="B155" s="44" t="s">
        <v>82</v>
      </c>
      <c r="C155" s="102" t="s">
        <v>4087</v>
      </c>
      <c r="D155" s="63" t="s">
        <v>441</v>
      </c>
      <c r="E155" s="44" t="s">
        <v>122</v>
      </c>
      <c r="F155" s="70">
        <f>'PLANILHA ORCAMENTARIA'!F297</f>
        <v>18.39</v>
      </c>
      <c r="G155" s="75">
        <f>'PLANILHA ORCAMENTARIA'!G297</f>
        <v>63.91</v>
      </c>
      <c r="H155" s="75">
        <f>'PLANILHA ORCAMENTARIA'!H297</f>
        <v>85.16</v>
      </c>
      <c r="I155" s="75">
        <f>ROUND('PLANILHA ORCAMENTARIA'!I297,2)</f>
        <v>1175.3</v>
      </c>
      <c r="J155" s="75">
        <f>ROUND('PLANILHA ORCAMENTARIA'!J297,2)</f>
        <v>1566.09</v>
      </c>
    </row>
    <row r="156" spans="1:10" ht="30" x14ac:dyDescent="0.25">
      <c r="A156" s="44" t="s">
        <v>442</v>
      </c>
      <c r="B156" s="44" t="s">
        <v>51</v>
      </c>
      <c r="C156" s="102" t="s">
        <v>4026</v>
      </c>
      <c r="D156" s="63" t="s">
        <v>166</v>
      </c>
      <c r="E156" s="44" t="s">
        <v>54</v>
      </c>
      <c r="F156" s="70">
        <f>'PLANILHA ORCAMENTARIA'!F298</f>
        <v>18.39</v>
      </c>
      <c r="G156" s="75">
        <f>'PLANILHA ORCAMENTARIA'!G298</f>
        <v>30.79</v>
      </c>
      <c r="H156" s="75">
        <f>'PLANILHA ORCAMENTARIA'!H298</f>
        <v>41.03</v>
      </c>
      <c r="I156" s="75">
        <f>ROUND('PLANILHA ORCAMENTARIA'!I298,2)</f>
        <v>566.23</v>
      </c>
      <c r="J156" s="75">
        <f>ROUND('PLANILHA ORCAMENTARIA'!J298,2)</f>
        <v>754.54</v>
      </c>
    </row>
    <row r="157" spans="1:10" ht="45" x14ac:dyDescent="0.25">
      <c r="A157" s="44" t="s">
        <v>443</v>
      </c>
      <c r="B157" s="44" t="s">
        <v>77</v>
      </c>
      <c r="C157" s="102" t="s">
        <v>4085</v>
      </c>
      <c r="D157" s="63" t="s">
        <v>422</v>
      </c>
      <c r="E157" s="44" t="s">
        <v>54</v>
      </c>
      <c r="F157" s="70">
        <f>'PLANILHA ORCAMENTARIA'!F299</f>
        <v>15.36</v>
      </c>
      <c r="G157" s="75">
        <f>'PLANILHA ORCAMENTARIA'!G299</f>
        <v>197.27</v>
      </c>
      <c r="H157" s="75">
        <f>'PLANILHA ORCAMENTARIA'!H299</f>
        <v>262.86</v>
      </c>
      <c r="I157" s="75">
        <f>ROUND('PLANILHA ORCAMENTARIA'!I299,2)</f>
        <v>3030.07</v>
      </c>
      <c r="J157" s="75">
        <f>ROUND('PLANILHA ORCAMENTARIA'!J299,2)</f>
        <v>4037.53</v>
      </c>
    </row>
    <row r="158" spans="1:10" ht="60" x14ac:dyDescent="0.25">
      <c r="A158" s="44" t="s">
        <v>444</v>
      </c>
      <c r="B158" s="44" t="s">
        <v>51</v>
      </c>
      <c r="C158" s="102" t="s">
        <v>4071</v>
      </c>
      <c r="D158" s="63" t="s">
        <v>336</v>
      </c>
      <c r="E158" s="44" t="s">
        <v>54</v>
      </c>
      <c r="F158" s="70">
        <f>'PLANILHA ORCAMENTARIA'!F300</f>
        <v>15.36</v>
      </c>
      <c r="G158" s="75">
        <f>'PLANILHA ORCAMENTARIA'!G300</f>
        <v>28.61</v>
      </c>
      <c r="H158" s="75">
        <f>'PLANILHA ORCAMENTARIA'!H300</f>
        <v>38.119999999999997</v>
      </c>
      <c r="I158" s="75">
        <f>ROUND('PLANILHA ORCAMENTARIA'!I300,2)</f>
        <v>439.45</v>
      </c>
      <c r="J158" s="75">
        <f>ROUND('PLANILHA ORCAMENTARIA'!J300,2)</f>
        <v>585.52</v>
      </c>
    </row>
    <row r="159" spans="1:10" ht="60" x14ac:dyDescent="0.25">
      <c r="A159" s="44" t="s">
        <v>445</v>
      </c>
      <c r="B159" s="44" t="s">
        <v>51</v>
      </c>
      <c r="C159" s="102" t="s">
        <v>4021</v>
      </c>
      <c r="D159" s="63" t="s">
        <v>119</v>
      </c>
      <c r="E159" s="44" t="s">
        <v>89</v>
      </c>
      <c r="F159" s="70">
        <f>'PLANILHA ORCAMENTARIA'!F301</f>
        <v>2.0699999999999998</v>
      </c>
      <c r="G159" s="75">
        <f>'PLANILHA ORCAMENTARIA'!G301</f>
        <v>89.06</v>
      </c>
      <c r="H159" s="75">
        <f>'PLANILHA ORCAMENTARIA'!H301</f>
        <v>118.67</v>
      </c>
      <c r="I159" s="75">
        <f>ROUND('PLANILHA ORCAMENTARIA'!I301,2)</f>
        <v>184.35</v>
      </c>
      <c r="J159" s="75">
        <f>ROUND('PLANILHA ORCAMENTARIA'!J301,2)</f>
        <v>245.65</v>
      </c>
    </row>
    <row r="160" spans="1:10" ht="45" x14ac:dyDescent="0.25">
      <c r="A160" s="44" t="s">
        <v>447</v>
      </c>
      <c r="B160" s="44" t="s">
        <v>51</v>
      </c>
      <c r="C160" s="102" t="s">
        <v>4081</v>
      </c>
      <c r="D160" s="63" t="s">
        <v>382</v>
      </c>
      <c r="E160" s="44" t="s">
        <v>54</v>
      </c>
      <c r="F160" s="70">
        <f>'PLANILHA ORCAMENTARIA'!F303</f>
        <v>120.69</v>
      </c>
      <c r="G160" s="75">
        <f>'PLANILHA ORCAMENTARIA'!G303</f>
        <v>42.98</v>
      </c>
      <c r="H160" s="75">
        <f>'PLANILHA ORCAMENTARIA'!H303</f>
        <v>57.27</v>
      </c>
      <c r="I160" s="75">
        <f>ROUND('PLANILHA ORCAMENTARIA'!I303,2)</f>
        <v>5187.26</v>
      </c>
      <c r="J160" s="75">
        <f>ROUND('PLANILHA ORCAMENTARIA'!J303,2)</f>
        <v>6911.92</v>
      </c>
    </row>
    <row r="161" spans="1:10" ht="30" x14ac:dyDescent="0.25">
      <c r="A161" s="44" t="s">
        <v>448</v>
      </c>
      <c r="B161" s="44" t="s">
        <v>51</v>
      </c>
      <c r="C161" s="102" t="s">
        <v>4067</v>
      </c>
      <c r="D161" s="63" t="s">
        <v>322</v>
      </c>
      <c r="E161" s="44" t="s">
        <v>54</v>
      </c>
      <c r="F161" s="70">
        <f>'PLANILHA ORCAMENTARIA'!F304</f>
        <v>36.72</v>
      </c>
      <c r="G161" s="75">
        <f>'PLANILHA ORCAMENTARIA'!G304</f>
        <v>9.4499999999999993</v>
      </c>
      <c r="H161" s="75">
        <f>'PLANILHA ORCAMENTARIA'!H304</f>
        <v>12.59</v>
      </c>
      <c r="I161" s="75">
        <f>ROUND('PLANILHA ORCAMENTARIA'!I304,2)</f>
        <v>347</v>
      </c>
      <c r="J161" s="75">
        <f>ROUND('PLANILHA ORCAMENTARIA'!J304,2)</f>
        <v>462.3</v>
      </c>
    </row>
    <row r="162" spans="1:10" ht="30" x14ac:dyDescent="0.25">
      <c r="A162" s="44" t="s">
        <v>449</v>
      </c>
      <c r="B162" s="44" t="s">
        <v>51</v>
      </c>
      <c r="C162" s="102" t="s">
        <v>4068</v>
      </c>
      <c r="D162" s="63" t="s">
        <v>325</v>
      </c>
      <c r="E162" s="44" t="s">
        <v>54</v>
      </c>
      <c r="F162" s="70">
        <f>'PLANILHA ORCAMENTARIA'!F305</f>
        <v>36.72</v>
      </c>
      <c r="G162" s="75">
        <f>'PLANILHA ORCAMENTARIA'!G305</f>
        <v>10.73</v>
      </c>
      <c r="H162" s="75">
        <f>'PLANILHA ORCAMENTARIA'!H305</f>
        <v>14.3</v>
      </c>
      <c r="I162" s="75">
        <f>ROUND('PLANILHA ORCAMENTARIA'!I305,2)</f>
        <v>394.01</v>
      </c>
      <c r="J162" s="75">
        <f>ROUND('PLANILHA ORCAMENTARIA'!J305,2)</f>
        <v>525.1</v>
      </c>
    </row>
    <row r="163" spans="1:10" ht="45" x14ac:dyDescent="0.25">
      <c r="A163" s="44" t="s">
        <v>450</v>
      </c>
      <c r="B163" s="44" t="s">
        <v>51</v>
      </c>
      <c r="C163" s="102" t="s">
        <v>4024</v>
      </c>
      <c r="D163" s="63" t="s">
        <v>159</v>
      </c>
      <c r="E163" s="44" t="s">
        <v>54</v>
      </c>
      <c r="F163" s="70">
        <f>'PLANILHA ORCAMENTARIA'!F306</f>
        <v>36.72</v>
      </c>
      <c r="G163" s="75">
        <f>'PLANILHA ORCAMENTARIA'!G306</f>
        <v>65.959999999999994</v>
      </c>
      <c r="H163" s="75">
        <f>'PLANILHA ORCAMENTARIA'!H306</f>
        <v>87.89</v>
      </c>
      <c r="I163" s="75">
        <f>ROUND('PLANILHA ORCAMENTARIA'!I306,2)</f>
        <v>2422.0500000000002</v>
      </c>
      <c r="J163" s="75">
        <f>ROUND('PLANILHA ORCAMENTARIA'!J306,2)</f>
        <v>3227.32</v>
      </c>
    </row>
    <row r="164" spans="1:10" ht="30" x14ac:dyDescent="0.25">
      <c r="A164" s="44" t="s">
        <v>451</v>
      </c>
      <c r="B164" s="44" t="s">
        <v>51</v>
      </c>
      <c r="C164" s="102" t="s">
        <v>4026</v>
      </c>
      <c r="D164" s="63" t="s">
        <v>166</v>
      </c>
      <c r="E164" s="44" t="s">
        <v>54</v>
      </c>
      <c r="F164" s="70">
        <f>'PLANILHA ORCAMENTARIA'!F307</f>
        <v>36.72</v>
      </c>
      <c r="G164" s="75">
        <f>'PLANILHA ORCAMENTARIA'!G307</f>
        <v>30.79</v>
      </c>
      <c r="H164" s="75">
        <f>'PLANILHA ORCAMENTARIA'!H307</f>
        <v>41.03</v>
      </c>
      <c r="I164" s="75">
        <f>ROUND('PLANILHA ORCAMENTARIA'!I307,2)</f>
        <v>1130.6099999999999</v>
      </c>
      <c r="J164" s="75">
        <f>ROUND('PLANILHA ORCAMENTARIA'!J307,2)</f>
        <v>1506.62</v>
      </c>
    </row>
    <row r="165" spans="1:10" ht="60" x14ac:dyDescent="0.25">
      <c r="A165" s="44" t="s">
        <v>452</v>
      </c>
      <c r="B165" s="44" t="s">
        <v>51</v>
      </c>
      <c r="C165" s="102" t="s">
        <v>4021</v>
      </c>
      <c r="D165" s="63" t="s">
        <v>119</v>
      </c>
      <c r="E165" s="44" t="s">
        <v>89</v>
      </c>
      <c r="F165" s="70">
        <f>'PLANILHA ORCAMENTARIA'!F308</f>
        <v>0.92</v>
      </c>
      <c r="G165" s="75">
        <f>'PLANILHA ORCAMENTARIA'!G308</f>
        <v>89.06</v>
      </c>
      <c r="H165" s="75">
        <f>'PLANILHA ORCAMENTARIA'!H308</f>
        <v>118.67</v>
      </c>
      <c r="I165" s="75">
        <f>ROUND('PLANILHA ORCAMENTARIA'!I308,2)</f>
        <v>81.94</v>
      </c>
      <c r="J165" s="75">
        <f>ROUND('PLANILHA ORCAMENTARIA'!J308,2)</f>
        <v>109.18</v>
      </c>
    </row>
    <row r="166" spans="1:10" ht="30" x14ac:dyDescent="0.25">
      <c r="A166" s="44" t="s">
        <v>454</v>
      </c>
      <c r="B166" s="44" t="s">
        <v>51</v>
      </c>
      <c r="C166" s="102" t="s">
        <v>4067</v>
      </c>
      <c r="D166" s="63" t="s">
        <v>322</v>
      </c>
      <c r="E166" s="44" t="s">
        <v>54</v>
      </c>
      <c r="F166" s="70">
        <f>'PLANILHA ORCAMENTARIA'!F310</f>
        <v>54.16</v>
      </c>
      <c r="G166" s="75">
        <f>'PLANILHA ORCAMENTARIA'!G310</f>
        <v>9.4499999999999993</v>
      </c>
      <c r="H166" s="75">
        <f>'PLANILHA ORCAMENTARIA'!H310</f>
        <v>12.59</v>
      </c>
      <c r="I166" s="75">
        <f>ROUND('PLANILHA ORCAMENTARIA'!I310,2)</f>
        <v>511.81</v>
      </c>
      <c r="J166" s="75">
        <f>ROUND('PLANILHA ORCAMENTARIA'!J310,2)</f>
        <v>681.87</v>
      </c>
    </row>
    <row r="167" spans="1:10" ht="30" x14ac:dyDescent="0.25">
      <c r="A167" s="44" t="s">
        <v>455</v>
      </c>
      <c r="B167" s="44" t="s">
        <v>51</v>
      </c>
      <c r="C167" s="102" t="s">
        <v>4068</v>
      </c>
      <c r="D167" s="63" t="s">
        <v>325</v>
      </c>
      <c r="E167" s="44" t="s">
        <v>54</v>
      </c>
      <c r="F167" s="70">
        <f>'PLANILHA ORCAMENTARIA'!F311</f>
        <v>25.19</v>
      </c>
      <c r="G167" s="75">
        <f>'PLANILHA ORCAMENTARIA'!G311</f>
        <v>10.73</v>
      </c>
      <c r="H167" s="75">
        <f>'PLANILHA ORCAMENTARIA'!H311</f>
        <v>14.3</v>
      </c>
      <c r="I167" s="75">
        <f>ROUND('PLANILHA ORCAMENTARIA'!I311,2)</f>
        <v>270.29000000000002</v>
      </c>
      <c r="J167" s="75">
        <f>ROUND('PLANILHA ORCAMENTARIA'!J311,2)</f>
        <v>360.22</v>
      </c>
    </row>
    <row r="168" spans="1:10" ht="30" x14ac:dyDescent="0.25">
      <c r="A168" s="44" t="s">
        <v>456</v>
      </c>
      <c r="B168" s="44" t="s">
        <v>51</v>
      </c>
      <c r="C168" s="102" t="s">
        <v>4026</v>
      </c>
      <c r="D168" s="63" t="s">
        <v>166</v>
      </c>
      <c r="E168" s="44" t="s">
        <v>54</v>
      </c>
      <c r="F168" s="70">
        <f>'PLANILHA ORCAMENTARIA'!F312</f>
        <v>54.16</v>
      </c>
      <c r="G168" s="75">
        <f>'PLANILHA ORCAMENTARIA'!G312</f>
        <v>30.79</v>
      </c>
      <c r="H168" s="75">
        <f>'PLANILHA ORCAMENTARIA'!H312</f>
        <v>41.03</v>
      </c>
      <c r="I168" s="75">
        <f>ROUND('PLANILHA ORCAMENTARIA'!I312,2)</f>
        <v>1667.59</v>
      </c>
      <c r="J168" s="75">
        <f>ROUND('PLANILHA ORCAMENTARIA'!J312,2)</f>
        <v>2222.1799999999998</v>
      </c>
    </row>
    <row r="169" spans="1:10" ht="45" x14ac:dyDescent="0.25">
      <c r="A169" s="44" t="s">
        <v>457</v>
      </c>
      <c r="B169" s="44" t="s">
        <v>51</v>
      </c>
      <c r="C169" s="102" t="s">
        <v>4081</v>
      </c>
      <c r="D169" s="63" t="s">
        <v>382</v>
      </c>
      <c r="E169" s="44" t="s">
        <v>54</v>
      </c>
      <c r="F169" s="70">
        <f>'PLANILHA ORCAMENTARIA'!F313</f>
        <v>26.56</v>
      </c>
      <c r="G169" s="75">
        <f>'PLANILHA ORCAMENTARIA'!G313</f>
        <v>42.98</v>
      </c>
      <c r="H169" s="75">
        <f>'PLANILHA ORCAMENTARIA'!H313</f>
        <v>57.27</v>
      </c>
      <c r="I169" s="75">
        <f>ROUND('PLANILHA ORCAMENTARIA'!I313,2)</f>
        <v>1141.55</v>
      </c>
      <c r="J169" s="75">
        <f>ROUND('PLANILHA ORCAMENTARIA'!J313,2)</f>
        <v>1521.09</v>
      </c>
    </row>
    <row r="170" spans="1:10" ht="60" x14ac:dyDescent="0.25">
      <c r="A170" s="44" t="s">
        <v>458</v>
      </c>
      <c r="B170" s="44" t="s">
        <v>51</v>
      </c>
      <c r="C170" s="102" t="s">
        <v>4021</v>
      </c>
      <c r="D170" s="63" t="s">
        <v>119</v>
      </c>
      <c r="E170" s="44" t="s">
        <v>89</v>
      </c>
      <c r="F170" s="70">
        <f>'PLANILHA ORCAMENTARIA'!F314</f>
        <v>0.63</v>
      </c>
      <c r="G170" s="75">
        <f>'PLANILHA ORCAMENTARIA'!G314</f>
        <v>89.06</v>
      </c>
      <c r="H170" s="75">
        <f>'PLANILHA ORCAMENTARIA'!H314</f>
        <v>118.67</v>
      </c>
      <c r="I170" s="75">
        <f>ROUND('PLANILHA ORCAMENTARIA'!I314,2)</f>
        <v>56.11</v>
      </c>
      <c r="J170" s="75">
        <f>ROUND('PLANILHA ORCAMENTARIA'!J314,2)</f>
        <v>74.760000000000005</v>
      </c>
    </row>
    <row r="171" spans="1:10" ht="30" x14ac:dyDescent="0.25">
      <c r="A171" s="44" t="s">
        <v>460</v>
      </c>
      <c r="B171" s="44" t="s">
        <v>51</v>
      </c>
      <c r="C171" s="102" t="s">
        <v>4067</v>
      </c>
      <c r="D171" s="63" t="s">
        <v>322</v>
      </c>
      <c r="E171" s="44" t="s">
        <v>54</v>
      </c>
      <c r="F171" s="70">
        <f>'PLANILHA ORCAMENTARIA'!F316</f>
        <v>4203</v>
      </c>
      <c r="G171" s="75">
        <f>'PLANILHA ORCAMENTARIA'!G316</f>
        <v>9.4499999999999993</v>
      </c>
      <c r="H171" s="75">
        <f>'PLANILHA ORCAMENTARIA'!H316</f>
        <v>12.59</v>
      </c>
      <c r="I171" s="75">
        <f>ROUND('PLANILHA ORCAMENTARIA'!I316,2)</f>
        <v>39718.35</v>
      </c>
      <c r="J171" s="75">
        <f>ROUND('PLANILHA ORCAMENTARIA'!J316,2)</f>
        <v>52915.77</v>
      </c>
    </row>
    <row r="172" spans="1:10" ht="30" x14ac:dyDescent="0.25">
      <c r="A172" s="44" t="s">
        <v>461</v>
      </c>
      <c r="B172" s="44" t="s">
        <v>51</v>
      </c>
      <c r="C172" s="102" t="s">
        <v>4068</v>
      </c>
      <c r="D172" s="63" t="s">
        <v>325</v>
      </c>
      <c r="E172" s="44" t="s">
        <v>54</v>
      </c>
      <c r="F172" s="70">
        <f>'PLANILHA ORCAMENTARIA'!F317</f>
        <v>207.15</v>
      </c>
      <c r="G172" s="75">
        <f>'PLANILHA ORCAMENTARIA'!G317</f>
        <v>10.73</v>
      </c>
      <c r="H172" s="75">
        <f>'PLANILHA ORCAMENTARIA'!H317</f>
        <v>14.3</v>
      </c>
      <c r="I172" s="75">
        <f>ROUND('PLANILHA ORCAMENTARIA'!I317,2)</f>
        <v>2222.7199999999998</v>
      </c>
      <c r="J172" s="75">
        <f>ROUND('PLANILHA ORCAMENTARIA'!J317,2)</f>
        <v>2962.25</v>
      </c>
    </row>
    <row r="173" spans="1:10" ht="30" x14ac:dyDescent="0.25">
      <c r="A173" s="44" t="s">
        <v>462</v>
      </c>
      <c r="B173" s="44" t="s">
        <v>51</v>
      </c>
      <c r="C173" s="102" t="s">
        <v>4088</v>
      </c>
      <c r="D173" s="63" t="s">
        <v>464</v>
      </c>
      <c r="E173" s="44" t="s">
        <v>54</v>
      </c>
      <c r="F173" s="70">
        <f>'PLANILHA ORCAMENTARIA'!F318</f>
        <v>207.15</v>
      </c>
      <c r="G173" s="75">
        <f>'PLANILHA ORCAMENTARIA'!G318</f>
        <v>27.22</v>
      </c>
      <c r="H173" s="75">
        <f>'PLANILHA ORCAMENTARIA'!H318</f>
        <v>36.270000000000003</v>
      </c>
      <c r="I173" s="75">
        <f>ROUND('PLANILHA ORCAMENTARIA'!I318,2)</f>
        <v>5638.62</v>
      </c>
      <c r="J173" s="75">
        <f>ROUND('PLANILHA ORCAMENTARIA'!J318,2)</f>
        <v>7513.33</v>
      </c>
    </row>
    <row r="174" spans="1:10" ht="60" x14ac:dyDescent="0.25">
      <c r="A174" s="44" t="s">
        <v>465</v>
      </c>
      <c r="B174" s="44" t="s">
        <v>51</v>
      </c>
      <c r="C174" s="102" t="s">
        <v>4072</v>
      </c>
      <c r="D174" s="63" t="s">
        <v>339</v>
      </c>
      <c r="E174" s="44" t="s">
        <v>54</v>
      </c>
      <c r="F174" s="70">
        <f>'PLANILHA ORCAMENTARIA'!F319</f>
        <v>1008.55</v>
      </c>
      <c r="G174" s="75">
        <f>'PLANILHA ORCAMENTARIA'!G319</f>
        <v>25.15</v>
      </c>
      <c r="H174" s="75">
        <f>'PLANILHA ORCAMENTARIA'!H319</f>
        <v>33.51</v>
      </c>
      <c r="I174" s="75">
        <f>ROUND('PLANILHA ORCAMENTARIA'!I319,2)</f>
        <v>25365.03</v>
      </c>
      <c r="J174" s="75">
        <f>ROUND('PLANILHA ORCAMENTARIA'!J319,2)</f>
        <v>33796.51</v>
      </c>
    </row>
    <row r="175" spans="1:10" ht="45" x14ac:dyDescent="0.25">
      <c r="A175" s="44" t="s">
        <v>466</v>
      </c>
      <c r="B175" s="44" t="s">
        <v>77</v>
      </c>
      <c r="C175" s="102" t="s">
        <v>4089</v>
      </c>
      <c r="D175" s="63" t="s">
        <v>468</v>
      </c>
      <c r="E175" s="44" t="s">
        <v>122</v>
      </c>
      <c r="F175" s="70">
        <f>'PLANILHA ORCAMENTARIA'!F320</f>
        <v>34.799999999999997</v>
      </c>
      <c r="G175" s="75">
        <f>'PLANILHA ORCAMENTARIA'!G320</f>
        <v>162.83000000000001</v>
      </c>
      <c r="H175" s="75">
        <f>'PLANILHA ORCAMENTARIA'!H320</f>
        <v>216.97</v>
      </c>
      <c r="I175" s="75">
        <f>ROUND('PLANILHA ORCAMENTARIA'!I320,2)</f>
        <v>5666.48</v>
      </c>
      <c r="J175" s="75">
        <f>ROUND('PLANILHA ORCAMENTARIA'!J320,2)</f>
        <v>7550.56</v>
      </c>
    </row>
    <row r="176" spans="1:10" ht="30" x14ac:dyDescent="0.25">
      <c r="A176" s="44" t="s">
        <v>469</v>
      </c>
      <c r="B176" s="44" t="s">
        <v>77</v>
      </c>
      <c r="C176" s="102" t="s">
        <v>4090</v>
      </c>
      <c r="D176" s="63" t="s">
        <v>471</v>
      </c>
      <c r="E176" s="44" t="s">
        <v>54</v>
      </c>
      <c r="F176" s="70">
        <f>'PLANILHA ORCAMENTARIA'!F321</f>
        <v>151.28</v>
      </c>
      <c r="G176" s="75">
        <f>'PLANILHA ORCAMENTARIA'!G321</f>
        <v>41.56</v>
      </c>
      <c r="H176" s="75">
        <f>'PLANILHA ORCAMENTARIA'!H321</f>
        <v>55.38</v>
      </c>
      <c r="I176" s="75">
        <f>ROUND('PLANILHA ORCAMENTARIA'!I321,2)</f>
        <v>6287.2</v>
      </c>
      <c r="J176" s="75">
        <f>ROUND('PLANILHA ORCAMENTARIA'!J321,2)</f>
        <v>8377.89</v>
      </c>
    </row>
    <row r="177" spans="1:10" ht="30" x14ac:dyDescent="0.25">
      <c r="A177" s="44" t="s">
        <v>472</v>
      </c>
      <c r="B177" s="44" t="s">
        <v>77</v>
      </c>
      <c r="C177" s="102" t="s">
        <v>4091</v>
      </c>
      <c r="D177" s="63" t="s">
        <v>474</v>
      </c>
      <c r="E177" s="44" t="s">
        <v>54</v>
      </c>
      <c r="F177" s="70">
        <f>'PLANILHA ORCAMENTARIA'!F322</f>
        <v>157.15</v>
      </c>
      <c r="G177" s="75">
        <f>'PLANILHA ORCAMENTARIA'!G322</f>
        <v>24.6</v>
      </c>
      <c r="H177" s="75">
        <f>'PLANILHA ORCAMENTARIA'!H322</f>
        <v>32.78</v>
      </c>
      <c r="I177" s="75">
        <f>ROUND('PLANILHA ORCAMENTARIA'!I322,2)</f>
        <v>3865.89</v>
      </c>
      <c r="J177" s="75">
        <f>ROUND('PLANILHA ORCAMENTARIA'!J322,2)</f>
        <v>5151.38</v>
      </c>
    </row>
    <row r="178" spans="1:10" ht="30" x14ac:dyDescent="0.25">
      <c r="A178" s="44" t="s">
        <v>476</v>
      </c>
      <c r="B178" s="44" t="s">
        <v>77</v>
      </c>
      <c r="C178" s="102" t="s">
        <v>4053</v>
      </c>
      <c r="D178" s="63" t="s">
        <v>264</v>
      </c>
      <c r="E178" s="44" t="s">
        <v>54</v>
      </c>
      <c r="F178" s="70">
        <f>'PLANILHA ORCAMENTARIA'!F324</f>
        <v>20</v>
      </c>
      <c r="G178" s="75">
        <f>'PLANILHA ORCAMENTARIA'!G324</f>
        <v>65.39</v>
      </c>
      <c r="H178" s="75">
        <f>'PLANILHA ORCAMENTARIA'!H324</f>
        <v>87.13</v>
      </c>
      <c r="I178" s="75">
        <f>ROUND('PLANILHA ORCAMENTARIA'!I324,2)</f>
        <v>1307.8</v>
      </c>
      <c r="J178" s="75">
        <f>ROUND('PLANILHA ORCAMENTARIA'!J324,2)</f>
        <v>1742.6</v>
      </c>
    </row>
    <row r="179" spans="1:10" ht="30" x14ac:dyDescent="0.25">
      <c r="A179" s="44" t="s">
        <v>477</v>
      </c>
      <c r="B179" s="44" t="s">
        <v>77</v>
      </c>
      <c r="C179" s="102" t="s">
        <v>4092</v>
      </c>
      <c r="D179" s="63" t="s">
        <v>479</v>
      </c>
      <c r="E179" s="44" t="s">
        <v>54</v>
      </c>
      <c r="F179" s="70">
        <f>'PLANILHA ORCAMENTARIA'!F325</f>
        <v>28</v>
      </c>
      <c r="G179" s="75">
        <f>'PLANILHA ORCAMENTARIA'!G325</f>
        <v>381.11</v>
      </c>
      <c r="H179" s="75">
        <f>'PLANILHA ORCAMENTARIA'!H325</f>
        <v>507.83</v>
      </c>
      <c r="I179" s="75">
        <f>ROUND('PLANILHA ORCAMENTARIA'!I325,2)</f>
        <v>10671.08</v>
      </c>
      <c r="J179" s="75">
        <f>ROUND('PLANILHA ORCAMENTARIA'!J325,2)</f>
        <v>14219.24</v>
      </c>
    </row>
    <row r="180" spans="1:10" ht="30" x14ac:dyDescent="0.25">
      <c r="A180" s="44" t="s">
        <v>480</v>
      </c>
      <c r="B180" s="44" t="s">
        <v>341</v>
      </c>
      <c r="C180" s="102" t="s">
        <v>4093</v>
      </c>
      <c r="D180" s="63" t="s">
        <v>482</v>
      </c>
      <c r="E180" s="44" t="s">
        <v>54</v>
      </c>
      <c r="F180" s="70">
        <f>'PLANILHA ORCAMENTARIA'!F326</f>
        <v>166.4</v>
      </c>
      <c r="G180" s="75">
        <f>'PLANILHA ORCAMENTARIA'!G326</f>
        <v>155.22999999999999</v>
      </c>
      <c r="H180" s="75">
        <f>'PLANILHA ORCAMENTARIA'!H326</f>
        <v>206.84</v>
      </c>
      <c r="I180" s="75">
        <f>ROUND('PLANILHA ORCAMENTARIA'!I326,2)</f>
        <v>25830.27</v>
      </c>
      <c r="J180" s="75">
        <f>ROUND('PLANILHA ORCAMENTARIA'!J326,2)</f>
        <v>34418.18</v>
      </c>
    </row>
    <row r="181" spans="1:10" x14ac:dyDescent="0.25">
      <c r="A181" s="44" t="s">
        <v>483</v>
      </c>
      <c r="B181" s="44" t="s">
        <v>77</v>
      </c>
      <c r="C181" s="102" t="s">
        <v>4094</v>
      </c>
      <c r="D181" s="63" t="s">
        <v>485</v>
      </c>
      <c r="E181" s="44" t="s">
        <v>54</v>
      </c>
      <c r="F181" s="70">
        <f>'PLANILHA ORCAMENTARIA'!F327</f>
        <v>4</v>
      </c>
      <c r="G181" s="75">
        <f>'PLANILHA ORCAMENTARIA'!G327</f>
        <v>182.96</v>
      </c>
      <c r="H181" s="75">
        <f>'PLANILHA ORCAMENTARIA'!H327</f>
        <v>243.79</v>
      </c>
      <c r="I181" s="75">
        <f>ROUND('PLANILHA ORCAMENTARIA'!I327,2)</f>
        <v>731.84</v>
      </c>
      <c r="J181" s="75">
        <f>ROUND('PLANILHA ORCAMENTARIA'!J327,2)</f>
        <v>975.16</v>
      </c>
    </row>
    <row r="182" spans="1:10" ht="30" x14ac:dyDescent="0.25">
      <c r="A182" s="44" t="s">
        <v>486</v>
      </c>
      <c r="B182" s="44" t="s">
        <v>77</v>
      </c>
      <c r="C182" s="102" t="s">
        <v>4095</v>
      </c>
      <c r="D182" s="63" t="s">
        <v>488</v>
      </c>
      <c r="E182" s="44" t="s">
        <v>54</v>
      </c>
      <c r="F182" s="70">
        <f>'PLANILHA ORCAMENTARIA'!F328</f>
        <v>10.79</v>
      </c>
      <c r="G182" s="75">
        <f>'PLANILHA ORCAMENTARIA'!G328</f>
        <v>157.97999999999999</v>
      </c>
      <c r="H182" s="75">
        <f>'PLANILHA ORCAMENTARIA'!H328</f>
        <v>210.51</v>
      </c>
      <c r="I182" s="75">
        <f>ROUND('PLANILHA ORCAMENTARIA'!I328,2)</f>
        <v>1704.6</v>
      </c>
      <c r="J182" s="75">
        <f>ROUND('PLANILHA ORCAMENTARIA'!J328,2)</f>
        <v>2271.4</v>
      </c>
    </row>
    <row r="183" spans="1:10" ht="30" x14ac:dyDescent="0.25">
      <c r="A183" s="44" t="s">
        <v>489</v>
      </c>
      <c r="B183" s="44" t="s">
        <v>77</v>
      </c>
      <c r="C183" s="102" t="s">
        <v>4096</v>
      </c>
      <c r="D183" s="63" t="s">
        <v>491</v>
      </c>
      <c r="E183" s="44" t="s">
        <v>89</v>
      </c>
      <c r="F183" s="70">
        <f>'PLANILHA ORCAMENTARIA'!F329</f>
        <v>87.65</v>
      </c>
      <c r="G183" s="75">
        <f>'PLANILHA ORCAMENTARIA'!G329</f>
        <v>32.409999999999997</v>
      </c>
      <c r="H183" s="75">
        <f>'PLANILHA ORCAMENTARIA'!H329</f>
        <v>43.19</v>
      </c>
      <c r="I183" s="75">
        <f>ROUND('PLANILHA ORCAMENTARIA'!I329,2)</f>
        <v>2840.74</v>
      </c>
      <c r="J183" s="75">
        <f>ROUND('PLANILHA ORCAMENTARIA'!J329,2)</f>
        <v>3785.6</v>
      </c>
    </row>
    <row r="184" spans="1:10" x14ac:dyDescent="0.25">
      <c r="A184" s="44" t="s">
        <v>492</v>
      </c>
      <c r="B184" s="44" t="s">
        <v>77</v>
      </c>
      <c r="C184" s="102" t="s">
        <v>4097</v>
      </c>
      <c r="D184" s="63" t="s">
        <v>494</v>
      </c>
      <c r="E184" s="44" t="s">
        <v>54</v>
      </c>
      <c r="F184" s="70">
        <f>'PLANILHA ORCAMENTARIA'!F330</f>
        <v>20.96</v>
      </c>
      <c r="G184" s="75">
        <f>'PLANILHA ORCAMENTARIA'!G330</f>
        <v>183.73</v>
      </c>
      <c r="H184" s="75">
        <f>'PLANILHA ORCAMENTARIA'!H330</f>
        <v>244.82</v>
      </c>
      <c r="I184" s="75">
        <f>ROUND('PLANILHA ORCAMENTARIA'!I330,2)</f>
        <v>3850.98</v>
      </c>
      <c r="J184" s="75">
        <f>ROUND('PLANILHA ORCAMENTARIA'!J330,2)</f>
        <v>5131.43</v>
      </c>
    </row>
    <row r="185" spans="1:10" x14ac:dyDescent="0.25">
      <c r="A185" s="44" t="s">
        <v>495</v>
      </c>
      <c r="B185" s="44" t="s">
        <v>341</v>
      </c>
      <c r="C185" s="102" t="s">
        <v>4098</v>
      </c>
      <c r="D185" s="63" t="s">
        <v>497</v>
      </c>
      <c r="E185" s="44" t="s">
        <v>54</v>
      </c>
      <c r="F185" s="70">
        <f>'PLANILHA ORCAMENTARIA'!F331</f>
        <v>25.44</v>
      </c>
      <c r="G185" s="75">
        <f>'PLANILHA ORCAMENTARIA'!G331</f>
        <v>396.47</v>
      </c>
      <c r="H185" s="75">
        <f>'PLANILHA ORCAMENTARIA'!H331</f>
        <v>528.29999999999995</v>
      </c>
      <c r="I185" s="75">
        <f>ROUND('PLANILHA ORCAMENTARIA'!I331,2)</f>
        <v>10086.200000000001</v>
      </c>
      <c r="J185" s="75">
        <f>ROUND('PLANILHA ORCAMENTARIA'!J331,2)</f>
        <v>13439.95</v>
      </c>
    </row>
    <row r="186" spans="1:10" ht="30" x14ac:dyDescent="0.25">
      <c r="A186" s="44" t="s">
        <v>498</v>
      </c>
      <c r="B186" s="44" t="s">
        <v>51</v>
      </c>
      <c r="C186" s="102" t="s">
        <v>4028</v>
      </c>
      <c r="D186" s="63" t="s">
        <v>173</v>
      </c>
      <c r="E186" s="44" t="s">
        <v>54</v>
      </c>
      <c r="F186" s="70">
        <f>'PLANILHA ORCAMENTARIA'!F334</f>
        <v>1</v>
      </c>
      <c r="G186" s="75">
        <f>'PLANILHA ORCAMENTARIA'!G334</f>
        <v>1856466.6666666667</v>
      </c>
      <c r="H186" s="75">
        <f>'PLANILHA ORCAMENTARIA'!H334</f>
        <v>2473741.83</v>
      </c>
      <c r="I186" s="75">
        <f>ROUND('PLANILHA ORCAMENTARIA'!I334,2)</f>
        <v>1856466.67</v>
      </c>
      <c r="J186" s="75">
        <f>ROUND('PLANILHA ORCAMENTARIA'!J334,2)</f>
        <v>2473741.83</v>
      </c>
    </row>
    <row r="187" spans="1:10" x14ac:dyDescent="0.25">
      <c r="A187" s="66" t="s">
        <v>3997</v>
      </c>
      <c r="B187" s="66"/>
      <c r="C187" s="103"/>
      <c r="D187" s="64" t="s">
        <v>4022</v>
      </c>
      <c r="E187" s="66"/>
      <c r="F187" s="71"/>
      <c r="G187" s="76"/>
      <c r="H187" s="76"/>
      <c r="I187" s="76" t="e">
        <f>ROUND(SUM(I38:I186),2)</f>
        <v>#REF!</v>
      </c>
      <c r="J187" s="76" t="e">
        <f>ROUND(SUM(J38:J186),2)</f>
        <v>#REF!</v>
      </c>
    </row>
    <row r="188" spans="1:10" x14ac:dyDescent="0.25">
      <c r="A188" s="58" t="s">
        <v>4099</v>
      </c>
      <c r="B188" s="58"/>
      <c r="C188" s="101"/>
      <c r="D188" s="62"/>
      <c r="E188" s="58"/>
      <c r="F188" s="69"/>
      <c r="G188" s="74"/>
      <c r="H188" s="74"/>
      <c r="I188" s="74" t="s">
        <v>3997</v>
      </c>
      <c r="J188" s="74">
        <f>J211</f>
        <v>62020.639999999999</v>
      </c>
    </row>
    <row r="189" spans="1:10" ht="30" x14ac:dyDescent="0.25">
      <c r="A189" s="44" t="s">
        <v>501</v>
      </c>
      <c r="B189" s="44" t="s">
        <v>51</v>
      </c>
      <c r="C189" s="102" t="s">
        <v>4100</v>
      </c>
      <c r="D189" s="63" t="s">
        <v>503</v>
      </c>
      <c r="E189" s="44" t="s">
        <v>72</v>
      </c>
      <c r="F189" s="70">
        <f>'PLANILHA ORCAMENTARIA'!F109</f>
        <v>120</v>
      </c>
      <c r="G189" s="75">
        <f>'PLANILHA ORCAMENTARIA'!G109</f>
        <v>6.43</v>
      </c>
      <c r="H189" s="75">
        <f>'PLANILHA ORCAMENTARIA'!H109</f>
        <v>8.57</v>
      </c>
      <c r="I189" s="75">
        <f>ROUND('PLANILHA ORCAMENTARIA'!I109,2)</f>
        <v>771.6</v>
      </c>
      <c r="J189" s="75">
        <f>ROUND('PLANILHA ORCAMENTARIA'!J109,2)</f>
        <v>1028.4000000000001</v>
      </c>
    </row>
    <row r="190" spans="1:10" ht="30" x14ac:dyDescent="0.25">
      <c r="A190" s="44" t="s">
        <v>504</v>
      </c>
      <c r="B190" s="44" t="s">
        <v>51</v>
      </c>
      <c r="C190" s="102" t="s">
        <v>4101</v>
      </c>
      <c r="D190" s="63" t="s">
        <v>506</v>
      </c>
      <c r="E190" s="44" t="s">
        <v>72</v>
      </c>
      <c r="F190" s="70">
        <f>'PLANILHA ORCAMENTARIA'!F110</f>
        <v>200</v>
      </c>
      <c r="G190" s="75">
        <f>'PLANILHA ORCAMENTARIA'!G110</f>
        <v>9.52</v>
      </c>
      <c r="H190" s="75">
        <f>'PLANILHA ORCAMENTARIA'!H110</f>
        <v>12.69</v>
      </c>
      <c r="I190" s="75">
        <f>ROUND('PLANILHA ORCAMENTARIA'!I110,2)</f>
        <v>1904</v>
      </c>
      <c r="J190" s="75">
        <f>ROUND('PLANILHA ORCAMENTARIA'!J110,2)</f>
        <v>2538</v>
      </c>
    </row>
    <row r="191" spans="1:10" ht="30" x14ac:dyDescent="0.25">
      <c r="A191" s="44" t="s">
        <v>507</v>
      </c>
      <c r="B191" s="44" t="s">
        <v>51</v>
      </c>
      <c r="C191" s="102" t="s">
        <v>4102</v>
      </c>
      <c r="D191" s="63" t="s">
        <v>509</v>
      </c>
      <c r="E191" s="44" t="s">
        <v>72</v>
      </c>
      <c r="F191" s="70">
        <f>'PLANILHA ORCAMENTARIA'!F111</f>
        <v>900</v>
      </c>
      <c r="G191" s="75">
        <f>'PLANILHA ORCAMENTARIA'!G111</f>
        <v>7.86</v>
      </c>
      <c r="H191" s="75">
        <f>'PLANILHA ORCAMENTARIA'!H111</f>
        <v>10.47</v>
      </c>
      <c r="I191" s="75">
        <f>ROUND('PLANILHA ORCAMENTARIA'!I111,2)</f>
        <v>7074</v>
      </c>
      <c r="J191" s="75">
        <f>ROUND('PLANILHA ORCAMENTARIA'!J111,2)</f>
        <v>9423</v>
      </c>
    </row>
    <row r="192" spans="1:10" ht="30" x14ac:dyDescent="0.25">
      <c r="A192" s="44" t="s">
        <v>510</v>
      </c>
      <c r="B192" s="44" t="s">
        <v>51</v>
      </c>
      <c r="C192" s="102" t="s">
        <v>4103</v>
      </c>
      <c r="D192" s="63" t="s">
        <v>512</v>
      </c>
      <c r="E192" s="44" t="s">
        <v>72</v>
      </c>
      <c r="F192" s="70">
        <f>'PLANILHA ORCAMENTARIA'!F112</f>
        <v>120</v>
      </c>
      <c r="G192" s="75">
        <f>'PLANILHA ORCAMENTARIA'!G112</f>
        <v>12.57</v>
      </c>
      <c r="H192" s="75">
        <f>'PLANILHA ORCAMENTARIA'!H112</f>
        <v>16.75</v>
      </c>
      <c r="I192" s="75">
        <f>ROUND('PLANILHA ORCAMENTARIA'!I112,2)</f>
        <v>1508.4</v>
      </c>
      <c r="J192" s="75">
        <f>ROUND('PLANILHA ORCAMENTARIA'!J112,2)</f>
        <v>2010</v>
      </c>
    </row>
    <row r="193" spans="1:10" ht="30" x14ac:dyDescent="0.25">
      <c r="A193" s="44" t="s">
        <v>513</v>
      </c>
      <c r="B193" s="44" t="s">
        <v>51</v>
      </c>
      <c r="C193" s="102" t="s">
        <v>4104</v>
      </c>
      <c r="D193" s="63" t="s">
        <v>515</v>
      </c>
      <c r="E193" s="44" t="s">
        <v>72</v>
      </c>
      <c r="F193" s="70">
        <f>'PLANILHA ORCAMENTARIA'!F113</f>
        <v>120</v>
      </c>
      <c r="G193" s="75">
        <f>'PLANILHA ORCAMENTARIA'!G113</f>
        <v>17.02</v>
      </c>
      <c r="H193" s="75">
        <f>'PLANILHA ORCAMENTARIA'!H113</f>
        <v>22.68</v>
      </c>
      <c r="I193" s="75">
        <f>ROUND('PLANILHA ORCAMENTARIA'!I113,2)</f>
        <v>2042.4</v>
      </c>
      <c r="J193" s="75">
        <f>ROUND('PLANILHA ORCAMENTARIA'!J113,2)</f>
        <v>2721.6</v>
      </c>
    </row>
    <row r="194" spans="1:10" ht="30" x14ac:dyDescent="0.25">
      <c r="A194" s="44" t="s">
        <v>516</v>
      </c>
      <c r="B194" s="44" t="s">
        <v>51</v>
      </c>
      <c r="C194" s="102" t="s">
        <v>4105</v>
      </c>
      <c r="D194" s="63" t="s">
        <v>518</v>
      </c>
      <c r="E194" s="44" t="s">
        <v>72</v>
      </c>
      <c r="F194" s="70">
        <f>'PLANILHA ORCAMENTARIA'!F114</f>
        <v>240</v>
      </c>
      <c r="G194" s="75">
        <f>'PLANILHA ORCAMENTARIA'!G114</f>
        <v>63.66</v>
      </c>
      <c r="H194" s="75">
        <f>'PLANILHA ORCAMENTARIA'!H114</f>
        <v>84.83</v>
      </c>
      <c r="I194" s="75">
        <f>ROUND('PLANILHA ORCAMENTARIA'!I114,2)</f>
        <v>15278.4</v>
      </c>
      <c r="J194" s="75">
        <f>ROUND('PLANILHA ORCAMENTARIA'!J114,2)</f>
        <v>20359.2</v>
      </c>
    </row>
    <row r="195" spans="1:10" ht="30" x14ac:dyDescent="0.25">
      <c r="A195" s="44" t="s">
        <v>519</v>
      </c>
      <c r="B195" s="44" t="s">
        <v>51</v>
      </c>
      <c r="C195" s="102" t="s">
        <v>4106</v>
      </c>
      <c r="D195" s="63" t="s">
        <v>521</v>
      </c>
      <c r="E195" s="44" t="s">
        <v>72</v>
      </c>
      <c r="F195" s="70">
        <f>'PLANILHA ORCAMENTARIA'!F115</f>
        <v>130</v>
      </c>
      <c r="G195" s="75">
        <f>'PLANILHA ORCAMENTARIA'!G115</f>
        <v>32.979999999999997</v>
      </c>
      <c r="H195" s="75">
        <f>'PLANILHA ORCAMENTARIA'!H115</f>
        <v>43.95</v>
      </c>
      <c r="I195" s="75">
        <f>ROUND('PLANILHA ORCAMENTARIA'!I115,2)</f>
        <v>4287.3999999999996</v>
      </c>
      <c r="J195" s="75">
        <f>ROUND('PLANILHA ORCAMENTARIA'!J115,2)</f>
        <v>5713.5</v>
      </c>
    </row>
    <row r="196" spans="1:10" ht="30" x14ac:dyDescent="0.25">
      <c r="A196" s="44" t="s">
        <v>522</v>
      </c>
      <c r="B196" s="44" t="s">
        <v>77</v>
      </c>
      <c r="C196" s="102" t="s">
        <v>4107</v>
      </c>
      <c r="D196" s="63" t="s">
        <v>524</v>
      </c>
      <c r="E196" s="44" t="s">
        <v>72</v>
      </c>
      <c r="F196" s="70">
        <f>'PLANILHA ORCAMENTARIA'!F116</f>
        <v>40</v>
      </c>
      <c r="G196" s="75">
        <f>'PLANILHA ORCAMENTARIA'!G116</f>
        <v>50</v>
      </c>
      <c r="H196" s="75">
        <f>'PLANILHA ORCAMENTARIA'!H116</f>
        <v>66.63</v>
      </c>
      <c r="I196" s="75">
        <f>ROUND('PLANILHA ORCAMENTARIA'!I116,2)</f>
        <v>2000</v>
      </c>
      <c r="J196" s="75">
        <f>ROUND('PLANILHA ORCAMENTARIA'!J116,2)</f>
        <v>2665.2</v>
      </c>
    </row>
    <row r="197" spans="1:10" ht="30" x14ac:dyDescent="0.25">
      <c r="A197" s="44" t="s">
        <v>525</v>
      </c>
      <c r="B197" s="44" t="s">
        <v>51</v>
      </c>
      <c r="C197" s="102" t="s">
        <v>4108</v>
      </c>
      <c r="D197" s="63" t="s">
        <v>527</v>
      </c>
      <c r="E197" s="44" t="s">
        <v>72</v>
      </c>
      <c r="F197" s="70">
        <f>'PLANILHA ORCAMENTARIA'!F118</f>
        <v>600</v>
      </c>
      <c r="G197" s="75">
        <f>'PLANILHA ORCAMENTARIA'!G118</f>
        <v>6.6</v>
      </c>
      <c r="H197" s="75">
        <f>'PLANILHA ORCAMENTARIA'!H118</f>
        <v>8.7899999999999991</v>
      </c>
      <c r="I197" s="75">
        <f>ROUND('PLANILHA ORCAMENTARIA'!I118,2)</f>
        <v>3960</v>
      </c>
      <c r="J197" s="75">
        <f>ROUND('PLANILHA ORCAMENTARIA'!J118,2)</f>
        <v>5274</v>
      </c>
    </row>
    <row r="198" spans="1:10" ht="30" x14ac:dyDescent="0.25">
      <c r="A198" s="44" t="s">
        <v>528</v>
      </c>
      <c r="B198" s="44" t="s">
        <v>51</v>
      </c>
      <c r="C198" s="102" t="s">
        <v>4109</v>
      </c>
      <c r="D198" s="63" t="s">
        <v>530</v>
      </c>
      <c r="E198" s="44" t="s">
        <v>72</v>
      </c>
      <c r="F198" s="70">
        <f>'PLANILHA ORCAMENTARIA'!F119</f>
        <v>80</v>
      </c>
      <c r="G198" s="75">
        <f>'PLANILHA ORCAMENTARIA'!G119</f>
        <v>8.0299999999999994</v>
      </c>
      <c r="H198" s="75">
        <f>'PLANILHA ORCAMENTARIA'!H119</f>
        <v>10.7</v>
      </c>
      <c r="I198" s="75">
        <f>ROUND('PLANILHA ORCAMENTARIA'!I119,2)</f>
        <v>642.4</v>
      </c>
      <c r="J198" s="75">
        <f>ROUND('PLANILHA ORCAMENTARIA'!J119,2)</f>
        <v>856</v>
      </c>
    </row>
    <row r="199" spans="1:10" x14ac:dyDescent="0.25">
      <c r="A199" s="44" t="s">
        <v>531</v>
      </c>
      <c r="B199" s="44" t="s">
        <v>51</v>
      </c>
      <c r="C199" s="102" t="s">
        <v>4110</v>
      </c>
      <c r="D199" s="63" t="s">
        <v>533</v>
      </c>
      <c r="E199" s="44" t="s">
        <v>68</v>
      </c>
      <c r="F199" s="70">
        <f>'PLANILHA ORCAMENTARIA'!F120</f>
        <v>60</v>
      </c>
      <c r="G199" s="75">
        <f>'PLANILHA ORCAMENTARIA'!G120</f>
        <v>9.92</v>
      </c>
      <c r="H199" s="75">
        <f>'PLANILHA ORCAMENTARIA'!H120</f>
        <v>13.22</v>
      </c>
      <c r="I199" s="75">
        <f>ROUND('PLANILHA ORCAMENTARIA'!I120,2)</f>
        <v>595.20000000000005</v>
      </c>
      <c r="J199" s="75">
        <f>ROUND('PLANILHA ORCAMENTARIA'!J120,2)</f>
        <v>793.2</v>
      </c>
    </row>
    <row r="200" spans="1:10" ht="30" x14ac:dyDescent="0.25">
      <c r="A200" s="44" t="s">
        <v>534</v>
      </c>
      <c r="B200" s="44" t="s">
        <v>77</v>
      </c>
      <c r="C200" s="102" t="s">
        <v>4111</v>
      </c>
      <c r="D200" s="63" t="s">
        <v>536</v>
      </c>
      <c r="E200" s="44" t="s">
        <v>68</v>
      </c>
      <c r="F200" s="70">
        <f>'PLANILHA ORCAMENTARIA'!F121</f>
        <v>135</v>
      </c>
      <c r="G200" s="75">
        <f>'PLANILHA ORCAMENTARIA'!G121</f>
        <v>16.72</v>
      </c>
      <c r="H200" s="75">
        <f>'PLANILHA ORCAMENTARIA'!H121</f>
        <v>22.28</v>
      </c>
      <c r="I200" s="75">
        <f>ROUND('PLANILHA ORCAMENTARIA'!I121,2)</f>
        <v>2257.1999999999998</v>
      </c>
      <c r="J200" s="75">
        <f>ROUND('PLANILHA ORCAMENTARIA'!J121,2)</f>
        <v>3007.8</v>
      </c>
    </row>
    <row r="201" spans="1:10" ht="60" x14ac:dyDescent="0.25">
      <c r="A201" s="44" t="s">
        <v>538</v>
      </c>
      <c r="B201" s="44" t="s">
        <v>82</v>
      </c>
      <c r="C201" s="102" t="s">
        <v>4112</v>
      </c>
      <c r="D201" s="63" t="s">
        <v>540</v>
      </c>
      <c r="E201" s="44" t="s">
        <v>226</v>
      </c>
      <c r="F201" s="70">
        <f>'PLANILHA ORCAMENTARIA'!F123</f>
        <v>1</v>
      </c>
      <c r="G201" s="75">
        <f>'PLANILHA ORCAMENTARIA'!G123</f>
        <v>414.82</v>
      </c>
      <c r="H201" s="75">
        <f>'PLANILHA ORCAMENTARIA'!H123</f>
        <v>552.75</v>
      </c>
      <c r="I201" s="75">
        <f>ROUND('PLANILHA ORCAMENTARIA'!I123,2)</f>
        <v>414.82</v>
      </c>
      <c r="J201" s="75">
        <f>ROUND('PLANILHA ORCAMENTARIA'!J123,2)</f>
        <v>552.75</v>
      </c>
    </row>
    <row r="202" spans="1:10" ht="30" x14ac:dyDescent="0.25">
      <c r="A202" s="44" t="s">
        <v>541</v>
      </c>
      <c r="B202" s="44" t="s">
        <v>82</v>
      </c>
      <c r="C202" s="102" t="s">
        <v>4113</v>
      </c>
      <c r="D202" s="63" t="s">
        <v>543</v>
      </c>
      <c r="E202" s="44" t="s">
        <v>226</v>
      </c>
      <c r="F202" s="70">
        <f>'PLANILHA ORCAMENTARIA'!F124</f>
        <v>1</v>
      </c>
      <c r="G202" s="75">
        <f>'PLANILHA ORCAMENTARIA'!G124</f>
        <v>111.75</v>
      </c>
      <c r="H202" s="75">
        <f>'PLANILHA ORCAMENTARIA'!H124</f>
        <v>148.91</v>
      </c>
      <c r="I202" s="75">
        <f>ROUND('PLANILHA ORCAMENTARIA'!I124,2)</f>
        <v>111.75</v>
      </c>
      <c r="J202" s="75">
        <f>ROUND('PLANILHA ORCAMENTARIA'!J124,2)</f>
        <v>148.91</v>
      </c>
    </row>
    <row r="203" spans="1:10" ht="30" x14ac:dyDescent="0.25">
      <c r="A203" s="44" t="s">
        <v>544</v>
      </c>
      <c r="B203" s="44" t="s">
        <v>82</v>
      </c>
      <c r="C203" s="102" t="s">
        <v>4114</v>
      </c>
      <c r="D203" s="63" t="s">
        <v>546</v>
      </c>
      <c r="E203" s="44" t="s">
        <v>226</v>
      </c>
      <c r="F203" s="70">
        <f>'PLANILHA ORCAMENTARIA'!F125</f>
        <v>1</v>
      </c>
      <c r="G203" s="75">
        <f>'PLANILHA ORCAMENTARIA'!G125</f>
        <v>51.91</v>
      </c>
      <c r="H203" s="75">
        <f>'PLANILHA ORCAMENTARIA'!H125</f>
        <v>69.17</v>
      </c>
      <c r="I203" s="75">
        <f>ROUND('PLANILHA ORCAMENTARIA'!I125,2)</f>
        <v>51.91</v>
      </c>
      <c r="J203" s="75">
        <f>ROUND('PLANILHA ORCAMENTARIA'!J125,2)</f>
        <v>69.17</v>
      </c>
    </row>
    <row r="204" spans="1:10" ht="30" x14ac:dyDescent="0.25">
      <c r="A204" s="44" t="s">
        <v>547</v>
      </c>
      <c r="B204" s="44" t="s">
        <v>82</v>
      </c>
      <c r="C204" s="102" t="s">
        <v>4115</v>
      </c>
      <c r="D204" s="63" t="s">
        <v>549</v>
      </c>
      <c r="E204" s="44" t="s">
        <v>226</v>
      </c>
      <c r="F204" s="70">
        <f>'PLANILHA ORCAMENTARIA'!F126</f>
        <v>3</v>
      </c>
      <c r="G204" s="75">
        <f>'PLANILHA ORCAMENTARIA'!G126</f>
        <v>56.92</v>
      </c>
      <c r="H204" s="75">
        <f>'PLANILHA ORCAMENTARIA'!H126</f>
        <v>75.849999999999994</v>
      </c>
      <c r="I204" s="75">
        <f>ROUND('PLANILHA ORCAMENTARIA'!I126,2)</f>
        <v>170.76</v>
      </c>
      <c r="J204" s="75">
        <f>ROUND('PLANILHA ORCAMENTARIA'!J126,2)</f>
        <v>227.55</v>
      </c>
    </row>
    <row r="205" spans="1:10" ht="30" x14ac:dyDescent="0.25">
      <c r="A205" s="44" t="s">
        <v>550</v>
      </c>
      <c r="B205" s="44" t="s">
        <v>82</v>
      </c>
      <c r="C205" s="102" t="s">
        <v>4116</v>
      </c>
      <c r="D205" s="63" t="s">
        <v>552</v>
      </c>
      <c r="E205" s="44" t="s">
        <v>226</v>
      </c>
      <c r="F205" s="70">
        <f>'PLANILHA ORCAMENTARIA'!F127</f>
        <v>3</v>
      </c>
      <c r="G205" s="75">
        <f>'PLANILHA ORCAMENTARIA'!G127</f>
        <v>69.58</v>
      </c>
      <c r="H205" s="75">
        <f>'PLANILHA ORCAMENTARIA'!H127</f>
        <v>92.72</v>
      </c>
      <c r="I205" s="75">
        <f>ROUND('PLANILHA ORCAMENTARIA'!I127,2)</f>
        <v>208.74</v>
      </c>
      <c r="J205" s="75">
        <f>ROUND('PLANILHA ORCAMENTARIA'!J127,2)</f>
        <v>278.16000000000003</v>
      </c>
    </row>
    <row r="206" spans="1:10" ht="45" x14ac:dyDescent="0.25">
      <c r="A206" s="44" t="s">
        <v>553</v>
      </c>
      <c r="B206" s="44" t="s">
        <v>82</v>
      </c>
      <c r="C206" s="102" t="s">
        <v>4117</v>
      </c>
      <c r="D206" s="63" t="s">
        <v>555</v>
      </c>
      <c r="E206" s="44" t="s">
        <v>188</v>
      </c>
      <c r="F206" s="70">
        <f>'PLANILHA ORCAMENTARIA'!F129</f>
        <v>28</v>
      </c>
      <c r="G206" s="75">
        <f>'PLANILHA ORCAMENTARIA'!G129</f>
        <v>31.97</v>
      </c>
      <c r="H206" s="75">
        <f>'PLANILHA ORCAMENTARIA'!H129</f>
        <v>42.6</v>
      </c>
      <c r="I206" s="75">
        <f>ROUND('PLANILHA ORCAMENTARIA'!I129,2)</f>
        <v>895.16</v>
      </c>
      <c r="J206" s="75">
        <f>ROUND('PLANILHA ORCAMENTARIA'!J129,2)</f>
        <v>1192.8</v>
      </c>
    </row>
    <row r="207" spans="1:10" ht="45" x14ac:dyDescent="0.25">
      <c r="A207" s="44" t="s">
        <v>556</v>
      </c>
      <c r="B207" s="44" t="s">
        <v>82</v>
      </c>
      <c r="C207" s="102" t="s">
        <v>4118</v>
      </c>
      <c r="D207" s="63" t="s">
        <v>558</v>
      </c>
      <c r="E207" s="44" t="s">
        <v>188</v>
      </c>
      <c r="F207" s="70">
        <f>'PLANILHA ORCAMENTARIA'!F130</f>
        <v>33</v>
      </c>
      <c r="G207" s="75">
        <f>'PLANILHA ORCAMENTARIA'!G130</f>
        <v>9.1199999999999992</v>
      </c>
      <c r="H207" s="75">
        <f>'PLANILHA ORCAMENTARIA'!H130</f>
        <v>12.15</v>
      </c>
      <c r="I207" s="75">
        <f>ROUND('PLANILHA ORCAMENTARIA'!I130,2)</f>
        <v>300.95999999999998</v>
      </c>
      <c r="J207" s="75">
        <f>ROUND('PLANILHA ORCAMENTARIA'!J130,2)</f>
        <v>400.95</v>
      </c>
    </row>
    <row r="208" spans="1:10" ht="45" x14ac:dyDescent="0.25">
      <c r="A208" s="44" t="s">
        <v>559</v>
      </c>
      <c r="B208" s="44" t="s">
        <v>82</v>
      </c>
      <c r="C208" s="102" t="s">
        <v>4119</v>
      </c>
      <c r="D208" s="63" t="s">
        <v>561</v>
      </c>
      <c r="E208" s="44" t="s">
        <v>188</v>
      </c>
      <c r="F208" s="70">
        <f>'PLANILHA ORCAMENTARIA'!F131</f>
        <v>104</v>
      </c>
      <c r="G208" s="75">
        <f>'PLANILHA ORCAMENTARIA'!G131</f>
        <v>12.83</v>
      </c>
      <c r="H208" s="75">
        <f>'PLANILHA ORCAMENTARIA'!H131</f>
        <v>17.100000000000001</v>
      </c>
      <c r="I208" s="75">
        <f>ROUND('PLANILHA ORCAMENTARIA'!I131,2)</f>
        <v>1334.32</v>
      </c>
      <c r="J208" s="75">
        <f>ROUND('PLANILHA ORCAMENTARIA'!J131,2)</f>
        <v>1778.4</v>
      </c>
    </row>
    <row r="209" spans="1:10" ht="30" x14ac:dyDescent="0.25">
      <c r="A209" s="44" t="s">
        <v>562</v>
      </c>
      <c r="B209" s="44" t="s">
        <v>77</v>
      </c>
      <c r="C209" s="102" t="s">
        <v>4120</v>
      </c>
      <c r="D209" s="63" t="s">
        <v>564</v>
      </c>
      <c r="E209" s="44" t="s">
        <v>188</v>
      </c>
      <c r="F209" s="70">
        <f>'PLANILHA ORCAMENTARIA'!F132</f>
        <v>26</v>
      </c>
      <c r="G209" s="75">
        <f>'PLANILHA ORCAMENTARIA'!G132</f>
        <v>23.66</v>
      </c>
      <c r="H209" s="75">
        <f>'PLANILHA ORCAMENTARIA'!H132</f>
        <v>31.53</v>
      </c>
      <c r="I209" s="75">
        <f>ROUND('PLANILHA ORCAMENTARIA'!I132,2)</f>
        <v>615.16</v>
      </c>
      <c r="J209" s="75">
        <f>ROUND('PLANILHA ORCAMENTARIA'!J132,2)</f>
        <v>819.78</v>
      </c>
    </row>
    <row r="210" spans="1:10" ht="30" x14ac:dyDescent="0.25">
      <c r="A210" s="44" t="s">
        <v>565</v>
      </c>
      <c r="B210" s="44" t="s">
        <v>51</v>
      </c>
      <c r="C210" s="102" t="s">
        <v>4121</v>
      </c>
      <c r="D210" s="63" t="s">
        <v>567</v>
      </c>
      <c r="E210" s="44" t="s">
        <v>68</v>
      </c>
      <c r="F210" s="70">
        <f>'PLANILHA ORCAMENTARIA'!F134</f>
        <v>1</v>
      </c>
      <c r="G210" s="75">
        <f>'PLANILHA ORCAMENTARIA'!G134</f>
        <v>121.78</v>
      </c>
      <c r="H210" s="75">
        <f>'PLANILHA ORCAMENTARIA'!H134</f>
        <v>162.27000000000001</v>
      </c>
      <c r="I210" s="75">
        <f>ROUND('PLANILHA ORCAMENTARIA'!I134,2)</f>
        <v>121.78</v>
      </c>
      <c r="J210" s="75">
        <f>ROUND('PLANILHA ORCAMENTARIA'!J134,2)</f>
        <v>162.27000000000001</v>
      </c>
    </row>
    <row r="211" spans="1:10" x14ac:dyDescent="0.25">
      <c r="A211" s="66" t="s">
        <v>3997</v>
      </c>
      <c r="B211" s="66"/>
      <c r="C211" s="103"/>
      <c r="D211" s="64" t="s">
        <v>4099</v>
      </c>
      <c r="E211" s="66"/>
      <c r="F211" s="71"/>
      <c r="G211" s="76"/>
      <c r="H211" s="76"/>
      <c r="I211" s="76">
        <f>ROUND(SUM(I189:I210),2)</f>
        <v>46546.36</v>
      </c>
      <c r="J211" s="76">
        <f>ROUND(SUM(J189:J210),2)</f>
        <v>62020.639999999999</v>
      </c>
    </row>
    <row r="212" spans="1:10" x14ac:dyDescent="0.25">
      <c r="A212" s="58" t="s">
        <v>8</v>
      </c>
      <c r="B212" s="58"/>
      <c r="C212" s="101"/>
      <c r="D212" s="62"/>
      <c r="E212" s="58"/>
      <c r="F212" s="69"/>
      <c r="G212" s="74"/>
      <c r="H212" s="74"/>
      <c r="I212" s="74" t="s">
        <v>3997</v>
      </c>
      <c r="J212" s="74">
        <f>J218</f>
        <v>68718.539999999994</v>
      </c>
    </row>
    <row r="213" spans="1:10" ht="45" x14ac:dyDescent="0.25">
      <c r="A213" s="44" t="s">
        <v>625</v>
      </c>
      <c r="B213" s="44" t="s">
        <v>82</v>
      </c>
      <c r="C213" s="102" t="s">
        <v>4122</v>
      </c>
      <c r="D213" s="63" t="s">
        <v>627</v>
      </c>
      <c r="E213" s="44" t="s">
        <v>226</v>
      </c>
      <c r="F213" s="70">
        <f>'PLANILHA ORCAMENTARIA'!F199</f>
        <v>2</v>
      </c>
      <c r="G213" s="75">
        <f>'PLANILHA ORCAMENTARIA'!G199</f>
        <v>13493.64</v>
      </c>
      <c r="H213" s="75">
        <f>'PLANILHA ORCAMENTARIA'!H199</f>
        <v>17980.28</v>
      </c>
      <c r="I213" s="75">
        <f>ROUND('PLANILHA ORCAMENTARIA'!I199,2)</f>
        <v>26987.279999999999</v>
      </c>
      <c r="J213" s="75">
        <f>ROUND('PLANILHA ORCAMENTARIA'!J199,2)</f>
        <v>35960.559999999998</v>
      </c>
    </row>
    <row r="214" spans="1:10" ht="30" x14ac:dyDescent="0.25">
      <c r="A214" s="44" t="s">
        <v>628</v>
      </c>
      <c r="B214" s="44" t="s">
        <v>82</v>
      </c>
      <c r="C214" s="102" t="s">
        <v>4123</v>
      </c>
      <c r="D214" s="63" t="s">
        <v>630</v>
      </c>
      <c r="E214" s="44" t="s">
        <v>226</v>
      </c>
      <c r="F214" s="70">
        <f>'PLANILHA ORCAMENTARIA'!F200</f>
        <v>1</v>
      </c>
      <c r="G214" s="75">
        <f>'PLANILHA ORCAMENTARIA'!G200</f>
        <v>16427.68</v>
      </c>
      <c r="H214" s="75">
        <f>'PLANILHA ORCAMENTARIA'!H200</f>
        <v>21889.88</v>
      </c>
      <c r="I214" s="75">
        <f>ROUND('PLANILHA ORCAMENTARIA'!I200,2)</f>
        <v>16427.68</v>
      </c>
      <c r="J214" s="75">
        <f>ROUND('PLANILHA ORCAMENTARIA'!J200,2)</f>
        <v>21889.88</v>
      </c>
    </row>
    <row r="215" spans="1:10" ht="45" x14ac:dyDescent="0.25">
      <c r="A215" s="44" t="s">
        <v>631</v>
      </c>
      <c r="B215" s="44" t="s">
        <v>82</v>
      </c>
      <c r="C215" s="102" t="s">
        <v>4124</v>
      </c>
      <c r="D215" s="63" t="s">
        <v>633</v>
      </c>
      <c r="E215" s="44" t="s">
        <v>226</v>
      </c>
      <c r="F215" s="70">
        <f>'PLANILHA ORCAMENTARIA'!F201</f>
        <v>1</v>
      </c>
      <c r="G215" s="75">
        <f>'PLANILHA ORCAMENTARIA'!G201</f>
        <v>5051.4399999999996</v>
      </c>
      <c r="H215" s="75">
        <f>'PLANILHA ORCAMENTARIA'!H201</f>
        <v>6731.04</v>
      </c>
      <c r="I215" s="75">
        <f>ROUND('PLANILHA ORCAMENTARIA'!I201,2)</f>
        <v>5051.4399999999996</v>
      </c>
      <c r="J215" s="75">
        <f>ROUND('PLANILHA ORCAMENTARIA'!J201,2)</f>
        <v>6731.04</v>
      </c>
    </row>
    <row r="216" spans="1:10" ht="30" x14ac:dyDescent="0.25">
      <c r="A216" s="44" t="s">
        <v>634</v>
      </c>
      <c r="B216" s="44" t="s">
        <v>77</v>
      </c>
      <c r="C216" s="102" t="s">
        <v>4125</v>
      </c>
      <c r="D216" s="63" t="s">
        <v>636</v>
      </c>
      <c r="E216" s="44" t="s">
        <v>226</v>
      </c>
      <c r="F216" s="70">
        <f>'PLANILHA ORCAMENTARIA'!F202</f>
        <v>2</v>
      </c>
      <c r="G216" s="75">
        <f>'PLANILHA ORCAMENTARIA'!G202</f>
        <v>750.01</v>
      </c>
      <c r="H216" s="75">
        <f>'PLANILHA ORCAMENTARIA'!H202</f>
        <v>999.39</v>
      </c>
      <c r="I216" s="75">
        <f>ROUND('PLANILHA ORCAMENTARIA'!I202,2)</f>
        <v>1500.02</v>
      </c>
      <c r="J216" s="75">
        <f>ROUND('PLANILHA ORCAMENTARIA'!J202,2)</f>
        <v>1998.78</v>
      </c>
    </row>
    <row r="217" spans="1:10" ht="60" x14ac:dyDescent="0.25">
      <c r="A217" s="44" t="s">
        <v>637</v>
      </c>
      <c r="B217" s="44" t="s">
        <v>51</v>
      </c>
      <c r="C217" s="102" t="s">
        <v>4126</v>
      </c>
      <c r="D217" s="63" t="s">
        <v>639</v>
      </c>
      <c r="E217" s="44" t="s">
        <v>72</v>
      </c>
      <c r="F217" s="70">
        <f>'PLANILHA ORCAMENTARIA'!F209</f>
        <v>22.57</v>
      </c>
      <c r="G217" s="75">
        <f>'PLANILHA ORCAMENTARIA'!G209</f>
        <v>71.099999999999994</v>
      </c>
      <c r="H217" s="75">
        <f>'PLANILHA ORCAMENTARIA'!H209</f>
        <v>94.74</v>
      </c>
      <c r="I217" s="75">
        <f>ROUND('PLANILHA ORCAMENTARIA'!I209,2)</f>
        <v>1604.73</v>
      </c>
      <c r="J217" s="75">
        <f>ROUND('PLANILHA ORCAMENTARIA'!J209,2)</f>
        <v>2138.2800000000002</v>
      </c>
    </row>
    <row r="218" spans="1:10" x14ac:dyDescent="0.25">
      <c r="A218" s="66" t="s">
        <v>3997</v>
      </c>
      <c r="B218" s="66"/>
      <c r="C218" s="103"/>
      <c r="D218" s="64" t="s">
        <v>8</v>
      </c>
      <c r="E218" s="66"/>
      <c r="F218" s="71"/>
      <c r="G218" s="76"/>
      <c r="H218" s="76"/>
      <c r="I218" s="76">
        <f>ROUND(SUM(I213:I217),2)</f>
        <v>51571.15</v>
      </c>
      <c r="J218" s="76">
        <f>ROUND(SUM(J213:J217),2)</f>
        <v>68718.539999999994</v>
      </c>
    </row>
    <row r="219" spans="1:10" x14ac:dyDescent="0.25">
      <c r="A219" s="58" t="s">
        <v>10</v>
      </c>
      <c r="B219" s="58"/>
      <c r="C219" s="101"/>
      <c r="D219" s="62"/>
      <c r="E219" s="58"/>
      <c r="F219" s="69"/>
      <c r="G219" s="74"/>
      <c r="H219" s="74"/>
      <c r="I219" s="74" t="s">
        <v>3997</v>
      </c>
      <c r="J219" s="74" t="e">
        <f>J227</f>
        <v>#REF!</v>
      </c>
    </row>
    <row r="220" spans="1:10" ht="30" x14ac:dyDescent="0.25">
      <c r="A220" s="44" t="s">
        <v>640</v>
      </c>
      <c r="B220" s="44" t="s">
        <v>77</v>
      </c>
      <c r="C220" s="102" t="s">
        <v>4127</v>
      </c>
      <c r="D220" s="63" t="s">
        <v>642</v>
      </c>
      <c r="E220" s="44" t="s">
        <v>226</v>
      </c>
      <c r="F220" s="70">
        <f>'PLANILHA ORCAMENTARIA'!F152</f>
        <v>6</v>
      </c>
      <c r="G220" s="75">
        <f>'PLANILHA ORCAMENTARIA'!G152</f>
        <v>893.43</v>
      </c>
      <c r="H220" s="75">
        <f>'PLANILHA ORCAMENTARIA'!H152</f>
        <v>1190.5</v>
      </c>
      <c r="I220" s="75">
        <f>ROUND('PLANILHA ORCAMENTARIA'!I152,2)</f>
        <v>5360.58</v>
      </c>
      <c r="J220" s="75">
        <f>ROUND('PLANILHA ORCAMENTARIA'!J152,2)</f>
        <v>7143</v>
      </c>
    </row>
    <row r="221" spans="1:10" ht="30" x14ac:dyDescent="0.25">
      <c r="A221" s="44" t="s">
        <v>643</v>
      </c>
      <c r="B221" s="44" t="s">
        <v>77</v>
      </c>
      <c r="C221" s="102" t="s">
        <v>4128</v>
      </c>
      <c r="D221" s="63" t="s">
        <v>645</v>
      </c>
      <c r="E221" s="44" t="s">
        <v>251</v>
      </c>
      <c r="F221" s="70">
        <f>'PLANILHA ORCAMENTARIA'!F153</f>
        <v>7</v>
      </c>
      <c r="G221" s="75">
        <f>'PLANILHA ORCAMENTARIA'!G153</f>
        <v>123.39</v>
      </c>
      <c r="H221" s="75">
        <f>'PLANILHA ORCAMENTARIA'!H153</f>
        <v>164.42</v>
      </c>
      <c r="I221" s="75">
        <f>ROUND('PLANILHA ORCAMENTARIA'!I153,2)</f>
        <v>863.73</v>
      </c>
      <c r="J221" s="75">
        <f>ROUND('PLANILHA ORCAMENTARIA'!J153,2)</f>
        <v>1150.94</v>
      </c>
    </row>
    <row r="222" spans="1:10" x14ac:dyDescent="0.25">
      <c r="A222" s="44" t="s">
        <v>646</v>
      </c>
      <c r="B222" s="44" t="s">
        <v>51</v>
      </c>
      <c r="C222" s="102" t="s">
        <v>4129</v>
      </c>
      <c r="D222" s="63" t="s">
        <v>648</v>
      </c>
      <c r="E222" s="44" t="s">
        <v>226</v>
      </c>
      <c r="F222" s="70">
        <f>'PLANILHA ORCAMENTARIA'!F154</f>
        <v>6</v>
      </c>
      <c r="G222" s="75">
        <f>'PLANILHA ORCAMENTARIA'!G154</f>
        <v>40.51</v>
      </c>
      <c r="H222" s="75">
        <f>'PLANILHA ORCAMENTARIA'!H154</f>
        <v>53.98</v>
      </c>
      <c r="I222" s="75">
        <f>ROUND('PLANILHA ORCAMENTARIA'!I154,2)</f>
        <v>243.06</v>
      </c>
      <c r="J222" s="75">
        <f>ROUND('PLANILHA ORCAMENTARIA'!J154,2)</f>
        <v>323.88</v>
      </c>
    </row>
    <row r="223" spans="1:10" x14ac:dyDescent="0.25">
      <c r="A223" s="44" t="s">
        <v>649</v>
      </c>
      <c r="B223" s="44" t="s">
        <v>77</v>
      </c>
      <c r="C223" s="102" t="s">
        <v>4130</v>
      </c>
      <c r="D223" s="63" t="s">
        <v>651</v>
      </c>
      <c r="E223" s="44" t="s">
        <v>72</v>
      </c>
      <c r="F223" s="70">
        <f>'PLANILHA ORCAMENTARIA'!F155</f>
        <v>320</v>
      </c>
      <c r="G223" s="75">
        <f>'PLANILHA ORCAMENTARIA'!G155</f>
        <v>13.38</v>
      </c>
      <c r="H223" s="75">
        <f>'PLANILHA ORCAMENTARIA'!H155</f>
        <v>17.829999999999998</v>
      </c>
      <c r="I223" s="75">
        <f>ROUND('PLANILHA ORCAMENTARIA'!I155,2)</f>
        <v>4281.6000000000004</v>
      </c>
      <c r="J223" s="75">
        <f>ROUND('PLANILHA ORCAMENTARIA'!J155,2)</f>
        <v>5705.6</v>
      </c>
    </row>
    <row r="224" spans="1:10" ht="30" x14ac:dyDescent="0.25">
      <c r="A224" s="44" t="s">
        <v>652</v>
      </c>
      <c r="B224" s="44" t="s">
        <v>51</v>
      </c>
      <c r="C224" s="102" t="s">
        <v>4131</v>
      </c>
      <c r="D224" s="63" t="s">
        <v>654</v>
      </c>
      <c r="E224" s="44" t="s">
        <v>72</v>
      </c>
      <c r="F224" s="70">
        <f>'PLANILHA ORCAMENTARIA'!F156</f>
        <v>150</v>
      </c>
      <c r="G224" s="75">
        <f>'PLANILHA ORCAMENTARIA'!G156</f>
        <v>26.09</v>
      </c>
      <c r="H224" s="75">
        <f>'PLANILHA ORCAMENTARIA'!H156</f>
        <v>34.76</v>
      </c>
      <c r="I224" s="75">
        <f>ROUND('PLANILHA ORCAMENTARIA'!I156,2)</f>
        <v>3913.5</v>
      </c>
      <c r="J224" s="75">
        <f>ROUND('PLANILHA ORCAMENTARIA'!J156,2)</f>
        <v>5214</v>
      </c>
    </row>
    <row r="225" spans="1:10" ht="45" x14ac:dyDescent="0.25">
      <c r="A225" s="44" t="s">
        <v>655</v>
      </c>
      <c r="B225" s="44" t="s">
        <v>77</v>
      </c>
      <c r="C225" s="102" t="s">
        <v>4132</v>
      </c>
      <c r="D225" s="63" t="s">
        <v>657</v>
      </c>
      <c r="E225" s="44" t="s">
        <v>226</v>
      </c>
      <c r="F225" s="70">
        <f>'PLANILHA ORCAMENTARIA'!F157</f>
        <v>20</v>
      </c>
      <c r="G225" s="75">
        <f>'PLANILHA ORCAMENTARIA'!G157</f>
        <v>22.81</v>
      </c>
      <c r="H225" s="75">
        <f>'PLANILHA ORCAMENTARIA'!H157</f>
        <v>30.39</v>
      </c>
      <c r="I225" s="75">
        <f>ROUND('PLANILHA ORCAMENTARIA'!I157,2)</f>
        <v>456.2</v>
      </c>
      <c r="J225" s="75">
        <f>ROUND('PLANILHA ORCAMENTARIA'!J157,2)</f>
        <v>607.79999999999995</v>
      </c>
    </row>
    <row r="226" spans="1:10" ht="45" x14ac:dyDescent="0.25">
      <c r="A226" s="44" t="s">
        <v>658</v>
      </c>
      <c r="B226" s="44" t="s">
        <v>82</v>
      </c>
      <c r="C226" s="102" t="s">
        <v>4133</v>
      </c>
      <c r="D226" s="63" t="s">
        <v>660</v>
      </c>
      <c r="E226" s="44" t="s">
        <v>226</v>
      </c>
      <c r="F226" s="70" t="e">
        <f>'PLANILHA ORCAMENTARIA'!#REF!</f>
        <v>#REF!</v>
      </c>
      <c r="G226" s="75" t="e">
        <f>'PLANILHA ORCAMENTARIA'!#REF!</f>
        <v>#REF!</v>
      </c>
      <c r="H226" s="75" t="e">
        <f>'PLANILHA ORCAMENTARIA'!#REF!</f>
        <v>#REF!</v>
      </c>
      <c r="I226" s="75" t="e">
        <f>ROUND('PLANILHA ORCAMENTARIA'!#REF!,2)</f>
        <v>#REF!</v>
      </c>
      <c r="J226" s="75" t="e">
        <f>ROUND('PLANILHA ORCAMENTARIA'!#REF!,2)</f>
        <v>#REF!</v>
      </c>
    </row>
    <row r="227" spans="1:10" x14ac:dyDescent="0.25">
      <c r="A227" s="66" t="s">
        <v>3997</v>
      </c>
      <c r="B227" s="66"/>
      <c r="C227" s="103"/>
      <c r="D227" s="64" t="s">
        <v>10</v>
      </c>
      <c r="E227" s="66"/>
      <c r="F227" s="71"/>
      <c r="G227" s="76"/>
      <c r="H227" s="76"/>
      <c r="I227" s="76" t="e">
        <f>ROUND(SUM(I220:I226),2)</f>
        <v>#REF!</v>
      </c>
      <c r="J227" s="76" t="e">
        <f>ROUND(SUM(J220:J226),2)</f>
        <v>#REF!</v>
      </c>
    </row>
    <row r="228" spans="1:10" x14ac:dyDescent="0.25">
      <c r="A228" s="58" t="s">
        <v>12</v>
      </c>
      <c r="B228" s="58"/>
      <c r="C228" s="101"/>
      <c r="D228" s="62"/>
      <c r="E228" s="58"/>
      <c r="F228" s="69"/>
      <c r="G228" s="74"/>
      <c r="H228" s="74"/>
      <c r="I228" s="74" t="s">
        <v>3997</v>
      </c>
      <c r="J228" s="74" t="e">
        <f>J234</f>
        <v>#REF!</v>
      </c>
    </row>
    <row r="229" spans="1:10" x14ac:dyDescent="0.25">
      <c r="A229" s="44" t="s">
        <v>661</v>
      </c>
      <c r="B229" s="44" t="s">
        <v>77</v>
      </c>
      <c r="C229" s="102" t="s">
        <v>4134</v>
      </c>
      <c r="D229" s="63" t="s">
        <v>663</v>
      </c>
      <c r="E229" s="44" t="s">
        <v>664</v>
      </c>
      <c r="F229" s="70">
        <f>'PLANILHA ORCAMENTARIA'!F173</f>
        <v>3</v>
      </c>
      <c r="G229" s="75">
        <f>'PLANILHA ORCAMENTARIA'!G173</f>
        <v>412.99</v>
      </c>
      <c r="H229" s="75">
        <f>'PLANILHA ORCAMENTARIA'!H173</f>
        <v>550.30999999999995</v>
      </c>
      <c r="I229" s="75">
        <f>ROUND('PLANILHA ORCAMENTARIA'!I173,2)</f>
        <v>1238.97</v>
      </c>
      <c r="J229" s="75">
        <f>ROUND('PLANILHA ORCAMENTARIA'!J173,2)</f>
        <v>1650.93</v>
      </c>
    </row>
    <row r="230" spans="1:10" ht="30" x14ac:dyDescent="0.25">
      <c r="A230" s="44" t="s">
        <v>665</v>
      </c>
      <c r="B230" s="44" t="s">
        <v>77</v>
      </c>
      <c r="C230" s="102" t="s">
        <v>4135</v>
      </c>
      <c r="D230" s="63" t="s">
        <v>667</v>
      </c>
      <c r="E230" s="44" t="s">
        <v>579</v>
      </c>
      <c r="F230" s="70">
        <f>'PLANILHA ORCAMENTARIA'!F187</f>
        <v>1</v>
      </c>
      <c r="G230" s="75">
        <f>'PLANILHA ORCAMENTARIA'!G187</f>
        <v>345.88</v>
      </c>
      <c r="H230" s="75">
        <f>'PLANILHA ORCAMENTARIA'!H187</f>
        <v>460.89</v>
      </c>
      <c r="I230" s="75">
        <f>ROUND('PLANILHA ORCAMENTARIA'!I187,2)</f>
        <v>345.88</v>
      </c>
      <c r="J230" s="75">
        <f>ROUND('PLANILHA ORCAMENTARIA'!J187,2)</f>
        <v>460.89</v>
      </c>
    </row>
    <row r="231" spans="1:10" ht="30" x14ac:dyDescent="0.25">
      <c r="A231" s="44" t="s">
        <v>668</v>
      </c>
      <c r="B231" s="44" t="s">
        <v>51</v>
      </c>
      <c r="C231" s="102" t="s">
        <v>4136</v>
      </c>
      <c r="D231" s="63" t="s">
        <v>670</v>
      </c>
      <c r="E231" s="44" t="s">
        <v>72</v>
      </c>
      <c r="F231" s="70">
        <f>'PLANILHA ORCAMENTARIA'!F188</f>
        <v>1</v>
      </c>
      <c r="G231" s="75">
        <f>'PLANILHA ORCAMENTARIA'!G188</f>
        <v>5856.1</v>
      </c>
      <c r="H231" s="75">
        <f>'PLANILHA ORCAMENTARIA'!H188</f>
        <v>7803.25</v>
      </c>
      <c r="I231" s="75">
        <f>ROUND('PLANILHA ORCAMENTARIA'!I188,2)</f>
        <v>5856.1</v>
      </c>
      <c r="J231" s="75">
        <f>ROUND('PLANILHA ORCAMENTARIA'!J188,2)</f>
        <v>7803.25</v>
      </c>
    </row>
    <row r="232" spans="1:10" ht="30" x14ac:dyDescent="0.25">
      <c r="A232" s="44" t="s">
        <v>671</v>
      </c>
      <c r="B232" s="44" t="s">
        <v>51</v>
      </c>
      <c r="C232" s="102" t="s">
        <v>4137</v>
      </c>
      <c r="D232" s="63" t="s">
        <v>673</v>
      </c>
      <c r="E232" s="44" t="s">
        <v>72</v>
      </c>
      <c r="F232" s="70" t="e">
        <f>'PLANILHA ORCAMENTARIA'!#REF!</f>
        <v>#REF!</v>
      </c>
      <c r="G232" s="75" t="e">
        <f>'PLANILHA ORCAMENTARIA'!#REF!</f>
        <v>#REF!</v>
      </c>
      <c r="H232" s="75" t="e">
        <f>'PLANILHA ORCAMENTARIA'!#REF!</f>
        <v>#REF!</v>
      </c>
      <c r="I232" s="75" t="e">
        <f>ROUND('PLANILHA ORCAMENTARIA'!#REF!,2)</f>
        <v>#REF!</v>
      </c>
      <c r="J232" s="75" t="e">
        <f>ROUND('PLANILHA ORCAMENTARIA'!#REF!,2)</f>
        <v>#REF!</v>
      </c>
    </row>
    <row r="233" spans="1:10" x14ac:dyDescent="0.25">
      <c r="A233" s="44" t="s">
        <v>674</v>
      </c>
      <c r="B233" s="44" t="s">
        <v>51</v>
      </c>
      <c r="C233" s="102" t="s">
        <v>4138</v>
      </c>
      <c r="D233" s="63" t="s">
        <v>676</v>
      </c>
      <c r="E233" s="44" t="s">
        <v>68</v>
      </c>
      <c r="F233" s="70" t="e">
        <f>'PLANILHA ORCAMENTARIA'!#REF!</f>
        <v>#REF!</v>
      </c>
      <c r="G233" s="75" t="e">
        <f>'PLANILHA ORCAMENTARIA'!#REF!</f>
        <v>#REF!</v>
      </c>
      <c r="H233" s="75" t="e">
        <f>'PLANILHA ORCAMENTARIA'!#REF!</f>
        <v>#REF!</v>
      </c>
      <c r="I233" s="75" t="e">
        <f>ROUND('PLANILHA ORCAMENTARIA'!#REF!,2)</f>
        <v>#REF!</v>
      </c>
      <c r="J233" s="75" t="e">
        <f>ROUND('PLANILHA ORCAMENTARIA'!#REF!,2)</f>
        <v>#REF!</v>
      </c>
    </row>
    <row r="234" spans="1:10" x14ac:dyDescent="0.25">
      <c r="A234" s="66" t="s">
        <v>3997</v>
      </c>
      <c r="B234" s="66"/>
      <c r="C234" s="103"/>
      <c r="D234" s="64" t="s">
        <v>12</v>
      </c>
      <c r="E234" s="66"/>
      <c r="F234" s="71"/>
      <c r="G234" s="76"/>
      <c r="H234" s="76"/>
      <c r="I234" s="76" t="e">
        <f>ROUND(SUM(I229:I233),2)</f>
        <v>#REF!</v>
      </c>
      <c r="J234" s="76" t="e">
        <f>ROUND(SUM(J229:J233),2)</f>
        <v>#REF!</v>
      </c>
    </row>
    <row r="235" spans="1:10" x14ac:dyDescent="0.25">
      <c r="A235" s="58" t="s">
        <v>14</v>
      </c>
      <c r="B235" s="58"/>
      <c r="C235" s="101"/>
      <c r="D235" s="62"/>
      <c r="E235" s="58"/>
      <c r="F235" s="69"/>
      <c r="G235" s="74"/>
      <c r="H235" s="74"/>
      <c r="I235" s="74" t="s">
        <v>3997</v>
      </c>
      <c r="J235" s="74" t="e">
        <f>J240</f>
        <v>#REF!</v>
      </c>
    </row>
    <row r="236" spans="1:10" ht="60" x14ac:dyDescent="0.25">
      <c r="A236" s="44" t="s">
        <v>677</v>
      </c>
      <c r="B236" s="44" t="s">
        <v>51</v>
      </c>
      <c r="C236" s="102" t="s">
        <v>4139</v>
      </c>
      <c r="D236" s="63" t="s">
        <v>679</v>
      </c>
      <c r="E236" s="44" t="s">
        <v>68</v>
      </c>
      <c r="F236" s="70">
        <f>'PLANILHA ORCAMENTARIA'!F190</f>
        <v>7</v>
      </c>
      <c r="G236" s="75">
        <f>'PLANILHA ORCAMENTARIA'!G190</f>
        <v>179.38</v>
      </c>
      <c r="H236" s="75">
        <f>'PLANILHA ORCAMENTARIA'!H190</f>
        <v>239.02</v>
      </c>
      <c r="I236" s="75">
        <f>ROUND('PLANILHA ORCAMENTARIA'!I190,2)</f>
        <v>1255.6600000000001</v>
      </c>
      <c r="J236" s="75">
        <f>ROUND('PLANILHA ORCAMENTARIA'!J190,2)</f>
        <v>1673.14</v>
      </c>
    </row>
    <row r="237" spans="1:10" ht="30" x14ac:dyDescent="0.25">
      <c r="A237" s="44" t="s">
        <v>680</v>
      </c>
      <c r="B237" s="44" t="s">
        <v>82</v>
      </c>
      <c r="C237" s="102" t="s">
        <v>4140</v>
      </c>
      <c r="D237" s="63" t="s">
        <v>682</v>
      </c>
      <c r="E237" s="44" t="s">
        <v>226</v>
      </c>
      <c r="F237" s="70">
        <f>'PLANILHA ORCAMENTARIA'!F191</f>
        <v>1</v>
      </c>
      <c r="G237" s="75">
        <f>'PLANILHA ORCAMENTARIA'!G191</f>
        <v>751.78</v>
      </c>
      <c r="H237" s="75">
        <f>'PLANILHA ORCAMENTARIA'!H191</f>
        <v>1001.75</v>
      </c>
      <c r="I237" s="75">
        <f>ROUND('PLANILHA ORCAMENTARIA'!I191,2)</f>
        <v>751.78</v>
      </c>
      <c r="J237" s="75">
        <f>ROUND('PLANILHA ORCAMENTARIA'!J191,2)</f>
        <v>1001.75</v>
      </c>
    </row>
    <row r="238" spans="1:10" ht="30" x14ac:dyDescent="0.25">
      <c r="A238" s="44" t="s">
        <v>683</v>
      </c>
      <c r="B238" s="44" t="s">
        <v>77</v>
      </c>
      <c r="C238" s="102" t="s">
        <v>4141</v>
      </c>
      <c r="D238" s="63" t="s">
        <v>685</v>
      </c>
      <c r="E238" s="44" t="s">
        <v>226</v>
      </c>
      <c r="F238" s="70">
        <f>'PLANILHA ORCAMENTARIA'!F192</f>
        <v>39</v>
      </c>
      <c r="G238" s="75">
        <f>'PLANILHA ORCAMENTARIA'!G192</f>
        <v>267.31</v>
      </c>
      <c r="H238" s="75">
        <f>'PLANILHA ORCAMENTARIA'!H192</f>
        <v>356.19</v>
      </c>
      <c r="I238" s="75">
        <f>ROUND('PLANILHA ORCAMENTARIA'!I192,2)</f>
        <v>10425.09</v>
      </c>
      <c r="J238" s="75">
        <f>ROUND('PLANILHA ORCAMENTARIA'!J192,2)</f>
        <v>13891.41</v>
      </c>
    </row>
    <row r="239" spans="1:10" ht="60" x14ac:dyDescent="0.25">
      <c r="A239" s="44" t="s">
        <v>686</v>
      </c>
      <c r="B239" s="44" t="s">
        <v>51</v>
      </c>
      <c r="C239" s="102" t="s">
        <v>4142</v>
      </c>
      <c r="D239" s="63" t="s">
        <v>688</v>
      </c>
      <c r="E239" s="44" t="s">
        <v>68</v>
      </c>
      <c r="F239" s="70" t="e">
        <f>'PLANILHA ORCAMENTARIA'!#REF!</f>
        <v>#REF!</v>
      </c>
      <c r="G239" s="75" t="e">
        <f>'PLANILHA ORCAMENTARIA'!#REF!</f>
        <v>#REF!</v>
      </c>
      <c r="H239" s="75" t="e">
        <f>'PLANILHA ORCAMENTARIA'!#REF!</f>
        <v>#REF!</v>
      </c>
      <c r="I239" s="75" t="e">
        <f>ROUND('PLANILHA ORCAMENTARIA'!#REF!,2)</f>
        <v>#REF!</v>
      </c>
      <c r="J239" s="75" t="e">
        <f>ROUND('PLANILHA ORCAMENTARIA'!#REF!,2)</f>
        <v>#REF!</v>
      </c>
    </row>
    <row r="240" spans="1:10" x14ac:dyDescent="0.25">
      <c r="A240" s="66" t="s">
        <v>3997</v>
      </c>
      <c r="B240" s="66"/>
      <c r="C240" s="103"/>
      <c r="D240" s="64" t="s">
        <v>14</v>
      </c>
      <c r="E240" s="66"/>
      <c r="F240" s="71"/>
      <c r="G240" s="76"/>
      <c r="H240" s="76"/>
      <c r="I240" s="76" t="e">
        <f>ROUND(SUM(I236:I239),2)</f>
        <v>#REF!</v>
      </c>
      <c r="J240" s="76" t="e">
        <f>ROUND(SUM(J236:J239),2)</f>
        <v>#REF!</v>
      </c>
    </row>
    <row r="241" spans="1:10" x14ac:dyDescent="0.25">
      <c r="A241" s="58" t="s">
        <v>4143</v>
      </c>
      <c r="B241" s="58"/>
      <c r="C241" s="101"/>
      <c r="D241" s="62"/>
      <c r="E241" s="58"/>
      <c r="F241" s="69"/>
      <c r="G241" s="74"/>
      <c r="H241" s="74"/>
      <c r="I241" s="74" t="s">
        <v>3997</v>
      </c>
      <c r="J241" s="74">
        <f>J243</f>
        <v>6321.86</v>
      </c>
    </row>
    <row r="242" spans="1:10" x14ac:dyDescent="0.25">
      <c r="A242" s="44" t="s">
        <v>740</v>
      </c>
      <c r="B242" s="44" t="s">
        <v>51</v>
      </c>
      <c r="C242" s="102" t="s">
        <v>4144</v>
      </c>
      <c r="D242" s="63" t="s">
        <v>742</v>
      </c>
      <c r="E242" s="44" t="s">
        <v>54</v>
      </c>
      <c r="F242" s="70">
        <f>'PLANILHA ORCAMENTARIA'!F409</f>
        <v>480.02</v>
      </c>
      <c r="G242" s="75">
        <f>'PLANILHA ORCAMENTARIA'!G409</f>
        <v>9.8800000000000008</v>
      </c>
      <c r="H242" s="75">
        <f>'PLANILHA ORCAMENTARIA'!H409</f>
        <v>13.17</v>
      </c>
      <c r="I242" s="75">
        <f>ROUND('PLANILHA ORCAMENTARIA'!I409,2)</f>
        <v>4742.6000000000004</v>
      </c>
      <c r="J242" s="75">
        <f>ROUND('PLANILHA ORCAMENTARIA'!J409,2)</f>
        <v>6321.86</v>
      </c>
    </row>
    <row r="243" spans="1:10" x14ac:dyDescent="0.25">
      <c r="A243" s="66" t="s">
        <v>3997</v>
      </c>
      <c r="B243" s="66"/>
      <c r="C243" s="103"/>
      <c r="D243" s="64" t="s">
        <v>4143</v>
      </c>
      <c r="E243" s="66"/>
      <c r="F243" s="71"/>
      <c r="G243" s="76"/>
      <c r="H243" s="76"/>
      <c r="I243" s="76">
        <f>ROUND(SUM(I242:I242),2)</f>
        <v>4742.6000000000004</v>
      </c>
      <c r="J243" s="76">
        <f>ROUND(SUM(J242:J242),2)</f>
        <v>6321.86</v>
      </c>
    </row>
    <row r="244" spans="1:10" x14ac:dyDescent="0.25">
      <c r="A244" s="58" t="s">
        <v>4145</v>
      </c>
      <c r="B244" s="58"/>
      <c r="C244" s="101"/>
      <c r="D244" s="62"/>
      <c r="E244" s="58"/>
      <c r="F244" s="69"/>
      <c r="G244" s="74"/>
      <c r="H244" s="74"/>
      <c r="I244" s="74" t="s">
        <v>3997</v>
      </c>
      <c r="J244" s="74" t="e">
        <f>J264</f>
        <v>#REF!</v>
      </c>
    </row>
    <row r="245" spans="1:10" ht="60" x14ac:dyDescent="0.25">
      <c r="A245" s="44" t="s">
        <v>746</v>
      </c>
      <c r="B245" s="44" t="s">
        <v>705</v>
      </c>
      <c r="C245" s="102" t="s">
        <v>4146</v>
      </c>
      <c r="D245" s="63" t="s">
        <v>748</v>
      </c>
      <c r="E245" s="44" t="s">
        <v>54</v>
      </c>
      <c r="F245" s="70" t="e">
        <f>'PLANILHA ORCAMENTARIA'!#REF!</f>
        <v>#REF!</v>
      </c>
      <c r="G245" s="75" t="e">
        <f>'PLANILHA ORCAMENTARIA'!#REF!</f>
        <v>#REF!</v>
      </c>
      <c r="H245" s="75" t="e">
        <f>'PLANILHA ORCAMENTARIA'!#REF!</f>
        <v>#REF!</v>
      </c>
      <c r="I245" s="75" t="e">
        <f>ROUND('PLANILHA ORCAMENTARIA'!#REF!,2)</f>
        <v>#REF!</v>
      </c>
      <c r="J245" s="75" t="e">
        <f>ROUND('PLANILHA ORCAMENTARIA'!#REF!,2)</f>
        <v>#REF!</v>
      </c>
    </row>
    <row r="246" spans="1:10" ht="30" x14ac:dyDescent="0.25">
      <c r="A246" s="44" t="s">
        <v>749</v>
      </c>
      <c r="B246" s="44" t="s">
        <v>705</v>
      </c>
      <c r="C246" s="102" t="s">
        <v>4147</v>
      </c>
      <c r="D246" s="63" t="s">
        <v>751</v>
      </c>
      <c r="E246" s="44" t="s">
        <v>54</v>
      </c>
      <c r="F246" s="70" t="e">
        <f>'PLANILHA ORCAMENTARIA'!#REF!</f>
        <v>#REF!</v>
      </c>
      <c r="G246" s="75" t="e">
        <f>'PLANILHA ORCAMENTARIA'!#REF!</f>
        <v>#REF!</v>
      </c>
      <c r="H246" s="75" t="e">
        <f>'PLANILHA ORCAMENTARIA'!#REF!</f>
        <v>#REF!</v>
      </c>
      <c r="I246" s="75" t="e">
        <f>ROUND('PLANILHA ORCAMENTARIA'!#REF!,2)</f>
        <v>#REF!</v>
      </c>
      <c r="J246" s="75" t="e">
        <f>ROUND('PLANILHA ORCAMENTARIA'!#REF!,2)</f>
        <v>#REF!</v>
      </c>
    </row>
    <row r="247" spans="1:10" ht="30" x14ac:dyDescent="0.25">
      <c r="A247" s="44" t="s">
        <v>752</v>
      </c>
      <c r="B247" s="44" t="s">
        <v>753</v>
      </c>
      <c r="C247" s="102" t="s">
        <v>4148</v>
      </c>
      <c r="D247" s="63" t="s">
        <v>754</v>
      </c>
      <c r="E247" s="44" t="s">
        <v>54</v>
      </c>
      <c r="F247" s="70" t="e">
        <f>'PLANILHA ORCAMENTARIA'!#REF!</f>
        <v>#REF!</v>
      </c>
      <c r="G247" s="75" t="e">
        <f>'PLANILHA ORCAMENTARIA'!#REF!</f>
        <v>#REF!</v>
      </c>
      <c r="H247" s="75" t="e">
        <f>'PLANILHA ORCAMENTARIA'!#REF!</f>
        <v>#REF!</v>
      </c>
      <c r="I247" s="75" t="e">
        <f>ROUND('PLANILHA ORCAMENTARIA'!#REF!,2)</f>
        <v>#REF!</v>
      </c>
      <c r="J247" s="75" t="e">
        <f>ROUND('PLANILHA ORCAMENTARIA'!#REF!,2)</f>
        <v>#REF!</v>
      </c>
    </row>
    <row r="248" spans="1:10" ht="30" x14ac:dyDescent="0.25">
      <c r="A248" s="44" t="s">
        <v>755</v>
      </c>
      <c r="B248" s="44" t="s">
        <v>705</v>
      </c>
      <c r="C248" s="102" t="s">
        <v>4149</v>
      </c>
      <c r="D248" s="63" t="s">
        <v>322</v>
      </c>
      <c r="E248" s="44" t="s">
        <v>54</v>
      </c>
      <c r="F248" s="70" t="e">
        <f>'PLANILHA ORCAMENTARIA'!#REF!</f>
        <v>#REF!</v>
      </c>
      <c r="G248" s="75" t="e">
        <f>'PLANILHA ORCAMENTARIA'!#REF!</f>
        <v>#REF!</v>
      </c>
      <c r="H248" s="75" t="e">
        <f>'PLANILHA ORCAMENTARIA'!#REF!</f>
        <v>#REF!</v>
      </c>
      <c r="I248" s="75" t="e">
        <f>ROUND('PLANILHA ORCAMENTARIA'!#REF!,2)</f>
        <v>#REF!</v>
      </c>
      <c r="J248" s="75" t="e">
        <f>ROUND('PLANILHA ORCAMENTARIA'!#REF!,2)</f>
        <v>#REF!</v>
      </c>
    </row>
    <row r="249" spans="1:10" ht="30" x14ac:dyDescent="0.25">
      <c r="A249" s="44" t="s">
        <v>756</v>
      </c>
      <c r="B249" s="44" t="s">
        <v>705</v>
      </c>
      <c r="C249" s="102" t="s">
        <v>4150</v>
      </c>
      <c r="D249" s="63" t="s">
        <v>758</v>
      </c>
      <c r="E249" s="44" t="s">
        <v>54</v>
      </c>
      <c r="F249" s="70" t="e">
        <f>'PLANILHA ORCAMENTARIA'!#REF!</f>
        <v>#REF!</v>
      </c>
      <c r="G249" s="75" t="e">
        <f>'PLANILHA ORCAMENTARIA'!#REF!</f>
        <v>#REF!</v>
      </c>
      <c r="H249" s="75" t="e">
        <f>'PLANILHA ORCAMENTARIA'!#REF!</f>
        <v>#REF!</v>
      </c>
      <c r="I249" s="75" t="e">
        <f>ROUND('PLANILHA ORCAMENTARIA'!#REF!,2)</f>
        <v>#REF!</v>
      </c>
      <c r="J249" s="75" t="e">
        <f>ROUND('PLANILHA ORCAMENTARIA'!#REF!,2)</f>
        <v>#REF!</v>
      </c>
    </row>
    <row r="250" spans="1:10" ht="30" x14ac:dyDescent="0.25">
      <c r="A250" s="44" t="s">
        <v>759</v>
      </c>
      <c r="B250" s="44" t="s">
        <v>705</v>
      </c>
      <c r="C250" s="102" t="s">
        <v>4151</v>
      </c>
      <c r="D250" s="63" t="s">
        <v>761</v>
      </c>
      <c r="E250" s="44" t="s">
        <v>68</v>
      </c>
      <c r="F250" s="70" t="e">
        <f>'PLANILHA ORCAMENTARIA'!#REF!</f>
        <v>#REF!</v>
      </c>
      <c r="G250" s="75" t="e">
        <f>'PLANILHA ORCAMENTARIA'!#REF!</f>
        <v>#REF!</v>
      </c>
      <c r="H250" s="75" t="e">
        <f>'PLANILHA ORCAMENTARIA'!#REF!</f>
        <v>#REF!</v>
      </c>
      <c r="I250" s="75" t="e">
        <f>ROUND('PLANILHA ORCAMENTARIA'!#REF!,2)</f>
        <v>#REF!</v>
      </c>
      <c r="J250" s="75" t="e">
        <f>ROUND('PLANILHA ORCAMENTARIA'!#REF!,2)</f>
        <v>#REF!</v>
      </c>
    </row>
    <row r="251" spans="1:10" ht="30" x14ac:dyDescent="0.25">
      <c r="A251" s="44" t="s">
        <v>762</v>
      </c>
      <c r="B251" s="44" t="s">
        <v>705</v>
      </c>
      <c r="C251" s="102" t="s">
        <v>4152</v>
      </c>
      <c r="D251" s="63" t="s">
        <v>764</v>
      </c>
      <c r="E251" s="44" t="s">
        <v>68</v>
      </c>
      <c r="F251" s="70" t="e">
        <f>'PLANILHA ORCAMENTARIA'!#REF!</f>
        <v>#REF!</v>
      </c>
      <c r="G251" s="75" t="e">
        <f>'PLANILHA ORCAMENTARIA'!#REF!</f>
        <v>#REF!</v>
      </c>
      <c r="H251" s="75" t="e">
        <f>'PLANILHA ORCAMENTARIA'!#REF!</f>
        <v>#REF!</v>
      </c>
      <c r="I251" s="75" t="e">
        <f>ROUND('PLANILHA ORCAMENTARIA'!#REF!,2)</f>
        <v>#REF!</v>
      </c>
      <c r="J251" s="75" t="e">
        <f>ROUND('PLANILHA ORCAMENTARIA'!#REF!,2)</f>
        <v>#REF!</v>
      </c>
    </row>
    <row r="252" spans="1:10" ht="45" x14ac:dyDescent="0.25">
      <c r="A252" s="44" t="s">
        <v>765</v>
      </c>
      <c r="B252" s="44" t="s">
        <v>705</v>
      </c>
      <c r="C252" s="102" t="s">
        <v>4153</v>
      </c>
      <c r="D252" s="63" t="s">
        <v>767</v>
      </c>
      <c r="E252" s="44" t="s">
        <v>54</v>
      </c>
      <c r="F252" s="70" t="e">
        <f>'PLANILHA ORCAMENTARIA'!#REF!</f>
        <v>#REF!</v>
      </c>
      <c r="G252" s="75" t="e">
        <f>'PLANILHA ORCAMENTARIA'!#REF!</f>
        <v>#REF!</v>
      </c>
      <c r="H252" s="75" t="e">
        <f>'PLANILHA ORCAMENTARIA'!#REF!</f>
        <v>#REF!</v>
      </c>
      <c r="I252" s="75" t="e">
        <f>ROUND('PLANILHA ORCAMENTARIA'!#REF!,2)</f>
        <v>#REF!</v>
      </c>
      <c r="J252" s="75" t="e">
        <f>ROUND('PLANILHA ORCAMENTARIA'!#REF!,2)</f>
        <v>#REF!</v>
      </c>
    </row>
    <row r="253" spans="1:10" ht="30" x14ac:dyDescent="0.25">
      <c r="A253" s="44" t="s">
        <v>771</v>
      </c>
      <c r="B253" s="44" t="s">
        <v>705</v>
      </c>
      <c r="C253" s="102" t="s">
        <v>4151</v>
      </c>
      <c r="D253" s="63" t="s">
        <v>761</v>
      </c>
      <c r="E253" s="44" t="s">
        <v>68</v>
      </c>
      <c r="F253" s="70" t="e">
        <f>'PLANILHA ORCAMENTARIA'!#REF!</f>
        <v>#REF!</v>
      </c>
      <c r="G253" s="75" t="e">
        <f>'PLANILHA ORCAMENTARIA'!#REF!</f>
        <v>#REF!</v>
      </c>
      <c r="H253" s="75" t="e">
        <f>'PLANILHA ORCAMENTARIA'!#REF!</f>
        <v>#REF!</v>
      </c>
      <c r="I253" s="75" t="e">
        <f>ROUND('PLANILHA ORCAMENTARIA'!#REF!,2)</f>
        <v>#REF!</v>
      </c>
      <c r="J253" s="75" t="e">
        <f>ROUND('PLANILHA ORCAMENTARIA'!#REF!,2)</f>
        <v>#REF!</v>
      </c>
    </row>
    <row r="254" spans="1:10" ht="30" x14ac:dyDescent="0.25">
      <c r="A254" s="44" t="s">
        <v>772</v>
      </c>
      <c r="B254" s="44" t="s">
        <v>705</v>
      </c>
      <c r="C254" s="102" t="s">
        <v>4154</v>
      </c>
      <c r="D254" s="63" t="s">
        <v>773</v>
      </c>
      <c r="E254" s="44" t="s">
        <v>72</v>
      </c>
      <c r="F254" s="70" t="e">
        <f>'PLANILHA ORCAMENTARIA'!#REF!</f>
        <v>#REF!</v>
      </c>
      <c r="G254" s="75" t="e">
        <f>'PLANILHA ORCAMENTARIA'!#REF!</f>
        <v>#REF!</v>
      </c>
      <c r="H254" s="75" t="e">
        <f>'PLANILHA ORCAMENTARIA'!#REF!</f>
        <v>#REF!</v>
      </c>
      <c r="I254" s="75" t="e">
        <f>ROUND('PLANILHA ORCAMENTARIA'!#REF!,2)</f>
        <v>#REF!</v>
      </c>
      <c r="J254" s="75" t="e">
        <f>ROUND('PLANILHA ORCAMENTARIA'!#REF!,2)</f>
        <v>#REF!</v>
      </c>
    </row>
    <row r="255" spans="1:10" ht="30" x14ac:dyDescent="0.25">
      <c r="A255" s="44" t="s">
        <v>774</v>
      </c>
      <c r="B255" s="44" t="s">
        <v>705</v>
      </c>
      <c r="C255" s="102" t="s">
        <v>4155</v>
      </c>
      <c r="D255" s="63" t="s">
        <v>776</v>
      </c>
      <c r="E255" s="44" t="s">
        <v>54</v>
      </c>
      <c r="F255" s="70" t="e">
        <f>'PLANILHA ORCAMENTARIA'!#REF!</f>
        <v>#REF!</v>
      </c>
      <c r="G255" s="75" t="e">
        <f>'PLANILHA ORCAMENTARIA'!#REF!</f>
        <v>#REF!</v>
      </c>
      <c r="H255" s="75" t="e">
        <f>'PLANILHA ORCAMENTARIA'!#REF!</f>
        <v>#REF!</v>
      </c>
      <c r="I255" s="75" t="e">
        <f>ROUND('PLANILHA ORCAMENTARIA'!#REF!,2)</f>
        <v>#REF!</v>
      </c>
      <c r="J255" s="75" t="e">
        <f>ROUND('PLANILHA ORCAMENTARIA'!#REF!,2)</f>
        <v>#REF!</v>
      </c>
    </row>
    <row r="256" spans="1:10" ht="60" x14ac:dyDescent="0.25">
      <c r="A256" s="44" t="s">
        <v>777</v>
      </c>
      <c r="B256" s="44" t="s">
        <v>705</v>
      </c>
      <c r="C256" s="102" t="s">
        <v>4156</v>
      </c>
      <c r="D256" s="63" t="s">
        <v>779</v>
      </c>
      <c r="E256" s="44" t="s">
        <v>54</v>
      </c>
      <c r="F256" s="70" t="e">
        <f>'PLANILHA ORCAMENTARIA'!#REF!</f>
        <v>#REF!</v>
      </c>
      <c r="G256" s="75" t="e">
        <f>'PLANILHA ORCAMENTARIA'!#REF!</f>
        <v>#REF!</v>
      </c>
      <c r="H256" s="75" t="e">
        <f>'PLANILHA ORCAMENTARIA'!#REF!</f>
        <v>#REF!</v>
      </c>
      <c r="I256" s="75" t="e">
        <f>ROUND('PLANILHA ORCAMENTARIA'!#REF!,2)</f>
        <v>#REF!</v>
      </c>
      <c r="J256" s="75" t="e">
        <f>ROUND('PLANILHA ORCAMENTARIA'!#REF!,2)</f>
        <v>#REF!</v>
      </c>
    </row>
    <row r="257" spans="1:10" ht="45" x14ac:dyDescent="0.25">
      <c r="A257" s="44" t="s">
        <v>780</v>
      </c>
      <c r="B257" s="44" t="s">
        <v>705</v>
      </c>
      <c r="C257" s="102" t="s">
        <v>4157</v>
      </c>
      <c r="D257" s="63" t="s">
        <v>782</v>
      </c>
      <c r="E257" s="44" t="s">
        <v>54</v>
      </c>
      <c r="F257" s="70" t="e">
        <f>'PLANILHA ORCAMENTARIA'!#REF!</f>
        <v>#REF!</v>
      </c>
      <c r="G257" s="75" t="e">
        <f>'PLANILHA ORCAMENTARIA'!#REF!</f>
        <v>#REF!</v>
      </c>
      <c r="H257" s="75" t="e">
        <f>'PLANILHA ORCAMENTARIA'!#REF!</f>
        <v>#REF!</v>
      </c>
      <c r="I257" s="75" t="e">
        <f>ROUND('PLANILHA ORCAMENTARIA'!#REF!,2)</f>
        <v>#REF!</v>
      </c>
      <c r="J257" s="75" t="e">
        <f>ROUND('PLANILHA ORCAMENTARIA'!#REF!,2)</f>
        <v>#REF!</v>
      </c>
    </row>
    <row r="258" spans="1:10" ht="30" x14ac:dyDescent="0.25">
      <c r="A258" s="44" t="s">
        <v>783</v>
      </c>
      <c r="B258" s="44" t="s">
        <v>705</v>
      </c>
      <c r="C258" s="102" t="s">
        <v>4158</v>
      </c>
      <c r="D258" s="63" t="s">
        <v>785</v>
      </c>
      <c r="E258" s="44" t="s">
        <v>786</v>
      </c>
      <c r="F258" s="70" t="e">
        <f>'PLANILHA ORCAMENTARIA'!#REF!</f>
        <v>#REF!</v>
      </c>
      <c r="G258" s="75" t="e">
        <f>'PLANILHA ORCAMENTARIA'!#REF!</f>
        <v>#REF!</v>
      </c>
      <c r="H258" s="75" t="e">
        <f>'PLANILHA ORCAMENTARIA'!#REF!</f>
        <v>#REF!</v>
      </c>
      <c r="I258" s="75" t="e">
        <f>ROUND('PLANILHA ORCAMENTARIA'!#REF!,2)</f>
        <v>#REF!</v>
      </c>
      <c r="J258" s="75" t="e">
        <f>ROUND('PLANILHA ORCAMENTARIA'!#REF!,2)</f>
        <v>#REF!</v>
      </c>
    </row>
    <row r="259" spans="1:10" ht="45" x14ac:dyDescent="0.25">
      <c r="A259" s="44" t="s">
        <v>787</v>
      </c>
      <c r="B259" s="44" t="s">
        <v>705</v>
      </c>
      <c r="C259" s="102" t="s">
        <v>4159</v>
      </c>
      <c r="D259" s="63" t="s">
        <v>789</v>
      </c>
      <c r="E259" s="44" t="s">
        <v>54</v>
      </c>
      <c r="F259" s="70" t="e">
        <f>'PLANILHA ORCAMENTARIA'!#REF!</f>
        <v>#REF!</v>
      </c>
      <c r="G259" s="75" t="e">
        <f>'PLANILHA ORCAMENTARIA'!#REF!</f>
        <v>#REF!</v>
      </c>
      <c r="H259" s="75" t="e">
        <f>'PLANILHA ORCAMENTARIA'!#REF!</f>
        <v>#REF!</v>
      </c>
      <c r="I259" s="75" t="e">
        <f>ROUND('PLANILHA ORCAMENTARIA'!#REF!,2)</f>
        <v>#REF!</v>
      </c>
      <c r="J259" s="75" t="e">
        <f>ROUND('PLANILHA ORCAMENTARIA'!#REF!,2)</f>
        <v>#REF!</v>
      </c>
    </row>
    <row r="260" spans="1:10" ht="45" x14ac:dyDescent="0.25">
      <c r="A260" s="44" t="s">
        <v>790</v>
      </c>
      <c r="B260" s="44" t="s">
        <v>705</v>
      </c>
      <c r="C260" s="102" t="s">
        <v>4160</v>
      </c>
      <c r="D260" s="63" t="s">
        <v>792</v>
      </c>
      <c r="E260" s="44" t="s">
        <v>54</v>
      </c>
      <c r="F260" s="70" t="e">
        <f>'PLANILHA ORCAMENTARIA'!#REF!</f>
        <v>#REF!</v>
      </c>
      <c r="G260" s="75" t="e">
        <f>'PLANILHA ORCAMENTARIA'!#REF!</f>
        <v>#REF!</v>
      </c>
      <c r="H260" s="75" t="e">
        <f>'PLANILHA ORCAMENTARIA'!#REF!</f>
        <v>#REF!</v>
      </c>
      <c r="I260" s="75" t="e">
        <f>ROUND('PLANILHA ORCAMENTARIA'!#REF!,2)</f>
        <v>#REF!</v>
      </c>
      <c r="J260" s="75" t="e">
        <f>ROUND('PLANILHA ORCAMENTARIA'!#REF!,2)</f>
        <v>#REF!</v>
      </c>
    </row>
    <row r="261" spans="1:10" ht="45" x14ac:dyDescent="0.25">
      <c r="A261" s="44" t="s">
        <v>793</v>
      </c>
      <c r="B261" s="44" t="s">
        <v>705</v>
      </c>
      <c r="C261" s="102" t="s">
        <v>4161</v>
      </c>
      <c r="D261" s="63" t="s">
        <v>795</v>
      </c>
      <c r="E261" s="44" t="s">
        <v>54</v>
      </c>
      <c r="F261" s="70" t="e">
        <f>'PLANILHA ORCAMENTARIA'!#REF!</f>
        <v>#REF!</v>
      </c>
      <c r="G261" s="75" t="e">
        <f>'PLANILHA ORCAMENTARIA'!#REF!</f>
        <v>#REF!</v>
      </c>
      <c r="H261" s="75" t="e">
        <f>'PLANILHA ORCAMENTARIA'!#REF!</f>
        <v>#REF!</v>
      </c>
      <c r="I261" s="75" t="e">
        <f>ROUND('PLANILHA ORCAMENTARIA'!#REF!,2)</f>
        <v>#REF!</v>
      </c>
      <c r="J261" s="75" t="e">
        <f>ROUND('PLANILHA ORCAMENTARIA'!#REF!,2)</f>
        <v>#REF!</v>
      </c>
    </row>
    <row r="262" spans="1:10" ht="30" x14ac:dyDescent="0.25">
      <c r="A262" s="44" t="s">
        <v>796</v>
      </c>
      <c r="B262" s="44" t="s">
        <v>705</v>
      </c>
      <c r="C262" s="102" t="s">
        <v>4162</v>
      </c>
      <c r="D262" s="63" t="s">
        <v>798</v>
      </c>
      <c r="E262" s="44" t="s">
        <v>786</v>
      </c>
      <c r="F262" s="70" t="e">
        <f>'PLANILHA ORCAMENTARIA'!#REF!</f>
        <v>#REF!</v>
      </c>
      <c r="G262" s="75" t="e">
        <f>'PLANILHA ORCAMENTARIA'!#REF!</f>
        <v>#REF!</v>
      </c>
      <c r="H262" s="75" t="e">
        <f>'PLANILHA ORCAMENTARIA'!#REF!</f>
        <v>#REF!</v>
      </c>
      <c r="I262" s="75" t="e">
        <f>ROUND('PLANILHA ORCAMENTARIA'!#REF!,2)</f>
        <v>#REF!</v>
      </c>
      <c r="J262" s="75" t="e">
        <f>ROUND('PLANILHA ORCAMENTARIA'!#REF!,2)</f>
        <v>#REF!</v>
      </c>
    </row>
    <row r="263" spans="1:10" ht="30" x14ac:dyDescent="0.25">
      <c r="A263" s="44" t="s">
        <v>799</v>
      </c>
      <c r="B263" s="44" t="s">
        <v>705</v>
      </c>
      <c r="C263" s="102" t="s">
        <v>4163</v>
      </c>
      <c r="D263" s="63" t="s">
        <v>801</v>
      </c>
      <c r="E263" s="44" t="s">
        <v>89</v>
      </c>
      <c r="F263" s="70" t="e">
        <f>'PLANILHA ORCAMENTARIA'!#REF!</f>
        <v>#REF!</v>
      </c>
      <c r="G263" s="75" t="e">
        <f>'PLANILHA ORCAMENTARIA'!#REF!</f>
        <v>#REF!</v>
      </c>
      <c r="H263" s="75" t="e">
        <f>'PLANILHA ORCAMENTARIA'!#REF!</f>
        <v>#REF!</v>
      </c>
      <c r="I263" s="75" t="e">
        <f>ROUND('PLANILHA ORCAMENTARIA'!#REF!,2)</f>
        <v>#REF!</v>
      </c>
      <c r="J263" s="75" t="e">
        <f>ROUND('PLANILHA ORCAMENTARIA'!#REF!,2)</f>
        <v>#REF!</v>
      </c>
    </row>
    <row r="264" spans="1:10" x14ac:dyDescent="0.25">
      <c r="A264" s="66" t="s">
        <v>3997</v>
      </c>
      <c r="B264" s="66"/>
      <c r="C264" s="103"/>
      <c r="D264" s="64" t="s">
        <v>4145</v>
      </c>
      <c r="E264" s="66"/>
      <c r="F264" s="71"/>
      <c r="G264" s="76"/>
      <c r="H264" s="76"/>
      <c r="I264" s="76" t="e">
        <f>ROUND(SUM(I245:I263),2)</f>
        <v>#REF!</v>
      </c>
      <c r="J264" s="76" t="e">
        <f>ROUND(SUM(J245:J263),2)</f>
        <v>#REF!</v>
      </c>
    </row>
    <row r="265" spans="1:10" x14ac:dyDescent="0.25">
      <c r="A265" s="58" t="s">
        <v>4164</v>
      </c>
      <c r="B265" s="58"/>
      <c r="C265" s="101"/>
      <c r="D265" s="62"/>
      <c r="E265" s="58"/>
      <c r="F265" s="69"/>
      <c r="G265" s="74"/>
      <c r="H265" s="74"/>
      <c r="I265" s="74" t="s">
        <v>3997</v>
      </c>
      <c r="J265" s="74" t="e">
        <f>J277</f>
        <v>#REF!</v>
      </c>
    </row>
    <row r="266" spans="1:10" ht="30" x14ac:dyDescent="0.25">
      <c r="A266" s="44" t="s">
        <v>812</v>
      </c>
      <c r="B266" s="44" t="s">
        <v>813</v>
      </c>
      <c r="C266" s="102" t="s">
        <v>4165</v>
      </c>
      <c r="D266" s="63" t="s">
        <v>815</v>
      </c>
      <c r="E266" s="44" t="s">
        <v>72</v>
      </c>
      <c r="F266" s="70" t="e">
        <f>'PLANILHA ORCAMENTARIA'!#REF!</f>
        <v>#REF!</v>
      </c>
      <c r="G266" s="75" t="e">
        <f>'PLANILHA ORCAMENTARIA'!#REF!</f>
        <v>#REF!</v>
      </c>
      <c r="H266" s="75" t="e">
        <f>'PLANILHA ORCAMENTARIA'!#REF!</f>
        <v>#REF!</v>
      </c>
      <c r="I266" s="75" t="e">
        <f>ROUND('PLANILHA ORCAMENTARIA'!#REF!,2)</f>
        <v>#REF!</v>
      </c>
      <c r="J266" s="75" t="e">
        <f>ROUND('PLANILHA ORCAMENTARIA'!#REF!,2)</f>
        <v>#REF!</v>
      </c>
    </row>
    <row r="267" spans="1:10" ht="30" x14ac:dyDescent="0.25">
      <c r="A267" s="44" t="s">
        <v>816</v>
      </c>
      <c r="B267" s="44" t="s">
        <v>813</v>
      </c>
      <c r="C267" s="102" t="s">
        <v>4166</v>
      </c>
      <c r="D267" s="63" t="s">
        <v>818</v>
      </c>
      <c r="E267" s="44" t="s">
        <v>579</v>
      </c>
      <c r="F267" s="70" t="e">
        <f>'PLANILHA ORCAMENTARIA'!#REF!</f>
        <v>#REF!</v>
      </c>
      <c r="G267" s="75" t="e">
        <f>'PLANILHA ORCAMENTARIA'!#REF!</f>
        <v>#REF!</v>
      </c>
      <c r="H267" s="75" t="e">
        <f>'PLANILHA ORCAMENTARIA'!#REF!</f>
        <v>#REF!</v>
      </c>
      <c r="I267" s="75" t="e">
        <f>ROUND('PLANILHA ORCAMENTARIA'!#REF!,2)</f>
        <v>#REF!</v>
      </c>
      <c r="J267" s="75" t="e">
        <f>ROUND('PLANILHA ORCAMENTARIA'!#REF!,2)</f>
        <v>#REF!</v>
      </c>
    </row>
    <row r="268" spans="1:10" ht="45" x14ac:dyDescent="0.25">
      <c r="A268" s="44" t="s">
        <v>819</v>
      </c>
      <c r="B268" s="44" t="s">
        <v>813</v>
      </c>
      <c r="C268" s="102" t="s">
        <v>4167</v>
      </c>
      <c r="D268" s="63" t="s">
        <v>821</v>
      </c>
      <c r="E268" s="44" t="s">
        <v>579</v>
      </c>
      <c r="F268" s="70" t="e">
        <f>'PLANILHA ORCAMENTARIA'!#REF!</f>
        <v>#REF!</v>
      </c>
      <c r="G268" s="75" t="e">
        <f>'PLANILHA ORCAMENTARIA'!#REF!</f>
        <v>#REF!</v>
      </c>
      <c r="H268" s="75" t="e">
        <f>'PLANILHA ORCAMENTARIA'!#REF!</f>
        <v>#REF!</v>
      </c>
      <c r="I268" s="75" t="e">
        <f>ROUND('PLANILHA ORCAMENTARIA'!#REF!,2)</f>
        <v>#REF!</v>
      </c>
      <c r="J268" s="75" t="e">
        <f>ROUND('PLANILHA ORCAMENTARIA'!#REF!,2)</f>
        <v>#REF!</v>
      </c>
    </row>
    <row r="269" spans="1:10" ht="30" x14ac:dyDescent="0.25">
      <c r="A269" s="44" t="s">
        <v>822</v>
      </c>
      <c r="B269" s="44" t="s">
        <v>813</v>
      </c>
      <c r="C269" s="102" t="s">
        <v>4168</v>
      </c>
      <c r="D269" s="63" t="s">
        <v>824</v>
      </c>
      <c r="E269" s="44" t="s">
        <v>579</v>
      </c>
      <c r="F269" s="70" t="e">
        <f>'PLANILHA ORCAMENTARIA'!#REF!</f>
        <v>#REF!</v>
      </c>
      <c r="G269" s="75" t="e">
        <f>'PLANILHA ORCAMENTARIA'!#REF!</f>
        <v>#REF!</v>
      </c>
      <c r="H269" s="75" t="e">
        <f>'PLANILHA ORCAMENTARIA'!#REF!</f>
        <v>#REF!</v>
      </c>
      <c r="I269" s="75" t="e">
        <f>ROUND('PLANILHA ORCAMENTARIA'!#REF!,2)</f>
        <v>#REF!</v>
      </c>
      <c r="J269" s="75" t="e">
        <f>ROUND('PLANILHA ORCAMENTARIA'!#REF!,2)</f>
        <v>#REF!</v>
      </c>
    </row>
    <row r="270" spans="1:10" ht="30" x14ac:dyDescent="0.25">
      <c r="A270" s="44" t="s">
        <v>825</v>
      </c>
      <c r="B270" s="44" t="s">
        <v>813</v>
      </c>
      <c r="C270" s="102" t="s">
        <v>4169</v>
      </c>
      <c r="D270" s="63" t="s">
        <v>827</v>
      </c>
      <c r="E270" s="44" t="s">
        <v>579</v>
      </c>
      <c r="F270" s="70" t="e">
        <f>'PLANILHA ORCAMENTARIA'!#REF!</f>
        <v>#REF!</v>
      </c>
      <c r="G270" s="75" t="e">
        <f>'PLANILHA ORCAMENTARIA'!#REF!</f>
        <v>#REF!</v>
      </c>
      <c r="H270" s="75" t="e">
        <f>'PLANILHA ORCAMENTARIA'!#REF!</f>
        <v>#REF!</v>
      </c>
      <c r="I270" s="75" t="e">
        <f>ROUND('PLANILHA ORCAMENTARIA'!#REF!,2)</f>
        <v>#REF!</v>
      </c>
      <c r="J270" s="75" t="e">
        <f>ROUND('PLANILHA ORCAMENTARIA'!#REF!,2)</f>
        <v>#REF!</v>
      </c>
    </row>
    <row r="271" spans="1:10" ht="45" x14ac:dyDescent="0.25">
      <c r="A271" s="44" t="s">
        <v>828</v>
      </c>
      <c r="B271" s="44" t="s">
        <v>813</v>
      </c>
      <c r="C271" s="102" t="s">
        <v>4170</v>
      </c>
      <c r="D271" s="63" t="s">
        <v>830</v>
      </c>
      <c r="E271" s="44" t="s">
        <v>579</v>
      </c>
      <c r="F271" s="70" t="e">
        <f>'PLANILHA ORCAMENTARIA'!#REF!</f>
        <v>#REF!</v>
      </c>
      <c r="G271" s="75" t="e">
        <f>'PLANILHA ORCAMENTARIA'!#REF!</f>
        <v>#REF!</v>
      </c>
      <c r="H271" s="75" t="e">
        <f>'PLANILHA ORCAMENTARIA'!#REF!</f>
        <v>#REF!</v>
      </c>
      <c r="I271" s="75" t="e">
        <f>ROUND('PLANILHA ORCAMENTARIA'!#REF!,2)</f>
        <v>#REF!</v>
      </c>
      <c r="J271" s="75" t="e">
        <f>ROUND('PLANILHA ORCAMENTARIA'!#REF!,2)</f>
        <v>#REF!</v>
      </c>
    </row>
    <row r="272" spans="1:10" ht="45" x14ac:dyDescent="0.25">
      <c r="A272" s="44" t="s">
        <v>831</v>
      </c>
      <c r="B272" s="44" t="s">
        <v>813</v>
      </c>
      <c r="C272" s="102" t="s">
        <v>4171</v>
      </c>
      <c r="D272" s="63" t="s">
        <v>833</v>
      </c>
      <c r="E272" s="44" t="s">
        <v>579</v>
      </c>
      <c r="F272" s="70" t="e">
        <f>'PLANILHA ORCAMENTARIA'!#REF!</f>
        <v>#REF!</v>
      </c>
      <c r="G272" s="75" t="e">
        <f>'PLANILHA ORCAMENTARIA'!#REF!</f>
        <v>#REF!</v>
      </c>
      <c r="H272" s="75" t="e">
        <f>'PLANILHA ORCAMENTARIA'!#REF!</f>
        <v>#REF!</v>
      </c>
      <c r="I272" s="75" t="e">
        <f>ROUND('PLANILHA ORCAMENTARIA'!#REF!,2)</f>
        <v>#REF!</v>
      </c>
      <c r="J272" s="75" t="e">
        <f>ROUND('PLANILHA ORCAMENTARIA'!#REF!,2)</f>
        <v>#REF!</v>
      </c>
    </row>
    <row r="273" spans="1:10" ht="30" x14ac:dyDescent="0.25">
      <c r="A273" s="44" t="s">
        <v>834</v>
      </c>
      <c r="B273" s="44" t="s">
        <v>813</v>
      </c>
      <c r="C273" s="102" t="s">
        <v>4172</v>
      </c>
      <c r="D273" s="63" t="s">
        <v>836</v>
      </c>
      <c r="E273" s="44" t="s">
        <v>579</v>
      </c>
      <c r="F273" s="70" t="e">
        <f>'PLANILHA ORCAMENTARIA'!#REF!</f>
        <v>#REF!</v>
      </c>
      <c r="G273" s="75" t="e">
        <f>'PLANILHA ORCAMENTARIA'!#REF!</f>
        <v>#REF!</v>
      </c>
      <c r="H273" s="75" t="e">
        <f>'PLANILHA ORCAMENTARIA'!#REF!</f>
        <v>#REF!</v>
      </c>
      <c r="I273" s="75" t="e">
        <f>ROUND('PLANILHA ORCAMENTARIA'!#REF!,2)</f>
        <v>#REF!</v>
      </c>
      <c r="J273" s="75" t="e">
        <f>ROUND('PLANILHA ORCAMENTARIA'!#REF!,2)</f>
        <v>#REF!</v>
      </c>
    </row>
    <row r="274" spans="1:10" ht="30" x14ac:dyDescent="0.25">
      <c r="A274" s="44" t="s">
        <v>837</v>
      </c>
      <c r="B274" s="44" t="s">
        <v>813</v>
      </c>
      <c r="C274" s="102" t="s">
        <v>4173</v>
      </c>
      <c r="D274" s="63" t="s">
        <v>839</v>
      </c>
      <c r="E274" s="44" t="s">
        <v>579</v>
      </c>
      <c r="F274" s="70" t="e">
        <f>'PLANILHA ORCAMENTARIA'!#REF!</f>
        <v>#REF!</v>
      </c>
      <c r="G274" s="75" t="e">
        <f>'PLANILHA ORCAMENTARIA'!#REF!</f>
        <v>#REF!</v>
      </c>
      <c r="H274" s="75" t="e">
        <f>'PLANILHA ORCAMENTARIA'!#REF!</f>
        <v>#REF!</v>
      </c>
      <c r="I274" s="75" t="e">
        <f>ROUND('PLANILHA ORCAMENTARIA'!#REF!,2)</f>
        <v>#REF!</v>
      </c>
      <c r="J274" s="75" t="e">
        <f>ROUND('PLANILHA ORCAMENTARIA'!#REF!,2)</f>
        <v>#REF!</v>
      </c>
    </row>
    <row r="275" spans="1:10" ht="60" x14ac:dyDescent="0.25">
      <c r="A275" s="44" t="s">
        <v>840</v>
      </c>
      <c r="B275" s="44" t="s">
        <v>813</v>
      </c>
      <c r="C275" s="102" t="s">
        <v>4174</v>
      </c>
      <c r="D275" s="63" t="s">
        <v>842</v>
      </c>
      <c r="E275" s="44" t="s">
        <v>579</v>
      </c>
      <c r="F275" s="70" t="e">
        <f>'PLANILHA ORCAMENTARIA'!#REF!</f>
        <v>#REF!</v>
      </c>
      <c r="G275" s="75" t="e">
        <f>'PLANILHA ORCAMENTARIA'!#REF!</f>
        <v>#REF!</v>
      </c>
      <c r="H275" s="75" t="e">
        <f>'PLANILHA ORCAMENTARIA'!#REF!</f>
        <v>#REF!</v>
      </c>
      <c r="I275" s="75" t="e">
        <f>ROUND('PLANILHA ORCAMENTARIA'!#REF!,2)</f>
        <v>#REF!</v>
      </c>
      <c r="J275" s="75" t="e">
        <f>ROUND('PLANILHA ORCAMENTARIA'!#REF!,2)</f>
        <v>#REF!</v>
      </c>
    </row>
    <row r="276" spans="1:10" ht="60" x14ac:dyDescent="0.25">
      <c r="A276" s="44" t="s">
        <v>843</v>
      </c>
      <c r="B276" s="44" t="s">
        <v>813</v>
      </c>
      <c r="C276" s="102" t="s">
        <v>4175</v>
      </c>
      <c r="D276" s="63" t="s">
        <v>845</v>
      </c>
      <c r="E276" s="44" t="s">
        <v>579</v>
      </c>
      <c r="F276" s="70" t="e">
        <f>'PLANILHA ORCAMENTARIA'!#REF!</f>
        <v>#REF!</v>
      </c>
      <c r="G276" s="75" t="e">
        <f>'PLANILHA ORCAMENTARIA'!#REF!</f>
        <v>#REF!</v>
      </c>
      <c r="H276" s="75" t="e">
        <f>'PLANILHA ORCAMENTARIA'!#REF!</f>
        <v>#REF!</v>
      </c>
      <c r="I276" s="75" t="e">
        <f>ROUND('PLANILHA ORCAMENTARIA'!#REF!,2)</f>
        <v>#REF!</v>
      </c>
      <c r="J276" s="75" t="e">
        <f>ROUND('PLANILHA ORCAMENTARIA'!#REF!,2)</f>
        <v>#REF!</v>
      </c>
    </row>
    <row r="277" spans="1:10" x14ac:dyDescent="0.25">
      <c r="A277" s="66" t="s">
        <v>3997</v>
      </c>
      <c r="B277" s="66"/>
      <c r="C277" s="103"/>
      <c r="D277" s="64" t="s">
        <v>4164</v>
      </c>
      <c r="E277" s="66"/>
      <c r="F277" s="71"/>
      <c r="G277" s="76"/>
      <c r="H277" s="76"/>
      <c r="I277" s="76" t="e">
        <f>ROUND(SUM(I266:I276),2)</f>
        <v>#REF!</v>
      </c>
      <c r="J277" s="76" t="e">
        <f>ROUND(SUM(J266:J276),2)</f>
        <v>#REF!</v>
      </c>
    </row>
    <row r="278" spans="1:10" x14ac:dyDescent="0.25">
      <c r="A278" s="58" t="s">
        <v>4176</v>
      </c>
      <c r="B278" s="58"/>
      <c r="C278" s="101"/>
      <c r="D278" s="62"/>
      <c r="E278" s="58"/>
      <c r="F278" s="69"/>
      <c r="G278" s="74"/>
      <c r="H278" s="74"/>
      <c r="I278" s="74" t="s">
        <v>3997</v>
      </c>
      <c r="J278" s="74" t="e">
        <f>J283</f>
        <v>#REF!</v>
      </c>
    </row>
    <row r="279" spans="1:10" ht="45" x14ac:dyDescent="0.25">
      <c r="A279" s="44" t="s">
        <v>846</v>
      </c>
      <c r="B279" s="44" t="s">
        <v>813</v>
      </c>
      <c r="C279" s="102" t="s">
        <v>4177</v>
      </c>
      <c r="D279" s="63" t="s">
        <v>848</v>
      </c>
      <c r="E279" s="44" t="s">
        <v>226</v>
      </c>
      <c r="F279" s="70" t="e">
        <f>'PLANILHA ORCAMENTARIA'!#REF!</f>
        <v>#REF!</v>
      </c>
      <c r="G279" s="75" t="e">
        <f>'PLANILHA ORCAMENTARIA'!#REF!</f>
        <v>#REF!</v>
      </c>
      <c r="H279" s="75" t="e">
        <f>'PLANILHA ORCAMENTARIA'!#REF!</f>
        <v>#REF!</v>
      </c>
      <c r="I279" s="75" t="e">
        <f>ROUND('PLANILHA ORCAMENTARIA'!#REF!,2)</f>
        <v>#REF!</v>
      </c>
      <c r="J279" s="75" t="e">
        <f>ROUND('PLANILHA ORCAMENTARIA'!#REF!,2)</f>
        <v>#REF!</v>
      </c>
    </row>
    <row r="280" spans="1:10" ht="30" x14ac:dyDescent="0.25">
      <c r="A280" s="44" t="s">
        <v>849</v>
      </c>
      <c r="B280" s="44" t="s">
        <v>705</v>
      </c>
      <c r="C280" s="102" t="s">
        <v>4178</v>
      </c>
      <c r="D280" s="63" t="s">
        <v>851</v>
      </c>
      <c r="E280" s="44" t="s">
        <v>68</v>
      </c>
      <c r="F280" s="70" t="e">
        <f>'PLANILHA ORCAMENTARIA'!#REF!</f>
        <v>#REF!</v>
      </c>
      <c r="G280" s="75" t="e">
        <f>'PLANILHA ORCAMENTARIA'!#REF!</f>
        <v>#REF!</v>
      </c>
      <c r="H280" s="75" t="e">
        <f>'PLANILHA ORCAMENTARIA'!#REF!</f>
        <v>#REF!</v>
      </c>
      <c r="I280" s="75" t="e">
        <f>ROUND('PLANILHA ORCAMENTARIA'!#REF!,2)</f>
        <v>#REF!</v>
      </c>
      <c r="J280" s="75" t="e">
        <f>ROUND('PLANILHA ORCAMENTARIA'!#REF!,2)</f>
        <v>#REF!</v>
      </c>
    </row>
    <row r="281" spans="1:10" ht="30" x14ac:dyDescent="0.25">
      <c r="A281" s="44" t="s">
        <v>852</v>
      </c>
      <c r="B281" s="44" t="s">
        <v>813</v>
      </c>
      <c r="C281" s="102" t="s">
        <v>4179</v>
      </c>
      <c r="D281" s="63" t="s">
        <v>854</v>
      </c>
      <c r="E281" s="44" t="s">
        <v>226</v>
      </c>
      <c r="F281" s="70" t="e">
        <f>'PLANILHA ORCAMENTARIA'!#REF!</f>
        <v>#REF!</v>
      </c>
      <c r="G281" s="75" t="e">
        <f>'PLANILHA ORCAMENTARIA'!#REF!</f>
        <v>#REF!</v>
      </c>
      <c r="H281" s="75" t="e">
        <f>'PLANILHA ORCAMENTARIA'!#REF!</f>
        <v>#REF!</v>
      </c>
      <c r="I281" s="75" t="e">
        <f>ROUND('PLANILHA ORCAMENTARIA'!#REF!,2)</f>
        <v>#REF!</v>
      </c>
      <c r="J281" s="75" t="e">
        <f>ROUND('PLANILHA ORCAMENTARIA'!#REF!,2)</f>
        <v>#REF!</v>
      </c>
    </row>
    <row r="282" spans="1:10" ht="90" x14ac:dyDescent="0.25">
      <c r="A282" s="44" t="s">
        <v>855</v>
      </c>
      <c r="B282" s="44" t="s">
        <v>813</v>
      </c>
      <c r="C282" s="102" t="s">
        <v>4180</v>
      </c>
      <c r="D282" s="63" t="s">
        <v>857</v>
      </c>
      <c r="E282" s="44" t="s">
        <v>188</v>
      </c>
      <c r="F282" s="70" t="e">
        <f>'PLANILHA ORCAMENTARIA'!#REF!</f>
        <v>#REF!</v>
      </c>
      <c r="G282" s="75" t="e">
        <f>'PLANILHA ORCAMENTARIA'!#REF!</f>
        <v>#REF!</v>
      </c>
      <c r="H282" s="75" t="e">
        <f>'PLANILHA ORCAMENTARIA'!#REF!</f>
        <v>#REF!</v>
      </c>
      <c r="I282" s="75" t="e">
        <f>ROUND('PLANILHA ORCAMENTARIA'!#REF!,2)</f>
        <v>#REF!</v>
      </c>
      <c r="J282" s="75" t="e">
        <f>ROUND('PLANILHA ORCAMENTARIA'!#REF!,2)</f>
        <v>#REF!</v>
      </c>
    </row>
    <row r="283" spans="1:10" x14ac:dyDescent="0.25">
      <c r="A283" s="66" t="s">
        <v>3997</v>
      </c>
      <c r="B283" s="66"/>
      <c r="C283" s="103"/>
      <c r="D283" s="64" t="s">
        <v>4176</v>
      </c>
      <c r="E283" s="66"/>
      <c r="F283" s="71"/>
      <c r="G283" s="76"/>
      <c r="H283" s="76"/>
      <c r="I283" s="76" t="e">
        <f>ROUND(SUM(I279:I282),2)</f>
        <v>#REF!</v>
      </c>
      <c r="J283" s="76" t="e">
        <f>ROUND(SUM(J279:J282),2)</f>
        <v>#REF!</v>
      </c>
    </row>
    <row r="284" spans="1:10" x14ac:dyDescent="0.25">
      <c r="A284" s="58" t="s">
        <v>4181</v>
      </c>
      <c r="B284" s="58"/>
      <c r="C284" s="101"/>
      <c r="D284" s="62"/>
      <c r="E284" s="58"/>
      <c r="F284" s="69"/>
      <c r="G284" s="74"/>
      <c r="H284" s="74"/>
      <c r="I284" s="74" t="s">
        <v>3997</v>
      </c>
      <c r="J284" s="74" t="e">
        <f>J298</f>
        <v>#REF!</v>
      </c>
    </row>
    <row r="285" spans="1:10" ht="30" x14ac:dyDescent="0.25">
      <c r="A285" s="44" t="s">
        <v>858</v>
      </c>
      <c r="B285" s="44" t="s">
        <v>82</v>
      </c>
      <c r="C285" s="102" t="s">
        <v>4182</v>
      </c>
      <c r="D285" s="63" t="s">
        <v>859</v>
      </c>
      <c r="E285" s="44" t="s">
        <v>226</v>
      </c>
      <c r="F285" s="70" t="e">
        <f>'PLANILHA ORCAMENTARIA'!#REF!</f>
        <v>#REF!</v>
      </c>
      <c r="G285" s="75" t="e">
        <f>'PLANILHA ORCAMENTARIA'!#REF!</f>
        <v>#REF!</v>
      </c>
      <c r="H285" s="75" t="e">
        <f>'PLANILHA ORCAMENTARIA'!#REF!</f>
        <v>#REF!</v>
      </c>
      <c r="I285" s="75" t="e">
        <f>ROUND('PLANILHA ORCAMENTARIA'!#REF!,2)</f>
        <v>#REF!</v>
      </c>
      <c r="J285" s="75" t="e">
        <f>ROUND('PLANILHA ORCAMENTARIA'!#REF!,2)</f>
        <v>#REF!</v>
      </c>
    </row>
    <row r="286" spans="1:10" ht="30" x14ac:dyDescent="0.25">
      <c r="A286" s="44" t="s">
        <v>860</v>
      </c>
      <c r="B286" s="44" t="s">
        <v>705</v>
      </c>
      <c r="C286" s="102" t="s">
        <v>4183</v>
      </c>
      <c r="D286" s="63" t="s">
        <v>530</v>
      </c>
      <c r="E286" s="44" t="s">
        <v>72</v>
      </c>
      <c r="F286" s="70" t="e">
        <f>'PLANILHA ORCAMENTARIA'!#REF!</f>
        <v>#REF!</v>
      </c>
      <c r="G286" s="75" t="e">
        <f>'PLANILHA ORCAMENTARIA'!#REF!</f>
        <v>#REF!</v>
      </c>
      <c r="H286" s="75" t="e">
        <f>'PLANILHA ORCAMENTARIA'!#REF!</f>
        <v>#REF!</v>
      </c>
      <c r="I286" s="75" t="e">
        <f>ROUND('PLANILHA ORCAMENTARIA'!#REF!,2)</f>
        <v>#REF!</v>
      </c>
      <c r="J286" s="75" t="e">
        <f>ROUND('PLANILHA ORCAMENTARIA'!#REF!,2)</f>
        <v>#REF!</v>
      </c>
    </row>
    <row r="287" spans="1:10" ht="45" x14ac:dyDescent="0.25">
      <c r="A287" s="44" t="s">
        <v>862</v>
      </c>
      <c r="B287" s="44" t="s">
        <v>705</v>
      </c>
      <c r="C287" s="102" t="s">
        <v>4184</v>
      </c>
      <c r="D287" s="63" t="s">
        <v>864</v>
      </c>
      <c r="E287" s="44" t="s">
        <v>72</v>
      </c>
      <c r="F287" s="70" t="e">
        <f>'PLANILHA ORCAMENTARIA'!#REF!</f>
        <v>#REF!</v>
      </c>
      <c r="G287" s="75" t="e">
        <f>'PLANILHA ORCAMENTARIA'!#REF!</f>
        <v>#REF!</v>
      </c>
      <c r="H287" s="75" t="e">
        <f>'PLANILHA ORCAMENTARIA'!#REF!</f>
        <v>#REF!</v>
      </c>
      <c r="I287" s="75" t="e">
        <f>ROUND('PLANILHA ORCAMENTARIA'!#REF!,2)</f>
        <v>#REF!</v>
      </c>
      <c r="J287" s="75" t="e">
        <f>ROUND('PLANILHA ORCAMENTARIA'!#REF!,2)</f>
        <v>#REF!</v>
      </c>
    </row>
    <row r="288" spans="1:10" ht="30" x14ac:dyDescent="0.25">
      <c r="A288" s="44" t="s">
        <v>865</v>
      </c>
      <c r="B288" s="44" t="s">
        <v>82</v>
      </c>
      <c r="C288" s="102" t="s">
        <v>4185</v>
      </c>
      <c r="D288" s="63" t="s">
        <v>866</v>
      </c>
      <c r="E288" s="44" t="s">
        <v>188</v>
      </c>
      <c r="F288" s="70" t="e">
        <f>'PLANILHA ORCAMENTARIA'!#REF!</f>
        <v>#REF!</v>
      </c>
      <c r="G288" s="75" t="e">
        <f>'PLANILHA ORCAMENTARIA'!#REF!</f>
        <v>#REF!</v>
      </c>
      <c r="H288" s="75" t="e">
        <f>'PLANILHA ORCAMENTARIA'!#REF!</f>
        <v>#REF!</v>
      </c>
      <c r="I288" s="75" t="e">
        <f>ROUND('PLANILHA ORCAMENTARIA'!#REF!,2)</f>
        <v>#REF!</v>
      </c>
      <c r="J288" s="75" t="e">
        <f>ROUND('PLANILHA ORCAMENTARIA'!#REF!,2)</f>
        <v>#REF!</v>
      </c>
    </row>
    <row r="289" spans="1:10" ht="30" x14ac:dyDescent="0.25">
      <c r="A289" s="44" t="s">
        <v>867</v>
      </c>
      <c r="B289" s="44" t="s">
        <v>705</v>
      </c>
      <c r="C289" s="102" t="s">
        <v>4186</v>
      </c>
      <c r="D289" s="63" t="s">
        <v>869</v>
      </c>
      <c r="E289" s="44" t="s">
        <v>68</v>
      </c>
      <c r="F289" s="70" t="e">
        <f>'PLANILHA ORCAMENTARIA'!#REF!</f>
        <v>#REF!</v>
      </c>
      <c r="G289" s="75" t="e">
        <f>'PLANILHA ORCAMENTARIA'!#REF!</f>
        <v>#REF!</v>
      </c>
      <c r="H289" s="75" t="e">
        <f>'PLANILHA ORCAMENTARIA'!#REF!</f>
        <v>#REF!</v>
      </c>
      <c r="I289" s="75" t="e">
        <f>ROUND('PLANILHA ORCAMENTARIA'!#REF!,2)</f>
        <v>#REF!</v>
      </c>
      <c r="J289" s="75" t="e">
        <f>ROUND('PLANILHA ORCAMENTARIA'!#REF!,2)</f>
        <v>#REF!</v>
      </c>
    </row>
    <row r="290" spans="1:10" x14ac:dyDescent="0.25">
      <c r="A290" s="44" t="s">
        <v>870</v>
      </c>
      <c r="B290" s="44" t="s">
        <v>813</v>
      </c>
      <c r="C290" s="102" t="s">
        <v>4187</v>
      </c>
      <c r="D290" s="63" t="s">
        <v>872</v>
      </c>
      <c r="E290" s="44" t="s">
        <v>226</v>
      </c>
      <c r="F290" s="70" t="e">
        <f>'PLANILHA ORCAMENTARIA'!#REF!</f>
        <v>#REF!</v>
      </c>
      <c r="G290" s="75" t="e">
        <f>'PLANILHA ORCAMENTARIA'!#REF!</f>
        <v>#REF!</v>
      </c>
      <c r="H290" s="75" t="e">
        <f>'PLANILHA ORCAMENTARIA'!#REF!</f>
        <v>#REF!</v>
      </c>
      <c r="I290" s="75" t="e">
        <f>ROUND('PLANILHA ORCAMENTARIA'!#REF!,2)</f>
        <v>#REF!</v>
      </c>
      <c r="J290" s="75" t="e">
        <f>ROUND('PLANILHA ORCAMENTARIA'!#REF!,2)</f>
        <v>#REF!</v>
      </c>
    </row>
    <row r="291" spans="1:10" x14ac:dyDescent="0.25">
      <c r="A291" s="44" t="s">
        <v>873</v>
      </c>
      <c r="B291" s="44" t="s">
        <v>813</v>
      </c>
      <c r="C291" s="102" t="s">
        <v>4188</v>
      </c>
      <c r="D291" s="63" t="s">
        <v>875</v>
      </c>
      <c r="E291" s="44" t="s">
        <v>226</v>
      </c>
      <c r="F291" s="70" t="e">
        <f>'PLANILHA ORCAMENTARIA'!#REF!</f>
        <v>#REF!</v>
      </c>
      <c r="G291" s="75" t="e">
        <f>'PLANILHA ORCAMENTARIA'!#REF!</f>
        <v>#REF!</v>
      </c>
      <c r="H291" s="75" t="e">
        <f>'PLANILHA ORCAMENTARIA'!#REF!</f>
        <v>#REF!</v>
      </c>
      <c r="I291" s="75" t="e">
        <f>ROUND('PLANILHA ORCAMENTARIA'!#REF!,2)</f>
        <v>#REF!</v>
      </c>
      <c r="J291" s="75" t="e">
        <f>ROUND('PLANILHA ORCAMENTARIA'!#REF!,2)</f>
        <v>#REF!</v>
      </c>
    </row>
    <row r="292" spans="1:10" x14ac:dyDescent="0.25">
      <c r="A292" s="44" t="s">
        <v>876</v>
      </c>
      <c r="B292" s="44" t="s">
        <v>813</v>
      </c>
      <c r="C292" s="102" t="s">
        <v>4189</v>
      </c>
      <c r="D292" s="63" t="s">
        <v>878</v>
      </c>
      <c r="E292" s="44" t="s">
        <v>226</v>
      </c>
      <c r="F292" s="70" t="e">
        <f>'PLANILHA ORCAMENTARIA'!#REF!</f>
        <v>#REF!</v>
      </c>
      <c r="G292" s="75" t="e">
        <f>'PLANILHA ORCAMENTARIA'!#REF!</f>
        <v>#REF!</v>
      </c>
      <c r="H292" s="75" t="e">
        <f>'PLANILHA ORCAMENTARIA'!#REF!</f>
        <v>#REF!</v>
      </c>
      <c r="I292" s="75" t="e">
        <f>ROUND('PLANILHA ORCAMENTARIA'!#REF!,2)</f>
        <v>#REF!</v>
      </c>
      <c r="J292" s="75" t="e">
        <f>ROUND('PLANILHA ORCAMENTARIA'!#REF!,2)</f>
        <v>#REF!</v>
      </c>
    </row>
    <row r="293" spans="1:10" ht="30" x14ac:dyDescent="0.25">
      <c r="A293" s="44" t="s">
        <v>879</v>
      </c>
      <c r="B293" s="44" t="s">
        <v>813</v>
      </c>
      <c r="C293" s="102" t="s">
        <v>4190</v>
      </c>
      <c r="D293" s="63" t="s">
        <v>881</v>
      </c>
      <c r="E293" s="44" t="s">
        <v>68</v>
      </c>
      <c r="F293" s="70" t="e">
        <f>'PLANILHA ORCAMENTARIA'!#REF!</f>
        <v>#REF!</v>
      </c>
      <c r="G293" s="75" t="e">
        <f>'PLANILHA ORCAMENTARIA'!#REF!</f>
        <v>#REF!</v>
      </c>
      <c r="H293" s="75" t="e">
        <f>'PLANILHA ORCAMENTARIA'!#REF!</f>
        <v>#REF!</v>
      </c>
      <c r="I293" s="75" t="e">
        <f>ROUND('PLANILHA ORCAMENTARIA'!#REF!,2)</f>
        <v>#REF!</v>
      </c>
      <c r="J293" s="75" t="e">
        <f>ROUND('PLANILHA ORCAMENTARIA'!#REF!,2)</f>
        <v>#REF!</v>
      </c>
    </row>
    <row r="294" spans="1:10" x14ac:dyDescent="0.25">
      <c r="A294" s="44" t="s">
        <v>882</v>
      </c>
      <c r="B294" s="44" t="s">
        <v>705</v>
      </c>
      <c r="C294" s="102" t="s">
        <v>4191</v>
      </c>
      <c r="D294" s="63" t="s">
        <v>884</v>
      </c>
      <c r="E294" s="44" t="s">
        <v>68</v>
      </c>
      <c r="F294" s="70" t="e">
        <f>'PLANILHA ORCAMENTARIA'!#REF!</f>
        <v>#REF!</v>
      </c>
      <c r="G294" s="75" t="e">
        <f>'PLANILHA ORCAMENTARIA'!#REF!</f>
        <v>#REF!</v>
      </c>
      <c r="H294" s="75" t="e">
        <f>'PLANILHA ORCAMENTARIA'!#REF!</f>
        <v>#REF!</v>
      </c>
      <c r="I294" s="75" t="e">
        <f>ROUND('PLANILHA ORCAMENTARIA'!#REF!,2)</f>
        <v>#REF!</v>
      </c>
      <c r="J294" s="75" t="e">
        <f>ROUND('PLANILHA ORCAMENTARIA'!#REF!,2)</f>
        <v>#REF!</v>
      </c>
    </row>
    <row r="295" spans="1:10" ht="30" x14ac:dyDescent="0.25">
      <c r="A295" s="44" t="s">
        <v>885</v>
      </c>
      <c r="B295" s="44" t="s">
        <v>813</v>
      </c>
      <c r="C295" s="102" t="s">
        <v>4192</v>
      </c>
      <c r="D295" s="63" t="s">
        <v>887</v>
      </c>
      <c r="E295" s="44" t="s">
        <v>226</v>
      </c>
      <c r="F295" s="70" t="e">
        <f>'PLANILHA ORCAMENTARIA'!#REF!</f>
        <v>#REF!</v>
      </c>
      <c r="G295" s="75" t="e">
        <f>'PLANILHA ORCAMENTARIA'!#REF!</f>
        <v>#REF!</v>
      </c>
      <c r="H295" s="75" t="e">
        <f>'PLANILHA ORCAMENTARIA'!#REF!</f>
        <v>#REF!</v>
      </c>
      <c r="I295" s="75" t="e">
        <f>ROUND('PLANILHA ORCAMENTARIA'!#REF!,2)</f>
        <v>#REF!</v>
      </c>
      <c r="J295" s="75" t="e">
        <f>ROUND('PLANILHA ORCAMENTARIA'!#REF!,2)</f>
        <v>#REF!</v>
      </c>
    </row>
    <row r="296" spans="1:10" ht="30" x14ac:dyDescent="0.25">
      <c r="A296" s="44" t="s">
        <v>888</v>
      </c>
      <c r="B296" s="44" t="s">
        <v>813</v>
      </c>
      <c r="C296" s="102" t="s">
        <v>4193</v>
      </c>
      <c r="D296" s="63" t="s">
        <v>890</v>
      </c>
      <c r="E296" s="44" t="s">
        <v>226</v>
      </c>
      <c r="F296" s="70" t="e">
        <f>'PLANILHA ORCAMENTARIA'!#REF!</f>
        <v>#REF!</v>
      </c>
      <c r="G296" s="75" t="e">
        <f>'PLANILHA ORCAMENTARIA'!#REF!</f>
        <v>#REF!</v>
      </c>
      <c r="H296" s="75" t="e">
        <f>'PLANILHA ORCAMENTARIA'!#REF!</f>
        <v>#REF!</v>
      </c>
      <c r="I296" s="75" t="e">
        <f>ROUND('PLANILHA ORCAMENTARIA'!#REF!,2)</f>
        <v>#REF!</v>
      </c>
      <c r="J296" s="75" t="e">
        <f>ROUND('PLANILHA ORCAMENTARIA'!#REF!,2)</f>
        <v>#REF!</v>
      </c>
    </row>
    <row r="297" spans="1:10" ht="30" x14ac:dyDescent="0.25">
      <c r="A297" s="44" t="s">
        <v>891</v>
      </c>
      <c r="B297" s="44" t="s">
        <v>813</v>
      </c>
      <c r="C297" s="102" t="s">
        <v>4194</v>
      </c>
      <c r="D297" s="63" t="s">
        <v>893</v>
      </c>
      <c r="E297" s="44" t="s">
        <v>226</v>
      </c>
      <c r="F297" s="70" t="e">
        <f>'PLANILHA ORCAMENTARIA'!#REF!</f>
        <v>#REF!</v>
      </c>
      <c r="G297" s="75" t="e">
        <f>'PLANILHA ORCAMENTARIA'!#REF!</f>
        <v>#REF!</v>
      </c>
      <c r="H297" s="75" t="e">
        <f>'PLANILHA ORCAMENTARIA'!#REF!</f>
        <v>#REF!</v>
      </c>
      <c r="I297" s="75" t="e">
        <f>ROUND('PLANILHA ORCAMENTARIA'!#REF!,2)</f>
        <v>#REF!</v>
      </c>
      <c r="J297" s="75" t="e">
        <f>ROUND('PLANILHA ORCAMENTARIA'!#REF!,2)</f>
        <v>#REF!</v>
      </c>
    </row>
    <row r="298" spans="1:10" x14ac:dyDescent="0.25">
      <c r="A298" s="66" t="s">
        <v>3997</v>
      </c>
      <c r="B298" s="66"/>
      <c r="C298" s="103"/>
      <c r="D298" s="64" t="s">
        <v>4181</v>
      </c>
      <c r="E298" s="66"/>
      <c r="F298" s="71"/>
      <c r="G298" s="76"/>
      <c r="H298" s="76"/>
      <c r="I298" s="76" t="e">
        <f>ROUND(SUM(I285:I297),2)</f>
        <v>#REF!</v>
      </c>
      <c r="J298" s="76" t="e">
        <f>ROUND(SUM(J285:J297),2)</f>
        <v>#REF!</v>
      </c>
    </row>
    <row r="299" spans="1:10" x14ac:dyDescent="0.25">
      <c r="A299" s="58" t="s">
        <v>4195</v>
      </c>
      <c r="B299" s="58"/>
      <c r="C299" s="101"/>
      <c r="D299" s="62"/>
      <c r="E299" s="58"/>
      <c r="F299" s="69"/>
      <c r="G299" s="74"/>
      <c r="H299" s="74"/>
      <c r="I299" s="74" t="s">
        <v>3997</v>
      </c>
      <c r="J299" s="74" t="e">
        <f>J315</f>
        <v>#REF!</v>
      </c>
    </row>
    <row r="300" spans="1:10" ht="60" x14ac:dyDescent="0.25">
      <c r="A300" s="44" t="s">
        <v>895</v>
      </c>
      <c r="B300" s="44" t="s">
        <v>813</v>
      </c>
      <c r="C300" s="102" t="s">
        <v>4196</v>
      </c>
      <c r="D300" s="63" t="s">
        <v>897</v>
      </c>
      <c r="E300" s="44" t="s">
        <v>226</v>
      </c>
      <c r="F300" s="70" t="e">
        <f>'PLANILHA ORCAMENTARIA'!#REF!</f>
        <v>#REF!</v>
      </c>
      <c r="G300" s="75" t="e">
        <f>'PLANILHA ORCAMENTARIA'!#REF!</f>
        <v>#REF!</v>
      </c>
      <c r="H300" s="75" t="e">
        <f>'PLANILHA ORCAMENTARIA'!#REF!</f>
        <v>#REF!</v>
      </c>
      <c r="I300" s="75" t="e">
        <f>ROUND('PLANILHA ORCAMENTARIA'!#REF!,2)</f>
        <v>#REF!</v>
      </c>
      <c r="J300" s="75" t="e">
        <f>ROUND('PLANILHA ORCAMENTARIA'!#REF!,2)</f>
        <v>#REF!</v>
      </c>
    </row>
    <row r="301" spans="1:10" ht="30" x14ac:dyDescent="0.25">
      <c r="A301" s="44" t="s">
        <v>898</v>
      </c>
      <c r="B301" s="44" t="s">
        <v>705</v>
      </c>
      <c r="C301" s="102" t="s">
        <v>4197</v>
      </c>
      <c r="D301" s="63" t="s">
        <v>527</v>
      </c>
      <c r="E301" s="44" t="s">
        <v>72</v>
      </c>
      <c r="F301" s="70" t="e">
        <f>'PLANILHA ORCAMENTARIA'!#REF!</f>
        <v>#REF!</v>
      </c>
      <c r="G301" s="75" t="e">
        <f>'PLANILHA ORCAMENTARIA'!#REF!</f>
        <v>#REF!</v>
      </c>
      <c r="H301" s="75" t="e">
        <f>'PLANILHA ORCAMENTARIA'!#REF!</f>
        <v>#REF!</v>
      </c>
      <c r="I301" s="75" t="e">
        <f>ROUND('PLANILHA ORCAMENTARIA'!#REF!,2)</f>
        <v>#REF!</v>
      </c>
      <c r="J301" s="75" t="e">
        <f>ROUND('PLANILHA ORCAMENTARIA'!#REF!,2)</f>
        <v>#REF!</v>
      </c>
    </row>
    <row r="302" spans="1:10" ht="30" x14ac:dyDescent="0.25">
      <c r="A302" s="44" t="s">
        <v>900</v>
      </c>
      <c r="B302" s="44" t="s">
        <v>82</v>
      </c>
      <c r="C302" s="102" t="s">
        <v>4185</v>
      </c>
      <c r="D302" s="63" t="s">
        <v>866</v>
      </c>
      <c r="E302" s="44" t="s">
        <v>188</v>
      </c>
      <c r="F302" s="70" t="e">
        <f>'PLANILHA ORCAMENTARIA'!#REF!</f>
        <v>#REF!</v>
      </c>
      <c r="G302" s="75" t="e">
        <f>'PLANILHA ORCAMENTARIA'!#REF!</f>
        <v>#REF!</v>
      </c>
      <c r="H302" s="75" t="e">
        <f>'PLANILHA ORCAMENTARIA'!#REF!</f>
        <v>#REF!</v>
      </c>
      <c r="I302" s="75" t="e">
        <f>ROUND('PLANILHA ORCAMENTARIA'!#REF!,2)</f>
        <v>#REF!</v>
      </c>
      <c r="J302" s="75" t="e">
        <f>ROUND('PLANILHA ORCAMENTARIA'!#REF!,2)</f>
        <v>#REF!</v>
      </c>
    </row>
    <row r="303" spans="1:10" ht="30" x14ac:dyDescent="0.25">
      <c r="A303" s="44" t="s">
        <v>901</v>
      </c>
      <c r="B303" s="44" t="s">
        <v>82</v>
      </c>
      <c r="C303" s="102" t="s">
        <v>4182</v>
      </c>
      <c r="D303" s="63" t="s">
        <v>859</v>
      </c>
      <c r="E303" s="44" t="s">
        <v>226</v>
      </c>
      <c r="F303" s="70" t="e">
        <f>'PLANILHA ORCAMENTARIA'!#REF!</f>
        <v>#REF!</v>
      </c>
      <c r="G303" s="75" t="e">
        <f>'PLANILHA ORCAMENTARIA'!#REF!</f>
        <v>#REF!</v>
      </c>
      <c r="H303" s="75" t="e">
        <f>'PLANILHA ORCAMENTARIA'!#REF!</f>
        <v>#REF!</v>
      </c>
      <c r="I303" s="75" t="e">
        <f>ROUND('PLANILHA ORCAMENTARIA'!#REF!,2)</f>
        <v>#REF!</v>
      </c>
      <c r="J303" s="75" t="e">
        <f>ROUND('PLANILHA ORCAMENTARIA'!#REF!,2)</f>
        <v>#REF!</v>
      </c>
    </row>
    <row r="304" spans="1:10" ht="30" x14ac:dyDescent="0.25">
      <c r="A304" s="44" t="s">
        <v>902</v>
      </c>
      <c r="B304" s="44" t="s">
        <v>82</v>
      </c>
      <c r="C304" s="102" t="s">
        <v>4198</v>
      </c>
      <c r="D304" s="63" t="s">
        <v>904</v>
      </c>
      <c r="E304" s="44" t="s">
        <v>188</v>
      </c>
      <c r="F304" s="70" t="e">
        <f>'PLANILHA ORCAMENTARIA'!#REF!</f>
        <v>#REF!</v>
      </c>
      <c r="G304" s="75" t="e">
        <f>'PLANILHA ORCAMENTARIA'!#REF!</f>
        <v>#REF!</v>
      </c>
      <c r="H304" s="75" t="e">
        <f>'PLANILHA ORCAMENTARIA'!#REF!</f>
        <v>#REF!</v>
      </c>
      <c r="I304" s="75" t="e">
        <f>ROUND('PLANILHA ORCAMENTARIA'!#REF!,2)</f>
        <v>#REF!</v>
      </c>
      <c r="J304" s="75" t="e">
        <f>ROUND('PLANILHA ORCAMENTARIA'!#REF!,2)</f>
        <v>#REF!</v>
      </c>
    </row>
    <row r="305" spans="1:10" ht="30" x14ac:dyDescent="0.25">
      <c r="A305" s="44" t="s">
        <v>905</v>
      </c>
      <c r="B305" s="44" t="s">
        <v>82</v>
      </c>
      <c r="C305" s="102" t="s">
        <v>4199</v>
      </c>
      <c r="D305" s="63" t="s">
        <v>907</v>
      </c>
      <c r="E305" s="44" t="s">
        <v>188</v>
      </c>
      <c r="F305" s="70" t="e">
        <f>'PLANILHA ORCAMENTARIA'!#REF!</f>
        <v>#REF!</v>
      </c>
      <c r="G305" s="75" t="e">
        <f>'PLANILHA ORCAMENTARIA'!#REF!</f>
        <v>#REF!</v>
      </c>
      <c r="H305" s="75" t="e">
        <f>'PLANILHA ORCAMENTARIA'!#REF!</f>
        <v>#REF!</v>
      </c>
      <c r="I305" s="75" t="e">
        <f>ROUND('PLANILHA ORCAMENTARIA'!#REF!,2)</f>
        <v>#REF!</v>
      </c>
      <c r="J305" s="75" t="e">
        <f>ROUND('PLANILHA ORCAMENTARIA'!#REF!,2)</f>
        <v>#REF!</v>
      </c>
    </row>
    <row r="306" spans="1:10" ht="75" x14ac:dyDescent="0.25">
      <c r="A306" s="44" t="s">
        <v>908</v>
      </c>
      <c r="B306" s="44" t="s">
        <v>813</v>
      </c>
      <c r="C306" s="102" t="s">
        <v>4200</v>
      </c>
      <c r="D306" s="63" t="s">
        <v>910</v>
      </c>
      <c r="E306" s="44" t="s">
        <v>579</v>
      </c>
      <c r="F306" s="70" t="e">
        <f>'PLANILHA ORCAMENTARIA'!#REF!</f>
        <v>#REF!</v>
      </c>
      <c r="G306" s="75" t="e">
        <f>'PLANILHA ORCAMENTARIA'!#REF!</f>
        <v>#REF!</v>
      </c>
      <c r="H306" s="75" t="e">
        <f>'PLANILHA ORCAMENTARIA'!#REF!</f>
        <v>#REF!</v>
      </c>
      <c r="I306" s="75" t="e">
        <f>ROUND('PLANILHA ORCAMENTARIA'!#REF!,2)</f>
        <v>#REF!</v>
      </c>
      <c r="J306" s="75" t="e">
        <f>ROUND('PLANILHA ORCAMENTARIA'!#REF!,2)</f>
        <v>#REF!</v>
      </c>
    </row>
    <row r="307" spans="1:10" x14ac:dyDescent="0.25">
      <c r="A307" s="44" t="s">
        <v>911</v>
      </c>
      <c r="B307" s="44" t="s">
        <v>813</v>
      </c>
      <c r="C307" s="102" t="s">
        <v>4201</v>
      </c>
      <c r="D307" s="63" t="s">
        <v>913</v>
      </c>
      <c r="E307" s="44" t="s">
        <v>226</v>
      </c>
      <c r="F307" s="70" t="e">
        <f>'PLANILHA ORCAMENTARIA'!#REF!</f>
        <v>#REF!</v>
      </c>
      <c r="G307" s="75" t="e">
        <f>'PLANILHA ORCAMENTARIA'!#REF!</f>
        <v>#REF!</v>
      </c>
      <c r="H307" s="75" t="e">
        <f>'PLANILHA ORCAMENTARIA'!#REF!</f>
        <v>#REF!</v>
      </c>
      <c r="I307" s="75" t="e">
        <f>ROUND('PLANILHA ORCAMENTARIA'!#REF!,2)</f>
        <v>#REF!</v>
      </c>
      <c r="J307" s="75" t="e">
        <f>ROUND('PLANILHA ORCAMENTARIA'!#REF!,2)</f>
        <v>#REF!</v>
      </c>
    </row>
    <row r="308" spans="1:10" ht="45" x14ac:dyDescent="0.25">
      <c r="A308" s="44" t="s">
        <v>914</v>
      </c>
      <c r="B308" s="44" t="s">
        <v>82</v>
      </c>
      <c r="C308" s="102" t="s">
        <v>4202</v>
      </c>
      <c r="D308" s="63" t="s">
        <v>916</v>
      </c>
      <c r="E308" s="44" t="s">
        <v>226</v>
      </c>
      <c r="F308" s="70" t="e">
        <f>'PLANILHA ORCAMENTARIA'!#REF!</f>
        <v>#REF!</v>
      </c>
      <c r="G308" s="75" t="e">
        <f>'PLANILHA ORCAMENTARIA'!#REF!</f>
        <v>#REF!</v>
      </c>
      <c r="H308" s="75" t="e">
        <f>'PLANILHA ORCAMENTARIA'!#REF!</f>
        <v>#REF!</v>
      </c>
      <c r="I308" s="75" t="e">
        <f>ROUND('PLANILHA ORCAMENTARIA'!#REF!,2)</f>
        <v>#REF!</v>
      </c>
      <c r="J308" s="75" t="e">
        <f>ROUND('PLANILHA ORCAMENTARIA'!#REF!,2)</f>
        <v>#REF!</v>
      </c>
    </row>
    <row r="309" spans="1:10" ht="30" x14ac:dyDescent="0.25">
      <c r="A309" s="44" t="s">
        <v>917</v>
      </c>
      <c r="B309" s="44" t="s">
        <v>82</v>
      </c>
      <c r="C309" s="102" t="s">
        <v>4203</v>
      </c>
      <c r="D309" s="63" t="s">
        <v>587</v>
      </c>
      <c r="E309" s="44" t="s">
        <v>226</v>
      </c>
      <c r="F309" s="70" t="e">
        <f>'PLANILHA ORCAMENTARIA'!#REF!</f>
        <v>#REF!</v>
      </c>
      <c r="G309" s="75" t="e">
        <f>'PLANILHA ORCAMENTARIA'!#REF!</f>
        <v>#REF!</v>
      </c>
      <c r="H309" s="75" t="e">
        <f>'PLANILHA ORCAMENTARIA'!#REF!</f>
        <v>#REF!</v>
      </c>
      <c r="I309" s="75" t="e">
        <f>ROUND('PLANILHA ORCAMENTARIA'!#REF!,2)</f>
        <v>#REF!</v>
      </c>
      <c r="J309" s="75" t="e">
        <f>ROUND('PLANILHA ORCAMENTARIA'!#REF!,2)</f>
        <v>#REF!</v>
      </c>
    </row>
    <row r="310" spans="1:10" ht="30" x14ac:dyDescent="0.25">
      <c r="A310" s="44" t="s">
        <v>919</v>
      </c>
      <c r="B310" s="44" t="s">
        <v>813</v>
      </c>
      <c r="C310" s="102" t="s">
        <v>4204</v>
      </c>
      <c r="D310" s="63" t="s">
        <v>921</v>
      </c>
      <c r="E310" s="44" t="s">
        <v>226</v>
      </c>
      <c r="F310" s="70" t="e">
        <f>'PLANILHA ORCAMENTARIA'!#REF!</f>
        <v>#REF!</v>
      </c>
      <c r="G310" s="75" t="e">
        <f>'PLANILHA ORCAMENTARIA'!#REF!</f>
        <v>#REF!</v>
      </c>
      <c r="H310" s="75" t="e">
        <f>'PLANILHA ORCAMENTARIA'!#REF!</f>
        <v>#REF!</v>
      </c>
      <c r="I310" s="75" t="e">
        <f>ROUND('PLANILHA ORCAMENTARIA'!#REF!,2)</f>
        <v>#REF!</v>
      </c>
      <c r="J310" s="75" t="e">
        <f>ROUND('PLANILHA ORCAMENTARIA'!#REF!,2)</f>
        <v>#REF!</v>
      </c>
    </row>
    <row r="311" spans="1:10" ht="45" x14ac:dyDescent="0.25">
      <c r="A311" s="44" t="s">
        <v>922</v>
      </c>
      <c r="B311" s="44" t="s">
        <v>813</v>
      </c>
      <c r="C311" s="102" t="s">
        <v>4205</v>
      </c>
      <c r="D311" s="63" t="s">
        <v>924</v>
      </c>
      <c r="E311" s="44" t="s">
        <v>226</v>
      </c>
      <c r="F311" s="70" t="e">
        <f>'PLANILHA ORCAMENTARIA'!#REF!</f>
        <v>#REF!</v>
      </c>
      <c r="G311" s="75" t="e">
        <f>'PLANILHA ORCAMENTARIA'!#REF!</f>
        <v>#REF!</v>
      </c>
      <c r="H311" s="75" t="e">
        <f>'PLANILHA ORCAMENTARIA'!#REF!</f>
        <v>#REF!</v>
      </c>
      <c r="I311" s="75" t="e">
        <f>ROUND('PLANILHA ORCAMENTARIA'!#REF!,2)</f>
        <v>#REF!</v>
      </c>
      <c r="J311" s="75" t="e">
        <f>ROUND('PLANILHA ORCAMENTARIA'!#REF!,2)</f>
        <v>#REF!</v>
      </c>
    </row>
    <row r="312" spans="1:10" x14ac:dyDescent="0.25">
      <c r="A312" s="44" t="s">
        <v>925</v>
      </c>
      <c r="B312" s="44" t="s">
        <v>813</v>
      </c>
      <c r="C312" s="102" t="s">
        <v>4206</v>
      </c>
      <c r="D312" s="63" t="s">
        <v>927</v>
      </c>
      <c r="E312" s="44" t="s">
        <v>579</v>
      </c>
      <c r="F312" s="70" t="e">
        <f>'PLANILHA ORCAMENTARIA'!#REF!</f>
        <v>#REF!</v>
      </c>
      <c r="G312" s="75" t="e">
        <f>'PLANILHA ORCAMENTARIA'!#REF!</f>
        <v>#REF!</v>
      </c>
      <c r="H312" s="75" t="e">
        <f>'PLANILHA ORCAMENTARIA'!#REF!</f>
        <v>#REF!</v>
      </c>
      <c r="I312" s="75" t="e">
        <f>ROUND('PLANILHA ORCAMENTARIA'!#REF!,2)</f>
        <v>#REF!</v>
      </c>
      <c r="J312" s="75" t="e">
        <f>ROUND('PLANILHA ORCAMENTARIA'!#REF!,2)</f>
        <v>#REF!</v>
      </c>
    </row>
    <row r="313" spans="1:10" ht="45" x14ac:dyDescent="0.25">
      <c r="A313" s="44" t="s">
        <v>928</v>
      </c>
      <c r="B313" s="44" t="s">
        <v>813</v>
      </c>
      <c r="C313" s="102" t="s">
        <v>4207</v>
      </c>
      <c r="D313" s="63" t="s">
        <v>930</v>
      </c>
      <c r="E313" s="44" t="s">
        <v>226</v>
      </c>
      <c r="F313" s="70" t="e">
        <f>'PLANILHA ORCAMENTARIA'!#REF!</f>
        <v>#REF!</v>
      </c>
      <c r="G313" s="75" t="e">
        <f>'PLANILHA ORCAMENTARIA'!#REF!</f>
        <v>#REF!</v>
      </c>
      <c r="H313" s="75" t="e">
        <f>'PLANILHA ORCAMENTARIA'!#REF!</f>
        <v>#REF!</v>
      </c>
      <c r="I313" s="75" t="e">
        <f>ROUND('PLANILHA ORCAMENTARIA'!#REF!,2)</f>
        <v>#REF!</v>
      </c>
      <c r="J313" s="75" t="e">
        <f>ROUND('PLANILHA ORCAMENTARIA'!#REF!,2)</f>
        <v>#REF!</v>
      </c>
    </row>
    <row r="314" spans="1:10" ht="30" x14ac:dyDescent="0.25">
      <c r="A314" s="44" t="s">
        <v>931</v>
      </c>
      <c r="B314" s="44" t="s">
        <v>813</v>
      </c>
      <c r="C314" s="102" t="s">
        <v>4208</v>
      </c>
      <c r="D314" s="63" t="s">
        <v>933</v>
      </c>
      <c r="E314" s="44" t="s">
        <v>226</v>
      </c>
      <c r="F314" s="70" t="e">
        <f>'PLANILHA ORCAMENTARIA'!#REF!</f>
        <v>#REF!</v>
      </c>
      <c r="G314" s="75" t="e">
        <f>'PLANILHA ORCAMENTARIA'!#REF!</f>
        <v>#REF!</v>
      </c>
      <c r="H314" s="75" t="e">
        <f>'PLANILHA ORCAMENTARIA'!#REF!</f>
        <v>#REF!</v>
      </c>
      <c r="I314" s="75" t="e">
        <f>ROUND('PLANILHA ORCAMENTARIA'!#REF!,2)</f>
        <v>#REF!</v>
      </c>
      <c r="J314" s="75" t="e">
        <f>ROUND('PLANILHA ORCAMENTARIA'!#REF!,2)</f>
        <v>#REF!</v>
      </c>
    </row>
    <row r="315" spans="1:10" x14ac:dyDescent="0.25">
      <c r="A315" s="66" t="s">
        <v>3997</v>
      </c>
      <c r="B315" s="66"/>
      <c r="C315" s="103"/>
      <c r="D315" s="64" t="s">
        <v>4195</v>
      </c>
      <c r="E315" s="66"/>
      <c r="F315" s="71"/>
      <c r="G315" s="76"/>
      <c r="H315" s="76"/>
      <c r="I315" s="76" t="e">
        <f>ROUND(SUM(I300:I314),2)</f>
        <v>#REF!</v>
      </c>
      <c r="J315" s="76" t="e">
        <f>ROUND(SUM(J300:J314),2)</f>
        <v>#REF!</v>
      </c>
    </row>
    <row r="316" spans="1:10" x14ac:dyDescent="0.25">
      <c r="A316" s="58" t="s">
        <v>4209</v>
      </c>
      <c r="B316" s="58"/>
      <c r="C316" s="101"/>
      <c r="D316" s="62"/>
      <c r="E316" s="58"/>
      <c r="F316" s="69"/>
      <c r="G316" s="74"/>
      <c r="H316" s="74"/>
      <c r="I316" s="74" t="s">
        <v>3997</v>
      </c>
      <c r="J316" s="74" t="e">
        <f>J322</f>
        <v>#REF!</v>
      </c>
    </row>
    <row r="317" spans="1:10" ht="75" x14ac:dyDescent="0.25">
      <c r="A317" s="44" t="s">
        <v>934</v>
      </c>
      <c r="B317" s="44" t="s">
        <v>705</v>
      </c>
      <c r="C317" s="102" t="s">
        <v>4210</v>
      </c>
      <c r="D317" s="63" t="s">
        <v>936</v>
      </c>
      <c r="E317" s="44" t="s">
        <v>72</v>
      </c>
      <c r="F317" s="70" t="e">
        <f>'PLANILHA ORCAMENTARIA'!#REF!</f>
        <v>#REF!</v>
      </c>
      <c r="G317" s="75" t="e">
        <f>'PLANILHA ORCAMENTARIA'!#REF!</f>
        <v>#REF!</v>
      </c>
      <c r="H317" s="75" t="e">
        <f>'PLANILHA ORCAMENTARIA'!#REF!</f>
        <v>#REF!</v>
      </c>
      <c r="I317" s="75" t="e">
        <f>ROUND('PLANILHA ORCAMENTARIA'!#REF!,2)</f>
        <v>#REF!</v>
      </c>
      <c r="J317" s="75" t="e">
        <f>ROUND('PLANILHA ORCAMENTARIA'!#REF!,2)</f>
        <v>#REF!</v>
      </c>
    </row>
    <row r="318" spans="1:10" ht="75" x14ac:dyDescent="0.25">
      <c r="A318" s="44" t="s">
        <v>937</v>
      </c>
      <c r="B318" s="44" t="s">
        <v>705</v>
      </c>
      <c r="C318" s="102" t="s">
        <v>4211</v>
      </c>
      <c r="D318" s="63" t="s">
        <v>939</v>
      </c>
      <c r="E318" s="44" t="s">
        <v>72</v>
      </c>
      <c r="F318" s="70" t="e">
        <f>'PLANILHA ORCAMENTARIA'!#REF!</f>
        <v>#REF!</v>
      </c>
      <c r="G318" s="75" t="e">
        <f>'PLANILHA ORCAMENTARIA'!#REF!</f>
        <v>#REF!</v>
      </c>
      <c r="H318" s="75" t="e">
        <f>'PLANILHA ORCAMENTARIA'!#REF!</f>
        <v>#REF!</v>
      </c>
      <c r="I318" s="75" t="e">
        <f>ROUND('PLANILHA ORCAMENTARIA'!#REF!,2)</f>
        <v>#REF!</v>
      </c>
      <c r="J318" s="75" t="e">
        <f>ROUND('PLANILHA ORCAMENTARIA'!#REF!,2)</f>
        <v>#REF!</v>
      </c>
    </row>
    <row r="319" spans="1:10" ht="75" x14ac:dyDescent="0.25">
      <c r="A319" s="44" t="s">
        <v>940</v>
      </c>
      <c r="B319" s="44" t="s">
        <v>705</v>
      </c>
      <c r="C319" s="102" t="s">
        <v>4212</v>
      </c>
      <c r="D319" s="63" t="s">
        <v>942</v>
      </c>
      <c r="E319" s="44" t="s">
        <v>72</v>
      </c>
      <c r="F319" s="70" t="e">
        <f>'PLANILHA ORCAMENTARIA'!#REF!</f>
        <v>#REF!</v>
      </c>
      <c r="G319" s="75" t="e">
        <f>'PLANILHA ORCAMENTARIA'!#REF!</f>
        <v>#REF!</v>
      </c>
      <c r="H319" s="75" t="e">
        <f>'PLANILHA ORCAMENTARIA'!#REF!</f>
        <v>#REF!</v>
      </c>
      <c r="I319" s="75" t="e">
        <f>ROUND('PLANILHA ORCAMENTARIA'!#REF!,2)</f>
        <v>#REF!</v>
      </c>
      <c r="J319" s="75" t="e">
        <f>ROUND('PLANILHA ORCAMENTARIA'!#REF!,2)</f>
        <v>#REF!</v>
      </c>
    </row>
    <row r="320" spans="1:10" x14ac:dyDescent="0.25">
      <c r="A320" s="44" t="s">
        <v>943</v>
      </c>
      <c r="B320" s="44" t="s">
        <v>705</v>
      </c>
      <c r="C320" s="102" t="s">
        <v>4213</v>
      </c>
      <c r="D320" s="63" t="s">
        <v>945</v>
      </c>
      <c r="E320" s="44" t="s">
        <v>786</v>
      </c>
      <c r="F320" s="70" t="e">
        <f>'PLANILHA ORCAMENTARIA'!#REF!</f>
        <v>#REF!</v>
      </c>
      <c r="G320" s="75" t="e">
        <f>'PLANILHA ORCAMENTARIA'!#REF!</f>
        <v>#REF!</v>
      </c>
      <c r="H320" s="75" t="e">
        <f>'PLANILHA ORCAMENTARIA'!#REF!</f>
        <v>#REF!</v>
      </c>
      <c r="I320" s="75" t="e">
        <f>ROUND('PLANILHA ORCAMENTARIA'!#REF!,2)</f>
        <v>#REF!</v>
      </c>
      <c r="J320" s="75" t="e">
        <f>ROUND('PLANILHA ORCAMENTARIA'!#REF!,2)</f>
        <v>#REF!</v>
      </c>
    </row>
    <row r="321" spans="1:10" ht="60" x14ac:dyDescent="0.25">
      <c r="A321" s="44" t="s">
        <v>946</v>
      </c>
      <c r="B321" s="44" t="s">
        <v>813</v>
      </c>
      <c r="C321" s="102" t="s">
        <v>4214</v>
      </c>
      <c r="D321" s="63" t="s">
        <v>948</v>
      </c>
      <c r="E321" s="44" t="s">
        <v>579</v>
      </c>
      <c r="F321" s="70" t="e">
        <f>'PLANILHA ORCAMENTARIA'!#REF!</f>
        <v>#REF!</v>
      </c>
      <c r="G321" s="75" t="e">
        <f>'PLANILHA ORCAMENTARIA'!#REF!</f>
        <v>#REF!</v>
      </c>
      <c r="H321" s="75" t="e">
        <f>'PLANILHA ORCAMENTARIA'!#REF!</f>
        <v>#REF!</v>
      </c>
      <c r="I321" s="75" t="e">
        <f>ROUND('PLANILHA ORCAMENTARIA'!#REF!,2)</f>
        <v>#REF!</v>
      </c>
      <c r="J321" s="75" t="e">
        <f>ROUND('PLANILHA ORCAMENTARIA'!#REF!,2)</f>
        <v>#REF!</v>
      </c>
    </row>
    <row r="322" spans="1:10" x14ac:dyDescent="0.25">
      <c r="A322" s="66" t="s">
        <v>3997</v>
      </c>
      <c r="B322" s="66"/>
      <c r="C322" s="103"/>
      <c r="D322" s="64" t="s">
        <v>4209</v>
      </c>
      <c r="E322" s="66"/>
      <c r="F322" s="71"/>
      <c r="G322" s="76"/>
      <c r="H322" s="76"/>
      <c r="I322" s="76" t="e">
        <f>ROUND(SUM(I317:I321),2)</f>
        <v>#REF!</v>
      </c>
      <c r="J322" s="76" t="e">
        <f>ROUND(SUM(J317:J321),2)</f>
        <v>#REF!</v>
      </c>
    </row>
    <row r="323" spans="1:10" x14ac:dyDescent="0.25">
      <c r="A323" s="58" t="s">
        <v>4215</v>
      </c>
      <c r="B323" s="58"/>
      <c r="C323" s="101"/>
      <c r="D323" s="62"/>
      <c r="E323" s="58"/>
      <c r="F323" s="69"/>
      <c r="G323" s="74"/>
      <c r="H323" s="74"/>
      <c r="I323" s="74" t="s">
        <v>3997</v>
      </c>
      <c r="J323" s="74" t="e">
        <f>J331</f>
        <v>#REF!</v>
      </c>
    </row>
    <row r="324" spans="1:10" ht="45" x14ac:dyDescent="0.25">
      <c r="A324" s="44" t="s">
        <v>949</v>
      </c>
      <c r="B324" s="44" t="s">
        <v>813</v>
      </c>
      <c r="C324" s="102" t="s">
        <v>4216</v>
      </c>
      <c r="D324" s="63" t="s">
        <v>951</v>
      </c>
      <c r="E324" s="44" t="s">
        <v>226</v>
      </c>
      <c r="F324" s="70" t="e">
        <f>'PLANILHA ORCAMENTARIA'!#REF!</f>
        <v>#REF!</v>
      </c>
      <c r="G324" s="75" t="e">
        <f>'PLANILHA ORCAMENTARIA'!#REF!</f>
        <v>#REF!</v>
      </c>
      <c r="H324" s="75" t="e">
        <f>'PLANILHA ORCAMENTARIA'!#REF!</f>
        <v>#REF!</v>
      </c>
      <c r="I324" s="75" t="e">
        <f>ROUND('PLANILHA ORCAMENTARIA'!#REF!,2)</f>
        <v>#REF!</v>
      </c>
      <c r="J324" s="75" t="e">
        <f>ROUND('PLANILHA ORCAMENTARIA'!#REF!,2)</f>
        <v>#REF!</v>
      </c>
    </row>
    <row r="325" spans="1:10" ht="30" x14ac:dyDescent="0.25">
      <c r="A325" s="44" t="s">
        <v>952</v>
      </c>
      <c r="B325" s="44" t="s">
        <v>813</v>
      </c>
      <c r="C325" s="102" t="s">
        <v>4217</v>
      </c>
      <c r="D325" s="63" t="s">
        <v>954</v>
      </c>
      <c r="E325" s="44" t="s">
        <v>226</v>
      </c>
      <c r="F325" s="70" t="e">
        <f>'PLANILHA ORCAMENTARIA'!#REF!</f>
        <v>#REF!</v>
      </c>
      <c r="G325" s="75" t="e">
        <f>'PLANILHA ORCAMENTARIA'!#REF!</f>
        <v>#REF!</v>
      </c>
      <c r="H325" s="75" t="e">
        <f>'PLANILHA ORCAMENTARIA'!#REF!</f>
        <v>#REF!</v>
      </c>
      <c r="I325" s="75" t="e">
        <f>ROUND('PLANILHA ORCAMENTARIA'!#REF!,2)</f>
        <v>#REF!</v>
      </c>
      <c r="J325" s="75" t="e">
        <f>ROUND('PLANILHA ORCAMENTARIA'!#REF!,2)</f>
        <v>#REF!</v>
      </c>
    </row>
    <row r="326" spans="1:10" ht="45" x14ac:dyDescent="0.25">
      <c r="A326" s="44" t="s">
        <v>955</v>
      </c>
      <c r="B326" s="44" t="s">
        <v>82</v>
      </c>
      <c r="C326" s="102" t="s">
        <v>4218</v>
      </c>
      <c r="D326" s="63" t="s">
        <v>957</v>
      </c>
      <c r="E326" s="44" t="s">
        <v>226</v>
      </c>
      <c r="F326" s="70" t="e">
        <f>'PLANILHA ORCAMENTARIA'!#REF!</f>
        <v>#REF!</v>
      </c>
      <c r="G326" s="75" t="e">
        <f>'PLANILHA ORCAMENTARIA'!#REF!</f>
        <v>#REF!</v>
      </c>
      <c r="H326" s="75" t="e">
        <f>'PLANILHA ORCAMENTARIA'!#REF!</f>
        <v>#REF!</v>
      </c>
      <c r="I326" s="75" t="e">
        <f>ROUND('PLANILHA ORCAMENTARIA'!#REF!,2)</f>
        <v>#REF!</v>
      </c>
      <c r="J326" s="75" t="e">
        <f>ROUND('PLANILHA ORCAMENTARIA'!#REF!,2)</f>
        <v>#REF!</v>
      </c>
    </row>
    <row r="327" spans="1:10" ht="60" x14ac:dyDescent="0.25">
      <c r="A327" s="44" t="s">
        <v>958</v>
      </c>
      <c r="B327" s="44" t="s">
        <v>82</v>
      </c>
      <c r="C327" s="102" t="s">
        <v>4219</v>
      </c>
      <c r="D327" s="63" t="s">
        <v>960</v>
      </c>
      <c r="E327" s="44" t="s">
        <v>188</v>
      </c>
      <c r="F327" s="70" t="e">
        <f>'PLANILHA ORCAMENTARIA'!#REF!</f>
        <v>#REF!</v>
      </c>
      <c r="G327" s="75" t="e">
        <f>'PLANILHA ORCAMENTARIA'!#REF!</f>
        <v>#REF!</v>
      </c>
      <c r="H327" s="75" t="e">
        <f>'PLANILHA ORCAMENTARIA'!#REF!</f>
        <v>#REF!</v>
      </c>
      <c r="I327" s="75" t="e">
        <f>ROUND('PLANILHA ORCAMENTARIA'!#REF!,2)</f>
        <v>#REF!</v>
      </c>
      <c r="J327" s="75" t="e">
        <f>ROUND('PLANILHA ORCAMENTARIA'!#REF!,2)</f>
        <v>#REF!</v>
      </c>
    </row>
    <row r="328" spans="1:10" ht="30" x14ac:dyDescent="0.25">
      <c r="A328" s="44" t="s">
        <v>961</v>
      </c>
      <c r="B328" s="44" t="s">
        <v>813</v>
      </c>
      <c r="C328" s="102" t="s">
        <v>4220</v>
      </c>
      <c r="D328" s="63" t="s">
        <v>963</v>
      </c>
      <c r="E328" s="44" t="s">
        <v>72</v>
      </c>
      <c r="F328" s="70" t="e">
        <f>'PLANILHA ORCAMENTARIA'!#REF!</f>
        <v>#REF!</v>
      </c>
      <c r="G328" s="75" t="e">
        <f>'PLANILHA ORCAMENTARIA'!#REF!</f>
        <v>#REF!</v>
      </c>
      <c r="H328" s="75" t="e">
        <f>'PLANILHA ORCAMENTARIA'!#REF!</f>
        <v>#REF!</v>
      </c>
      <c r="I328" s="75" t="e">
        <f>ROUND('PLANILHA ORCAMENTARIA'!#REF!,2)</f>
        <v>#REF!</v>
      </c>
      <c r="J328" s="75" t="e">
        <f>ROUND('PLANILHA ORCAMENTARIA'!#REF!,2)</f>
        <v>#REF!</v>
      </c>
    </row>
    <row r="329" spans="1:10" ht="45" x14ac:dyDescent="0.25">
      <c r="A329" s="44" t="s">
        <v>964</v>
      </c>
      <c r="B329" s="44" t="s">
        <v>82</v>
      </c>
      <c r="C329" s="102" t="s">
        <v>4221</v>
      </c>
      <c r="D329" s="63" t="s">
        <v>965</v>
      </c>
      <c r="E329" s="44" t="s">
        <v>188</v>
      </c>
      <c r="F329" s="70" t="e">
        <f>'PLANILHA ORCAMENTARIA'!#REF!</f>
        <v>#REF!</v>
      </c>
      <c r="G329" s="75" t="e">
        <f>'PLANILHA ORCAMENTARIA'!#REF!</f>
        <v>#REF!</v>
      </c>
      <c r="H329" s="75" t="e">
        <f>'PLANILHA ORCAMENTARIA'!#REF!</f>
        <v>#REF!</v>
      </c>
      <c r="I329" s="75" t="e">
        <f>ROUND('PLANILHA ORCAMENTARIA'!#REF!,2)</f>
        <v>#REF!</v>
      </c>
      <c r="J329" s="75" t="e">
        <f>ROUND('PLANILHA ORCAMENTARIA'!#REF!,2)</f>
        <v>#REF!</v>
      </c>
    </row>
    <row r="330" spans="1:10" ht="30" x14ac:dyDescent="0.25">
      <c r="A330" s="44" t="s">
        <v>966</v>
      </c>
      <c r="B330" s="44" t="s">
        <v>813</v>
      </c>
      <c r="C330" s="102" t="s">
        <v>4222</v>
      </c>
      <c r="D330" s="63" t="s">
        <v>968</v>
      </c>
      <c r="E330" s="44" t="s">
        <v>226</v>
      </c>
      <c r="F330" s="70" t="e">
        <f>'PLANILHA ORCAMENTARIA'!#REF!</f>
        <v>#REF!</v>
      </c>
      <c r="G330" s="75" t="e">
        <f>'PLANILHA ORCAMENTARIA'!#REF!</f>
        <v>#REF!</v>
      </c>
      <c r="H330" s="75" t="e">
        <f>'PLANILHA ORCAMENTARIA'!#REF!</f>
        <v>#REF!</v>
      </c>
      <c r="I330" s="75" t="e">
        <f>ROUND('PLANILHA ORCAMENTARIA'!#REF!,2)</f>
        <v>#REF!</v>
      </c>
      <c r="J330" s="75" t="e">
        <f>ROUND('PLANILHA ORCAMENTARIA'!#REF!,2)</f>
        <v>#REF!</v>
      </c>
    </row>
    <row r="331" spans="1:10" x14ac:dyDescent="0.25">
      <c r="A331" s="66" t="s">
        <v>3997</v>
      </c>
      <c r="B331" s="66"/>
      <c r="C331" s="103"/>
      <c r="D331" s="64" t="s">
        <v>4215</v>
      </c>
      <c r="E331" s="66"/>
      <c r="F331" s="71"/>
      <c r="G331" s="76"/>
      <c r="H331" s="76"/>
      <c r="I331" s="76" t="e">
        <f>ROUND(SUM(I324:I330),2)</f>
        <v>#REF!</v>
      </c>
      <c r="J331" s="76" t="e">
        <f>ROUND(SUM(J324:J330),2)</f>
        <v>#REF!</v>
      </c>
    </row>
    <row r="332" spans="1:10" x14ac:dyDescent="0.25">
      <c r="A332" s="58" t="s">
        <v>4223</v>
      </c>
      <c r="B332" s="58"/>
      <c r="C332" s="101"/>
      <c r="D332" s="62"/>
      <c r="E332" s="58"/>
      <c r="F332" s="69"/>
      <c r="G332" s="74"/>
      <c r="H332" s="74"/>
      <c r="I332" s="74" t="s">
        <v>3997</v>
      </c>
      <c r="J332" s="74" t="e">
        <f>J338</f>
        <v>#REF!</v>
      </c>
    </row>
    <row r="333" spans="1:10" ht="45" x14ac:dyDescent="0.25">
      <c r="A333" s="44" t="s">
        <v>970</v>
      </c>
      <c r="B333" s="44" t="s">
        <v>82</v>
      </c>
      <c r="C333" s="102" t="s">
        <v>4218</v>
      </c>
      <c r="D333" s="63" t="s">
        <v>957</v>
      </c>
      <c r="E333" s="44" t="s">
        <v>226</v>
      </c>
      <c r="F333" s="70" t="e">
        <f>'PLANILHA ORCAMENTARIA'!#REF!</f>
        <v>#REF!</v>
      </c>
      <c r="G333" s="75" t="e">
        <f>'PLANILHA ORCAMENTARIA'!#REF!</f>
        <v>#REF!</v>
      </c>
      <c r="H333" s="75" t="e">
        <f>'PLANILHA ORCAMENTARIA'!#REF!</f>
        <v>#REF!</v>
      </c>
      <c r="I333" s="75" t="e">
        <f>ROUND('PLANILHA ORCAMENTARIA'!#REF!,2)</f>
        <v>#REF!</v>
      </c>
      <c r="J333" s="75" t="e">
        <f>ROUND('PLANILHA ORCAMENTARIA'!#REF!,2)</f>
        <v>#REF!</v>
      </c>
    </row>
    <row r="334" spans="1:10" ht="30" x14ac:dyDescent="0.25">
      <c r="A334" s="44" t="s">
        <v>971</v>
      </c>
      <c r="B334" s="44" t="s">
        <v>82</v>
      </c>
      <c r="C334" s="102" t="s">
        <v>4224</v>
      </c>
      <c r="D334" s="63" t="s">
        <v>973</v>
      </c>
      <c r="E334" s="44" t="s">
        <v>226</v>
      </c>
      <c r="F334" s="70" t="e">
        <f>'PLANILHA ORCAMENTARIA'!#REF!</f>
        <v>#REF!</v>
      </c>
      <c r="G334" s="75" t="e">
        <f>'PLANILHA ORCAMENTARIA'!#REF!</f>
        <v>#REF!</v>
      </c>
      <c r="H334" s="75" t="e">
        <f>'PLANILHA ORCAMENTARIA'!#REF!</f>
        <v>#REF!</v>
      </c>
      <c r="I334" s="75" t="e">
        <f>ROUND('PLANILHA ORCAMENTARIA'!#REF!,2)</f>
        <v>#REF!</v>
      </c>
      <c r="J334" s="75" t="e">
        <f>ROUND('PLANILHA ORCAMENTARIA'!#REF!,2)</f>
        <v>#REF!</v>
      </c>
    </row>
    <row r="335" spans="1:10" ht="30" x14ac:dyDescent="0.25">
      <c r="A335" s="44" t="s">
        <v>974</v>
      </c>
      <c r="B335" s="44" t="s">
        <v>705</v>
      </c>
      <c r="C335" s="102" t="s">
        <v>4225</v>
      </c>
      <c r="D335" s="63" t="s">
        <v>976</v>
      </c>
      <c r="E335" s="44" t="s">
        <v>68</v>
      </c>
      <c r="F335" s="70" t="e">
        <f>'PLANILHA ORCAMENTARIA'!#REF!</f>
        <v>#REF!</v>
      </c>
      <c r="G335" s="75" t="e">
        <f>'PLANILHA ORCAMENTARIA'!#REF!</f>
        <v>#REF!</v>
      </c>
      <c r="H335" s="75" t="e">
        <f>'PLANILHA ORCAMENTARIA'!#REF!</f>
        <v>#REF!</v>
      </c>
      <c r="I335" s="75" t="e">
        <f>ROUND('PLANILHA ORCAMENTARIA'!#REF!,2)</f>
        <v>#REF!</v>
      </c>
      <c r="J335" s="75" t="e">
        <f>ROUND('PLANILHA ORCAMENTARIA'!#REF!,2)</f>
        <v>#REF!</v>
      </c>
    </row>
    <row r="336" spans="1:10" ht="30" x14ac:dyDescent="0.25">
      <c r="A336" s="44" t="s">
        <v>977</v>
      </c>
      <c r="B336" s="44" t="s">
        <v>705</v>
      </c>
      <c r="C336" s="102" t="s">
        <v>4226</v>
      </c>
      <c r="D336" s="63" t="s">
        <v>596</v>
      </c>
      <c r="E336" s="44" t="s">
        <v>68</v>
      </c>
      <c r="F336" s="70" t="e">
        <f>'PLANILHA ORCAMENTARIA'!#REF!</f>
        <v>#REF!</v>
      </c>
      <c r="G336" s="75" t="e">
        <f>'PLANILHA ORCAMENTARIA'!#REF!</f>
        <v>#REF!</v>
      </c>
      <c r="H336" s="75" t="e">
        <f>'PLANILHA ORCAMENTARIA'!#REF!</f>
        <v>#REF!</v>
      </c>
      <c r="I336" s="75" t="e">
        <f>ROUND('PLANILHA ORCAMENTARIA'!#REF!,2)</f>
        <v>#REF!</v>
      </c>
      <c r="J336" s="75" t="e">
        <f>ROUND('PLANILHA ORCAMENTARIA'!#REF!,2)</f>
        <v>#REF!</v>
      </c>
    </row>
    <row r="337" spans="1:10" ht="60" x14ac:dyDescent="0.25">
      <c r="A337" s="44" t="s">
        <v>979</v>
      </c>
      <c r="B337" s="44" t="s">
        <v>813</v>
      </c>
      <c r="C337" s="102" t="s">
        <v>4227</v>
      </c>
      <c r="D337" s="63" t="s">
        <v>981</v>
      </c>
      <c r="E337" s="44" t="s">
        <v>72</v>
      </c>
      <c r="F337" s="70" t="e">
        <f>'PLANILHA ORCAMENTARIA'!#REF!</f>
        <v>#REF!</v>
      </c>
      <c r="G337" s="75" t="e">
        <f>'PLANILHA ORCAMENTARIA'!#REF!</f>
        <v>#REF!</v>
      </c>
      <c r="H337" s="75" t="e">
        <f>'PLANILHA ORCAMENTARIA'!#REF!</f>
        <v>#REF!</v>
      </c>
      <c r="I337" s="75" t="e">
        <f>ROUND('PLANILHA ORCAMENTARIA'!#REF!,2)</f>
        <v>#REF!</v>
      </c>
      <c r="J337" s="75" t="e">
        <f>ROUND('PLANILHA ORCAMENTARIA'!#REF!,2)</f>
        <v>#REF!</v>
      </c>
    </row>
    <row r="338" spans="1:10" x14ac:dyDescent="0.25">
      <c r="A338" s="66" t="s">
        <v>3997</v>
      </c>
      <c r="B338" s="66"/>
      <c r="C338" s="103"/>
      <c r="D338" s="64" t="s">
        <v>4223</v>
      </c>
      <c r="E338" s="66"/>
      <c r="F338" s="71"/>
      <c r="G338" s="76"/>
      <c r="H338" s="76"/>
      <c r="I338" s="76" t="e">
        <f>ROUND(SUM(I333:I337),2)</f>
        <v>#REF!</v>
      </c>
      <c r="J338" s="76" t="e">
        <f>ROUND(SUM(J333:J337),2)</f>
        <v>#REF!</v>
      </c>
    </row>
    <row r="339" spans="1:10" x14ac:dyDescent="0.25">
      <c r="A339" s="67" t="s">
        <v>3996</v>
      </c>
      <c r="B339" s="67"/>
      <c r="C339" s="104"/>
      <c r="D339" s="65" t="s">
        <v>4008</v>
      </c>
      <c r="E339" s="67"/>
      <c r="F339" s="72"/>
      <c r="G339" s="77"/>
      <c r="H339" s="77"/>
      <c r="I339" s="77" t="e">
        <f>I36+I187+I211+I218+I227+I234+I240+I243+I264+I277+I283+I298+I315+I322+I331+I338</f>
        <v>#REF!</v>
      </c>
      <c r="J339" s="77" t="e">
        <f>J36+J187+J211+J218+J227+J234+J240+J243+J264+J277+J283+J298+J315+J322+J331+J338</f>
        <v>#REF!</v>
      </c>
    </row>
    <row r="340" spans="1:10" x14ac:dyDescent="0.25">
      <c r="A340" s="44"/>
      <c r="B340" s="44"/>
      <c r="C340" s="102"/>
      <c r="D340" s="63"/>
      <c r="E340" s="44"/>
      <c r="F340" s="70"/>
      <c r="G340" s="75"/>
      <c r="H340" s="75"/>
      <c r="I340" s="75"/>
      <c r="J340" s="75"/>
    </row>
    <row r="341" spans="1:10" x14ac:dyDescent="0.25">
      <c r="A341" s="60" t="s">
        <v>4228</v>
      </c>
      <c r="B341" s="60"/>
      <c r="C341" s="100"/>
      <c r="D341" s="61"/>
      <c r="E341" s="60"/>
      <c r="F341" s="68"/>
      <c r="G341" s="73"/>
      <c r="H341" s="73"/>
      <c r="I341" s="73" t="s">
        <v>3996</v>
      </c>
      <c r="J341" s="73" t="e">
        <f>J407</f>
        <v>#REF!</v>
      </c>
    </row>
    <row r="342" spans="1:10" x14ac:dyDescent="0.25">
      <c r="A342" s="58" t="s">
        <v>4229</v>
      </c>
      <c r="B342" s="58"/>
      <c r="C342" s="101"/>
      <c r="D342" s="62"/>
      <c r="E342" s="58"/>
      <c r="F342" s="69"/>
      <c r="G342" s="74"/>
      <c r="H342" s="74"/>
      <c r="I342" s="74" t="s">
        <v>3997</v>
      </c>
      <c r="J342" s="74">
        <f>J350</f>
        <v>82381.03</v>
      </c>
    </row>
    <row r="343" spans="1:10" ht="45" x14ac:dyDescent="0.25">
      <c r="A343" s="44" t="s">
        <v>120</v>
      </c>
      <c r="B343" s="44" t="s">
        <v>82</v>
      </c>
      <c r="C343" s="102" t="s">
        <v>4230</v>
      </c>
      <c r="D343" s="63" t="s">
        <v>121</v>
      </c>
      <c r="E343" s="44" t="s">
        <v>122</v>
      </c>
      <c r="F343" s="70">
        <f>'PLANILHA ORCAMENTARIA'!F337</f>
        <v>869.67</v>
      </c>
      <c r="G343" s="75">
        <f>'PLANILHA ORCAMENTARIA'!G337</f>
        <v>21</v>
      </c>
      <c r="H343" s="75">
        <f>'PLANILHA ORCAMENTARIA'!H337</f>
        <v>27.98</v>
      </c>
      <c r="I343" s="75">
        <f>ROUND('PLANILHA ORCAMENTARIA'!I337,2)</f>
        <v>18263.07</v>
      </c>
      <c r="J343" s="75">
        <f>ROUND('PLANILHA ORCAMENTARIA'!J337,2)</f>
        <v>24333.37</v>
      </c>
    </row>
    <row r="344" spans="1:10" ht="30" x14ac:dyDescent="0.25">
      <c r="A344" s="44" t="s">
        <v>123</v>
      </c>
      <c r="B344" s="44" t="s">
        <v>51</v>
      </c>
      <c r="C344" s="102" t="s">
        <v>4231</v>
      </c>
      <c r="D344" s="63" t="s">
        <v>124</v>
      </c>
      <c r="E344" s="44" t="s">
        <v>54</v>
      </c>
      <c r="F344" s="70">
        <f>'PLANILHA ORCAMENTARIA'!F338</f>
        <v>1181.5</v>
      </c>
      <c r="G344" s="75">
        <f>'PLANILHA ORCAMENTARIA'!G338</f>
        <v>21.51</v>
      </c>
      <c r="H344" s="75">
        <f>'PLANILHA ORCAMENTARIA'!H338</f>
        <v>28.66</v>
      </c>
      <c r="I344" s="75">
        <f>ROUND('PLANILHA ORCAMENTARIA'!I338,2)</f>
        <v>25414.07</v>
      </c>
      <c r="J344" s="75">
        <f>ROUND('PLANILHA ORCAMENTARIA'!J338,2)</f>
        <v>33861.79</v>
      </c>
    </row>
    <row r="345" spans="1:10" ht="45" x14ac:dyDescent="0.25">
      <c r="A345" s="44" t="s">
        <v>125</v>
      </c>
      <c r="B345" s="44" t="s">
        <v>82</v>
      </c>
      <c r="C345" s="102" t="s">
        <v>4232</v>
      </c>
      <c r="D345" s="63" t="s">
        <v>127</v>
      </c>
      <c r="E345" s="44" t="s">
        <v>85</v>
      </c>
      <c r="F345" s="70">
        <f>'PLANILHA ORCAMENTARIA'!F339</f>
        <v>48.5</v>
      </c>
      <c r="G345" s="75">
        <f>'PLANILHA ORCAMENTARIA'!G339</f>
        <v>58.36</v>
      </c>
      <c r="H345" s="75">
        <f>'PLANILHA ORCAMENTARIA'!H339</f>
        <v>77.760000000000005</v>
      </c>
      <c r="I345" s="75">
        <f>ROUND('PLANILHA ORCAMENTARIA'!I339,2)</f>
        <v>2830.46</v>
      </c>
      <c r="J345" s="75">
        <f>ROUND('PLANILHA ORCAMENTARIA'!J339,2)</f>
        <v>3771.36</v>
      </c>
    </row>
    <row r="346" spans="1:10" ht="30" x14ac:dyDescent="0.25">
      <c r="A346" s="44" t="s">
        <v>128</v>
      </c>
      <c r="B346" s="44" t="s">
        <v>51</v>
      </c>
      <c r="C346" s="102" t="s">
        <v>4233</v>
      </c>
      <c r="D346" s="63" t="s">
        <v>130</v>
      </c>
      <c r="E346" s="44" t="s">
        <v>72</v>
      </c>
      <c r="F346" s="70">
        <f>'PLANILHA ORCAMENTARIA'!F340</f>
        <v>314.25</v>
      </c>
      <c r="G346" s="75">
        <f>'PLANILHA ORCAMENTARIA'!G340</f>
        <v>11.14</v>
      </c>
      <c r="H346" s="75">
        <f>'PLANILHA ORCAMENTARIA'!H340</f>
        <v>14.84</v>
      </c>
      <c r="I346" s="75">
        <f>ROUND('PLANILHA ORCAMENTARIA'!I340,2)</f>
        <v>3500.75</v>
      </c>
      <c r="J346" s="75">
        <f>ROUND('PLANILHA ORCAMENTARIA'!J340,2)</f>
        <v>4663.47</v>
      </c>
    </row>
    <row r="347" spans="1:10" ht="30" x14ac:dyDescent="0.25">
      <c r="A347" s="44" t="s">
        <v>131</v>
      </c>
      <c r="B347" s="44" t="s">
        <v>51</v>
      </c>
      <c r="C347" s="102" t="s">
        <v>4234</v>
      </c>
      <c r="D347" s="63" t="s">
        <v>133</v>
      </c>
      <c r="E347" s="44" t="s">
        <v>68</v>
      </c>
      <c r="F347" s="70">
        <f>'PLANILHA ORCAMENTARIA'!F341</f>
        <v>6</v>
      </c>
      <c r="G347" s="75">
        <f>'PLANILHA ORCAMENTARIA'!G341</f>
        <v>59.04</v>
      </c>
      <c r="H347" s="75">
        <f>'PLANILHA ORCAMENTARIA'!H341</f>
        <v>78.67</v>
      </c>
      <c r="I347" s="75">
        <f>ROUND('PLANILHA ORCAMENTARIA'!I341,2)</f>
        <v>354.24</v>
      </c>
      <c r="J347" s="75">
        <f>ROUND('PLANILHA ORCAMENTARIA'!J341,2)</f>
        <v>472.02</v>
      </c>
    </row>
    <row r="348" spans="1:10" ht="30" x14ac:dyDescent="0.25">
      <c r="A348" s="44" t="s">
        <v>134</v>
      </c>
      <c r="B348" s="44" t="s">
        <v>51</v>
      </c>
      <c r="C348" s="102" t="s">
        <v>4235</v>
      </c>
      <c r="D348" s="63" t="s">
        <v>136</v>
      </c>
      <c r="E348" s="44" t="s">
        <v>89</v>
      </c>
      <c r="F348" s="70">
        <f>'PLANILHA ORCAMENTARIA'!F342</f>
        <v>36</v>
      </c>
      <c r="G348" s="75">
        <f>'PLANILHA ORCAMENTARIA'!G342</f>
        <v>225.81</v>
      </c>
      <c r="H348" s="75">
        <f>'PLANILHA ORCAMENTARIA'!H342</f>
        <v>300.89</v>
      </c>
      <c r="I348" s="75">
        <f>ROUND('PLANILHA ORCAMENTARIA'!I342,2)</f>
        <v>8129.16</v>
      </c>
      <c r="J348" s="75">
        <f>ROUND('PLANILHA ORCAMENTARIA'!J342,2)</f>
        <v>10832.04</v>
      </c>
    </row>
    <row r="349" spans="1:10" ht="30" x14ac:dyDescent="0.25">
      <c r="A349" s="44" t="s">
        <v>137</v>
      </c>
      <c r="B349" s="44" t="s">
        <v>51</v>
      </c>
      <c r="C349" s="102" t="s">
        <v>4236</v>
      </c>
      <c r="D349" s="63" t="s">
        <v>139</v>
      </c>
      <c r="E349" s="44" t="s">
        <v>89</v>
      </c>
      <c r="F349" s="70">
        <f>'PLANILHA ORCAMENTARIA'!F343</f>
        <v>12.8</v>
      </c>
      <c r="G349" s="75">
        <f>'PLANILHA ORCAMENTARIA'!G343</f>
        <v>260.73</v>
      </c>
      <c r="H349" s="75">
        <f>'PLANILHA ORCAMENTARIA'!H343</f>
        <v>347.42</v>
      </c>
      <c r="I349" s="75">
        <f>ROUND('PLANILHA ORCAMENTARIA'!I343,2)</f>
        <v>3337.34</v>
      </c>
      <c r="J349" s="75">
        <f>ROUND('PLANILHA ORCAMENTARIA'!J343,2)</f>
        <v>4446.9799999999996</v>
      </c>
    </row>
    <row r="350" spans="1:10" x14ac:dyDescent="0.25">
      <c r="A350" s="66" t="s">
        <v>3997</v>
      </c>
      <c r="B350" s="66"/>
      <c r="C350" s="103"/>
      <c r="D350" s="64" t="s">
        <v>4229</v>
      </c>
      <c r="E350" s="66"/>
      <c r="F350" s="71"/>
      <c r="G350" s="76"/>
      <c r="H350" s="76"/>
      <c r="I350" s="76">
        <f>ROUND(SUM(I343:I349),2)</f>
        <v>61829.09</v>
      </c>
      <c r="J350" s="76">
        <f>ROUND(SUM(J343:J349),2)</f>
        <v>82381.03</v>
      </c>
    </row>
    <row r="351" spans="1:10" x14ac:dyDescent="0.25">
      <c r="A351" s="58" t="s">
        <v>4237</v>
      </c>
      <c r="B351" s="58"/>
      <c r="C351" s="101"/>
      <c r="D351" s="62"/>
      <c r="E351" s="58"/>
      <c r="F351" s="69"/>
      <c r="G351" s="74"/>
      <c r="H351" s="74"/>
      <c r="I351" s="74" t="s">
        <v>3997</v>
      </c>
      <c r="J351" s="74">
        <f>J355</f>
        <v>6343.59</v>
      </c>
    </row>
    <row r="352" spans="1:10" x14ac:dyDescent="0.25">
      <c r="A352" s="44" t="s">
        <v>141</v>
      </c>
      <c r="B352" s="44" t="s">
        <v>51</v>
      </c>
      <c r="C352" s="102" t="s">
        <v>4238</v>
      </c>
      <c r="D352" s="63" t="s">
        <v>143</v>
      </c>
      <c r="E352" s="44" t="s">
        <v>89</v>
      </c>
      <c r="F352" s="70">
        <f>'PLANILHA ORCAMENTARIA'!F345</f>
        <v>198</v>
      </c>
      <c r="G352" s="75">
        <f>'PLANILHA ORCAMENTARIA'!G345</f>
        <v>17.48</v>
      </c>
      <c r="H352" s="75">
        <f>'PLANILHA ORCAMENTARIA'!H345</f>
        <v>23.29</v>
      </c>
      <c r="I352" s="75">
        <f>ROUND('PLANILHA ORCAMENTARIA'!I345,2)</f>
        <v>3461.04</v>
      </c>
      <c r="J352" s="75">
        <f>ROUND('PLANILHA ORCAMENTARIA'!J345,2)</f>
        <v>4611.42</v>
      </c>
    </row>
    <row r="353" spans="1:10" ht="60" x14ac:dyDescent="0.25">
      <c r="A353" s="44" t="s">
        <v>144</v>
      </c>
      <c r="B353" s="44" t="s">
        <v>82</v>
      </c>
      <c r="C353" s="102" t="s">
        <v>4239</v>
      </c>
      <c r="D353" s="63" t="s">
        <v>146</v>
      </c>
      <c r="E353" s="44" t="s">
        <v>147</v>
      </c>
      <c r="F353" s="70">
        <f>'PLANILHA ORCAMENTARIA'!F346</f>
        <v>136</v>
      </c>
      <c r="G353" s="75">
        <f>'PLANILHA ORCAMENTARIA'!G346</f>
        <v>5.08</v>
      </c>
      <c r="H353" s="75">
        <f>'PLANILHA ORCAMENTARIA'!H346</f>
        <v>6.77</v>
      </c>
      <c r="I353" s="75">
        <f>ROUND('PLANILHA ORCAMENTARIA'!I346,2)</f>
        <v>690.88</v>
      </c>
      <c r="J353" s="75">
        <f>ROUND('PLANILHA ORCAMENTARIA'!J346,2)</f>
        <v>920.72</v>
      </c>
    </row>
    <row r="354" spans="1:10" ht="45" x14ac:dyDescent="0.25">
      <c r="A354" s="44" t="s">
        <v>148</v>
      </c>
      <c r="B354" s="44" t="s">
        <v>82</v>
      </c>
      <c r="C354" s="102" t="s">
        <v>4240</v>
      </c>
      <c r="D354" s="63" t="s">
        <v>150</v>
      </c>
      <c r="E354" s="44" t="s">
        <v>151</v>
      </c>
      <c r="F354" s="70">
        <f>'PLANILHA ORCAMENTARIA'!F347</f>
        <v>320.73</v>
      </c>
      <c r="G354" s="75">
        <f>'PLANILHA ORCAMENTARIA'!G347</f>
        <v>1.9</v>
      </c>
      <c r="H354" s="75">
        <f>'PLANILHA ORCAMENTARIA'!H347</f>
        <v>2.5299999999999998</v>
      </c>
      <c r="I354" s="75">
        <f>ROUND('PLANILHA ORCAMENTARIA'!I347,2)</f>
        <v>609.39</v>
      </c>
      <c r="J354" s="75">
        <f>ROUND('PLANILHA ORCAMENTARIA'!J347,2)</f>
        <v>811.45</v>
      </c>
    </row>
    <row r="355" spans="1:10" x14ac:dyDescent="0.25">
      <c r="A355" s="66" t="s">
        <v>3997</v>
      </c>
      <c r="B355" s="66"/>
      <c r="C355" s="103"/>
      <c r="D355" s="64" t="s">
        <v>4237</v>
      </c>
      <c r="E355" s="66"/>
      <c r="F355" s="71"/>
      <c r="G355" s="76"/>
      <c r="H355" s="76"/>
      <c r="I355" s="76">
        <f>ROUND(SUM(I352:I354),2)</f>
        <v>4761.3100000000004</v>
      </c>
      <c r="J355" s="76">
        <f>ROUND(SUM(J352:J354),2)</f>
        <v>6343.59</v>
      </c>
    </row>
    <row r="356" spans="1:10" x14ac:dyDescent="0.25">
      <c r="A356" s="58" t="s">
        <v>4241</v>
      </c>
      <c r="B356" s="58"/>
      <c r="C356" s="101"/>
      <c r="D356" s="62"/>
      <c r="E356" s="58"/>
      <c r="F356" s="69"/>
      <c r="G356" s="74"/>
      <c r="H356" s="74"/>
      <c r="I356" s="74" t="s">
        <v>3997</v>
      </c>
      <c r="J356" s="74" t="e">
        <f>J375</f>
        <v>#REF!</v>
      </c>
    </row>
    <row r="357" spans="1:10" ht="45" x14ac:dyDescent="0.25">
      <c r="A357" s="44" t="s">
        <v>572</v>
      </c>
      <c r="B357" s="44" t="s">
        <v>82</v>
      </c>
      <c r="C357" s="102" t="s">
        <v>4242</v>
      </c>
      <c r="D357" s="63" t="s">
        <v>573</v>
      </c>
      <c r="E357" s="44" t="s">
        <v>226</v>
      </c>
      <c r="F357" s="70">
        <f>'PLANILHA ORCAMENTARIA'!F350</f>
        <v>10</v>
      </c>
      <c r="G357" s="75">
        <f>'PLANILHA ORCAMENTARIA'!G350</f>
        <v>3098.56</v>
      </c>
      <c r="H357" s="75">
        <f>'PLANILHA ORCAMENTARIA'!H350</f>
        <v>4128.83</v>
      </c>
      <c r="I357" s="75">
        <f>ROUND('PLANILHA ORCAMENTARIA'!I350,2)</f>
        <v>30985.599999999999</v>
      </c>
      <c r="J357" s="75">
        <f>ROUND('PLANILHA ORCAMENTARIA'!J350,2)</f>
        <v>41288.300000000003</v>
      </c>
    </row>
    <row r="358" spans="1:10" ht="30" x14ac:dyDescent="0.25">
      <c r="A358" s="44" t="s">
        <v>574</v>
      </c>
      <c r="B358" s="44" t="s">
        <v>82</v>
      </c>
      <c r="C358" s="102" t="s">
        <v>4243</v>
      </c>
      <c r="D358" s="63" t="s">
        <v>575</v>
      </c>
      <c r="E358" s="44" t="s">
        <v>226</v>
      </c>
      <c r="F358" s="70">
        <f>'PLANILHA ORCAMENTARIA'!F351</f>
        <v>10</v>
      </c>
      <c r="G358" s="75">
        <f>'PLANILHA ORCAMENTARIA'!G351</f>
        <v>890.12</v>
      </c>
      <c r="H358" s="75">
        <f>'PLANILHA ORCAMENTARIA'!H351</f>
        <v>1186.08</v>
      </c>
      <c r="I358" s="75">
        <f>ROUND('PLANILHA ORCAMENTARIA'!I351,2)</f>
        <v>8901.2000000000007</v>
      </c>
      <c r="J358" s="75">
        <f>ROUND('PLANILHA ORCAMENTARIA'!J351,2)</f>
        <v>11860.8</v>
      </c>
    </row>
    <row r="359" spans="1:10" x14ac:dyDescent="0.25">
      <c r="A359" s="44" t="s">
        <v>576</v>
      </c>
      <c r="B359" s="44" t="s">
        <v>77</v>
      </c>
      <c r="C359" s="102" t="s">
        <v>4244</v>
      </c>
      <c r="D359" s="63" t="s">
        <v>578</v>
      </c>
      <c r="E359" s="44" t="s">
        <v>579</v>
      </c>
      <c r="F359" s="70">
        <f>'PLANILHA ORCAMENTARIA'!F352</f>
        <v>20</v>
      </c>
      <c r="G359" s="75">
        <f>'PLANILHA ORCAMENTARIA'!G352</f>
        <v>93.88</v>
      </c>
      <c r="H359" s="75">
        <f>'PLANILHA ORCAMENTARIA'!H352</f>
        <v>125.1</v>
      </c>
      <c r="I359" s="75">
        <f>ROUND('PLANILHA ORCAMENTARIA'!I352,2)</f>
        <v>1877.6</v>
      </c>
      <c r="J359" s="75">
        <f>ROUND('PLANILHA ORCAMENTARIA'!J352,2)</f>
        <v>2502</v>
      </c>
    </row>
    <row r="360" spans="1:10" ht="45" x14ac:dyDescent="0.25">
      <c r="A360" s="44" t="s">
        <v>582</v>
      </c>
      <c r="B360" s="44" t="s">
        <v>82</v>
      </c>
      <c r="C360" s="102" t="s">
        <v>4245</v>
      </c>
      <c r="D360" s="63" t="s">
        <v>584</v>
      </c>
      <c r="E360" s="44" t="s">
        <v>226</v>
      </c>
      <c r="F360" s="70">
        <f>'PLANILHA ORCAMENTARIA'!F354</f>
        <v>1</v>
      </c>
      <c r="G360" s="75">
        <f>'PLANILHA ORCAMENTARIA'!G354</f>
        <v>1440.03</v>
      </c>
      <c r="H360" s="75">
        <f>'PLANILHA ORCAMENTARIA'!H354</f>
        <v>1918.84</v>
      </c>
      <c r="I360" s="75">
        <f>ROUND('PLANILHA ORCAMENTARIA'!I354,2)</f>
        <v>1440.03</v>
      </c>
      <c r="J360" s="75">
        <f>ROUND('PLANILHA ORCAMENTARIA'!J354,2)</f>
        <v>1918.84</v>
      </c>
    </row>
    <row r="361" spans="1:10" ht="30" x14ac:dyDescent="0.25">
      <c r="A361" s="44" t="s">
        <v>585</v>
      </c>
      <c r="B361" s="44" t="s">
        <v>82</v>
      </c>
      <c r="C361" s="102" t="s">
        <v>4203</v>
      </c>
      <c r="D361" s="63" t="s">
        <v>587</v>
      </c>
      <c r="E361" s="44" t="s">
        <v>226</v>
      </c>
      <c r="F361" s="70" t="e">
        <f>'PLANILHA ORCAMENTARIA'!#REF!</f>
        <v>#REF!</v>
      </c>
      <c r="G361" s="75" t="e">
        <f>'PLANILHA ORCAMENTARIA'!#REF!</f>
        <v>#REF!</v>
      </c>
      <c r="H361" s="75" t="e">
        <f>'PLANILHA ORCAMENTARIA'!#REF!</f>
        <v>#REF!</v>
      </c>
      <c r="I361" s="75" t="e">
        <f>ROUND('PLANILHA ORCAMENTARIA'!#REF!,2)</f>
        <v>#REF!</v>
      </c>
      <c r="J361" s="75" t="e">
        <f>ROUND('PLANILHA ORCAMENTARIA'!#REF!,2)</f>
        <v>#REF!</v>
      </c>
    </row>
    <row r="362" spans="1:10" ht="60" x14ac:dyDescent="0.25">
      <c r="A362" s="44" t="s">
        <v>590</v>
      </c>
      <c r="B362" s="44" t="s">
        <v>82</v>
      </c>
      <c r="C362" s="102" t="s">
        <v>4112</v>
      </c>
      <c r="D362" s="63" t="s">
        <v>540</v>
      </c>
      <c r="E362" s="44" t="s">
        <v>226</v>
      </c>
      <c r="F362" s="70">
        <f>'PLANILHA ORCAMENTARIA'!F364</f>
        <v>1</v>
      </c>
      <c r="G362" s="75">
        <f>'PLANILHA ORCAMENTARIA'!G364</f>
        <v>414.82</v>
      </c>
      <c r="H362" s="75">
        <f>'PLANILHA ORCAMENTARIA'!H364</f>
        <v>552.75</v>
      </c>
      <c r="I362" s="75">
        <f>ROUND('PLANILHA ORCAMENTARIA'!I364,2)</f>
        <v>414.82</v>
      </c>
      <c r="J362" s="75">
        <f>ROUND('PLANILHA ORCAMENTARIA'!J364,2)</f>
        <v>552.75</v>
      </c>
    </row>
    <row r="363" spans="1:10" ht="30" x14ac:dyDescent="0.25">
      <c r="A363" s="44" t="s">
        <v>591</v>
      </c>
      <c r="B363" s="44" t="s">
        <v>77</v>
      </c>
      <c r="C363" s="102" t="s">
        <v>4246</v>
      </c>
      <c r="D363" s="63" t="s">
        <v>593</v>
      </c>
      <c r="E363" s="44" t="s">
        <v>226</v>
      </c>
      <c r="F363" s="70">
        <f>'PLANILHA ORCAMENTARIA'!F365</f>
        <v>1</v>
      </c>
      <c r="G363" s="75">
        <f>'PLANILHA ORCAMENTARIA'!G365</f>
        <v>58.26</v>
      </c>
      <c r="H363" s="75">
        <f>'PLANILHA ORCAMENTARIA'!H365</f>
        <v>77.63</v>
      </c>
      <c r="I363" s="75">
        <f>ROUND('PLANILHA ORCAMENTARIA'!I365,2)</f>
        <v>58.26</v>
      </c>
      <c r="J363" s="75">
        <f>ROUND('PLANILHA ORCAMENTARIA'!J365,2)</f>
        <v>77.63</v>
      </c>
    </row>
    <row r="364" spans="1:10" ht="30" x14ac:dyDescent="0.25">
      <c r="A364" s="44" t="s">
        <v>594</v>
      </c>
      <c r="B364" s="44" t="s">
        <v>51</v>
      </c>
      <c r="C364" s="102" t="s">
        <v>4247</v>
      </c>
      <c r="D364" s="63" t="s">
        <v>596</v>
      </c>
      <c r="E364" s="44" t="s">
        <v>68</v>
      </c>
      <c r="F364" s="70">
        <f>'PLANILHA ORCAMENTARIA'!F366</f>
        <v>1</v>
      </c>
      <c r="G364" s="75">
        <f>'PLANILHA ORCAMENTARIA'!G366</f>
        <v>114.32</v>
      </c>
      <c r="H364" s="75">
        <f>'PLANILHA ORCAMENTARIA'!H366</f>
        <v>152.33000000000001</v>
      </c>
      <c r="I364" s="75">
        <f>ROUND('PLANILHA ORCAMENTARIA'!I366,2)</f>
        <v>114.32</v>
      </c>
      <c r="J364" s="75">
        <f>ROUND('PLANILHA ORCAMENTARIA'!J366,2)</f>
        <v>152.33000000000001</v>
      </c>
    </row>
    <row r="365" spans="1:10" ht="30" x14ac:dyDescent="0.25">
      <c r="A365" s="44" t="s">
        <v>597</v>
      </c>
      <c r="B365" s="44" t="s">
        <v>82</v>
      </c>
      <c r="C365" s="102" t="s">
        <v>4114</v>
      </c>
      <c r="D365" s="63" t="s">
        <v>546</v>
      </c>
      <c r="E365" s="44" t="s">
        <v>226</v>
      </c>
      <c r="F365" s="70">
        <f>'PLANILHA ORCAMENTARIA'!F367</f>
        <v>7</v>
      </c>
      <c r="G365" s="75">
        <f>'PLANILHA ORCAMENTARIA'!G367</f>
        <v>51.91</v>
      </c>
      <c r="H365" s="75">
        <f>'PLANILHA ORCAMENTARIA'!H367</f>
        <v>69.17</v>
      </c>
      <c r="I365" s="75">
        <f>ROUND('PLANILHA ORCAMENTARIA'!I367,2)</f>
        <v>363.37</v>
      </c>
      <c r="J365" s="75">
        <f>ROUND('PLANILHA ORCAMENTARIA'!J367,2)</f>
        <v>484.19</v>
      </c>
    </row>
    <row r="366" spans="1:10" ht="30" x14ac:dyDescent="0.25">
      <c r="A366" s="44" t="s">
        <v>598</v>
      </c>
      <c r="B366" s="44" t="s">
        <v>82</v>
      </c>
      <c r="C366" s="102" t="s">
        <v>4248</v>
      </c>
      <c r="D366" s="63" t="s">
        <v>600</v>
      </c>
      <c r="E366" s="44" t="s">
        <v>226</v>
      </c>
      <c r="F366" s="70">
        <f>'PLANILHA ORCAMENTARIA'!F368</f>
        <v>3</v>
      </c>
      <c r="G366" s="75">
        <f>'PLANILHA ORCAMENTARIA'!G368</f>
        <v>150.26</v>
      </c>
      <c r="H366" s="75">
        <f>'PLANILHA ORCAMENTARIA'!H368</f>
        <v>200.22</v>
      </c>
      <c r="I366" s="75">
        <f>ROUND('PLANILHA ORCAMENTARIA'!I368,2)</f>
        <v>450.78</v>
      </c>
      <c r="J366" s="75">
        <f>ROUND('PLANILHA ORCAMENTARIA'!J368,2)</f>
        <v>600.66</v>
      </c>
    </row>
    <row r="367" spans="1:10" ht="45" x14ac:dyDescent="0.25">
      <c r="A367" s="44" t="s">
        <v>602</v>
      </c>
      <c r="B367" s="44" t="s">
        <v>82</v>
      </c>
      <c r="C367" s="102" t="s">
        <v>4117</v>
      </c>
      <c r="D367" s="63" t="s">
        <v>555</v>
      </c>
      <c r="E367" s="44" t="s">
        <v>188</v>
      </c>
      <c r="F367" s="70">
        <f>'PLANILHA ORCAMENTARIA'!F370</f>
        <v>880</v>
      </c>
      <c r="G367" s="75">
        <f>'PLANILHA ORCAMENTARIA'!G370</f>
        <v>31.97</v>
      </c>
      <c r="H367" s="75">
        <f>'PLANILHA ORCAMENTARIA'!H370</f>
        <v>42.6</v>
      </c>
      <c r="I367" s="75">
        <f>ROUND('PLANILHA ORCAMENTARIA'!I370,2)</f>
        <v>28133.599999999999</v>
      </c>
      <c r="J367" s="75">
        <f>ROUND('PLANILHA ORCAMENTARIA'!J370,2)</f>
        <v>37488</v>
      </c>
    </row>
    <row r="368" spans="1:10" ht="45" x14ac:dyDescent="0.25">
      <c r="A368" s="44" t="s">
        <v>603</v>
      </c>
      <c r="B368" s="44" t="s">
        <v>82</v>
      </c>
      <c r="C368" s="102" t="s">
        <v>4249</v>
      </c>
      <c r="D368" s="63" t="s">
        <v>605</v>
      </c>
      <c r="E368" s="44" t="s">
        <v>188</v>
      </c>
      <c r="F368" s="70">
        <f>'PLANILHA ORCAMENTARIA'!F371</f>
        <v>2378</v>
      </c>
      <c r="G368" s="75">
        <f>'PLANILHA ORCAMENTARIA'!G371</f>
        <v>6.24</v>
      </c>
      <c r="H368" s="75">
        <f>'PLANILHA ORCAMENTARIA'!H371</f>
        <v>8.31</v>
      </c>
      <c r="I368" s="75">
        <f>ROUND('PLANILHA ORCAMENTARIA'!I371,2)</f>
        <v>14838.72</v>
      </c>
      <c r="J368" s="75">
        <f>ROUND('PLANILHA ORCAMENTARIA'!J371,2)</f>
        <v>19761.18</v>
      </c>
    </row>
    <row r="369" spans="1:10" ht="45" x14ac:dyDescent="0.25">
      <c r="A369" s="44" t="s">
        <v>606</v>
      </c>
      <c r="B369" s="44" t="s">
        <v>82</v>
      </c>
      <c r="C369" s="102" t="s">
        <v>4118</v>
      </c>
      <c r="D369" s="63" t="s">
        <v>558</v>
      </c>
      <c r="E369" s="44" t="s">
        <v>188</v>
      </c>
      <c r="F369" s="70">
        <f>'PLANILHA ORCAMENTARIA'!F372</f>
        <v>360</v>
      </c>
      <c r="G369" s="75">
        <f>'PLANILHA ORCAMENTARIA'!G372</f>
        <v>9.1199999999999992</v>
      </c>
      <c r="H369" s="75">
        <f>'PLANILHA ORCAMENTARIA'!H372</f>
        <v>12.15</v>
      </c>
      <c r="I369" s="75">
        <f>ROUND('PLANILHA ORCAMENTARIA'!I372,2)</f>
        <v>3283.2</v>
      </c>
      <c r="J369" s="75">
        <f>ROUND('PLANILHA ORCAMENTARIA'!J372,2)</f>
        <v>4374</v>
      </c>
    </row>
    <row r="370" spans="1:10" ht="30" x14ac:dyDescent="0.25">
      <c r="A370" s="44" t="s">
        <v>608</v>
      </c>
      <c r="B370" s="44" t="s">
        <v>51</v>
      </c>
      <c r="C370" s="102" t="s">
        <v>4250</v>
      </c>
      <c r="D370" s="63" t="s">
        <v>610</v>
      </c>
      <c r="E370" s="44" t="s">
        <v>72</v>
      </c>
      <c r="F370" s="70">
        <f>'PLANILHA ORCAMENTARIA'!F374</f>
        <v>647</v>
      </c>
      <c r="G370" s="75">
        <f>'PLANILHA ORCAMENTARIA'!G374</f>
        <v>20.54</v>
      </c>
      <c r="H370" s="75">
        <f>'PLANILHA ORCAMENTARIA'!H374</f>
        <v>27.37</v>
      </c>
      <c r="I370" s="75">
        <f>ROUND('PLANILHA ORCAMENTARIA'!I374,2)</f>
        <v>13289.38</v>
      </c>
      <c r="J370" s="75">
        <f>ROUND('PLANILHA ORCAMENTARIA'!J374,2)</f>
        <v>17708.39</v>
      </c>
    </row>
    <row r="371" spans="1:10" ht="30" x14ac:dyDescent="0.25">
      <c r="A371" s="44" t="s">
        <v>612</v>
      </c>
      <c r="B371" s="44" t="s">
        <v>77</v>
      </c>
      <c r="C371" s="102" t="s">
        <v>4251</v>
      </c>
      <c r="D371" s="63" t="s">
        <v>614</v>
      </c>
      <c r="E371" s="44" t="s">
        <v>68</v>
      </c>
      <c r="F371" s="70">
        <f>'PLANILHA ORCAMENTARIA'!F376</f>
        <v>8</v>
      </c>
      <c r="G371" s="75">
        <f>'PLANILHA ORCAMENTARIA'!G376</f>
        <v>188.11</v>
      </c>
      <c r="H371" s="75">
        <f>'PLANILHA ORCAMENTARIA'!H376</f>
        <v>250.66</v>
      </c>
      <c r="I371" s="75">
        <f>ROUND('PLANILHA ORCAMENTARIA'!I376,2)</f>
        <v>1504.88</v>
      </c>
      <c r="J371" s="75">
        <f>ROUND('PLANILHA ORCAMENTARIA'!J376,2)</f>
        <v>2005.28</v>
      </c>
    </row>
    <row r="372" spans="1:10" ht="75" x14ac:dyDescent="0.25">
      <c r="A372" s="44" t="s">
        <v>616</v>
      </c>
      <c r="B372" s="44" t="s">
        <v>82</v>
      </c>
      <c r="C372" s="102" t="s">
        <v>4252</v>
      </c>
      <c r="D372" s="63" t="s">
        <v>618</v>
      </c>
      <c r="E372" s="44" t="s">
        <v>85</v>
      </c>
      <c r="F372" s="70" t="e">
        <f>'PLANILHA ORCAMENTARIA'!#REF!</f>
        <v>#REF!</v>
      </c>
      <c r="G372" s="75" t="e">
        <f>'PLANILHA ORCAMENTARIA'!#REF!</f>
        <v>#REF!</v>
      </c>
      <c r="H372" s="75" t="e">
        <f>'PLANILHA ORCAMENTARIA'!#REF!</f>
        <v>#REF!</v>
      </c>
      <c r="I372" s="75" t="e">
        <f>ROUND('PLANILHA ORCAMENTARIA'!#REF!,2)</f>
        <v>#REF!</v>
      </c>
      <c r="J372" s="75" t="e">
        <f>ROUND('PLANILHA ORCAMENTARIA'!#REF!,2)</f>
        <v>#REF!</v>
      </c>
    </row>
    <row r="373" spans="1:10" x14ac:dyDescent="0.25">
      <c r="A373" s="44" t="s">
        <v>619</v>
      </c>
      <c r="B373" s="44" t="s">
        <v>51</v>
      </c>
      <c r="C373" s="102" t="s">
        <v>4253</v>
      </c>
      <c r="D373" s="63" t="s">
        <v>621</v>
      </c>
      <c r="E373" s="44" t="s">
        <v>89</v>
      </c>
      <c r="F373" s="70" t="e">
        <f>'PLANILHA ORCAMENTARIA'!#REF!</f>
        <v>#REF!</v>
      </c>
      <c r="G373" s="75" t="e">
        <f>'PLANILHA ORCAMENTARIA'!#REF!</f>
        <v>#REF!</v>
      </c>
      <c r="H373" s="75" t="e">
        <f>'PLANILHA ORCAMENTARIA'!#REF!</f>
        <v>#REF!</v>
      </c>
      <c r="I373" s="75" t="e">
        <f>ROUND('PLANILHA ORCAMENTARIA'!#REF!,2)</f>
        <v>#REF!</v>
      </c>
      <c r="J373" s="75" t="e">
        <f>ROUND('PLANILHA ORCAMENTARIA'!#REF!,2)</f>
        <v>#REF!</v>
      </c>
    </row>
    <row r="374" spans="1:10" ht="45" x14ac:dyDescent="0.25">
      <c r="A374" s="44" t="s">
        <v>622</v>
      </c>
      <c r="B374" s="44" t="s">
        <v>77</v>
      </c>
      <c r="C374" s="102" t="s">
        <v>4254</v>
      </c>
      <c r="D374" s="63" t="s">
        <v>624</v>
      </c>
      <c r="E374" s="44" t="s">
        <v>85</v>
      </c>
      <c r="F374" s="70" t="e">
        <f>'PLANILHA ORCAMENTARIA'!#REF!</f>
        <v>#REF!</v>
      </c>
      <c r="G374" s="75" t="e">
        <f>'PLANILHA ORCAMENTARIA'!#REF!</f>
        <v>#REF!</v>
      </c>
      <c r="H374" s="75" t="e">
        <f>'PLANILHA ORCAMENTARIA'!#REF!</f>
        <v>#REF!</v>
      </c>
      <c r="I374" s="75" t="e">
        <f>ROUND('PLANILHA ORCAMENTARIA'!#REF!,2)</f>
        <v>#REF!</v>
      </c>
      <c r="J374" s="75" t="e">
        <f>ROUND('PLANILHA ORCAMENTARIA'!#REF!,2)</f>
        <v>#REF!</v>
      </c>
    </row>
    <row r="375" spans="1:10" x14ac:dyDescent="0.25">
      <c r="A375" s="66" t="s">
        <v>3997</v>
      </c>
      <c r="B375" s="66"/>
      <c r="C375" s="103"/>
      <c r="D375" s="64" t="s">
        <v>4241</v>
      </c>
      <c r="E375" s="66"/>
      <c r="F375" s="71"/>
      <c r="G375" s="76"/>
      <c r="H375" s="76"/>
      <c r="I375" s="76" t="e">
        <f>ROUND(SUM(I357:I374),2)</f>
        <v>#REF!</v>
      </c>
      <c r="J375" s="76" t="e">
        <f>ROUND(SUM(J357:J374),2)</f>
        <v>#REF!</v>
      </c>
    </row>
    <row r="376" spans="1:10" x14ac:dyDescent="0.25">
      <c r="A376" s="58" t="s">
        <v>16</v>
      </c>
      <c r="B376" s="58"/>
      <c r="C376" s="101"/>
      <c r="D376" s="62"/>
      <c r="E376" s="58"/>
      <c r="F376" s="69"/>
      <c r="G376" s="74"/>
      <c r="H376" s="74"/>
      <c r="I376" s="74" t="s">
        <v>3997</v>
      </c>
      <c r="J376" s="74">
        <f>J389</f>
        <v>967056.12</v>
      </c>
    </row>
    <row r="377" spans="1:10" x14ac:dyDescent="0.25">
      <c r="A377" s="44" t="s">
        <v>690</v>
      </c>
      <c r="B377" s="44" t="s">
        <v>194</v>
      </c>
      <c r="C377" s="102" t="s">
        <v>4034</v>
      </c>
      <c r="D377" s="63" t="s">
        <v>196</v>
      </c>
      <c r="E377" s="44" t="s">
        <v>197</v>
      </c>
      <c r="F377" s="70">
        <f>'PLANILHA ORCAMENTARIA'!F382</f>
        <v>2362.77</v>
      </c>
      <c r="G377" s="75">
        <f>'PLANILHA ORCAMENTARIA'!G382</f>
        <v>2.14</v>
      </c>
      <c r="H377" s="75">
        <f>'PLANILHA ORCAMENTARIA'!H382</f>
        <v>2.85</v>
      </c>
      <c r="I377" s="75">
        <f>ROUND('PLANILHA ORCAMENTARIA'!I382,2)</f>
        <v>5056.33</v>
      </c>
      <c r="J377" s="75">
        <f>ROUND('PLANILHA ORCAMENTARIA'!J382,2)</f>
        <v>6733.89</v>
      </c>
    </row>
    <row r="378" spans="1:10" ht="30" x14ac:dyDescent="0.25">
      <c r="A378" s="44" t="s">
        <v>691</v>
      </c>
      <c r="B378" s="44" t="s">
        <v>194</v>
      </c>
      <c r="C378" s="102" t="s">
        <v>4255</v>
      </c>
      <c r="D378" s="63" t="s">
        <v>693</v>
      </c>
      <c r="E378" s="44" t="s">
        <v>694</v>
      </c>
      <c r="F378" s="70">
        <f>'PLANILHA ORCAMENTARIA'!F383</f>
        <v>114.67</v>
      </c>
      <c r="G378" s="75">
        <f>'PLANILHA ORCAMENTARIA'!G383</f>
        <v>266.61</v>
      </c>
      <c r="H378" s="75">
        <f>'PLANILHA ORCAMENTARIA'!H383</f>
        <v>355.26</v>
      </c>
      <c r="I378" s="75">
        <f>ROUND('PLANILHA ORCAMENTARIA'!I383,2)</f>
        <v>30572.17</v>
      </c>
      <c r="J378" s="75">
        <f>ROUND('PLANILHA ORCAMENTARIA'!J383,2)</f>
        <v>40737.660000000003</v>
      </c>
    </row>
    <row r="379" spans="1:10" ht="45" x14ac:dyDescent="0.25">
      <c r="A379" s="44" t="s">
        <v>695</v>
      </c>
      <c r="B379" s="44" t="s">
        <v>51</v>
      </c>
      <c r="C379" s="102" t="s">
        <v>4256</v>
      </c>
      <c r="D379" s="63" t="s">
        <v>697</v>
      </c>
      <c r="E379" s="44" t="s">
        <v>72</v>
      </c>
      <c r="F379" s="70">
        <f>'PLANILHA ORCAMENTARIA'!F384</f>
        <v>831.4</v>
      </c>
      <c r="G379" s="75">
        <f>'PLANILHA ORCAMENTARIA'!G384</f>
        <v>72.19</v>
      </c>
      <c r="H379" s="75">
        <f>'PLANILHA ORCAMENTARIA'!H384</f>
        <v>96.19</v>
      </c>
      <c r="I379" s="75">
        <f>ROUND('PLANILHA ORCAMENTARIA'!I384,2)</f>
        <v>60018.77</v>
      </c>
      <c r="J379" s="75">
        <f>ROUND('PLANILHA ORCAMENTARIA'!J384,2)</f>
        <v>79972.37</v>
      </c>
    </row>
    <row r="380" spans="1:10" ht="30" x14ac:dyDescent="0.25">
      <c r="A380" s="44" t="s">
        <v>698</v>
      </c>
      <c r="B380" s="44" t="s">
        <v>51</v>
      </c>
      <c r="C380" s="102" t="s">
        <v>4257</v>
      </c>
      <c r="D380" s="63" t="s">
        <v>700</v>
      </c>
      <c r="E380" s="44" t="s">
        <v>54</v>
      </c>
      <c r="F380" s="70">
        <f>'PLANILHA ORCAMENTARIA'!F385</f>
        <v>266.05</v>
      </c>
      <c r="G380" s="75">
        <f>'PLANILHA ORCAMENTARIA'!G385</f>
        <v>12.46</v>
      </c>
      <c r="H380" s="75">
        <f>'PLANILHA ORCAMENTARIA'!H385</f>
        <v>16.600000000000001</v>
      </c>
      <c r="I380" s="75">
        <f>ROUND('PLANILHA ORCAMENTARIA'!I385,2)</f>
        <v>3314.98</v>
      </c>
      <c r="J380" s="75">
        <f>ROUND('PLANILHA ORCAMENTARIA'!J385,2)</f>
        <v>4416.43</v>
      </c>
    </row>
    <row r="381" spans="1:10" ht="45" x14ac:dyDescent="0.25">
      <c r="A381" s="44" t="s">
        <v>701</v>
      </c>
      <c r="B381" s="44" t="s">
        <v>82</v>
      </c>
      <c r="C381" s="102" t="s">
        <v>4258</v>
      </c>
      <c r="D381" s="63" t="s">
        <v>703</v>
      </c>
      <c r="E381" s="44" t="s">
        <v>122</v>
      </c>
      <c r="F381" s="70">
        <f>'PLANILHA ORCAMENTARIA'!F386</f>
        <v>2362.77</v>
      </c>
      <c r="G381" s="75">
        <f>'PLANILHA ORCAMENTARIA'!G386</f>
        <v>82.29</v>
      </c>
      <c r="H381" s="75">
        <f>'PLANILHA ORCAMENTARIA'!H386</f>
        <v>109.65</v>
      </c>
      <c r="I381" s="75">
        <f>ROUND('PLANILHA ORCAMENTARIA'!I386,2)</f>
        <v>194432.34</v>
      </c>
      <c r="J381" s="75">
        <f>ROUND('PLANILHA ORCAMENTARIA'!J386,2)</f>
        <v>259077.73</v>
      </c>
    </row>
    <row r="382" spans="1:10" ht="60" x14ac:dyDescent="0.25">
      <c r="A382" s="44" t="s">
        <v>704</v>
      </c>
      <c r="B382" s="44" t="s">
        <v>705</v>
      </c>
      <c r="C382" s="102" t="s">
        <v>4259</v>
      </c>
      <c r="D382" s="63" t="s">
        <v>707</v>
      </c>
      <c r="E382" s="44" t="s">
        <v>54</v>
      </c>
      <c r="F382" s="70">
        <f>'PLANILHA ORCAMENTARIA'!F387</f>
        <v>624.32000000000005</v>
      </c>
      <c r="G382" s="75">
        <f>'PLANILHA ORCAMENTARIA'!G387</f>
        <v>160.13999999999999</v>
      </c>
      <c r="H382" s="75">
        <f>'PLANILHA ORCAMENTARIA'!H387</f>
        <v>213.39</v>
      </c>
      <c r="I382" s="75">
        <f>ROUND('PLANILHA ORCAMENTARIA'!I387,2)</f>
        <v>99978.6</v>
      </c>
      <c r="J382" s="75">
        <f>ROUND('PLANILHA ORCAMENTARIA'!J387,2)</f>
        <v>133223.64000000001</v>
      </c>
    </row>
    <row r="383" spans="1:10" ht="60" x14ac:dyDescent="0.25">
      <c r="A383" s="44" t="s">
        <v>708</v>
      </c>
      <c r="B383" s="44" t="s">
        <v>51</v>
      </c>
      <c r="C383" s="102" t="s">
        <v>4259</v>
      </c>
      <c r="D383" s="63" t="s">
        <v>709</v>
      </c>
      <c r="E383" s="44" t="s">
        <v>54</v>
      </c>
      <c r="F383" s="70">
        <f>'PLANILHA ORCAMENTARIA'!F388</f>
        <v>1286.8599999999999</v>
      </c>
      <c r="G383" s="75">
        <f>'PLANILHA ORCAMENTARIA'!G388</f>
        <v>146.87</v>
      </c>
      <c r="H383" s="75">
        <f>'PLANILHA ORCAMENTARIA'!H388</f>
        <v>195.7</v>
      </c>
      <c r="I383" s="75">
        <f>ROUND('PLANILHA ORCAMENTARIA'!I388,2)</f>
        <v>189001.13</v>
      </c>
      <c r="J383" s="75">
        <f>ROUND('PLANILHA ORCAMENTARIA'!J388,2)</f>
        <v>251838.5</v>
      </c>
    </row>
    <row r="384" spans="1:10" ht="30" x14ac:dyDescent="0.25">
      <c r="A384" s="44" t="s">
        <v>710</v>
      </c>
      <c r="B384" s="44" t="s">
        <v>82</v>
      </c>
      <c r="C384" s="102" t="s">
        <v>4260</v>
      </c>
      <c r="D384" s="63" t="s">
        <v>712</v>
      </c>
      <c r="E384" s="44" t="s">
        <v>122</v>
      </c>
      <c r="F384" s="70">
        <f>'PLANILHA ORCAMENTARIA'!F389</f>
        <v>639.83000000000004</v>
      </c>
      <c r="G384" s="75">
        <f>'PLANILHA ORCAMENTARIA'!G389</f>
        <v>181.84</v>
      </c>
      <c r="H384" s="75">
        <f>'PLANILHA ORCAMENTARIA'!H389</f>
        <v>242.3</v>
      </c>
      <c r="I384" s="75">
        <f>ROUND('PLANILHA ORCAMENTARIA'!I389,2)</f>
        <v>116346.69</v>
      </c>
      <c r="J384" s="75">
        <f>ROUND('PLANILHA ORCAMENTARIA'!J389,2)</f>
        <v>155030.81</v>
      </c>
    </row>
    <row r="385" spans="1:10" ht="45" x14ac:dyDescent="0.25">
      <c r="A385" s="44" t="s">
        <v>713</v>
      </c>
      <c r="B385" s="44" t="s">
        <v>82</v>
      </c>
      <c r="C385" s="102" t="s">
        <v>4261</v>
      </c>
      <c r="D385" s="63" t="s">
        <v>715</v>
      </c>
      <c r="E385" s="44" t="s">
        <v>122</v>
      </c>
      <c r="F385" s="70">
        <f>'PLANILHA ORCAMENTARIA'!F390</f>
        <v>9</v>
      </c>
      <c r="G385" s="75">
        <f>'PLANILHA ORCAMENTARIA'!G390</f>
        <v>136.74</v>
      </c>
      <c r="H385" s="75">
        <f>'PLANILHA ORCAMENTARIA'!H390</f>
        <v>182.21</v>
      </c>
      <c r="I385" s="75">
        <f>ROUND('PLANILHA ORCAMENTARIA'!I390,2)</f>
        <v>1230.6600000000001</v>
      </c>
      <c r="J385" s="75">
        <f>ROUND('PLANILHA ORCAMENTARIA'!J390,2)</f>
        <v>1639.89</v>
      </c>
    </row>
    <row r="386" spans="1:10" ht="75" x14ac:dyDescent="0.25">
      <c r="A386" s="44" t="s">
        <v>716</v>
      </c>
      <c r="B386" s="44" t="s">
        <v>51</v>
      </c>
      <c r="C386" s="102" t="s">
        <v>4262</v>
      </c>
      <c r="D386" s="63" t="s">
        <v>718</v>
      </c>
      <c r="E386" s="44" t="s">
        <v>54</v>
      </c>
      <c r="F386" s="70">
        <f>'PLANILHA ORCAMENTARIA'!F391</f>
        <v>229</v>
      </c>
      <c r="G386" s="75">
        <f>'PLANILHA ORCAMENTARIA'!G391</f>
        <v>91.96</v>
      </c>
      <c r="H386" s="75">
        <f>'PLANILHA ORCAMENTARIA'!H391</f>
        <v>122.54</v>
      </c>
      <c r="I386" s="75">
        <f>ROUND('PLANILHA ORCAMENTARIA'!I391,2)</f>
        <v>21058.84</v>
      </c>
      <c r="J386" s="75">
        <f>ROUND('PLANILHA ORCAMENTARIA'!J391,2)</f>
        <v>28061.66</v>
      </c>
    </row>
    <row r="387" spans="1:10" ht="60" x14ac:dyDescent="0.25">
      <c r="A387" s="44" t="s">
        <v>719</v>
      </c>
      <c r="B387" s="44" t="s">
        <v>82</v>
      </c>
      <c r="C387" s="102" t="s">
        <v>4239</v>
      </c>
      <c r="D387" s="63" t="s">
        <v>146</v>
      </c>
      <c r="E387" s="44" t="s">
        <v>147</v>
      </c>
      <c r="F387" s="70">
        <f>'PLANILHA ORCAMENTARIA'!F392</f>
        <v>245.62</v>
      </c>
      <c r="G387" s="75">
        <f>'PLANILHA ORCAMENTARIA'!G392</f>
        <v>5.08</v>
      </c>
      <c r="H387" s="75">
        <f>'PLANILHA ORCAMENTARIA'!H392</f>
        <v>6.77</v>
      </c>
      <c r="I387" s="75">
        <f>ROUND('PLANILHA ORCAMENTARIA'!I392,2)</f>
        <v>1247.75</v>
      </c>
      <c r="J387" s="75">
        <f>ROUND('PLANILHA ORCAMENTARIA'!J392,2)</f>
        <v>1662.85</v>
      </c>
    </row>
    <row r="388" spans="1:10" ht="45" x14ac:dyDescent="0.25">
      <c r="A388" s="44" t="s">
        <v>720</v>
      </c>
      <c r="B388" s="44" t="s">
        <v>82</v>
      </c>
      <c r="C388" s="102" t="s">
        <v>4240</v>
      </c>
      <c r="D388" s="63" t="s">
        <v>150</v>
      </c>
      <c r="E388" s="44" t="s">
        <v>151</v>
      </c>
      <c r="F388" s="70">
        <f>'PLANILHA ORCAMENTARIA'!F393</f>
        <v>1842.17</v>
      </c>
      <c r="G388" s="75">
        <f>'PLANILHA ORCAMENTARIA'!G393</f>
        <v>1.9</v>
      </c>
      <c r="H388" s="75">
        <f>'PLANILHA ORCAMENTARIA'!H393</f>
        <v>2.5299999999999998</v>
      </c>
      <c r="I388" s="75">
        <f>ROUND('PLANILHA ORCAMENTARIA'!I393,2)</f>
        <v>3500.12</v>
      </c>
      <c r="J388" s="75">
        <f>ROUND('PLANILHA ORCAMENTARIA'!J393,2)</f>
        <v>4660.6899999999996</v>
      </c>
    </row>
    <row r="389" spans="1:10" x14ac:dyDescent="0.25">
      <c r="A389" s="66" t="s">
        <v>3997</v>
      </c>
      <c r="B389" s="66"/>
      <c r="C389" s="103"/>
      <c r="D389" s="64" t="s">
        <v>16</v>
      </c>
      <c r="E389" s="66"/>
      <c r="F389" s="71"/>
      <c r="G389" s="76"/>
      <c r="H389" s="76"/>
      <c r="I389" s="76">
        <f>ROUND(SUM(I377:I388),2)</f>
        <v>725758.38</v>
      </c>
      <c r="J389" s="76">
        <f>ROUND(SUM(J377:J388),2)</f>
        <v>967056.12</v>
      </c>
    </row>
    <row r="390" spans="1:10" x14ac:dyDescent="0.25">
      <c r="A390" s="58" t="s">
        <v>18</v>
      </c>
      <c r="B390" s="58"/>
      <c r="C390" s="101"/>
      <c r="D390" s="62"/>
      <c r="E390" s="58"/>
      <c r="F390" s="69"/>
      <c r="G390" s="74"/>
      <c r="H390" s="74"/>
      <c r="I390" s="74" t="s">
        <v>3997</v>
      </c>
      <c r="J390" s="74">
        <f>J396</f>
        <v>57663.839999999997</v>
      </c>
    </row>
    <row r="391" spans="1:10" ht="30" x14ac:dyDescent="0.25">
      <c r="A391" s="44" t="s">
        <v>722</v>
      </c>
      <c r="B391" s="44" t="s">
        <v>51</v>
      </c>
      <c r="C391" s="102" t="s">
        <v>4263</v>
      </c>
      <c r="D391" s="63" t="s">
        <v>724</v>
      </c>
      <c r="E391" s="44" t="s">
        <v>54</v>
      </c>
      <c r="F391" s="70">
        <f>'PLANILHA ORCAMENTARIA'!F402</f>
        <v>753.71</v>
      </c>
      <c r="G391" s="75">
        <f>'PLANILHA ORCAMENTARIA'!G402</f>
        <v>34.340000000000003</v>
      </c>
      <c r="H391" s="75">
        <f>'PLANILHA ORCAMENTARIA'!H402</f>
        <v>45.76</v>
      </c>
      <c r="I391" s="75">
        <f>ROUND('PLANILHA ORCAMENTARIA'!I402,2)</f>
        <v>25882.400000000001</v>
      </c>
      <c r="J391" s="75">
        <f>ROUND('PLANILHA ORCAMENTARIA'!J402,2)</f>
        <v>34489.769999999997</v>
      </c>
    </row>
    <row r="392" spans="1:10" ht="30" x14ac:dyDescent="0.25">
      <c r="A392" s="44" t="s">
        <v>725</v>
      </c>
      <c r="B392" s="44" t="s">
        <v>82</v>
      </c>
      <c r="C392" s="102" t="s">
        <v>4264</v>
      </c>
      <c r="D392" s="63" t="s">
        <v>727</v>
      </c>
      <c r="E392" s="44" t="s">
        <v>226</v>
      </c>
      <c r="F392" s="70">
        <f>'PLANILHA ORCAMENTARIA'!F403</f>
        <v>29</v>
      </c>
      <c r="G392" s="75">
        <f>'PLANILHA ORCAMENTARIA'!G403</f>
        <v>371.01</v>
      </c>
      <c r="H392" s="75">
        <f>'PLANILHA ORCAMENTARIA'!H403</f>
        <v>494.37</v>
      </c>
      <c r="I392" s="75">
        <f>ROUND('PLANILHA ORCAMENTARIA'!I403,2)</f>
        <v>10759.29</v>
      </c>
      <c r="J392" s="75">
        <f>ROUND('PLANILHA ORCAMENTARIA'!J403,2)</f>
        <v>14336.73</v>
      </c>
    </row>
    <row r="393" spans="1:10" x14ac:dyDescent="0.25">
      <c r="A393" s="44" t="s">
        <v>728</v>
      </c>
      <c r="B393" s="44" t="s">
        <v>82</v>
      </c>
      <c r="C393" s="102" t="s">
        <v>4265</v>
      </c>
      <c r="D393" s="63" t="s">
        <v>730</v>
      </c>
      <c r="E393" s="44" t="s">
        <v>226</v>
      </c>
      <c r="F393" s="70">
        <f>'PLANILHA ORCAMENTARIA'!F404</f>
        <v>86</v>
      </c>
      <c r="G393" s="75">
        <f>'PLANILHA ORCAMENTARIA'!G404</f>
        <v>57.84</v>
      </c>
      <c r="H393" s="75">
        <f>'PLANILHA ORCAMENTARIA'!H404</f>
        <v>77.069999999999993</v>
      </c>
      <c r="I393" s="75">
        <f>ROUND('PLANILHA ORCAMENTARIA'!I404,2)</f>
        <v>4974.24</v>
      </c>
      <c r="J393" s="75">
        <f>ROUND('PLANILHA ORCAMENTARIA'!J404,2)</f>
        <v>6628.02</v>
      </c>
    </row>
    <row r="394" spans="1:10" ht="30" x14ac:dyDescent="0.25">
      <c r="A394" s="44" t="s">
        <v>731</v>
      </c>
      <c r="B394" s="44" t="s">
        <v>82</v>
      </c>
      <c r="C394" s="102" t="s">
        <v>4266</v>
      </c>
      <c r="D394" s="63" t="s">
        <v>733</v>
      </c>
      <c r="E394" s="44" t="s">
        <v>226</v>
      </c>
      <c r="F394" s="70">
        <f>'PLANILHA ORCAMENTARIA'!F405</f>
        <v>8</v>
      </c>
      <c r="G394" s="75">
        <f>'PLANILHA ORCAMENTARIA'!G405</f>
        <v>179.69</v>
      </c>
      <c r="H394" s="75">
        <f>'PLANILHA ORCAMENTARIA'!H405</f>
        <v>239.44</v>
      </c>
      <c r="I394" s="75">
        <f>ROUND('PLANILHA ORCAMENTARIA'!I405,2)</f>
        <v>1437.52</v>
      </c>
      <c r="J394" s="75">
        <f>ROUND('PLANILHA ORCAMENTARIA'!J405,2)</f>
        <v>1915.52</v>
      </c>
    </row>
    <row r="395" spans="1:10" x14ac:dyDescent="0.25">
      <c r="A395" s="44" t="s">
        <v>734</v>
      </c>
      <c r="B395" s="44" t="s">
        <v>77</v>
      </c>
      <c r="C395" s="102" t="s">
        <v>4267</v>
      </c>
      <c r="D395" s="63" t="s">
        <v>736</v>
      </c>
      <c r="E395" s="44" t="s">
        <v>251</v>
      </c>
      <c r="F395" s="70">
        <f>'PLANILHA ORCAMENTARIA'!F406</f>
        <v>65</v>
      </c>
      <c r="G395" s="75">
        <f>'PLANILHA ORCAMENTARIA'!G406</f>
        <v>3.39</v>
      </c>
      <c r="H395" s="75">
        <f>'PLANILHA ORCAMENTARIA'!H406</f>
        <v>4.5199999999999996</v>
      </c>
      <c r="I395" s="75">
        <f>ROUND('PLANILHA ORCAMENTARIA'!I406,2)</f>
        <v>220.35</v>
      </c>
      <c r="J395" s="75">
        <f>ROUND('PLANILHA ORCAMENTARIA'!J406,2)</f>
        <v>293.8</v>
      </c>
    </row>
    <row r="396" spans="1:10" x14ac:dyDescent="0.25">
      <c r="A396" s="66" t="s">
        <v>3997</v>
      </c>
      <c r="B396" s="66"/>
      <c r="C396" s="103"/>
      <c r="D396" s="64" t="s">
        <v>18</v>
      </c>
      <c r="E396" s="66"/>
      <c r="F396" s="71"/>
      <c r="G396" s="76"/>
      <c r="H396" s="76"/>
      <c r="I396" s="76">
        <f>ROUND(SUM(I391:I395),2)</f>
        <v>43273.8</v>
      </c>
      <c r="J396" s="76">
        <f>ROUND(SUM(J391:J395),2)</f>
        <v>57663.839999999997</v>
      </c>
    </row>
    <row r="397" spans="1:10" x14ac:dyDescent="0.25">
      <c r="A397" s="58" t="s">
        <v>4268</v>
      </c>
      <c r="B397" s="58"/>
      <c r="C397" s="101"/>
      <c r="D397" s="62"/>
      <c r="E397" s="58"/>
      <c r="F397" s="69"/>
      <c r="G397" s="74"/>
      <c r="H397" s="74"/>
      <c r="I397" s="74" t="s">
        <v>3997</v>
      </c>
      <c r="J397" s="74">
        <f>J399</f>
        <v>5621.38</v>
      </c>
    </row>
    <row r="398" spans="1:10" x14ac:dyDescent="0.25">
      <c r="A398" s="44" t="s">
        <v>737</v>
      </c>
      <c r="B398" s="44" t="s">
        <v>51</v>
      </c>
      <c r="C398" s="102" t="s">
        <v>4269</v>
      </c>
      <c r="D398" s="63" t="s">
        <v>739</v>
      </c>
      <c r="E398" s="44" t="s">
        <v>54</v>
      </c>
      <c r="F398" s="70">
        <f>'PLANILHA ORCAMENTARIA'!F408</f>
        <v>3071.79</v>
      </c>
      <c r="G398" s="75">
        <f>'PLANILHA ORCAMENTARIA'!G408</f>
        <v>1.37</v>
      </c>
      <c r="H398" s="75">
        <f>'PLANILHA ORCAMENTARIA'!H408</f>
        <v>1.83</v>
      </c>
      <c r="I398" s="75">
        <f>ROUND('PLANILHA ORCAMENTARIA'!I408,2)</f>
        <v>4208.3500000000004</v>
      </c>
      <c r="J398" s="75">
        <f>ROUND('PLANILHA ORCAMENTARIA'!J408,2)</f>
        <v>5621.38</v>
      </c>
    </row>
    <row r="399" spans="1:10" x14ac:dyDescent="0.25">
      <c r="A399" s="66" t="s">
        <v>3997</v>
      </c>
      <c r="B399" s="66"/>
      <c r="C399" s="103"/>
      <c r="D399" s="64" t="s">
        <v>4268</v>
      </c>
      <c r="E399" s="66"/>
      <c r="F399" s="71"/>
      <c r="G399" s="76"/>
      <c r="H399" s="76"/>
      <c r="I399" s="76">
        <f>ROUND(SUM(I398:I398),2)</f>
        <v>4208.3500000000004</v>
      </c>
      <c r="J399" s="76">
        <f>ROUND(SUM(J398:J398),2)</f>
        <v>5621.38</v>
      </c>
    </row>
    <row r="400" spans="1:10" x14ac:dyDescent="0.25">
      <c r="A400" s="58" t="s">
        <v>4270</v>
      </c>
      <c r="B400" s="58"/>
      <c r="C400" s="101"/>
      <c r="D400" s="62"/>
      <c r="E400" s="58"/>
      <c r="F400" s="69"/>
      <c r="G400" s="74"/>
      <c r="H400" s="74"/>
      <c r="I400" s="74" t="s">
        <v>3997</v>
      </c>
      <c r="J400" s="74" t="e">
        <f>J406</f>
        <v>#REF!</v>
      </c>
    </row>
    <row r="401" spans="1:10" ht="45" x14ac:dyDescent="0.25">
      <c r="A401" s="44" t="s">
        <v>768</v>
      </c>
      <c r="B401" s="44" t="s">
        <v>705</v>
      </c>
      <c r="C401" s="102" t="s">
        <v>4271</v>
      </c>
      <c r="D401" s="63" t="s">
        <v>770</v>
      </c>
      <c r="E401" s="44" t="s">
        <v>54</v>
      </c>
      <c r="F401" s="70" t="e">
        <f>'PLANILHA ORCAMENTARIA'!#REF!</f>
        <v>#REF!</v>
      </c>
      <c r="G401" s="75" t="e">
        <f>'PLANILHA ORCAMENTARIA'!#REF!</f>
        <v>#REF!</v>
      </c>
      <c r="H401" s="75" t="e">
        <f>'PLANILHA ORCAMENTARIA'!#REF!</f>
        <v>#REF!</v>
      </c>
      <c r="I401" s="75" t="e">
        <f>ROUND('PLANILHA ORCAMENTARIA'!#REF!,2)</f>
        <v>#REF!</v>
      </c>
      <c r="J401" s="75" t="e">
        <f>ROUND('PLANILHA ORCAMENTARIA'!#REF!,2)</f>
        <v>#REF!</v>
      </c>
    </row>
    <row r="402" spans="1:10" ht="45" x14ac:dyDescent="0.25">
      <c r="A402" s="44" t="s">
        <v>802</v>
      </c>
      <c r="B402" s="44" t="s">
        <v>82</v>
      </c>
      <c r="C402" s="102" t="s">
        <v>4272</v>
      </c>
      <c r="D402" s="63" t="s">
        <v>803</v>
      </c>
      <c r="E402" s="44" t="s">
        <v>72</v>
      </c>
      <c r="F402" s="70" t="e">
        <f>'PLANILHA ORCAMENTARIA'!#REF!</f>
        <v>#REF!</v>
      </c>
      <c r="G402" s="75" t="e">
        <f>'PLANILHA ORCAMENTARIA'!#REF!</f>
        <v>#REF!</v>
      </c>
      <c r="H402" s="75" t="e">
        <f>'PLANILHA ORCAMENTARIA'!#REF!</f>
        <v>#REF!</v>
      </c>
      <c r="I402" s="75" t="e">
        <f>ROUND('PLANILHA ORCAMENTARIA'!#REF!,2)</f>
        <v>#REF!</v>
      </c>
      <c r="J402" s="75" t="e">
        <f>ROUND('PLANILHA ORCAMENTARIA'!#REF!,2)</f>
        <v>#REF!</v>
      </c>
    </row>
    <row r="403" spans="1:10" ht="30" x14ac:dyDescent="0.25">
      <c r="A403" s="44" t="s">
        <v>804</v>
      </c>
      <c r="B403" s="44" t="s">
        <v>82</v>
      </c>
      <c r="C403" s="102" t="s">
        <v>4273</v>
      </c>
      <c r="D403" s="63" t="s">
        <v>805</v>
      </c>
      <c r="E403" s="44" t="s">
        <v>579</v>
      </c>
      <c r="F403" s="70" t="e">
        <f>'PLANILHA ORCAMENTARIA'!#REF!</f>
        <v>#REF!</v>
      </c>
      <c r="G403" s="75" t="e">
        <f>'PLANILHA ORCAMENTARIA'!#REF!</f>
        <v>#REF!</v>
      </c>
      <c r="H403" s="75" t="e">
        <f>'PLANILHA ORCAMENTARIA'!#REF!</f>
        <v>#REF!</v>
      </c>
      <c r="I403" s="75" t="e">
        <f>ROUND('PLANILHA ORCAMENTARIA'!#REF!,2)</f>
        <v>#REF!</v>
      </c>
      <c r="J403" s="75" t="e">
        <f>ROUND('PLANILHA ORCAMENTARIA'!#REF!,2)</f>
        <v>#REF!</v>
      </c>
    </row>
    <row r="404" spans="1:10" ht="60" x14ac:dyDescent="0.25">
      <c r="A404" s="44" t="s">
        <v>806</v>
      </c>
      <c r="B404" s="44" t="s">
        <v>82</v>
      </c>
      <c r="C404" s="102" t="s">
        <v>4274</v>
      </c>
      <c r="D404" s="63" t="s">
        <v>807</v>
      </c>
      <c r="E404" s="44" t="s">
        <v>579</v>
      </c>
      <c r="F404" s="70" t="e">
        <f>'PLANILHA ORCAMENTARIA'!#REF!</f>
        <v>#REF!</v>
      </c>
      <c r="G404" s="75" t="e">
        <f>'PLANILHA ORCAMENTARIA'!#REF!</f>
        <v>#REF!</v>
      </c>
      <c r="H404" s="75" t="e">
        <f>'PLANILHA ORCAMENTARIA'!#REF!</f>
        <v>#REF!</v>
      </c>
      <c r="I404" s="75" t="e">
        <f>ROUND('PLANILHA ORCAMENTARIA'!#REF!,2)</f>
        <v>#REF!</v>
      </c>
      <c r="J404" s="75" t="e">
        <f>ROUND('PLANILHA ORCAMENTARIA'!#REF!,2)</f>
        <v>#REF!</v>
      </c>
    </row>
    <row r="405" spans="1:10" ht="30" x14ac:dyDescent="0.25">
      <c r="A405" s="44" t="s">
        <v>809</v>
      </c>
      <c r="B405" s="44" t="s">
        <v>810</v>
      </c>
      <c r="C405" s="102" t="s">
        <v>4275</v>
      </c>
      <c r="D405" s="63" t="s">
        <v>811</v>
      </c>
      <c r="E405" s="44" t="s">
        <v>579</v>
      </c>
      <c r="F405" s="70" t="e">
        <f>'PLANILHA ORCAMENTARIA'!#REF!</f>
        <v>#REF!</v>
      </c>
      <c r="G405" s="75" t="e">
        <f>'PLANILHA ORCAMENTARIA'!#REF!</f>
        <v>#REF!</v>
      </c>
      <c r="H405" s="75" t="e">
        <f>'PLANILHA ORCAMENTARIA'!#REF!</f>
        <v>#REF!</v>
      </c>
      <c r="I405" s="75" t="e">
        <f>ROUND('PLANILHA ORCAMENTARIA'!#REF!,2)</f>
        <v>#REF!</v>
      </c>
      <c r="J405" s="75" t="e">
        <f>ROUND('PLANILHA ORCAMENTARIA'!#REF!,2)</f>
        <v>#REF!</v>
      </c>
    </row>
    <row r="406" spans="1:10" x14ac:dyDescent="0.25">
      <c r="A406" s="66" t="s">
        <v>3997</v>
      </c>
      <c r="B406" s="66"/>
      <c r="C406" s="103"/>
      <c r="D406" s="64" t="s">
        <v>4270</v>
      </c>
      <c r="E406" s="66"/>
      <c r="F406" s="71"/>
      <c r="G406" s="76"/>
      <c r="H406" s="76"/>
      <c r="I406" s="76" t="e">
        <f>ROUND(SUM(I401:I405),2)</f>
        <v>#REF!</v>
      </c>
      <c r="J406" s="76" t="e">
        <f>ROUND(SUM(J401:J405),2)</f>
        <v>#REF!</v>
      </c>
    </row>
    <row r="407" spans="1:10" x14ac:dyDescent="0.25">
      <c r="A407" s="67" t="s">
        <v>3996</v>
      </c>
      <c r="B407" s="67"/>
      <c r="C407" s="104"/>
      <c r="D407" s="65" t="s">
        <v>4228</v>
      </c>
      <c r="E407" s="67"/>
      <c r="F407" s="72"/>
      <c r="G407" s="77"/>
      <c r="H407" s="77"/>
      <c r="I407" s="77" t="e">
        <f>I350+I355+I375+I389+I396+I399+I406</f>
        <v>#REF!</v>
      </c>
      <c r="J407" s="77" t="e">
        <f>J350+J355+J375+J389+J396+J399+J406</f>
        <v>#REF!</v>
      </c>
    </row>
    <row r="408" spans="1:10" x14ac:dyDescent="0.25">
      <c r="A408" s="44"/>
      <c r="B408" s="44"/>
      <c r="C408" s="102"/>
      <c r="D408" s="63"/>
      <c r="E408" s="44"/>
      <c r="F408" s="70"/>
      <c r="G408" s="75"/>
      <c r="H408" s="75"/>
      <c r="I408" s="75"/>
      <c r="J408" s="75"/>
    </row>
    <row r="409" spans="1:10" x14ac:dyDescent="0.25">
      <c r="A409" s="60" t="s">
        <v>4276</v>
      </c>
      <c r="B409" s="60"/>
      <c r="C409" s="100"/>
      <c r="D409" s="82"/>
      <c r="E409" s="60"/>
      <c r="F409" s="68"/>
      <c r="G409" s="73"/>
      <c r="H409" s="73"/>
      <c r="I409" s="87" t="s">
        <v>48</v>
      </c>
      <c r="J409" s="87" t="s">
        <v>49</v>
      </c>
    </row>
    <row r="410" spans="1:10" x14ac:dyDescent="0.25">
      <c r="A410" s="78" t="s">
        <v>3995</v>
      </c>
      <c r="B410" s="78"/>
      <c r="C410" s="105"/>
      <c r="D410" s="79"/>
      <c r="E410" s="78"/>
      <c r="F410" s="80"/>
      <c r="G410" s="81"/>
      <c r="H410" s="81"/>
      <c r="I410" s="88" t="e">
        <f>I20</f>
        <v>#REF!</v>
      </c>
      <c r="J410" s="88" t="e">
        <f>J20</f>
        <v>#REF!</v>
      </c>
    </row>
    <row r="411" spans="1:10" x14ac:dyDescent="0.25">
      <c r="A411" s="78" t="s">
        <v>4008</v>
      </c>
      <c r="B411" s="78"/>
      <c r="C411" s="105"/>
      <c r="D411" s="79"/>
      <c r="E411" s="78"/>
      <c r="F411" s="80"/>
      <c r="G411" s="81"/>
      <c r="H411" s="81"/>
      <c r="I411" s="88" t="e">
        <f>I339</f>
        <v>#REF!</v>
      </c>
      <c r="J411" s="88" t="e">
        <f>J339</f>
        <v>#REF!</v>
      </c>
    </row>
    <row r="412" spans="1:10" x14ac:dyDescent="0.25">
      <c r="A412" s="78" t="s">
        <v>4228</v>
      </c>
      <c r="B412" s="78"/>
      <c r="C412" s="105"/>
      <c r="D412" s="79"/>
      <c r="E412" s="78"/>
      <c r="F412" s="80"/>
      <c r="G412" s="81"/>
      <c r="H412" s="81"/>
      <c r="I412" s="88" t="e">
        <f>I407</f>
        <v>#REF!</v>
      </c>
      <c r="J412" s="88" t="e">
        <f>J407</f>
        <v>#REF!</v>
      </c>
    </row>
    <row r="413" spans="1:10" x14ac:dyDescent="0.25">
      <c r="A413" s="78" t="s">
        <v>4277</v>
      </c>
      <c r="B413" s="78"/>
      <c r="C413" s="105"/>
      <c r="D413" s="79"/>
      <c r="E413" s="78"/>
      <c r="F413" s="80"/>
      <c r="G413" s="81"/>
      <c r="H413" s="81"/>
      <c r="I413" s="88">
        <v>0</v>
      </c>
      <c r="J413" s="88" t="e">
        <f>ROUND(RESUMO!D12-SUM(J410:J412),2)</f>
        <v>#REF!</v>
      </c>
    </row>
    <row r="414" spans="1:10" x14ac:dyDescent="0.25">
      <c r="A414" s="83" t="s">
        <v>4278</v>
      </c>
      <c r="B414" s="83"/>
      <c r="C414" s="106"/>
      <c r="D414" s="84"/>
      <c r="E414" s="83"/>
      <c r="F414" s="85"/>
      <c r="G414" s="86"/>
      <c r="H414" s="86"/>
      <c r="I414" s="89">
        <f>RESUMO!D13</f>
        <v>0</v>
      </c>
      <c r="J414" s="89" t="e">
        <f>ROUND(SUM(J410:J413),2)</f>
        <v>#REF!</v>
      </c>
    </row>
  </sheetData>
  <mergeCells count="2">
    <mergeCell ref="A1:J1"/>
    <mergeCell ref="B2:J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sqref="A1:E1"/>
    </sheetView>
  </sheetViews>
  <sheetFormatPr defaultRowHeight="15" x14ac:dyDescent="0.25"/>
  <cols>
    <col min="1" max="1" width="34" customWidth="1"/>
    <col min="2" max="3" width="20" customWidth="1"/>
    <col min="4" max="4" width="14" customWidth="1"/>
    <col min="5" max="5" width="46" customWidth="1"/>
  </cols>
  <sheetData>
    <row r="1" spans="1:5" ht="18.75" x14ac:dyDescent="0.25">
      <c r="A1" s="555" t="s">
        <v>4279</v>
      </c>
      <c r="B1" s="555"/>
      <c r="C1" s="555"/>
      <c r="D1" s="555"/>
      <c r="E1" s="555"/>
    </row>
    <row r="2" spans="1:5" x14ac:dyDescent="0.25">
      <c r="A2" s="92" t="s">
        <v>4280</v>
      </c>
      <c r="B2" s="92" t="s">
        <v>4281</v>
      </c>
      <c r="C2" s="92" t="s">
        <v>4282</v>
      </c>
      <c r="D2" s="92" t="s">
        <v>4283</v>
      </c>
      <c r="E2" s="92" t="s">
        <v>4284</v>
      </c>
    </row>
    <row r="3" spans="1:5" x14ac:dyDescent="0.25">
      <c r="A3" t="s">
        <v>3995</v>
      </c>
      <c r="B3" s="94" t="e">
        <f>ROUND('PLANILHA POR ESCOPO'!I20,2)</f>
        <v>#REF!</v>
      </c>
      <c r="C3" s="94" t="e">
        <f>ROUND('PLANILHA POR ESCOPO'!J20,2)</f>
        <v>#REF!</v>
      </c>
      <c r="D3" s="96" t="e">
        <f>C3/$C$7</f>
        <v>#REF!</v>
      </c>
      <c r="E3" s="63"/>
    </row>
    <row r="4" spans="1:5" x14ac:dyDescent="0.25">
      <c r="A4" t="s">
        <v>4008</v>
      </c>
      <c r="B4" s="94" t="e">
        <f>ROUND('PLANILHA POR ESCOPO'!I339,2)</f>
        <v>#REF!</v>
      </c>
      <c r="C4" s="94" t="e">
        <f>ROUND('PLANILHA POR ESCOPO'!J339,2)</f>
        <v>#REF!</v>
      </c>
      <c r="D4" s="96" t="e">
        <f>C4/$C$7</f>
        <v>#REF!</v>
      </c>
      <c r="E4" s="63"/>
    </row>
    <row r="5" spans="1:5" x14ac:dyDescent="0.25">
      <c r="A5" t="s">
        <v>4228</v>
      </c>
      <c r="B5" s="94" t="e">
        <f>ROUND('PLANILHA POR ESCOPO'!I407,2)</f>
        <v>#REF!</v>
      </c>
      <c r="C5" s="94" t="e">
        <f>ROUND('PLANILHA POR ESCOPO'!J407,2)</f>
        <v>#REF!</v>
      </c>
      <c r="D5" s="96" t="e">
        <f>C5/$C$7</f>
        <v>#REF!</v>
      </c>
      <c r="E5" s="63"/>
    </row>
    <row r="6" spans="1:5" ht="30" x14ac:dyDescent="0.25">
      <c r="A6" t="s">
        <v>4285</v>
      </c>
      <c r="B6" s="94">
        <v>0</v>
      </c>
      <c r="C6" s="94" t="e">
        <f>ROUND('PLANILHA POR ESCOPO'!J413,2)</f>
        <v>#REF!</v>
      </c>
      <c r="D6" s="96"/>
      <c r="E6" s="63" t="s">
        <v>4286</v>
      </c>
    </row>
    <row r="7" spans="1:5" x14ac:dyDescent="0.25">
      <c r="A7" s="93" t="s">
        <v>4278</v>
      </c>
      <c r="B7" s="95">
        <f>ROUND(RESUMO!D13,2)</f>
        <v>0</v>
      </c>
      <c r="C7" s="95">
        <f>ROUND(RESUMO!D12,2)</f>
        <v>7237488.3499999996</v>
      </c>
      <c r="D7" s="97">
        <v>1</v>
      </c>
      <c r="E7" s="84"/>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13</vt:i4>
      </vt:variant>
    </vt:vector>
  </HeadingPairs>
  <TitlesOfParts>
    <vt:vector size="26" baseType="lpstr">
      <vt:lpstr>RESUMO</vt:lpstr>
      <vt:lpstr>CRONOGRAMA</vt:lpstr>
      <vt:lpstr>PLANILHA ORCAMENTARIA</vt:lpstr>
      <vt:lpstr>MEMORIA DE CALCULO</vt:lpstr>
      <vt:lpstr>SINTETICO PROPRIAS</vt:lpstr>
      <vt:lpstr>COMPOSICOES PROPRIAS</vt:lpstr>
      <vt:lpstr>COMPOSICOES AUXILIARES</vt:lpstr>
      <vt:lpstr>COMPOSICOES</vt:lpstr>
      <vt:lpstr>CURVA ABC SERVICOS</vt:lpstr>
      <vt:lpstr>CURVA ABC INSUMOS</vt:lpstr>
      <vt:lpstr>DADOS DO ORÇAMENTO</vt:lpstr>
      <vt:lpstr>PLANILHA POR ESCOPO</vt:lpstr>
      <vt:lpstr>RESUMO POR ESCOPO</vt:lpstr>
      <vt:lpstr>'COMPOSICOES PROPRIAS'!Area_de_impressao</vt:lpstr>
      <vt:lpstr>CRONOGRAMA!Area_de_impressao</vt:lpstr>
      <vt:lpstr>'PLANILHA ORCAMENTARIA'!Area_de_impressao</vt:lpstr>
      <vt:lpstr>JR_PAGE_ANCHOR_1_1</vt:lpstr>
      <vt:lpstr>JR_PAGE_ANCHOR_2_1</vt:lpstr>
      <vt:lpstr>JR_PAGE_ANCHOR_3_1</vt:lpstr>
      <vt:lpstr>JR_PAGE_ANCHOR_4_1</vt:lpstr>
      <vt:lpstr>JR_PAGE_ANCHOR_5_1</vt:lpstr>
      <vt:lpstr>JR_PAGE_ANCHOR_6_1</vt:lpstr>
      <vt:lpstr>JR_PAGE_ANCHOR_7_1</vt:lpstr>
      <vt:lpstr>JR_PAGE_ANCHOR_8_1</vt:lpstr>
      <vt:lpstr>JR_PAGE_ANCHOR_9_1</vt:lpstr>
      <vt:lpstr>VALOR_TOTAL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Thayna Gatti Batista</dc:creator>
  <cp:lastModifiedBy>Angelo Parrini Pereira De Souza</cp:lastModifiedBy>
  <cp:lastPrinted>2026-07-30T18:12:52Z</cp:lastPrinted>
  <dcterms:created xsi:type="dcterms:W3CDTF">2026-06-25T20:50:23Z</dcterms:created>
  <dcterms:modified xsi:type="dcterms:W3CDTF">2026-08-03T19:41:49Z</dcterms:modified>
</cp:coreProperties>
</file>