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braepr-my.sharepoint.com/personal/paraujo_rj_sebrae_com_br/Documents/Licitações 2025/CE 04.2025 - Obra ESN/"/>
    </mc:Choice>
  </mc:AlternateContent>
  <xr:revisionPtr revIDLastSave="0" documentId="8_{EA08C2B4-E1E3-49EF-A1FA-5DB96398D82B}" xr6:coauthVersionLast="47" xr6:coauthVersionMax="47" xr10:uidLastSave="{00000000-0000-0000-0000-000000000000}"/>
  <bookViews>
    <workbookView xWindow="-110" yWindow="-110" windowWidth="19420" windowHeight="10420" xr2:uid="{683B0D7D-49F6-4B90-B9AF-7E23A421ADFF}"/>
  </bookViews>
  <sheets>
    <sheet name="PLANILHA ORÇAMENTÁRIA" sheetId="4" r:id="rId1"/>
    <sheet name="PLANILHA RESUMO" sheetId="1" r:id="rId2"/>
    <sheet name="CRONOGRAMA FÍSICO FINANCEIRO" sheetId="6" r:id="rId3"/>
    <sheet name="AUXILIAR" sheetId="2" state="hidden" r:id="rId4"/>
  </sheets>
  <externalReferences>
    <externalReference r:id="rId5"/>
  </externalReferences>
  <definedNames>
    <definedName name="_xlnm._FilterDatabase" localSheetId="2" hidden="1">'CRONOGRAMA FÍSICO FINANCEIRO'!$A$12:$Q$31</definedName>
    <definedName name="_xlnm._FilterDatabase" localSheetId="0" hidden="1">'PLANILHA ORÇAMENTÁRIA'!$A$11:$B$489</definedName>
    <definedName name="ÁREA_CONSTRUIDA">'PLANILHA ORÇAMENTÁRIA'!$N$3</definedName>
    <definedName name="ÁREA_CONSTRUIDA_BARRA">#REF!</definedName>
    <definedName name="ÁREA_CONSTRUIDA_NI">#REF!</definedName>
    <definedName name="ÁREA_CONSTRUIDA_REF">#REF!</definedName>
    <definedName name="DT_CT_ENC_PREDIAL">'[1]CONT PAG PREDIAL'!$M$14</definedName>
    <definedName name="DT_CT_PREDIAL">'[1]CONT PAG PREDIAL'!$H$14</definedName>
    <definedName name="PERCENT_REAL_PREDIAL">'[1]CONT PAG PREDIAL'!$M$29</definedName>
    <definedName name="PRAZO_DE_OBRA">'PLANILHA ORÇAMENTÁRIA'!$N$4</definedName>
    <definedName name="Qtd_MO_PREDIAL">'[1]PAINEL CONTRATOS'!$H$25</definedName>
    <definedName name="TOTAL_PAGO_PREDIAL">'[1]CONT PAG PREDIAL'!$M$28</definedName>
    <definedName name="VLR_CT_PREDIAL">'[1]CONT PAG PREDIAL'!$M$19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6" l="1"/>
  <c r="B453" i="4" l="1"/>
  <c r="A453" i="4" s="1" a="1"/>
  <c r="A453" i="4" s="1"/>
  <c r="H464" i="4"/>
  <c r="H461" i="4"/>
  <c r="H183" i="4"/>
  <c r="H13" i="4"/>
  <c r="F30" i="6"/>
  <c r="M30" i="6"/>
  <c r="O30" i="6"/>
  <c r="B30" i="6"/>
  <c r="B24" i="1"/>
  <c r="B463" i="4"/>
  <c r="C463" i="4" s="1"/>
  <c r="B462" i="4"/>
  <c r="A462" i="4" s="1" a="1"/>
  <c r="A462" i="4" s="1"/>
  <c r="B461" i="4"/>
  <c r="A461" i="4" s="1" a="1"/>
  <c r="A461" i="4" s="1"/>
  <c r="B466" i="4"/>
  <c r="C466" i="4" s="1"/>
  <c r="B465" i="4"/>
  <c r="A465" i="4" s="1" a="1"/>
  <c r="A465" i="4" s="1"/>
  <c r="B464" i="4"/>
  <c r="A464" i="4" s="1" a="1"/>
  <c r="A464" i="4" s="1"/>
  <c r="B460" i="4"/>
  <c r="A460" i="4" s="1" a="1"/>
  <c r="A460" i="4" s="1"/>
  <c r="B454" i="4"/>
  <c r="B356" i="4"/>
  <c r="A356" i="4" s="1" a="1"/>
  <c r="A356" i="4" s="1"/>
  <c r="H353" i="4"/>
  <c r="H343" i="4"/>
  <c r="B262" i="4"/>
  <c r="C262" i="4" s="1"/>
  <c r="H192" i="4"/>
  <c r="B192" i="4"/>
  <c r="A192" i="4" s="1" a="1"/>
  <c r="A192" i="4" s="1"/>
  <c r="H66" i="4"/>
  <c r="H354" i="4" l="1"/>
  <c r="C453" i="4"/>
  <c r="C462" i="4"/>
  <c r="A463" i="4" a="1"/>
  <c r="A463" i="4" s="1"/>
  <c r="A466" i="4" a="1"/>
  <c r="A466" i="4" s="1"/>
  <c r="C465" i="4"/>
  <c r="C356" i="4"/>
  <c r="H348" i="4"/>
  <c r="A262" i="4" a="1"/>
  <c r="A262" i="4" s="1"/>
  <c r="C192" i="4"/>
  <c r="B261" i="4"/>
  <c r="C261" i="4" s="1"/>
  <c r="B119" i="4"/>
  <c r="B120" i="4"/>
  <c r="A120" i="4" s="1" a="1"/>
  <c r="A120" i="4" s="1"/>
  <c r="B121" i="4"/>
  <c r="A121" i="4" s="1" a="1"/>
  <c r="A121" i="4" s="1"/>
  <c r="H212" i="4"/>
  <c r="H250" i="4"/>
  <c r="B188" i="4"/>
  <c r="C188" i="4" s="1"/>
  <c r="H352" i="4" l="1"/>
  <c r="H260" i="4"/>
  <c r="A261" i="4" a="1"/>
  <c r="A261" i="4" s="1"/>
  <c r="A188" i="4" a="1"/>
  <c r="A188" i="4" s="1"/>
  <c r="H60" i="4"/>
  <c r="B325" i="4"/>
  <c r="B153" i="4"/>
  <c r="C153" i="4" s="1"/>
  <c r="H49" i="4"/>
  <c r="B13" i="4"/>
  <c r="H175" i="4"/>
  <c r="H132" i="4"/>
  <c r="H238" i="4" l="1"/>
  <c r="H48" i="4"/>
  <c r="H193" i="4"/>
  <c r="H325" i="4"/>
  <c r="H198" i="4"/>
  <c r="H195" i="4"/>
  <c r="H194" i="4"/>
  <c r="H196" i="4"/>
  <c r="H79" i="4"/>
  <c r="H120" i="4"/>
  <c r="H89" i="4"/>
  <c r="H88" i="4"/>
  <c r="H95" i="4"/>
  <c r="H80" i="4"/>
  <c r="A325" i="4" a="1"/>
  <c r="A325" i="4" s="1"/>
  <c r="A153" i="4" a="1"/>
  <c r="A153" i="4" s="1"/>
  <c r="H33" i="4"/>
  <c r="H73" i="4"/>
  <c r="B19" i="4"/>
  <c r="C19" i="4" s="1"/>
  <c r="C325" i="4" l="1"/>
  <c r="H316" i="4"/>
  <c r="H121" i="4"/>
  <c r="C120" i="4"/>
  <c r="A19" i="4" a="1"/>
  <c r="A19" i="4" s="1"/>
  <c r="H468" i="4"/>
  <c r="H467" i="4" s="1"/>
  <c r="H454" i="4"/>
  <c r="C454" i="4" s="1"/>
  <c r="H450" i="4"/>
  <c r="C450" i="4" s="1"/>
  <c r="H447" i="4"/>
  <c r="C447" i="4" s="1"/>
  <c r="H443" i="4"/>
  <c r="C443" i="4" s="1"/>
  <c r="H420" i="4"/>
  <c r="C420" i="4" s="1"/>
  <c r="H413" i="4"/>
  <c r="C413" i="4" s="1"/>
  <c r="H393" i="4"/>
  <c r="C393" i="4" s="1"/>
  <c r="H375" i="4"/>
  <c r="H367" i="4"/>
  <c r="C367" i="4" s="1"/>
  <c r="H357" i="4"/>
  <c r="C357" i="4" s="1"/>
  <c r="C13" i="4"/>
  <c r="H44" i="4"/>
  <c r="C44" i="4" s="1"/>
  <c r="H53" i="4"/>
  <c r="C53" i="4" s="1"/>
  <c r="H78" i="4"/>
  <c r="C78" i="4" s="1"/>
  <c r="H98" i="4"/>
  <c r="C98" i="4" s="1"/>
  <c r="H273" i="4"/>
  <c r="C273" i="4" s="1"/>
  <c r="H296" i="4"/>
  <c r="C296" i="4" s="1"/>
  <c r="H326" i="4"/>
  <c r="C326" i="4" s="1"/>
  <c r="H333" i="4"/>
  <c r="C333" i="4" s="1"/>
  <c r="H335" i="4"/>
  <c r="C335" i="4" s="1"/>
  <c r="B318" i="4"/>
  <c r="A318" i="4" s="1" a="1"/>
  <c r="A318" i="4" s="1"/>
  <c r="C121" i="4" l="1"/>
  <c r="H113" i="4"/>
  <c r="C467" i="4"/>
  <c r="H374" i="4"/>
  <c r="C374" i="4" s="1"/>
  <c r="C468" i="4"/>
  <c r="C375" i="4"/>
  <c r="H315" i="4"/>
  <c r="C315" i="4" s="1"/>
  <c r="C316" i="4"/>
  <c r="H446" i="4"/>
  <c r="C446" i="4" s="1"/>
  <c r="C318" i="4"/>
  <c r="B241" i="4"/>
  <c r="C241" i="4" s="1"/>
  <c r="B240" i="4"/>
  <c r="A240" i="4" s="1" a="1"/>
  <c r="A240" i="4" s="1"/>
  <c r="C461" i="4" l="1"/>
  <c r="H460" i="4"/>
  <c r="C460" i="4" s="1"/>
  <c r="C464" i="4"/>
  <c r="C240" i="4"/>
  <c r="A241" i="4" a="1"/>
  <c r="A241" i="4" s="1"/>
  <c r="C183" i="4"/>
  <c r="H179" i="4"/>
  <c r="C179" i="4" s="1"/>
  <c r="H169" i="4"/>
  <c r="C169" i="4" s="1"/>
  <c r="H162" i="4"/>
  <c r="C113" i="4"/>
  <c r="H144" i="4" l="1"/>
  <c r="C144" i="4" s="1"/>
  <c r="C162" i="4"/>
  <c r="H438" i="4"/>
  <c r="H432" i="4"/>
  <c r="C432" i="4" s="1"/>
  <c r="C352" i="4"/>
  <c r="H220" i="4"/>
  <c r="C220" i="4" s="1"/>
  <c r="H431" i="4" l="1"/>
  <c r="C431" i="4" s="1"/>
  <c r="C438" i="4"/>
  <c r="H190" i="4"/>
  <c r="C190" i="4" s="1"/>
  <c r="B323" i="4"/>
  <c r="C323" i="4" s="1"/>
  <c r="B324" i="4"/>
  <c r="C324" i="4" s="1"/>
  <c r="B322" i="4"/>
  <c r="C322" i="4" s="1"/>
  <c r="B321" i="4"/>
  <c r="A321" i="4" s="1" a="1"/>
  <c r="A321" i="4" s="1"/>
  <c r="B320" i="4"/>
  <c r="C320" i="4" s="1"/>
  <c r="B319" i="4"/>
  <c r="C319" i="4" s="1"/>
  <c r="B317" i="4"/>
  <c r="C317" i="4" s="1"/>
  <c r="B287" i="4"/>
  <c r="C287" i="4" s="1"/>
  <c r="B229" i="4"/>
  <c r="C229" i="4" s="1"/>
  <c r="B224" i="4"/>
  <c r="C224" i="4" s="1"/>
  <c r="B223" i="4"/>
  <c r="C223" i="4" s="1"/>
  <c r="B222" i="4"/>
  <c r="C222" i="4" s="1"/>
  <c r="B228" i="4"/>
  <c r="C228" i="4" s="1"/>
  <c r="B227" i="4"/>
  <c r="C227" i="4" s="1"/>
  <c r="B226" i="4"/>
  <c r="C226" i="4" s="1"/>
  <c r="B225" i="4"/>
  <c r="C225" i="4" s="1"/>
  <c r="B207" i="4"/>
  <c r="C207" i="4" s="1"/>
  <c r="B201" i="4"/>
  <c r="C201" i="4" s="1"/>
  <c r="B206" i="4"/>
  <c r="C206" i="4" s="1"/>
  <c r="B205" i="4"/>
  <c r="C205" i="4" s="1"/>
  <c r="B204" i="4"/>
  <c r="C204" i="4" s="1"/>
  <c r="B203" i="4"/>
  <c r="C203" i="4" s="1"/>
  <c r="B202" i="4"/>
  <c r="A202" i="4" s="1" a="1"/>
  <c r="A202" i="4" s="1"/>
  <c r="B200" i="4"/>
  <c r="A200" i="4" s="1" a="1"/>
  <c r="A200" i="4" s="1"/>
  <c r="B199" i="4"/>
  <c r="A199" i="4" s="1" a="1"/>
  <c r="A199" i="4" s="1"/>
  <c r="B198" i="4"/>
  <c r="C198" i="4" s="1"/>
  <c r="B197" i="4"/>
  <c r="C197" i="4" s="1"/>
  <c r="B196" i="4"/>
  <c r="C196" i="4" s="1"/>
  <c r="B234" i="4"/>
  <c r="A234" i="4" s="1" a="1"/>
  <c r="A234" i="4" s="1"/>
  <c r="B236" i="4"/>
  <c r="A236" i="4" s="1" a="1"/>
  <c r="A236" i="4" s="1"/>
  <c r="H263" i="4" l="1"/>
  <c r="C263" i="4" s="1"/>
  <c r="C238" i="4"/>
  <c r="A323" i="4" a="1"/>
  <c r="A323" i="4" s="1"/>
  <c r="A320" i="4" a="1"/>
  <c r="A320" i="4" s="1"/>
  <c r="A317" i="4" a="1"/>
  <c r="A317" i="4" s="1"/>
  <c r="A324" i="4" a="1"/>
  <c r="A324" i="4" s="1"/>
  <c r="A322" i="4" a="1"/>
  <c r="A322" i="4" s="1"/>
  <c r="C321" i="4"/>
  <c r="A319" i="4" a="1"/>
  <c r="A319" i="4" s="1"/>
  <c r="A287" i="4" a="1"/>
  <c r="A287" i="4" s="1"/>
  <c r="A229" i="4" a="1"/>
  <c r="A229" i="4" s="1"/>
  <c r="A224" i="4" a="1"/>
  <c r="A224" i="4" s="1"/>
  <c r="A227" i="4" a="1"/>
  <c r="A227" i="4" s="1"/>
  <c r="A223" i="4" a="1"/>
  <c r="A223" i="4" s="1"/>
  <c r="A222" i="4" a="1"/>
  <c r="A222" i="4" s="1"/>
  <c r="A226" i="4" a="1"/>
  <c r="A226" i="4" s="1"/>
  <c r="A228" i="4" a="1"/>
  <c r="A228" i="4" s="1"/>
  <c r="A225" i="4" a="1"/>
  <c r="A225" i="4" s="1"/>
  <c r="A198" i="4" a="1"/>
  <c r="A198" i="4" s="1"/>
  <c r="C202" i="4"/>
  <c r="A204" i="4" a="1"/>
  <c r="A204" i="4" s="1"/>
  <c r="A207" i="4" a="1"/>
  <c r="A207" i="4" s="1"/>
  <c r="A203" i="4" a="1"/>
  <c r="A203" i="4" s="1"/>
  <c r="A201" i="4" a="1"/>
  <c r="A201" i="4" s="1"/>
  <c r="A197" i="4" a="1"/>
  <c r="A197" i="4" s="1"/>
  <c r="C200" i="4"/>
  <c r="A206" i="4" a="1"/>
  <c r="A206" i="4" s="1"/>
  <c r="A196" i="4" a="1"/>
  <c r="A196" i="4" s="1"/>
  <c r="C199" i="4"/>
  <c r="A205" i="4" a="1"/>
  <c r="A205" i="4" s="1"/>
  <c r="C234" i="4"/>
  <c r="C236" i="4"/>
  <c r="B313" i="4"/>
  <c r="C313" i="4" s="1"/>
  <c r="B312" i="4"/>
  <c r="C312" i="4" s="1"/>
  <c r="B314" i="4"/>
  <c r="A314" i="4" s="1" a="1"/>
  <c r="A314" i="4" s="1"/>
  <c r="H176" i="4"/>
  <c r="H161" i="4" s="1"/>
  <c r="H155" i="4"/>
  <c r="C155" i="4" s="1"/>
  <c r="H43" i="4"/>
  <c r="H39" i="4"/>
  <c r="H38" i="4"/>
  <c r="H37" i="4"/>
  <c r="C36" i="6"/>
  <c r="M21" i="6"/>
  <c r="F18" i="6"/>
  <c r="H34" i="4"/>
  <c r="H32" i="4"/>
  <c r="H31" i="4"/>
  <c r="H30" i="4"/>
  <c r="H29" i="4"/>
  <c r="H28" i="4"/>
  <c r="H27" i="4"/>
  <c r="H40" i="4" l="1"/>
  <c r="C40" i="4" s="1"/>
  <c r="H122" i="4"/>
  <c r="C122" i="4" s="1"/>
  <c r="H36" i="4"/>
  <c r="C36" i="4" s="1"/>
  <c r="H26" i="4"/>
  <c r="C26" i="4" s="1"/>
  <c r="H58" i="4"/>
  <c r="C176" i="4"/>
  <c r="C161" i="4"/>
  <c r="H189" i="4"/>
  <c r="C189" i="4" s="1"/>
  <c r="A313" i="4" a="1"/>
  <c r="A313" i="4" s="1"/>
  <c r="A312" i="4" a="1"/>
  <c r="A312" i="4" s="1"/>
  <c r="C314" i="4"/>
  <c r="M29" i="6"/>
  <c r="M19" i="6"/>
  <c r="M27" i="6"/>
  <c r="M20" i="6"/>
  <c r="M24" i="6"/>
  <c r="M25" i="6"/>
  <c r="N13" i="6"/>
  <c r="N30" i="6" s="1"/>
  <c r="M18" i="6"/>
  <c r="M15" i="6"/>
  <c r="M22" i="6"/>
  <c r="M26" i="6"/>
  <c r="M31" i="6"/>
  <c r="M16" i="6"/>
  <c r="M23" i="6"/>
  <c r="M17" i="6"/>
  <c r="M28" i="6"/>
  <c r="M14" i="6"/>
  <c r="P6" i="6"/>
  <c r="P5" i="6"/>
  <c r="P4" i="6"/>
  <c r="P3" i="6"/>
  <c r="P9" i="6"/>
  <c r="C41" i="6"/>
  <c r="C40" i="6"/>
  <c r="C39" i="6"/>
  <c r="C38" i="6"/>
  <c r="C37" i="6"/>
  <c r="G13" i="6"/>
  <c r="G30" i="6" s="1"/>
  <c r="C58" i="4" l="1"/>
  <c r="H57" i="4"/>
  <c r="C57" i="4" s="1"/>
  <c r="H342" i="4"/>
  <c r="N31" i="6"/>
  <c r="N26" i="6"/>
  <c r="N22" i="6"/>
  <c r="N15" i="6"/>
  <c r="N17" i="6"/>
  <c r="N27" i="6"/>
  <c r="N19" i="6"/>
  <c r="N24" i="6"/>
  <c r="N29" i="6"/>
  <c r="N25" i="6"/>
  <c r="N21" i="6"/>
  <c r="N18" i="6"/>
  <c r="N14" i="6"/>
  <c r="N20" i="6"/>
  <c r="N23" i="6"/>
  <c r="N16" i="6"/>
  <c r="N28" i="6"/>
  <c r="H13" i="6"/>
  <c r="H30" i="6" s="1"/>
  <c r="G18" i="6"/>
  <c r="H341" i="4" l="1"/>
  <c r="C341" i="4" s="1"/>
  <c r="C342" i="4"/>
  <c r="I13" i="6"/>
  <c r="I30" i="6" s="1"/>
  <c r="H18" i="6"/>
  <c r="J13" i="6" l="1"/>
  <c r="J30" i="6" s="1"/>
  <c r="I18" i="6"/>
  <c r="K13" i="6" l="1"/>
  <c r="K30" i="6" s="1"/>
  <c r="J18" i="6"/>
  <c r="L13" i="6" l="1"/>
  <c r="L30" i="6" s="1"/>
  <c r="P30" i="6" s="1" a="1"/>
  <c r="P30" i="6" s="1"/>
  <c r="K18" i="6"/>
  <c r="L18" i="6" l="1"/>
  <c r="B14" i="6"/>
  <c r="B27" i="6"/>
  <c r="B22" i="6"/>
  <c r="B273" i="4"/>
  <c r="B155" i="4"/>
  <c r="B15" i="6"/>
  <c r="B16" i="6"/>
  <c r="B17" i="6"/>
  <c r="B19" i="6"/>
  <c r="B20" i="6"/>
  <c r="B24" i="6"/>
  <c r="B25" i="6"/>
  <c r="B26" i="6"/>
  <c r="B29" i="6"/>
  <c r="B31" i="6"/>
  <c r="B8" i="6"/>
  <c r="B6" i="6"/>
  <c r="B5" i="6"/>
  <c r="B4" i="6"/>
  <c r="B3" i="6"/>
  <c r="F9" i="4" a="1"/>
  <c r="F9" i="4" s="1"/>
  <c r="B9" i="6" s="1"/>
  <c r="B504" i="4"/>
  <c r="A504" i="4" s="1" a="1"/>
  <c r="A504" i="4" s="1"/>
  <c r="B502" i="4"/>
  <c r="A502" i="4" s="1" a="1"/>
  <c r="A502" i="4" s="1"/>
  <c r="B501" i="4"/>
  <c r="A501" i="4" s="1" a="1"/>
  <c r="A501" i="4" s="1"/>
  <c r="B500" i="4"/>
  <c r="A500" i="4" s="1" a="1"/>
  <c r="A500" i="4" s="1"/>
  <c r="B499" i="4"/>
  <c r="A499" i="4" s="1" a="1"/>
  <c r="A499" i="4" s="1"/>
  <c r="B498" i="4"/>
  <c r="A498" i="4" s="1" a="1"/>
  <c r="A498" i="4" s="1"/>
  <c r="B497" i="4"/>
  <c r="A497" i="4" s="1" a="1"/>
  <c r="A497" i="4" s="1"/>
  <c r="B496" i="4"/>
  <c r="A496" i="4" s="1" a="1"/>
  <c r="A496" i="4" s="1"/>
  <c r="B493" i="4"/>
  <c r="A493" i="4" s="1" a="1"/>
  <c r="A493" i="4" s="1"/>
  <c r="B25" i="1"/>
  <c r="B23" i="1"/>
  <c r="B486" i="4"/>
  <c r="C486" i="4" s="1"/>
  <c r="B485" i="4"/>
  <c r="C485" i="4" s="1"/>
  <c r="B484" i="4"/>
  <c r="C484" i="4" s="1"/>
  <c r="B483" i="4"/>
  <c r="C483" i="4" s="1"/>
  <c r="B482" i="4"/>
  <c r="C482" i="4" s="1"/>
  <c r="B481" i="4"/>
  <c r="C481" i="4" s="1"/>
  <c r="B480" i="4"/>
  <c r="C480" i="4" s="1"/>
  <c r="B479" i="4"/>
  <c r="C479" i="4" s="1"/>
  <c r="B478" i="4"/>
  <c r="C478" i="4" s="1"/>
  <c r="B477" i="4"/>
  <c r="C477" i="4" s="1"/>
  <c r="B476" i="4"/>
  <c r="C476" i="4" s="1"/>
  <c r="B475" i="4"/>
  <c r="C475" i="4" s="1"/>
  <c r="B474" i="4"/>
  <c r="C474" i="4" s="1"/>
  <c r="B410" i="4"/>
  <c r="B409" i="4"/>
  <c r="B412" i="4"/>
  <c r="B411" i="4"/>
  <c r="B391" i="4"/>
  <c r="B392" i="4"/>
  <c r="B182" i="4"/>
  <c r="B407" i="4"/>
  <c r="B473" i="4"/>
  <c r="C473" i="4" s="1"/>
  <c r="B472" i="4"/>
  <c r="C472" i="4" s="1"/>
  <c r="B471" i="4"/>
  <c r="C471" i="4" s="1"/>
  <c r="B470" i="4"/>
  <c r="C470" i="4" s="1"/>
  <c r="B469" i="4"/>
  <c r="C469" i="4" s="1"/>
  <c r="B468" i="4"/>
  <c r="B467" i="4"/>
  <c r="D6" i="1"/>
  <c r="B6" i="1"/>
  <c r="D5" i="1"/>
  <c r="D4" i="1"/>
  <c r="D3" i="1"/>
  <c r="B8" i="1"/>
  <c r="B4" i="1"/>
  <c r="B5" i="1"/>
  <c r="B3" i="1"/>
  <c r="B362" i="4"/>
  <c r="B442" i="4"/>
  <c r="B432" i="4"/>
  <c r="B431" i="4"/>
  <c r="B295" i="4"/>
  <c r="B294" i="4"/>
  <c r="B293" i="4"/>
  <c r="B459" i="4"/>
  <c r="B458" i="4"/>
  <c r="B457" i="4"/>
  <c r="B456" i="4"/>
  <c r="B446" i="4"/>
  <c r="B447" i="4"/>
  <c r="B448" i="4"/>
  <c r="B449" i="4"/>
  <c r="B450" i="4"/>
  <c r="B451" i="4"/>
  <c r="B452" i="4"/>
  <c r="B455" i="4"/>
  <c r="B487" i="4"/>
  <c r="B488" i="4"/>
  <c r="B489" i="4"/>
  <c r="B433" i="4"/>
  <c r="B434" i="4"/>
  <c r="B435" i="4"/>
  <c r="B436" i="4"/>
  <c r="B437" i="4"/>
  <c r="B438" i="4"/>
  <c r="B439" i="4"/>
  <c r="B440" i="4"/>
  <c r="B441" i="4"/>
  <c r="B419" i="4"/>
  <c r="B418" i="4"/>
  <c r="B417" i="4"/>
  <c r="B292" i="4"/>
  <c r="B291" i="4"/>
  <c r="B290" i="4"/>
  <c r="B406" i="4"/>
  <c r="B405" i="4"/>
  <c r="B404" i="4"/>
  <c r="B403" i="4"/>
  <c r="B402" i="4"/>
  <c r="B401" i="4"/>
  <c r="B400" i="4"/>
  <c r="B399" i="4"/>
  <c r="B398" i="4"/>
  <c r="B397" i="4"/>
  <c r="B396" i="4"/>
  <c r="B395" i="4"/>
  <c r="B394" i="4"/>
  <c r="B408" i="4"/>
  <c r="B385" i="4"/>
  <c r="B384" i="4"/>
  <c r="B383" i="4"/>
  <c r="B382" i="4"/>
  <c r="B381" i="4"/>
  <c r="B380" i="4"/>
  <c r="B379" i="4"/>
  <c r="B378" i="4"/>
  <c r="B377" i="4"/>
  <c r="B386" i="4"/>
  <c r="B387" i="4"/>
  <c r="B388" i="4"/>
  <c r="B389" i="4"/>
  <c r="B390" i="4"/>
  <c r="B423" i="4"/>
  <c r="B422" i="4"/>
  <c r="B421" i="4"/>
  <c r="B420" i="4"/>
  <c r="B393" i="4"/>
  <c r="B376" i="4"/>
  <c r="B375" i="4"/>
  <c r="B374" i="4"/>
  <c r="B413" i="4"/>
  <c r="B414" i="4"/>
  <c r="B415" i="4"/>
  <c r="B416" i="4"/>
  <c r="B424" i="4"/>
  <c r="B425" i="4"/>
  <c r="B426" i="4"/>
  <c r="B427" i="4"/>
  <c r="B428" i="4"/>
  <c r="B429" i="4"/>
  <c r="B430" i="4"/>
  <c r="B373" i="4"/>
  <c r="B372" i="4"/>
  <c r="B371" i="4"/>
  <c r="B370" i="4"/>
  <c r="B368" i="4"/>
  <c r="B369" i="4"/>
  <c r="B443" i="4"/>
  <c r="B444" i="4"/>
  <c r="B363" i="4"/>
  <c r="B364" i="4"/>
  <c r="B365" i="4"/>
  <c r="B366" i="4"/>
  <c r="B367" i="4"/>
  <c r="B445" i="4"/>
  <c r="B347" i="4"/>
  <c r="B348" i="4"/>
  <c r="B349" i="4"/>
  <c r="B350" i="4"/>
  <c r="B351" i="4"/>
  <c r="B160" i="4"/>
  <c r="B346" i="4"/>
  <c r="B345" i="4"/>
  <c r="B344" i="4"/>
  <c r="B343" i="4"/>
  <c r="B342" i="4"/>
  <c r="B341" i="4"/>
  <c r="B328" i="4"/>
  <c r="B327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52" i="4"/>
  <c r="B353" i="4"/>
  <c r="B354" i="4"/>
  <c r="B355" i="4"/>
  <c r="B357" i="4"/>
  <c r="B358" i="4"/>
  <c r="B316" i="4"/>
  <c r="B271" i="4"/>
  <c r="B268" i="4"/>
  <c r="B267" i="4"/>
  <c r="B311" i="4"/>
  <c r="B310" i="4"/>
  <c r="B309" i="4"/>
  <c r="B308" i="4"/>
  <c r="B307" i="4"/>
  <c r="B306" i="4"/>
  <c r="B305" i="4"/>
  <c r="B304" i="4"/>
  <c r="B303" i="4"/>
  <c r="B302" i="4"/>
  <c r="B301" i="4"/>
  <c r="B300" i="4"/>
  <c r="B299" i="4"/>
  <c r="B289" i="4"/>
  <c r="B288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D26" i="1"/>
  <c r="B13" i="1"/>
  <c r="B14" i="1"/>
  <c r="B15" i="1"/>
  <c r="B16" i="1"/>
  <c r="B17" i="1"/>
  <c r="B18" i="1"/>
  <c r="B19" i="1"/>
  <c r="B20" i="1"/>
  <c r="B21" i="1"/>
  <c r="B22" i="1"/>
  <c r="B12" i="1"/>
  <c r="B265" i="4"/>
  <c r="B266" i="4"/>
  <c r="B269" i="4"/>
  <c r="B270" i="4"/>
  <c r="B272" i="4"/>
  <c r="O18" i="6" l="1"/>
  <c r="P18" i="6" s="1" a="1"/>
  <c r="P18" i="6" s="1"/>
  <c r="H489" i="4"/>
  <c r="P8" i="6"/>
  <c r="D9" i="1"/>
  <c r="A372" i="4" a="1"/>
  <c r="A372" i="4" s="1"/>
  <c r="C372" i="4"/>
  <c r="A307" i="4" a="1"/>
  <c r="A307" i="4" s="1"/>
  <c r="C307" i="4"/>
  <c r="A338" i="4" a="1"/>
  <c r="A338" i="4" s="1"/>
  <c r="C338" i="4"/>
  <c r="A413" i="4" a="1"/>
  <c r="A413" i="4" s="1"/>
  <c r="A389" i="4" a="1"/>
  <c r="A389" i="4" s="1"/>
  <c r="C389" i="4"/>
  <c r="A454" i="4" a="1"/>
  <c r="A454" i="4" s="1"/>
  <c r="A431" i="4" a="1"/>
  <c r="A431" i="4" s="1"/>
  <c r="A469" i="4" a="1"/>
  <c r="A469" i="4" s="1"/>
  <c r="A477" i="4" a="1"/>
  <c r="A477" i="4" s="1"/>
  <c r="A485" i="4" a="1"/>
  <c r="A485" i="4" s="1"/>
  <c r="A276" i="4" a="1"/>
  <c r="A276" i="4" s="1"/>
  <c r="C276" i="4"/>
  <c r="A284" i="4" a="1"/>
  <c r="A284" i="4" s="1"/>
  <c r="C284" i="4"/>
  <c r="A302" i="4" a="1"/>
  <c r="A302" i="4" s="1"/>
  <c r="C302" i="4"/>
  <c r="A310" i="4" a="1"/>
  <c r="A310" i="4" s="1"/>
  <c r="C310" i="4"/>
  <c r="A316" i="4" a="1"/>
  <c r="A316" i="4" s="1"/>
  <c r="A357" i="4" a="1"/>
  <c r="A357" i="4" s="1"/>
  <c r="A337" i="4" a="1"/>
  <c r="A337" i="4" s="1"/>
  <c r="C337" i="4"/>
  <c r="A329" i="4" a="1"/>
  <c r="A329" i="4" s="1"/>
  <c r="C329" i="4"/>
  <c r="A328" i="4" a="1"/>
  <c r="A328" i="4" s="1"/>
  <c r="C328" i="4"/>
  <c r="A346" i="4" a="1"/>
  <c r="A346" i="4" s="1"/>
  <c r="C346" i="4"/>
  <c r="A351" i="4" a="1"/>
  <c r="A351" i="4" s="1"/>
  <c r="C351" i="4"/>
  <c r="A365" i="4" a="1"/>
  <c r="A365" i="4" s="1"/>
  <c r="C365" i="4"/>
  <c r="A427" i="4" a="1"/>
  <c r="A427" i="4" s="1"/>
  <c r="C427" i="4"/>
  <c r="A374" i="4" a="1"/>
  <c r="A374" i="4" s="1"/>
  <c r="A422" i="4" a="1"/>
  <c r="A422" i="4" s="1"/>
  <c r="C422" i="4"/>
  <c r="A388" i="4" a="1"/>
  <c r="A388" i="4" s="1"/>
  <c r="C388" i="4"/>
  <c r="A384" i="4" a="1"/>
  <c r="A384" i="4" s="1"/>
  <c r="C384" i="4"/>
  <c r="A403" i="4" a="1"/>
  <c r="A403" i="4" s="1"/>
  <c r="C403" i="4"/>
  <c r="A292" i="4" a="1"/>
  <c r="A292" i="4" s="1"/>
  <c r="C292" i="4"/>
  <c r="A437" i="4" a="1"/>
  <c r="A437" i="4" s="1"/>
  <c r="C437" i="4"/>
  <c r="A452" i="4" a="1"/>
  <c r="A452" i="4" s="1"/>
  <c r="C452" i="4"/>
  <c r="A447" i="4" a="1"/>
  <c r="A447" i="4" s="1"/>
  <c r="A459" i="4" a="1"/>
  <c r="A459" i="4" s="1"/>
  <c r="C459" i="4"/>
  <c r="A432" i="4" a="1"/>
  <c r="A432" i="4" s="1"/>
  <c r="A472" i="4" a="1"/>
  <c r="A472" i="4" s="1"/>
  <c r="A409" i="4" a="1"/>
  <c r="A409" i="4" s="1"/>
  <c r="C409" i="4"/>
  <c r="A288" i="4" a="1"/>
  <c r="A288" i="4" s="1"/>
  <c r="C288" i="4"/>
  <c r="A336" i="4" a="1"/>
  <c r="A336" i="4" s="1"/>
  <c r="C336" i="4"/>
  <c r="A364" i="4" a="1"/>
  <c r="A364" i="4" s="1"/>
  <c r="C364" i="4"/>
  <c r="A370" i="4" a="1"/>
  <c r="A370" i="4" s="1"/>
  <c r="C370" i="4"/>
  <c r="A426" i="4" a="1"/>
  <c r="A426" i="4" s="1"/>
  <c r="C426" i="4"/>
  <c r="A379" i="4" a="1"/>
  <c r="A379" i="4" s="1"/>
  <c r="C379" i="4"/>
  <c r="A404" i="4" a="1"/>
  <c r="A404" i="4" s="1"/>
  <c r="C404" i="4"/>
  <c r="A419" i="4" a="1"/>
  <c r="A419" i="4" s="1"/>
  <c r="C419" i="4"/>
  <c r="A436" i="4" a="1"/>
  <c r="A436" i="4" s="1"/>
  <c r="C436" i="4"/>
  <c r="A451" i="4" a="1"/>
  <c r="A451" i="4" s="1"/>
  <c r="C451" i="4"/>
  <c r="A446" i="4" a="1"/>
  <c r="A446" i="4" s="1"/>
  <c r="A456" i="4" a="1"/>
  <c r="A456" i="4" s="1"/>
  <c r="C456" i="4"/>
  <c r="A294" i="4" a="1"/>
  <c r="A294" i="4" s="1"/>
  <c r="C294" i="4"/>
  <c r="A442" i="4" a="1"/>
  <c r="A442" i="4" s="1"/>
  <c r="C442" i="4"/>
  <c r="A182" i="4" a="1"/>
  <c r="A182" i="4" s="1"/>
  <c r="C182" i="4"/>
  <c r="A475" i="4" a="1"/>
  <c r="A475" i="4" s="1"/>
  <c r="A483" i="4" a="1"/>
  <c r="A483" i="4" s="1"/>
  <c r="A274" i="4" a="1"/>
  <c r="A274" i="4" s="1"/>
  <c r="C274" i="4"/>
  <c r="A282" i="4" a="1"/>
  <c r="A282" i="4" s="1"/>
  <c r="C282" i="4"/>
  <c r="A300" i="4" a="1"/>
  <c r="A300" i="4" s="1"/>
  <c r="C300" i="4"/>
  <c r="A308" i="4" a="1"/>
  <c r="A308" i="4" s="1"/>
  <c r="C308" i="4"/>
  <c r="A268" i="4" a="1"/>
  <c r="A268" i="4" s="1"/>
  <c r="C268" i="4"/>
  <c r="A354" i="4" a="1"/>
  <c r="A354" i="4" s="1"/>
  <c r="A335" i="4" a="1"/>
  <c r="A335" i="4" s="1"/>
  <c r="A342" i="4" a="1"/>
  <c r="A342" i="4" s="1"/>
  <c r="A349" i="4" a="1"/>
  <c r="A349" i="4" s="1"/>
  <c r="C349" i="4"/>
  <c r="A363" i="4" a="1"/>
  <c r="A363" i="4" s="1"/>
  <c r="C363" i="4"/>
  <c r="A443" i="4" a="1"/>
  <c r="A443" i="4" s="1"/>
  <c r="A373" i="4" a="1"/>
  <c r="A373" i="4" s="1"/>
  <c r="C373" i="4"/>
  <c r="A425" i="4" a="1"/>
  <c r="A425" i="4" s="1"/>
  <c r="C425" i="4"/>
  <c r="A376" i="4" a="1"/>
  <c r="A376" i="4" s="1"/>
  <c r="C376" i="4"/>
  <c r="A386" i="4" a="1"/>
  <c r="A386" i="4" s="1"/>
  <c r="C386" i="4"/>
  <c r="A382" i="4" a="1"/>
  <c r="A382" i="4" s="1"/>
  <c r="C382" i="4"/>
  <c r="A408" i="4" a="1"/>
  <c r="A408" i="4" s="1"/>
  <c r="C408" i="4"/>
  <c r="A399" i="4" a="1"/>
  <c r="A399" i="4" s="1"/>
  <c r="C399" i="4"/>
  <c r="A405" i="4" a="1"/>
  <c r="A405" i="4" s="1"/>
  <c r="C405" i="4"/>
  <c r="A290" i="4" a="1"/>
  <c r="A290" i="4" s="1"/>
  <c r="C290" i="4"/>
  <c r="A435" i="4" a="1"/>
  <c r="A435" i="4" s="1"/>
  <c r="C435" i="4"/>
  <c r="A450" i="4" a="1"/>
  <c r="A450" i="4" s="1"/>
  <c r="A457" i="4" a="1"/>
  <c r="A457" i="4" s="1"/>
  <c r="C457" i="4"/>
  <c r="A362" i="4" a="1"/>
  <c r="A362" i="4" s="1"/>
  <c r="C362" i="4"/>
  <c r="A470" i="4" a="1"/>
  <c r="A470" i="4" s="1"/>
  <c r="A411" i="4" a="1"/>
  <c r="A411" i="4" s="1"/>
  <c r="C411" i="4"/>
  <c r="A478" i="4" a="1"/>
  <c r="A478" i="4" s="1"/>
  <c r="A486" i="4" a="1"/>
  <c r="A486" i="4" s="1"/>
  <c r="A281" i="4" a="1"/>
  <c r="A281" i="4" s="1"/>
  <c r="C281" i="4"/>
  <c r="A345" i="4" a="1"/>
  <c r="A345" i="4" s="1"/>
  <c r="C345" i="4"/>
  <c r="A366" i="4" a="1"/>
  <c r="A366" i="4" s="1"/>
  <c r="C366" i="4"/>
  <c r="A381" i="4" a="1"/>
  <c r="A381" i="4" s="1"/>
  <c r="C381" i="4"/>
  <c r="A398" i="4" a="1"/>
  <c r="A398" i="4" s="1"/>
  <c r="C398" i="4"/>
  <c r="A448" i="4" a="1"/>
  <c r="A448" i="4" s="1"/>
  <c r="C448" i="4"/>
  <c r="A391" i="4" a="1"/>
  <c r="A391" i="4" s="1"/>
  <c r="C391" i="4"/>
  <c r="A265" i="4" a="1"/>
  <c r="A265" i="4" s="1"/>
  <c r="C265" i="4"/>
  <c r="A480" i="4" a="1"/>
  <c r="A480" i="4" s="1"/>
  <c r="A279" i="4" a="1"/>
  <c r="A279" i="4" s="1"/>
  <c r="C279" i="4"/>
  <c r="A305" i="4" a="1"/>
  <c r="A305" i="4" s="1"/>
  <c r="C305" i="4"/>
  <c r="A355" i="4" a="1"/>
  <c r="A355" i="4" s="1"/>
  <c r="C355" i="4"/>
  <c r="A327" i="4" a="1"/>
  <c r="A327" i="4" s="1"/>
  <c r="C327" i="4"/>
  <c r="A341" i="4" a="1"/>
  <c r="A341" i="4" s="1"/>
  <c r="A350" i="4" a="1"/>
  <c r="A350" i="4" s="1"/>
  <c r="C350" i="4"/>
  <c r="A444" i="4" a="1"/>
  <c r="A444" i="4" s="1"/>
  <c r="C444" i="4"/>
  <c r="A375" i="4" a="1"/>
  <c r="A375" i="4" s="1"/>
  <c r="A387" i="4" a="1"/>
  <c r="A387" i="4" s="1"/>
  <c r="C387" i="4"/>
  <c r="A396" i="4" a="1"/>
  <c r="A396" i="4" s="1"/>
  <c r="C396" i="4"/>
  <c r="A277" i="4" a="1"/>
  <c r="A277" i="4" s="1"/>
  <c r="C277" i="4"/>
  <c r="A285" i="4" a="1"/>
  <c r="A285" i="4" s="1"/>
  <c r="C285" i="4"/>
  <c r="A303" i="4" a="1"/>
  <c r="A303" i="4" s="1"/>
  <c r="C303" i="4"/>
  <c r="A311" i="4" a="1"/>
  <c r="A311" i="4" s="1"/>
  <c r="C311" i="4"/>
  <c r="A353" i="4" a="1"/>
  <c r="A353" i="4" s="1"/>
  <c r="A334" i="4" a="1"/>
  <c r="A334" i="4" s="1"/>
  <c r="C334" i="4"/>
  <c r="A343" i="4" a="1"/>
  <c r="A343" i="4" s="1"/>
  <c r="C343" i="4"/>
  <c r="A348" i="4" a="1"/>
  <c r="A348" i="4" s="1"/>
  <c r="C348" i="4"/>
  <c r="A369" i="4" a="1"/>
  <c r="A369" i="4" s="1"/>
  <c r="C369" i="4"/>
  <c r="A424" i="4" a="1"/>
  <c r="A424" i="4" s="1"/>
  <c r="C424" i="4"/>
  <c r="A423" i="4" a="1"/>
  <c r="A423" i="4" s="1"/>
  <c r="C423" i="4"/>
  <c r="A377" i="4" a="1"/>
  <c r="A377" i="4" s="1"/>
  <c r="C377" i="4"/>
  <c r="A385" i="4" a="1"/>
  <c r="A385" i="4" s="1"/>
  <c r="C385" i="4"/>
  <c r="A394" i="4" a="1"/>
  <c r="A394" i="4" s="1"/>
  <c r="C394" i="4"/>
  <c r="A406" i="4" a="1"/>
  <c r="A406" i="4" s="1"/>
  <c r="C406" i="4"/>
  <c r="A417" i="4" a="1"/>
  <c r="A417" i="4" s="1"/>
  <c r="C417" i="4"/>
  <c r="A434" i="4" a="1"/>
  <c r="A434" i="4" s="1"/>
  <c r="C434" i="4"/>
  <c r="A489" i="4" a="1"/>
  <c r="A489" i="4" s="1"/>
  <c r="A473" i="4" a="1"/>
  <c r="A473" i="4" s="1"/>
  <c r="A410" i="4" a="1"/>
  <c r="A410" i="4" s="1"/>
  <c r="C410" i="4"/>
  <c r="A481" i="4" a="1"/>
  <c r="A481" i="4" s="1"/>
  <c r="A266" i="4" a="1"/>
  <c r="A266" i="4" s="1"/>
  <c r="C266" i="4"/>
  <c r="A267" i="4" a="1"/>
  <c r="A267" i="4" s="1"/>
  <c r="C267" i="4"/>
  <c r="A402" i="4" a="1"/>
  <c r="A402" i="4" s="1"/>
  <c r="C402" i="4"/>
  <c r="A438" i="4" a="1"/>
  <c r="A438" i="4" s="1"/>
  <c r="A289" i="4" a="1"/>
  <c r="A289" i="4" s="1"/>
  <c r="C289" i="4"/>
  <c r="A333" i="4" a="1"/>
  <c r="A333" i="4" s="1"/>
  <c r="A275" i="4" a="1"/>
  <c r="A275" i="4" s="1"/>
  <c r="C275" i="4"/>
  <c r="A271" i="4" a="1"/>
  <c r="A271" i="4" s="1"/>
  <c r="C271" i="4"/>
  <c r="A393" i="4" a="1"/>
  <c r="A393" i="4" s="1"/>
  <c r="A383" i="4" a="1"/>
  <c r="A383" i="4" s="1"/>
  <c r="C383" i="4"/>
  <c r="A458" i="4" a="1"/>
  <c r="A458" i="4" s="1"/>
  <c r="C458" i="4"/>
  <c r="A412" i="4" a="1"/>
  <c r="A412" i="4" s="1"/>
  <c r="C412" i="4"/>
  <c r="A299" i="4" a="1"/>
  <c r="A299" i="4" s="1"/>
  <c r="C299" i="4"/>
  <c r="A358" i="4" a="1"/>
  <c r="A358" i="4" s="1"/>
  <c r="C358" i="4"/>
  <c r="A330" i="4" a="1"/>
  <c r="A330" i="4" s="1"/>
  <c r="C330" i="4"/>
  <c r="A428" i="4" a="1"/>
  <c r="A428" i="4" s="1"/>
  <c r="C428" i="4"/>
  <c r="A272" i="4" a="1"/>
  <c r="A272" i="4" s="1"/>
  <c r="C272" i="4"/>
  <c r="A280" i="4" a="1"/>
  <c r="A280" i="4" s="1"/>
  <c r="C280" i="4"/>
  <c r="A306" i="4" a="1"/>
  <c r="A306" i="4" s="1"/>
  <c r="C306" i="4"/>
  <c r="A352" i="4" a="1"/>
  <c r="A352" i="4" s="1"/>
  <c r="A347" i="4" a="1"/>
  <c r="A347" i="4" s="1"/>
  <c r="C347" i="4"/>
  <c r="A368" i="4" a="1"/>
  <c r="A368" i="4" s="1"/>
  <c r="C368" i="4"/>
  <c r="A371" i="4" a="1"/>
  <c r="A371" i="4" s="1"/>
  <c r="C371" i="4"/>
  <c r="A416" i="4" a="1"/>
  <c r="A416" i="4" s="1"/>
  <c r="C416" i="4"/>
  <c r="A420" i="4" a="1"/>
  <c r="A420" i="4" s="1"/>
  <c r="A380" i="4" a="1"/>
  <c r="A380" i="4" s="1"/>
  <c r="C380" i="4"/>
  <c r="A397" i="4" a="1"/>
  <c r="A397" i="4" s="1"/>
  <c r="C397" i="4"/>
  <c r="A441" i="4" a="1"/>
  <c r="A441" i="4" s="1"/>
  <c r="C441" i="4"/>
  <c r="A433" i="4" a="1"/>
  <c r="A433" i="4" s="1"/>
  <c r="C433" i="4"/>
  <c r="A488" i="4" a="1"/>
  <c r="A488" i="4" s="1"/>
  <c r="A295" i="4" a="1"/>
  <c r="A295" i="4" s="1"/>
  <c r="C295" i="4"/>
  <c r="A392" i="4" a="1"/>
  <c r="A392" i="4" s="1"/>
  <c r="C392" i="4"/>
  <c r="A476" i="4" a="1"/>
  <c r="A476" i="4" s="1"/>
  <c r="A484" i="4" a="1"/>
  <c r="A484" i="4" s="1"/>
  <c r="A270" i="4" a="1"/>
  <c r="A270" i="4" s="1"/>
  <c r="C270" i="4"/>
  <c r="A283" i="4" a="1"/>
  <c r="A283" i="4" s="1"/>
  <c r="C283" i="4"/>
  <c r="A301" i="4" a="1"/>
  <c r="A301" i="4" s="1"/>
  <c r="C301" i="4"/>
  <c r="A309" i="4" a="1"/>
  <c r="A309" i="4" s="1"/>
  <c r="C309" i="4"/>
  <c r="A340" i="4" a="1"/>
  <c r="A340" i="4" s="1"/>
  <c r="C340" i="4"/>
  <c r="A332" i="4" a="1"/>
  <c r="A332" i="4" s="1"/>
  <c r="C332" i="4"/>
  <c r="A160" i="4" a="1"/>
  <c r="A160" i="4" s="1"/>
  <c r="C160" i="4"/>
  <c r="A445" i="4" a="1"/>
  <c r="A445" i="4" s="1"/>
  <c r="C445" i="4"/>
  <c r="A430" i="4" a="1"/>
  <c r="A430" i="4" s="1"/>
  <c r="C430" i="4"/>
  <c r="A415" i="4" a="1"/>
  <c r="A415" i="4" s="1"/>
  <c r="C415" i="4"/>
  <c r="A421" i="4" a="1"/>
  <c r="A421" i="4" s="1"/>
  <c r="C421" i="4"/>
  <c r="A400" i="4" a="1"/>
  <c r="A400" i="4" s="1"/>
  <c r="C400" i="4"/>
  <c r="A291" i="4" a="1"/>
  <c r="A291" i="4" s="1"/>
  <c r="C291" i="4"/>
  <c r="A440" i="4" a="1"/>
  <c r="A440" i="4" s="1"/>
  <c r="C440" i="4"/>
  <c r="A487" i="4" a="1"/>
  <c r="A487" i="4" s="1"/>
  <c r="A467" i="4" a="1"/>
  <c r="A467" i="4" s="1"/>
  <c r="A471" i="4" a="1"/>
  <c r="A471" i="4" s="1"/>
  <c r="A479" i="4" a="1"/>
  <c r="A479" i="4" s="1"/>
  <c r="A155" i="4" a="1"/>
  <c r="A155" i="4" s="1"/>
  <c r="A269" i="4" a="1"/>
  <c r="A269" i="4" s="1"/>
  <c r="C269" i="4"/>
  <c r="A278" i="4" a="1"/>
  <c r="A278" i="4" s="1"/>
  <c r="C278" i="4"/>
  <c r="A286" i="4" a="1"/>
  <c r="A286" i="4" s="1"/>
  <c r="C286" i="4"/>
  <c r="A304" i="4" a="1"/>
  <c r="A304" i="4" s="1"/>
  <c r="C304" i="4"/>
  <c r="A339" i="4" a="1"/>
  <c r="A339" i="4" s="1"/>
  <c r="C339" i="4"/>
  <c r="A331" i="4" a="1"/>
  <c r="A331" i="4" s="1"/>
  <c r="C331" i="4"/>
  <c r="A344" i="4" a="1"/>
  <c r="A344" i="4" s="1"/>
  <c r="C344" i="4"/>
  <c r="A367" i="4" a="1"/>
  <c r="A367" i="4" s="1"/>
  <c r="A429" i="4" a="1"/>
  <c r="A429" i="4" s="1"/>
  <c r="C429" i="4"/>
  <c r="A414" i="4" a="1"/>
  <c r="A414" i="4" s="1"/>
  <c r="C414" i="4"/>
  <c r="A390" i="4" a="1"/>
  <c r="A390" i="4" s="1"/>
  <c r="C390" i="4"/>
  <c r="A378" i="4" a="1"/>
  <c r="A378" i="4" s="1"/>
  <c r="C378" i="4"/>
  <c r="A395" i="4" a="1"/>
  <c r="A395" i="4" s="1"/>
  <c r="C395" i="4"/>
  <c r="A401" i="4" a="1"/>
  <c r="A401" i="4" s="1"/>
  <c r="C401" i="4"/>
  <c r="A418" i="4" a="1"/>
  <c r="A418" i="4" s="1"/>
  <c r="C418" i="4"/>
  <c r="A439" i="4" a="1"/>
  <c r="A439" i="4" s="1"/>
  <c r="C439" i="4"/>
  <c r="A455" i="4" a="1"/>
  <c r="A455" i="4" s="1"/>
  <c r="C455" i="4"/>
  <c r="A449" i="4" a="1"/>
  <c r="A449" i="4" s="1"/>
  <c r="C449" i="4"/>
  <c r="A293" i="4" a="1"/>
  <c r="A293" i="4" s="1"/>
  <c r="C293" i="4"/>
  <c r="A468" i="4" a="1"/>
  <c r="A468" i="4" s="1"/>
  <c r="A407" i="4" a="1"/>
  <c r="A407" i="4" s="1"/>
  <c r="C407" i="4"/>
  <c r="A474" i="4" a="1"/>
  <c r="A474" i="4" s="1"/>
  <c r="A482" i="4" a="1"/>
  <c r="A482" i="4" s="1"/>
  <c r="A273" i="4" a="1"/>
  <c r="A273" i="4" s="1"/>
  <c r="H21" i="4"/>
  <c r="H52" i="4"/>
  <c r="F14" i="6"/>
  <c r="D8" i="1"/>
  <c r="B252" i="4"/>
  <c r="B245" i="4"/>
  <c r="B244" i="4"/>
  <c r="B237" i="4"/>
  <c r="B238" i="4"/>
  <c r="B239" i="4"/>
  <c r="B242" i="4"/>
  <c r="B243" i="4"/>
  <c r="B246" i="4"/>
  <c r="B247" i="4"/>
  <c r="B248" i="4"/>
  <c r="B249" i="4"/>
  <c r="B250" i="4"/>
  <c r="B251" i="4"/>
  <c r="B253" i="4"/>
  <c r="B254" i="4"/>
  <c r="B255" i="4"/>
  <c r="B256" i="4"/>
  <c r="B257" i="4"/>
  <c r="B258" i="4"/>
  <c r="B259" i="4"/>
  <c r="B260" i="4"/>
  <c r="B235" i="4"/>
  <c r="B233" i="4"/>
  <c r="B232" i="4"/>
  <c r="B231" i="4"/>
  <c r="B230" i="4"/>
  <c r="B221" i="4"/>
  <c r="B219" i="4"/>
  <c r="B218" i="4"/>
  <c r="B214" i="4"/>
  <c r="B215" i="4"/>
  <c r="B216" i="4"/>
  <c r="B217" i="4"/>
  <c r="B213" i="4"/>
  <c r="B212" i="4"/>
  <c r="B211" i="4"/>
  <c r="B210" i="4"/>
  <c r="B209" i="4"/>
  <c r="B208" i="4"/>
  <c r="B195" i="4"/>
  <c r="B194" i="4"/>
  <c r="B193" i="4"/>
  <c r="B298" i="4"/>
  <c r="B297" i="4"/>
  <c r="B296" i="4"/>
  <c r="B264" i="4"/>
  <c r="B263" i="4"/>
  <c r="B220" i="4"/>
  <c r="B191" i="4"/>
  <c r="B190" i="4"/>
  <c r="B189" i="4"/>
  <c r="B181" i="4"/>
  <c r="B180" i="4"/>
  <c r="B179" i="4"/>
  <c r="B187" i="4"/>
  <c r="B186" i="4"/>
  <c r="B185" i="4"/>
  <c r="B184" i="4"/>
  <c r="B183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52" i="4"/>
  <c r="B159" i="4"/>
  <c r="B158" i="4"/>
  <c r="B126" i="4"/>
  <c r="B125" i="4"/>
  <c r="B124" i="4"/>
  <c r="B123" i="4"/>
  <c r="B122" i="4"/>
  <c r="B361" i="4"/>
  <c r="B360" i="4"/>
  <c r="B359" i="4"/>
  <c r="B326" i="4"/>
  <c r="B315" i="4"/>
  <c r="B144" i="4"/>
  <c r="B131" i="4"/>
  <c r="B130" i="4"/>
  <c r="B154" i="4"/>
  <c r="B151" i="4"/>
  <c r="B150" i="4"/>
  <c r="B149" i="4"/>
  <c r="B148" i="4"/>
  <c r="B147" i="4"/>
  <c r="B146" i="4"/>
  <c r="B145" i="4"/>
  <c r="B143" i="4"/>
  <c r="B157" i="4"/>
  <c r="B156" i="4"/>
  <c r="B142" i="4"/>
  <c r="B141" i="4"/>
  <c r="B140" i="4"/>
  <c r="B139" i="4"/>
  <c r="B138" i="4"/>
  <c r="B137" i="4"/>
  <c r="B136" i="4"/>
  <c r="B135" i="4"/>
  <c r="B134" i="4"/>
  <c r="B133" i="4"/>
  <c r="B132" i="4"/>
  <c r="B129" i="4"/>
  <c r="B128" i="4"/>
  <c r="B127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97" i="4"/>
  <c r="B96" i="4"/>
  <c r="B95" i="4"/>
  <c r="B94" i="4"/>
  <c r="B93" i="4"/>
  <c r="B92" i="4"/>
  <c r="B76" i="4"/>
  <c r="B71" i="4"/>
  <c r="B70" i="4"/>
  <c r="B82" i="4"/>
  <c r="B81" i="4"/>
  <c r="B90" i="4"/>
  <c r="B89" i="4"/>
  <c r="B88" i="4"/>
  <c r="B87" i="4"/>
  <c r="B86" i="4"/>
  <c r="B85" i="4"/>
  <c r="B84" i="4"/>
  <c r="B83" i="4"/>
  <c r="B80" i="4"/>
  <c r="B69" i="4"/>
  <c r="B72" i="4"/>
  <c r="B73" i="4"/>
  <c r="B74" i="4"/>
  <c r="B75" i="4"/>
  <c r="B77" i="4"/>
  <c r="B67" i="4"/>
  <c r="B66" i="4"/>
  <c r="B65" i="4"/>
  <c r="B64" i="4"/>
  <c r="B63" i="4"/>
  <c r="B62" i="4"/>
  <c r="B61" i="4"/>
  <c r="B100" i="4"/>
  <c r="B101" i="4"/>
  <c r="B102" i="4"/>
  <c r="B51" i="4"/>
  <c r="B50" i="4"/>
  <c r="B49" i="4"/>
  <c r="B48" i="4"/>
  <c r="B47" i="4"/>
  <c r="B52" i="4"/>
  <c r="B53" i="4"/>
  <c r="B54" i="4"/>
  <c r="B55" i="4"/>
  <c r="B56" i="4"/>
  <c r="B99" i="4"/>
  <c r="B98" i="4"/>
  <c r="B91" i="4"/>
  <c r="B79" i="4"/>
  <c r="B78" i="4"/>
  <c r="B68" i="4"/>
  <c r="B60" i="4"/>
  <c r="B59" i="4"/>
  <c r="B58" i="4"/>
  <c r="B57" i="4"/>
  <c r="B17" i="4"/>
  <c r="B18" i="4"/>
  <c r="B28" i="4"/>
  <c r="B29" i="4"/>
  <c r="B30" i="4"/>
  <c r="B31" i="4"/>
  <c r="B32" i="4"/>
  <c r="B33" i="4"/>
  <c r="B34" i="4"/>
  <c r="B20" i="4"/>
  <c r="B21" i="4"/>
  <c r="B22" i="4"/>
  <c r="B23" i="4"/>
  <c r="B24" i="4"/>
  <c r="B25" i="4"/>
  <c r="B26" i="4"/>
  <c r="B27" i="4"/>
  <c r="B35" i="4"/>
  <c r="B36" i="4"/>
  <c r="B37" i="4"/>
  <c r="B38" i="4"/>
  <c r="B39" i="4"/>
  <c r="B40" i="4"/>
  <c r="B41" i="4"/>
  <c r="B42" i="4"/>
  <c r="B43" i="4"/>
  <c r="B44" i="4"/>
  <c r="B45" i="4"/>
  <c r="B46" i="4"/>
  <c r="B16" i="4"/>
  <c r="B15" i="4"/>
  <c r="B14" i="4"/>
  <c r="B12" i="4"/>
  <c r="H20" i="4" l="1"/>
  <c r="C20" i="4" s="1"/>
  <c r="C489" i="4"/>
  <c r="H488" i="4"/>
  <c r="C353" i="4"/>
  <c r="A27" i="4" a="1"/>
  <c r="A27" i="4" s="1"/>
  <c r="C27" i="4"/>
  <c r="A84" i="4" a="1"/>
  <c r="A84" i="4" s="1"/>
  <c r="C84" i="4"/>
  <c r="A297" i="4" a="1"/>
  <c r="A297" i="4" s="1"/>
  <c r="C297" i="4"/>
  <c r="A248" i="4" a="1"/>
  <c r="A248" i="4" s="1"/>
  <c r="C248" i="4"/>
  <c r="A16" i="4" a="1"/>
  <c r="A16" i="4" s="1"/>
  <c r="C16" i="4"/>
  <c r="A26" i="4" a="1"/>
  <c r="A26" i="4" s="1"/>
  <c r="A33" i="4" a="1"/>
  <c r="A33" i="4" s="1"/>
  <c r="C33" i="4"/>
  <c r="A56" i="4" a="1"/>
  <c r="A56" i="4" s="1"/>
  <c r="C56" i="4"/>
  <c r="A65" i="4" a="1"/>
  <c r="A65" i="4" s="1"/>
  <c r="C65" i="4"/>
  <c r="A87" i="4" a="1"/>
  <c r="A87" i="4" s="1"/>
  <c r="C87" i="4"/>
  <c r="A76" i="4" a="1"/>
  <c r="A76" i="4" s="1"/>
  <c r="C76" i="4"/>
  <c r="A110" i="4" a="1"/>
  <c r="A110" i="4" s="1"/>
  <c r="C110" i="4"/>
  <c r="A114" i="4" a="1"/>
  <c r="A114" i="4" s="1"/>
  <c r="C114" i="4"/>
  <c r="A137" i="4" a="1"/>
  <c r="A137" i="4" s="1"/>
  <c r="C137" i="4"/>
  <c r="A156" i="4" a="1"/>
  <c r="A156" i="4" s="1"/>
  <c r="C156" i="4"/>
  <c r="A150" i="4" a="1"/>
  <c r="A150" i="4" s="1"/>
  <c r="C150" i="4"/>
  <c r="A144" i="4" a="1"/>
  <c r="A144" i="4" s="1"/>
  <c r="A126" i="4" a="1"/>
  <c r="A126" i="4" s="1"/>
  <c r="C126" i="4"/>
  <c r="A169" i="4" a="1"/>
  <c r="A169" i="4" s="1"/>
  <c r="A183" i="4" a="1"/>
  <c r="A183" i="4" s="1"/>
  <c r="A194" i="4" a="1"/>
  <c r="A194" i="4" s="1"/>
  <c r="C194" i="4"/>
  <c r="A213" i="4" a="1"/>
  <c r="A213" i="4" s="1"/>
  <c r="C213" i="4"/>
  <c r="A217" i="4" a="1"/>
  <c r="A217" i="4" s="1"/>
  <c r="C217" i="4"/>
  <c r="A232" i="4" a="1"/>
  <c r="A232" i="4" s="1"/>
  <c r="C232" i="4"/>
  <c r="A256" i="4" a="1"/>
  <c r="A256" i="4" s="1"/>
  <c r="C256" i="4"/>
  <c r="A247" i="4" a="1"/>
  <c r="A247" i="4" s="1"/>
  <c r="C247" i="4"/>
  <c r="A40" i="4" a="1"/>
  <c r="A40" i="4" s="1"/>
  <c r="A49" i="4" a="1"/>
  <c r="A49" i="4" s="1"/>
  <c r="C49" i="4"/>
  <c r="A82" i="4" a="1"/>
  <c r="A82" i="4" s="1"/>
  <c r="C82" i="4"/>
  <c r="A107" i="4" a="1"/>
  <c r="A107" i="4" s="1"/>
  <c r="C107" i="4"/>
  <c r="A113" i="4" a="1"/>
  <c r="A113" i="4" s="1"/>
  <c r="A119" i="4" a="1"/>
  <c r="A119" i="4" s="1"/>
  <c r="C119" i="4"/>
  <c r="A134" i="4" a="1"/>
  <c r="A134" i="4" s="1"/>
  <c r="C134" i="4"/>
  <c r="A142" i="4" a="1"/>
  <c r="A142" i="4" s="1"/>
  <c r="A147" i="4" a="1"/>
  <c r="A147" i="4" s="1"/>
  <c r="C147" i="4"/>
  <c r="A123" i="4" a="1"/>
  <c r="A123" i="4" s="1"/>
  <c r="C123" i="4"/>
  <c r="A166" i="4" a="1"/>
  <c r="A166" i="4" s="1"/>
  <c r="C166" i="4"/>
  <c r="A172" i="4" a="1"/>
  <c r="A172" i="4" s="1"/>
  <c r="C172" i="4"/>
  <c r="A186" i="4" a="1"/>
  <c r="A186" i="4" s="1"/>
  <c r="C186" i="4"/>
  <c r="A210" i="4" a="1"/>
  <c r="A210" i="4" s="1"/>
  <c r="C210" i="4"/>
  <c r="A257" i="4" a="1"/>
  <c r="A257" i="4" s="1"/>
  <c r="C257" i="4"/>
  <c r="A237" i="4" a="1"/>
  <c r="A237" i="4" s="1"/>
  <c r="C237" i="4"/>
  <c r="A46" i="4" a="1"/>
  <c r="A46" i="4" s="1"/>
  <c r="C46" i="4"/>
  <c r="A25" i="4" a="1"/>
  <c r="A25" i="4" s="1"/>
  <c r="C25" i="4"/>
  <c r="A32" i="4" a="1"/>
  <c r="A32" i="4" s="1"/>
  <c r="C32" i="4"/>
  <c r="A91" i="4" a="1"/>
  <c r="A91" i="4" s="1"/>
  <c r="C91" i="4"/>
  <c r="A55" i="4" a="1"/>
  <c r="A55" i="4" s="1"/>
  <c r="C55" i="4"/>
  <c r="A50" i="4" a="1"/>
  <c r="A50" i="4" s="1"/>
  <c r="A102" i="4" a="1"/>
  <c r="A102" i="4" s="1"/>
  <c r="C102" i="4"/>
  <c r="A77" i="4" a="1"/>
  <c r="A77" i="4" s="1"/>
  <c r="C77" i="4"/>
  <c r="A80" i="4" a="1"/>
  <c r="A80" i="4" s="1"/>
  <c r="C80" i="4"/>
  <c r="A90" i="4" a="1"/>
  <c r="A90" i="4" s="1"/>
  <c r="C90" i="4"/>
  <c r="A94" i="4" a="1"/>
  <c r="A94" i="4" s="1"/>
  <c r="C94" i="4"/>
  <c r="A105" i="4" a="1"/>
  <c r="A105" i="4" s="1"/>
  <c r="C105" i="4"/>
  <c r="A117" i="4" a="1"/>
  <c r="A117" i="4" s="1"/>
  <c r="C117" i="4"/>
  <c r="A132" i="4" a="1"/>
  <c r="A132" i="4" s="1"/>
  <c r="C132" i="4"/>
  <c r="A140" i="4" a="1"/>
  <c r="A140" i="4" s="1"/>
  <c r="C140" i="4"/>
  <c r="A145" i="4" a="1"/>
  <c r="A145" i="4" s="1"/>
  <c r="C145" i="4"/>
  <c r="A315" i="4" a="1"/>
  <c r="A315" i="4" s="1"/>
  <c r="A152" i="4" a="1"/>
  <c r="A152" i="4" s="1"/>
  <c r="C152" i="4"/>
  <c r="A164" i="4" a="1"/>
  <c r="A164" i="4" s="1"/>
  <c r="C164" i="4"/>
  <c r="A170" i="4" a="1"/>
  <c r="A170" i="4" s="1"/>
  <c r="C170" i="4"/>
  <c r="A176" i="4" a="1"/>
  <c r="A176" i="4" s="1"/>
  <c r="A184" i="4" a="1"/>
  <c r="A184" i="4" s="1"/>
  <c r="C184" i="4"/>
  <c r="A181" i="4" a="1"/>
  <c r="A181" i="4" s="1"/>
  <c r="C181" i="4"/>
  <c r="A220" i="4" a="1"/>
  <c r="A220" i="4" s="1"/>
  <c r="A208" i="4" a="1"/>
  <c r="A208" i="4" s="1"/>
  <c r="C208" i="4"/>
  <c r="A214" i="4" a="1"/>
  <c r="A214" i="4" s="1"/>
  <c r="C214" i="4"/>
  <c r="A255" i="4" a="1"/>
  <c r="A255" i="4" s="1"/>
  <c r="C255" i="4"/>
  <c r="A246" i="4" a="1"/>
  <c r="A246" i="4" s="1"/>
  <c r="C246" i="4"/>
  <c r="A245" i="4" a="1"/>
  <c r="A245" i="4" s="1"/>
  <c r="C245" i="4"/>
  <c r="A60" i="4" a="1"/>
  <c r="A60" i="4" s="1"/>
  <c r="C60" i="4"/>
  <c r="A96" i="4" a="1"/>
  <c r="A96" i="4" s="1"/>
  <c r="C96" i="4"/>
  <c r="A24" i="4" a="1"/>
  <c r="A24" i="4" s="1"/>
  <c r="C24" i="4"/>
  <c r="A54" i="4" a="1"/>
  <c r="A54" i="4" s="1"/>
  <c r="C54" i="4"/>
  <c r="A63" i="4" a="1"/>
  <c r="A63" i="4" s="1"/>
  <c r="C63" i="4"/>
  <c r="A148" i="4" a="1"/>
  <c r="A148" i="4" s="1"/>
  <c r="C148" i="4"/>
  <c r="A124" i="4" a="1"/>
  <c r="A124" i="4" s="1"/>
  <c r="C124" i="4"/>
  <c r="A173" i="4" a="1"/>
  <c r="A173" i="4" s="1"/>
  <c r="C173" i="4"/>
  <c r="A187" i="4" a="1"/>
  <c r="A187" i="4" s="1"/>
  <c r="C187" i="4"/>
  <c r="A211" i="4" a="1"/>
  <c r="A211" i="4" s="1"/>
  <c r="C211" i="4"/>
  <c r="A44" i="4" a="1"/>
  <c r="A44" i="4" s="1"/>
  <c r="A38" i="4" a="1"/>
  <c r="A38" i="4" s="1"/>
  <c r="C38" i="4"/>
  <c r="A23" i="4" a="1"/>
  <c r="A23" i="4" s="1"/>
  <c r="C23" i="4"/>
  <c r="A30" i="4" a="1"/>
  <c r="A30" i="4" s="1"/>
  <c r="C30" i="4"/>
  <c r="A53" i="4" a="1"/>
  <c r="A53" i="4" s="1"/>
  <c r="A100" i="4" a="1"/>
  <c r="A100" i="4" s="1"/>
  <c r="C100" i="4"/>
  <c r="A66" i="4" a="1"/>
  <c r="A66" i="4" s="1"/>
  <c r="C66" i="4"/>
  <c r="A74" i="4" a="1"/>
  <c r="A74" i="4" s="1"/>
  <c r="C74" i="4"/>
  <c r="A88" i="4" a="1"/>
  <c r="A88" i="4" s="1"/>
  <c r="C88" i="4"/>
  <c r="A92" i="4" a="1"/>
  <c r="A92" i="4" s="1"/>
  <c r="C92" i="4"/>
  <c r="A103" i="4" a="1"/>
  <c r="A103" i="4" s="1"/>
  <c r="C103" i="4"/>
  <c r="A111" i="4" a="1"/>
  <c r="A111" i="4" s="1"/>
  <c r="C111" i="4"/>
  <c r="A115" i="4" a="1"/>
  <c r="A115" i="4" s="1"/>
  <c r="C115" i="4"/>
  <c r="A128" i="4" a="1"/>
  <c r="A128" i="4" s="1"/>
  <c r="C128" i="4"/>
  <c r="A138" i="4" a="1"/>
  <c r="A138" i="4" s="1"/>
  <c r="C138" i="4"/>
  <c r="A157" i="4" a="1"/>
  <c r="A157" i="4" s="1"/>
  <c r="C157" i="4"/>
  <c r="A151" i="4" a="1"/>
  <c r="A151" i="4" s="1"/>
  <c r="C151" i="4"/>
  <c r="A359" i="4" a="1"/>
  <c r="A359" i="4" s="1"/>
  <c r="C359" i="4"/>
  <c r="A158" i="4" a="1"/>
  <c r="A158" i="4" s="1"/>
  <c r="C158" i="4"/>
  <c r="A174" i="4" a="1"/>
  <c r="A174" i="4" s="1"/>
  <c r="C174" i="4"/>
  <c r="A264" i="4" a="1"/>
  <c r="A264" i="4" s="1"/>
  <c r="C264" i="4"/>
  <c r="A195" i="4" a="1"/>
  <c r="A195" i="4" s="1"/>
  <c r="C195" i="4"/>
  <c r="A216" i="4" a="1"/>
  <c r="A216" i="4" s="1"/>
  <c r="C216" i="4"/>
  <c r="A233" i="4" a="1"/>
  <c r="A233" i="4" s="1"/>
  <c r="C233" i="4"/>
  <c r="A253" i="4" a="1"/>
  <c r="A253" i="4" s="1"/>
  <c r="C253" i="4"/>
  <c r="A242" i="4" a="1"/>
  <c r="A242" i="4" s="1"/>
  <c r="C242" i="4"/>
  <c r="A15" i="4" a="1"/>
  <c r="A15" i="4" s="1"/>
  <c r="C15" i="4"/>
  <c r="A51" i="4" a="1"/>
  <c r="A51" i="4" s="1"/>
  <c r="A75" i="4" a="1"/>
  <c r="A75" i="4" s="1"/>
  <c r="C75" i="4"/>
  <c r="A135" i="4" a="1"/>
  <c r="A135" i="4" s="1"/>
  <c r="C135" i="4"/>
  <c r="A177" i="4" a="1"/>
  <c r="A177" i="4" s="1"/>
  <c r="C177" i="4"/>
  <c r="A263" i="4" a="1"/>
  <c r="A263" i="4" s="1"/>
  <c r="A230" i="4" a="1"/>
  <c r="A230" i="4" s="1"/>
  <c r="C230" i="4"/>
  <c r="A43" i="4" a="1"/>
  <c r="A43" i="4" s="1"/>
  <c r="C43" i="4"/>
  <c r="A29" i="4" a="1"/>
  <c r="A29" i="4" s="1"/>
  <c r="C29" i="4"/>
  <c r="A52" i="4" a="1"/>
  <c r="A52" i="4" s="1"/>
  <c r="C52" i="4"/>
  <c r="A146" i="4" a="1"/>
  <c r="A146" i="4" s="1"/>
  <c r="C146" i="4"/>
  <c r="A161" i="4" a="1"/>
  <c r="A161" i="4" s="1"/>
  <c r="A165" i="4" a="1"/>
  <c r="A165" i="4" s="1"/>
  <c r="C165" i="4"/>
  <c r="A171" i="4" a="1"/>
  <c r="A171" i="4" s="1"/>
  <c r="C171" i="4"/>
  <c r="A185" i="4" a="1"/>
  <c r="A185" i="4" s="1"/>
  <c r="C185" i="4"/>
  <c r="A209" i="4" a="1"/>
  <c r="A209" i="4" s="1"/>
  <c r="C209" i="4"/>
  <c r="A260" i="4" a="1"/>
  <c r="A260" i="4" s="1"/>
  <c r="C260" i="4"/>
  <c r="A251" i="4" a="1"/>
  <c r="A251" i="4" s="1"/>
  <c r="C251" i="4"/>
  <c r="A239" i="4" a="1"/>
  <c r="A239" i="4" s="1"/>
  <c r="C239" i="4"/>
  <c r="A252" i="4" a="1"/>
  <c r="A252" i="4" s="1"/>
  <c r="C252" i="4"/>
  <c r="A17" i="4" a="1"/>
  <c r="A17" i="4" s="1"/>
  <c r="C17" i="4"/>
  <c r="A45" i="4" a="1"/>
  <c r="A45" i="4" s="1"/>
  <c r="C45" i="4"/>
  <c r="A68" i="4" a="1"/>
  <c r="A68" i="4" s="1"/>
  <c r="C68" i="4"/>
  <c r="A101" i="4" a="1"/>
  <c r="A101" i="4" s="1"/>
  <c r="C101" i="4"/>
  <c r="A70" i="4" a="1"/>
  <c r="A70" i="4" s="1"/>
  <c r="C70" i="4"/>
  <c r="A130" i="4" a="1"/>
  <c r="A130" i="4" s="1"/>
  <c r="C130" i="4"/>
  <c r="A243" i="4" a="1"/>
  <c r="A243" i="4" s="1"/>
  <c r="C243" i="4"/>
  <c r="A22" i="4" a="1"/>
  <c r="A22" i="4" s="1"/>
  <c r="C22" i="4"/>
  <c r="A57" i="4" a="1"/>
  <c r="A57" i="4" s="1"/>
  <c r="A98" i="4" a="1"/>
  <c r="A98" i="4" s="1"/>
  <c r="A61" i="4" a="1"/>
  <c r="A61" i="4" s="1"/>
  <c r="C61" i="4"/>
  <c r="A106" i="4" a="1"/>
  <c r="A106" i="4" s="1"/>
  <c r="C106" i="4"/>
  <c r="A133" i="4" a="1"/>
  <c r="A133" i="4" s="1"/>
  <c r="C133" i="4"/>
  <c r="A141" i="4" a="1"/>
  <c r="A141" i="4" s="1"/>
  <c r="A189" i="4" a="1"/>
  <c r="A189" i="4" s="1"/>
  <c r="A13" i="4" a="1"/>
  <c r="A13" i="4" s="1"/>
  <c r="A42" i="4" a="1"/>
  <c r="A42" i="4" s="1"/>
  <c r="C42" i="4"/>
  <c r="A36" i="4" a="1"/>
  <c r="A36" i="4" s="1"/>
  <c r="A21" i="4" a="1"/>
  <c r="A21" i="4" s="1"/>
  <c r="C21" i="4"/>
  <c r="A28" i="4" a="1"/>
  <c r="A28" i="4" s="1"/>
  <c r="C28" i="4"/>
  <c r="A58" i="4" a="1"/>
  <c r="A58" i="4" s="1"/>
  <c r="A78" i="4" a="1"/>
  <c r="A78" i="4" s="1"/>
  <c r="A99" i="4" a="1"/>
  <c r="A99" i="4" s="1"/>
  <c r="C99" i="4"/>
  <c r="A47" i="4" a="1"/>
  <c r="A47" i="4" s="1"/>
  <c r="A64" i="4" a="1"/>
  <c r="A64" i="4" s="1"/>
  <c r="C64" i="4"/>
  <c r="A72" i="4" a="1"/>
  <c r="A72" i="4" s="1"/>
  <c r="C72" i="4"/>
  <c r="A86" i="4" a="1"/>
  <c r="A86" i="4" s="1"/>
  <c r="C86" i="4"/>
  <c r="A71" i="4" a="1"/>
  <c r="A71" i="4" s="1"/>
  <c r="C71" i="4"/>
  <c r="A109" i="4" a="1"/>
  <c r="A109" i="4" s="1"/>
  <c r="C109" i="4"/>
  <c r="A136" i="4" a="1"/>
  <c r="A136" i="4" s="1"/>
  <c r="C136" i="4"/>
  <c r="A149" i="4" a="1"/>
  <c r="A149" i="4" s="1"/>
  <c r="C149" i="4"/>
  <c r="A131" i="4" a="1"/>
  <c r="A131" i="4" s="1"/>
  <c r="C131" i="4"/>
  <c r="A361" i="4" a="1"/>
  <c r="A361" i="4" s="1"/>
  <c r="C361" i="4"/>
  <c r="A125" i="4" a="1"/>
  <c r="A125" i="4" s="1"/>
  <c r="C125" i="4"/>
  <c r="A162" i="4" a="1"/>
  <c r="A162" i="4" s="1"/>
  <c r="A168" i="4" a="1"/>
  <c r="A168" i="4" s="1"/>
  <c r="C168" i="4"/>
  <c r="A178" i="4" a="1"/>
  <c r="A178" i="4" s="1"/>
  <c r="C178" i="4"/>
  <c r="A179" i="4" a="1"/>
  <c r="A179" i="4" s="1"/>
  <c r="A190" i="4" a="1"/>
  <c r="A190" i="4" s="1"/>
  <c r="A193" i="4" a="1"/>
  <c r="A193" i="4" s="1"/>
  <c r="C193" i="4"/>
  <c r="A212" i="4" a="1"/>
  <c r="A212" i="4" s="1"/>
  <c r="C212" i="4"/>
  <c r="A219" i="4" a="1"/>
  <c r="A219" i="4" s="1"/>
  <c r="C219" i="4"/>
  <c r="A231" i="4" a="1"/>
  <c r="A231" i="4" s="1"/>
  <c r="C231" i="4"/>
  <c r="A259" i="4" a="1"/>
  <c r="A259" i="4" s="1"/>
  <c r="C259" i="4"/>
  <c r="A250" i="4" a="1"/>
  <c r="A250" i="4" s="1"/>
  <c r="C250" i="4"/>
  <c r="A34" i="4" a="1"/>
  <c r="A34" i="4" s="1"/>
  <c r="C34" i="4"/>
  <c r="A62" i="4" a="1"/>
  <c r="A62" i="4" s="1"/>
  <c r="C62" i="4"/>
  <c r="A39" i="4" a="1"/>
  <c r="A39" i="4" s="1"/>
  <c r="C39" i="4"/>
  <c r="A31" i="4" a="1"/>
  <c r="A31" i="4" s="1"/>
  <c r="C31" i="4"/>
  <c r="A85" i="4" a="1"/>
  <c r="A85" i="4" s="1"/>
  <c r="C85" i="4"/>
  <c r="A97" i="4" a="1"/>
  <c r="A97" i="4" s="1"/>
  <c r="C97" i="4"/>
  <c r="A108" i="4" a="1"/>
  <c r="A108" i="4" s="1"/>
  <c r="C108" i="4"/>
  <c r="A127" i="4" a="1"/>
  <c r="A127" i="4" s="1"/>
  <c r="A326" i="4" a="1"/>
  <c r="A326" i="4" s="1"/>
  <c r="A167" i="4" a="1"/>
  <c r="A167" i="4" s="1"/>
  <c r="C167" i="4"/>
  <c r="A298" i="4" a="1"/>
  <c r="A298" i="4" s="1"/>
  <c r="C298" i="4"/>
  <c r="A218" i="4" a="1"/>
  <c r="A218" i="4" s="1"/>
  <c r="C218" i="4"/>
  <c r="A254" i="4" a="1"/>
  <c r="A254" i="4" s="1"/>
  <c r="C254" i="4"/>
  <c r="A37" i="4" a="1"/>
  <c r="A37" i="4" s="1"/>
  <c r="C37" i="4"/>
  <c r="A73" i="4" a="1"/>
  <c r="A73" i="4" s="1"/>
  <c r="C73" i="4"/>
  <c r="A83" i="4" a="1"/>
  <c r="A83" i="4" s="1"/>
  <c r="C83" i="4"/>
  <c r="A81" i="4" a="1"/>
  <c r="A81" i="4" s="1"/>
  <c r="C81" i="4"/>
  <c r="A95" i="4" a="1"/>
  <c r="A95" i="4" s="1"/>
  <c r="C95" i="4"/>
  <c r="A118" i="4" a="1"/>
  <c r="A118" i="4" s="1"/>
  <c r="C118" i="4"/>
  <c r="A360" i="4" a="1"/>
  <c r="A360" i="4" s="1"/>
  <c r="C360" i="4"/>
  <c r="A14" i="4" a="1"/>
  <c r="A14" i="4" s="1"/>
  <c r="C14" i="4"/>
  <c r="A41" i="4" a="1"/>
  <c r="A41" i="4" s="1"/>
  <c r="C41" i="4"/>
  <c r="A35" i="4" a="1"/>
  <c r="A35" i="4" s="1"/>
  <c r="A20" i="4" a="1"/>
  <c r="A20" i="4" s="1"/>
  <c r="A18" i="4" a="1"/>
  <c r="A18" i="4" s="1"/>
  <c r="C18" i="4"/>
  <c r="A59" i="4" a="1"/>
  <c r="A59" i="4" s="1"/>
  <c r="C59" i="4"/>
  <c r="A79" i="4" a="1"/>
  <c r="A79" i="4" s="1"/>
  <c r="C79" i="4"/>
  <c r="A48" i="4" a="1"/>
  <c r="A48" i="4" s="1"/>
  <c r="A67" i="4" a="1"/>
  <c r="A67" i="4" s="1"/>
  <c r="C67" i="4"/>
  <c r="A69" i="4" a="1"/>
  <c r="A69" i="4" s="1"/>
  <c r="C69" i="4"/>
  <c r="A89" i="4" a="1"/>
  <c r="A89" i="4" s="1"/>
  <c r="C89" i="4"/>
  <c r="A93" i="4" a="1"/>
  <c r="A93" i="4" s="1"/>
  <c r="C93" i="4"/>
  <c r="A104" i="4" a="1"/>
  <c r="A104" i="4" s="1"/>
  <c r="C104" i="4"/>
  <c r="A112" i="4" a="1"/>
  <c r="A112" i="4" s="1"/>
  <c r="A116" i="4" a="1"/>
  <c r="A116" i="4" s="1"/>
  <c r="C116" i="4"/>
  <c r="A129" i="4" a="1"/>
  <c r="A129" i="4" s="1"/>
  <c r="C129" i="4"/>
  <c r="A139" i="4" a="1"/>
  <c r="A139" i="4" s="1"/>
  <c r="C139" i="4"/>
  <c r="A143" i="4" a="1"/>
  <c r="A143" i="4" s="1"/>
  <c r="C143" i="4"/>
  <c r="A154" i="4" a="1"/>
  <c r="A154" i="4" s="1"/>
  <c r="C154" i="4"/>
  <c r="A122" i="4" a="1"/>
  <c r="A122" i="4" s="1"/>
  <c r="A159" i="4" a="1"/>
  <c r="A159" i="4" s="1"/>
  <c r="C159" i="4"/>
  <c r="A163" i="4" a="1"/>
  <c r="A163" i="4" s="1"/>
  <c r="C163" i="4"/>
  <c r="A175" i="4" a="1"/>
  <c r="A175" i="4" s="1"/>
  <c r="C175" i="4"/>
  <c r="A180" i="4" a="1"/>
  <c r="A180" i="4" s="1"/>
  <c r="C180" i="4"/>
  <c r="A191" i="4" a="1"/>
  <c r="A191" i="4" s="1"/>
  <c r="C191" i="4"/>
  <c r="A296" i="4" a="1"/>
  <c r="A296" i="4" s="1"/>
  <c r="A215" i="4" a="1"/>
  <c r="A215" i="4" s="1"/>
  <c r="C215" i="4"/>
  <c r="A221" i="4" a="1"/>
  <c r="A221" i="4" s="1"/>
  <c r="C221" i="4"/>
  <c r="A235" i="4" a="1"/>
  <c r="A235" i="4" s="1"/>
  <c r="C235" i="4"/>
  <c r="A258" i="4" a="1"/>
  <c r="A258" i="4" s="1"/>
  <c r="C258" i="4"/>
  <c r="A249" i="4" a="1"/>
  <c r="A249" i="4" s="1"/>
  <c r="C249" i="4"/>
  <c r="A238" i="4" a="1"/>
  <c r="A238" i="4" s="1"/>
  <c r="A244" i="4" a="1"/>
  <c r="A244" i="4" s="1"/>
  <c r="C244" i="4"/>
  <c r="H50" i="4"/>
  <c r="H51" i="4"/>
  <c r="A12" i="4" a="1"/>
  <c r="A12" i="4" s="1"/>
  <c r="B9" i="1"/>
  <c r="K36" i="4" l="1"/>
  <c r="K40" i="4"/>
  <c r="K20" i="4"/>
  <c r="K13" i="4"/>
  <c r="K26" i="4"/>
  <c r="K179" i="4"/>
  <c r="H12" i="4"/>
  <c r="C12" i="4" s="1"/>
  <c r="H487" i="4"/>
  <c r="C487" i="4" s="1"/>
  <c r="C488" i="4"/>
  <c r="H47" i="4"/>
  <c r="C47" i="4" s="1"/>
  <c r="C51" i="4"/>
  <c r="C50" i="4"/>
  <c r="C48" i="4"/>
  <c r="C354" i="4"/>
  <c r="F16" i="6"/>
  <c r="F15" i="6"/>
  <c r="G16" i="6"/>
  <c r="G14" i="6"/>
  <c r="K12" i="4" l="1"/>
  <c r="H35" i="4"/>
  <c r="C35" i="4" s="1"/>
  <c r="G28" i="6"/>
  <c r="F28" i="6"/>
  <c r="G17" i="6"/>
  <c r="F17" i="6"/>
  <c r="H28" i="6"/>
  <c r="H27" i="6" l="1"/>
  <c r="G27" i="6"/>
  <c r="F27" i="6"/>
  <c r="G20" i="6"/>
  <c r="F20" i="6"/>
  <c r="G22" i="6"/>
  <c r="F22" i="6"/>
  <c r="H17" i="6"/>
  <c r="H20" i="6"/>
  <c r="H16" i="6"/>
  <c r="H15" i="6"/>
  <c r="H22" i="6"/>
  <c r="H14" i="6"/>
  <c r="I28" i="6" l="1"/>
  <c r="I27" i="6"/>
  <c r="I17" i="6"/>
  <c r="I16" i="6"/>
  <c r="I15" i="6"/>
  <c r="I22" i="6"/>
  <c r="I14" i="6"/>
  <c r="I20" i="6"/>
  <c r="J28" i="6" l="1"/>
  <c r="J27" i="6"/>
  <c r="J15" i="6"/>
  <c r="J22" i="6"/>
  <c r="J14" i="6"/>
  <c r="J17" i="6"/>
  <c r="J20" i="6"/>
  <c r="J16" i="6"/>
  <c r="K28" i="6" l="1"/>
  <c r="K27" i="6"/>
  <c r="K22" i="6"/>
  <c r="K14" i="6"/>
  <c r="K20" i="6"/>
  <c r="K17" i="6"/>
  <c r="K16" i="6"/>
  <c r="K15" i="6"/>
  <c r="L28" i="6" l="1"/>
  <c r="L27" i="6"/>
  <c r="L15" i="6"/>
  <c r="L14" i="6"/>
  <c r="L20" i="6"/>
  <c r="L22" i="6"/>
  <c r="L17" i="6"/>
  <c r="L16" i="6"/>
  <c r="O28" i="6" l="1"/>
  <c r="P28" i="6" s="1" a="1"/>
  <c r="P28" i="6" s="1"/>
  <c r="O27" i="6"/>
  <c r="P27" i="6" s="1" a="1"/>
  <c r="P27" i="6" s="1"/>
  <c r="O17" i="6"/>
  <c r="P17" i="6" s="1" a="1"/>
  <c r="P17" i="6" s="1"/>
  <c r="O16" i="6"/>
  <c r="P16" i="6" s="1" a="1"/>
  <c r="P16" i="6" s="1"/>
  <c r="O15" i="6"/>
  <c r="P15" i="6" s="1" a="1"/>
  <c r="P15" i="6" s="1"/>
  <c r="O22" i="6"/>
  <c r="P22" i="6" s="1" a="1"/>
  <c r="P22" i="6" s="1"/>
  <c r="O14" i="6"/>
  <c r="P14" i="6" s="1" a="1"/>
  <c r="P14" i="6" s="1"/>
  <c r="O20" i="6"/>
  <c r="P20" i="6" s="1" a="1"/>
  <c r="P20" i="6" s="1"/>
  <c r="O26" i="6" l="1"/>
  <c r="H26" i="6"/>
  <c r="L26" i="6"/>
  <c r="K26" i="6"/>
  <c r="G26" i="6"/>
  <c r="I26" i="6"/>
  <c r="F26" i="6"/>
  <c r="J26" i="6"/>
  <c r="O25" i="6"/>
  <c r="H25" i="6"/>
  <c r="G25" i="6"/>
  <c r="F25" i="6"/>
  <c r="K25" i="6"/>
  <c r="J25" i="6"/>
  <c r="I25" i="6"/>
  <c r="L25" i="6"/>
  <c r="P25" i="6" l="1" a="1"/>
  <c r="P25" i="6" s="1"/>
  <c r="P26" i="6" a="1"/>
  <c r="P26" i="6" s="1"/>
  <c r="F24" i="6"/>
  <c r="J19" i="6" l="1"/>
  <c r="O19" i="6"/>
  <c r="G19" i="6"/>
  <c r="L24" i="6"/>
  <c r="J24" i="6"/>
  <c r="K24" i="6"/>
  <c r="H24" i="6"/>
  <c r="G24" i="6"/>
  <c r="I24" i="6"/>
  <c r="O24" i="6"/>
  <c r="P24" i="6" l="1" a="1"/>
  <c r="P24" i="6" s="1"/>
  <c r="K19" i="6"/>
  <c r="H19" i="6"/>
  <c r="F19" i="6"/>
  <c r="L19" i="6"/>
  <c r="I19" i="6"/>
  <c r="P19" i="6" l="1" a="1"/>
  <c r="P19" i="6" s="1"/>
  <c r="L21" i="6"/>
  <c r="O21" i="6"/>
  <c r="O31" i="6"/>
  <c r="H31" i="6"/>
  <c r="G31" i="6"/>
  <c r="L31" i="6"/>
  <c r="K31" i="6"/>
  <c r="I31" i="6"/>
  <c r="J31" i="6"/>
  <c r="F31" i="6"/>
  <c r="P31" i="6" l="1" a="1"/>
  <c r="P31" i="6" s="1"/>
  <c r="K21" i="6"/>
  <c r="H21" i="6"/>
  <c r="G21" i="6"/>
  <c r="I21" i="6"/>
  <c r="J21" i="6"/>
  <c r="F21" i="6"/>
  <c r="I29" i="6"/>
  <c r="H29" i="6"/>
  <c r="G29" i="6"/>
  <c r="K29" i="6"/>
  <c r="F29" i="6"/>
  <c r="L29" i="6"/>
  <c r="P21" i="6" l="1" a="1"/>
  <c r="P21" i="6" s="1"/>
  <c r="I23" i="6"/>
  <c r="K23" i="6"/>
  <c r="H23" i="6"/>
  <c r="J23" i="6"/>
  <c r="O23" i="6"/>
  <c r="L23" i="6"/>
  <c r="F23" i="6"/>
  <c r="G23" i="6"/>
  <c r="O29" i="6"/>
  <c r="J29" i="6"/>
  <c r="P23" i="6" l="1" a="1"/>
  <c r="P23" i="6" s="1"/>
  <c r="P29" i="6" a="1"/>
  <c r="P29" i="6" s="1"/>
  <c r="B36" i="6" l="1"/>
  <c r="C141" i="4"/>
  <c r="H142" i="4"/>
  <c r="H127" i="4" l="1"/>
  <c r="H112" i="4" s="1"/>
  <c r="C112" i="4" s="1"/>
  <c r="C142" i="4"/>
  <c r="K488" i="4"/>
  <c r="K487" i="4" s="1"/>
  <c r="D25" i="1" s="1"/>
  <c r="K461" i="4"/>
  <c r="K333" i="4"/>
  <c r="K176" i="4"/>
  <c r="C127" i="4" l="1"/>
  <c r="Q31" i="6"/>
  <c r="K447" i="4"/>
  <c r="K438" i="4"/>
  <c r="K169" i="4"/>
  <c r="K443" i="4"/>
  <c r="K352" i="4"/>
  <c r="K113" i="4"/>
  <c r="K53" i="4"/>
  <c r="K393" i="4"/>
  <c r="Q16" i="6"/>
  <c r="Q26" i="6"/>
  <c r="K335" i="4"/>
  <c r="K432" i="4"/>
  <c r="K122" i="4"/>
  <c r="K316" i="4"/>
  <c r="K183" i="4"/>
  <c r="K44" i="4"/>
  <c r="K296" i="4"/>
  <c r="Q18" i="6"/>
  <c r="K98" i="4"/>
  <c r="K238" i="4"/>
  <c r="K454" i="4"/>
  <c r="K162" i="4"/>
  <c r="K47" i="4"/>
  <c r="K127" i="4"/>
  <c r="Q17" i="6"/>
  <c r="K155" i="4"/>
  <c r="K263" i="4"/>
  <c r="K420" i="4"/>
  <c r="Q30" i="6"/>
  <c r="K144" i="4"/>
  <c r="K58" i="4"/>
  <c r="Q15" i="6"/>
  <c r="B40" i="6" s="1"/>
  <c r="K464" i="4"/>
  <c r="K460" i="4" s="1"/>
  <c r="D23" i="1" s="1"/>
  <c r="K367" i="4"/>
  <c r="K78" i="4"/>
  <c r="K468" i="4"/>
  <c r="K467" i="4" s="1"/>
  <c r="D24" i="1" s="1"/>
  <c r="K342" i="4"/>
  <c r="K190" i="4"/>
  <c r="Q29" i="6"/>
  <c r="K357" i="4"/>
  <c r="K220" i="4"/>
  <c r="Q22" i="6"/>
  <c r="K413" i="4"/>
  <c r="Q23" i="6"/>
  <c r="Q14" i="6"/>
  <c r="B37" i="6" s="1"/>
  <c r="Q25" i="6"/>
  <c r="K326" i="4"/>
  <c r="K450" i="4"/>
  <c r="Q27" i="6"/>
  <c r="K273" i="4"/>
  <c r="Q24" i="6"/>
  <c r="Q28" i="6"/>
  <c r="Q20" i="6"/>
  <c r="Q19" i="6"/>
  <c r="K375" i="4"/>
  <c r="Q21" i="6"/>
  <c r="K35" i="4" l="1"/>
  <c r="K161" i="4"/>
  <c r="D16" i="1" s="1"/>
  <c r="K431" i="4"/>
  <c r="D21" i="1" s="1"/>
  <c r="K446" i="4"/>
  <c r="D22" i="1" s="1"/>
  <c r="K315" i="4"/>
  <c r="D18" i="1" s="1"/>
  <c r="K374" i="4"/>
  <c r="D20" i="1" s="1"/>
  <c r="D12" i="1"/>
  <c r="K189" i="4"/>
  <c r="D17" i="1" s="1"/>
  <c r="K112" i="4"/>
  <c r="D15" i="1" s="1"/>
  <c r="D13" i="1"/>
  <c r="B38" i="6"/>
  <c r="B39" i="6"/>
  <c r="B44" i="6"/>
  <c r="B41" i="6"/>
  <c r="K341" i="4"/>
  <c r="D19" i="1" s="1"/>
  <c r="K57" i="4"/>
  <c r="B42" i="6"/>
  <c r="B43" i="6"/>
  <c r="K491" i="4" l="1"/>
  <c r="K507" i="4" s="1"/>
  <c r="D14" i="1"/>
  <c r="D27" i="1" s="1"/>
  <c r="B46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<sst xmlns="http://schemas.openxmlformats.org/spreadsheetml/2006/main" count="1864" uniqueCount="966">
  <si>
    <t/>
  </si>
  <si>
    <t>PLANILHA ORÇAMENTÁRIA
OBRAS E REFORMAS DE UNIDADES</t>
  </si>
  <si>
    <t>FORNECEDOR</t>
  </si>
  <si>
    <t>ÁREA CONSTRUÍDA (m²)</t>
  </si>
  <si>
    <t>RESPONSÁVEL TÉCNICO</t>
  </si>
  <si>
    <r>
      <t xml:space="preserve">PRAZO DE OBRA </t>
    </r>
    <r>
      <rPr>
        <sz val="11"/>
        <color theme="1"/>
        <rFont val="Calibri"/>
        <family val="2"/>
        <scheme val="minor"/>
      </rPr>
      <t>(em dias corridos)</t>
    </r>
  </si>
  <si>
    <t>CREA / CAU</t>
  </si>
  <si>
    <t>DATA</t>
  </si>
  <si>
    <t>UNIDADE SEBRAE</t>
  </si>
  <si>
    <t>ESCOLA SEBRAE DE NEGÓCIOS</t>
  </si>
  <si>
    <t>ENDEREÇO</t>
  </si>
  <si>
    <t>FILT.</t>
  </si>
  <si>
    <t>IND.</t>
  </si>
  <si>
    <t>Coluna1</t>
  </si>
  <si>
    <t>.</t>
  </si>
  <si>
    <t>ITEM</t>
  </si>
  <si>
    <t>ESCOPO - DESCRITIVO</t>
  </si>
  <si>
    <t>ETAPA</t>
  </si>
  <si>
    <t>QUANT</t>
  </si>
  <si>
    <t>UNID</t>
  </si>
  <si>
    <t>SERVIÇOS PRELIMINARES</t>
  </si>
  <si>
    <t>1.1</t>
  </si>
  <si>
    <t>DOCUMENTAÇÃO E TAXAS</t>
  </si>
  <si>
    <t>1.1.1</t>
  </si>
  <si>
    <t>PLACA DE OBRA</t>
  </si>
  <si>
    <t>ETAPA ÚNICA</t>
  </si>
  <si>
    <t>UN</t>
  </si>
  <si>
    <t>1.1.2</t>
  </si>
  <si>
    <t>ART - ATESTADO DE RESPONSABILIDADE TÉCNICA</t>
  </si>
  <si>
    <t>VB</t>
  </si>
  <si>
    <t>1.1.3</t>
  </si>
  <si>
    <t>SEGURO DE OBRA</t>
  </si>
  <si>
    <t>1.1.4</t>
  </si>
  <si>
    <t>APROVAÇÃO DE PROJETO DE CORPO DE BOMBEIROS</t>
  </si>
  <si>
    <t>1.1.5</t>
  </si>
  <si>
    <t>APROVAÇÃO DE PROJETO JUNTO AO CONDOMÍNIO LOCAL</t>
  </si>
  <si>
    <t>APROVAÇÃO DE PROJETO NO GEM</t>
  </si>
  <si>
    <t>1.2</t>
  </si>
  <si>
    <t>INSTALAÇÕES PROVISÓRIAS</t>
  </si>
  <si>
    <t>1.2.1</t>
  </si>
  <si>
    <t>IMPLANTAÇÃO DE CANTEIRO / ESCRITÓRIO DE OBRA</t>
  </si>
  <si>
    <t>M2</t>
  </si>
  <si>
    <t>1.2.2</t>
  </si>
  <si>
    <t>INSTALAÇÕES ELÉTRICAS PROVISÓRIAS</t>
  </si>
  <si>
    <t>1.2.3</t>
  </si>
  <si>
    <t>INSTALAÇÕES HIDROSSANITÁRIAS PROVISÓRIAS</t>
  </si>
  <si>
    <t>1.2.4</t>
  </si>
  <si>
    <t>EQUIPAMENTOS DE SUPORTE (FILTRO, GELADEIRA, MICROONDAS, ETC)</t>
  </si>
  <si>
    <t>1.2.5</t>
  </si>
  <si>
    <t>MOBILIÁRIO PROVISÓRIO (MESA E CADEIRA)</t>
  </si>
  <si>
    <t>1.3</t>
  </si>
  <si>
    <t>ELABORAÇÃO DE PROJETOS EXECUTIVOS</t>
  </si>
  <si>
    <t>1.3.1</t>
  </si>
  <si>
    <t>PROJETO EXECUTIVO DE ARQUITETURA</t>
  </si>
  <si>
    <t>1.3.2</t>
  </si>
  <si>
    <t>PROJETO EXECUTIVO DE INSTALAÇÕES ELÉTRICAS</t>
  </si>
  <si>
    <t>1.3.3</t>
  </si>
  <si>
    <t>PROJETO EXECUTIVO DE INSTALAÇÕES HIDROSSANITÁRIAS</t>
  </si>
  <si>
    <t>1.3.4</t>
  </si>
  <si>
    <t>PROJETO EXECUTIVO DE INSTALAÇÕES DE DADOS E VOZ</t>
  </si>
  <si>
    <t>1.3.5</t>
  </si>
  <si>
    <t>PROJETO EXECUTIVO DE INSTALAÇÕES DE AR CONDICIONADO E EXAUSTÃO</t>
  </si>
  <si>
    <t>1.3.6</t>
  </si>
  <si>
    <t>PROJETO EXECUTIVO DE INSTALAÇÕES DE CFTV</t>
  </si>
  <si>
    <t>1.3.7</t>
  </si>
  <si>
    <t>PROJETO EXECUTIVO DE INSTALAÇÕES DE DETECÇÃO</t>
  </si>
  <si>
    <t>1.3.8</t>
  </si>
  <si>
    <t>PROJETO EXECUTIVO DE INSTALAÇÕES DE PROTEÇÃO E COMBATE AO INCÊNDIO</t>
  </si>
  <si>
    <t>ADMINISTRATIVO</t>
  </si>
  <si>
    <t>2.1</t>
  </si>
  <si>
    <t>EQUIPE TÉCNICA</t>
  </si>
  <si>
    <t>2.1.1</t>
  </si>
  <si>
    <t>ENCARREGADO DE OBRA</t>
  </si>
  <si>
    <t>HORAS</t>
  </si>
  <si>
    <t>2.1.2</t>
  </si>
  <si>
    <t>ENGENHEIRO / ARQUITETO RESIDENTE</t>
  </si>
  <si>
    <t>2.1.3</t>
  </si>
  <si>
    <t>TÉCNICO DE SEGURANÇA DO TRABALHO</t>
  </si>
  <si>
    <t>2.2</t>
  </si>
  <si>
    <t>ADMINISTRAÇÃO DE OBRA</t>
  </si>
  <si>
    <t>2.2.1</t>
  </si>
  <si>
    <t>EPI</t>
  </si>
  <si>
    <t>2.2.2</t>
  </si>
  <si>
    <t>DOCUMENTAÇÃO DE EQUIPE TÉCNICA</t>
  </si>
  <si>
    <t>2.2.3</t>
  </si>
  <si>
    <t>CUSTO FIXO CANTEIRO DE OBRA</t>
  </si>
  <si>
    <t>2.3</t>
  </si>
  <si>
    <t>EQUIPAMENTOS E FERRAMENTAS</t>
  </si>
  <si>
    <t>2.3.1</t>
  </si>
  <si>
    <t>ESCADAS E ANDAIMES</t>
  </si>
  <si>
    <t>2.3.2</t>
  </si>
  <si>
    <t>2.4</t>
  </si>
  <si>
    <t>LIMPEZA E MANUTENÇÃO DE CANTEIRO DE OBRAS</t>
  </si>
  <si>
    <t>2.4.1</t>
  </si>
  <si>
    <t>RETIRADA DE ENTULHO</t>
  </si>
  <si>
    <t>M3</t>
  </si>
  <si>
    <t>2.4.2</t>
  </si>
  <si>
    <t>CAÇAMBA ESTACIONARIA</t>
  </si>
  <si>
    <t>2.4.3</t>
  </si>
  <si>
    <t>TRANSPORTE HORIZONTAL DE ENTULHO</t>
  </si>
  <si>
    <t>2.4.4</t>
  </si>
  <si>
    <t>TRANSPORTE VERTICAL DE ENTULHO</t>
  </si>
  <si>
    <t>LIMPEZA PERMANENTE DE OBRA</t>
  </si>
  <si>
    <t>2.5</t>
  </si>
  <si>
    <t>MATERIAL PARA PROTEÇÃO</t>
  </si>
  <si>
    <t>2.5.1</t>
  </si>
  <si>
    <t>PROTEÇÃO DE ÁREA COMUM AO CONDOMÍNIO</t>
  </si>
  <si>
    <t>2.5.2</t>
  </si>
  <si>
    <t>PROTEÇÃO DE SUPERFÍCIES REVESTIDAS NO CANTEIRO DE OBRA (PISO E/OU PAREDE)</t>
  </si>
  <si>
    <t>2.5.3</t>
  </si>
  <si>
    <t>TAPUME PERIMETRAL QUANDO APLICÁVEL</t>
  </si>
  <si>
    <t>M</t>
  </si>
  <si>
    <t>DEMOLIÇÃO</t>
  </si>
  <si>
    <t>3.1</t>
  </si>
  <si>
    <t>DEMOLIÇÃO - CIVIL</t>
  </si>
  <si>
    <t>3.1.1</t>
  </si>
  <si>
    <t>PISO - DEMOLIÇÃO DE CONTRAPISO</t>
  </si>
  <si>
    <t>3.1.2</t>
  </si>
  <si>
    <t>PISO - DEMOLIÇÃO DE PISO VINÍLICO, LAMINADO OU CARPETE</t>
  </si>
  <si>
    <t>3.1.3</t>
  </si>
  <si>
    <t>PISO - DEMOLIÇÃO DE REVESTIMENTO CERÂMICOS / PORCELANATO</t>
  </si>
  <si>
    <t>3.1.4</t>
  </si>
  <si>
    <t>PISO - DEMOLIÇÃO DE REVESTIMENTO EM MARCENARIA (TÁBUA CORRIDA, TACO, ETC)</t>
  </si>
  <si>
    <t>3.1.5</t>
  </si>
  <si>
    <t>PISO - DEMOLIÇÃO DE PISO ELEVADO</t>
  </si>
  <si>
    <t>3.1.6</t>
  </si>
  <si>
    <t>PAREDE - DEMOLIÇÃO DE ALVENARIA EM TIJOLO OU BLOCO CERÂMICO</t>
  </si>
  <si>
    <t>3.1.7</t>
  </si>
  <si>
    <t>PAREDE - DEMOLIÇÃO DE ALVENARIA EM BLOCO DE CONCRETO</t>
  </si>
  <si>
    <t>3.1.8</t>
  </si>
  <si>
    <t>PAREDE - DEMOLIÇÃO DE PAREDE EM DRYWALL</t>
  </si>
  <si>
    <t>3.1.9</t>
  </si>
  <si>
    <t>PAREDE - DEMOLIÇÃO DE PAREDE EM DIVISÓRIA TIPO EUCATEX</t>
  </si>
  <si>
    <t>3.1.10</t>
  </si>
  <si>
    <t>PAREDE - DEMOLIÇÃO DE PAREDE EM DIVISÓRIA INDUSTRIAL</t>
  </si>
  <si>
    <t>3.1.11</t>
  </si>
  <si>
    <t>PAREDE - DEMOLIÇÃO DE PAREDE EM DIVISÓRIA DE VIDRO</t>
  </si>
  <si>
    <t>PAREDE - DEMOLIÇÃO DE DIVISÓRIA SANITÁRIA</t>
  </si>
  <si>
    <t>PAREDE - DEMOLIÇÃO DE DIVISÓRIA DE GRANITO</t>
  </si>
  <si>
    <t>3.1.13</t>
  </si>
  <si>
    <t>PAREDE - DEMOLIÇÃO DE REVESTIMENTO CERÂMICO / PORCELANATO</t>
  </si>
  <si>
    <t>3.1.14</t>
  </si>
  <si>
    <t>TETO - DEMOLIÇÃO DE FORRO EM DRYWALL</t>
  </si>
  <si>
    <t>3.1.15</t>
  </si>
  <si>
    <t>TETO - DEMOLIÇÃO DE FORRO EM PLACA DE GESSO</t>
  </si>
  <si>
    <t>3.1.16</t>
  </si>
  <si>
    <t>TETO - DEMOLIÇÃO DE FORRO EM PVC</t>
  </si>
  <si>
    <t>3.1.17</t>
  </si>
  <si>
    <t>TETO - DEMOLIÇÃO DE FORRO MODULAR MINERAL</t>
  </si>
  <si>
    <t>OUTROS - DEMOLIÇÃO DE BANCADAS EM MÁRMORE OU GRANITO</t>
  </si>
  <si>
    <t>3.2</t>
  </si>
  <si>
    <t>DEMOLIÇÃO - INSTALAÇÕES</t>
  </si>
  <si>
    <t>3.2.1</t>
  </si>
  <si>
    <t>INSTALAÇÕES ELÉTRICAS - DEMOLIÇÃO DE ELETRODUTOS E CABEAMENTO</t>
  </si>
  <si>
    <t>3.2.2</t>
  </si>
  <si>
    <t>INSTALAÇÕES ELÉTRICAS - DEMOLIÇÃO DE TOMADAS, INTERRUPTORES, CAIXAS DE PASSAGEM</t>
  </si>
  <si>
    <t>3.2.3</t>
  </si>
  <si>
    <t>INSTALAÇÕES ELÉTRICAS - DEMOLIÇÃO DE LUMINÁRIAS</t>
  </si>
  <si>
    <t>3.2.4</t>
  </si>
  <si>
    <t>INSTALAÇÕES ELÉTRICAS - DEMOLIÇÃO DE QUADRO DE LUZ</t>
  </si>
  <si>
    <t>3.2.5</t>
  </si>
  <si>
    <t>INSTALAÇÕES HIDROSSANITÁRIAS - DEMOLIÇÃO DE PONTOS DE ÁGUA FRIA OU QUENTE</t>
  </si>
  <si>
    <t>3.2.6</t>
  </si>
  <si>
    <t>IINSTALAÇÕES HIDROSSANITÁRIAS - DEMOLIÇÃO E RETIRADA DE LOUÇAS E METAIS</t>
  </si>
  <si>
    <t>3.2.7</t>
  </si>
  <si>
    <t>IINSTALAÇÕES HIDROSSANITÁRIAS - DEMOLIÇÃO DE REGISTROS DE PRESSÃO E GAVETA</t>
  </si>
  <si>
    <t>3.2.8</t>
  </si>
  <si>
    <t>IINSTALAÇÕES HIDROSSANITÁRIAS - DEMOLIÇÃO DE PONTO DE ESGOTO</t>
  </si>
  <si>
    <t>3.2.9</t>
  </si>
  <si>
    <t>IINSTALAÇÕES HIDROSSANITÁRIAS - DEMOLIÇÃO DE RALOS SECOS OU SINFONADOS</t>
  </si>
  <si>
    <t>3.2.10</t>
  </si>
  <si>
    <t>INSTALAÇÕES DE DADOS E VOZ - DEMOLIÇÃO DE ELETRODUTOS E CABEAMENTO</t>
  </si>
  <si>
    <t>3.2.11</t>
  </si>
  <si>
    <t>INSTALAÇÕES DE DADOS E VOZ - DEMOLIÇÃO DE PONTOS DE REDE, TELEFONE  CAIXAS DE PASSAGEM</t>
  </si>
  <si>
    <t>3.2.12</t>
  </si>
  <si>
    <t>INSTALAÇÕES DE DADOS E VOZ - DEMOLIÇÃO DE CPD</t>
  </si>
  <si>
    <t>3.2.13</t>
  </si>
  <si>
    <t>INSTALAÇÕES ESPECIAIS - DESATIVAÇÃO E RETIRADA DE DETECTOR DE FUMAÇA</t>
  </si>
  <si>
    <t>3.2.14</t>
  </si>
  <si>
    <t>INSTALAÇÕES ESPECIAIS - DESATIVAÇÃO E RETIRADA DE PONTO E TUBULAÇÃO DE SPRINKLER</t>
  </si>
  <si>
    <t>3.2.15</t>
  </si>
  <si>
    <t>INSTALAÇÕES ESPECIAIS - DESATIVAÇÃO E RETIRADA DE ALARMES</t>
  </si>
  <si>
    <t>3.2.16</t>
  </si>
  <si>
    <t>INSTALAÇÕES ESPECIAIS - DESATIVAÇÃO E RETIRADA DE CÂMERAS</t>
  </si>
  <si>
    <t>3.2.17</t>
  </si>
  <si>
    <t>INSTALAÇÕES DE REFRIGERAÇÃO E EXAUSTÃO - DEMOLIÇÃO DE INFRA (DUTOS)</t>
  </si>
  <si>
    <t>3.2.18</t>
  </si>
  <si>
    <t>INSTALAÇÕES DE REFRIGERAÇÃO E EXAUSTÃO - RETIRADA DE EQUIPAMENTOS</t>
  </si>
  <si>
    <t>3.2.19</t>
  </si>
  <si>
    <t>INSTALAÇÕES DE REFRIGERAÇÃO E EXAUSTÃO - DESATIVAÇÃO DE DRENOS</t>
  </si>
  <si>
    <t>3.3</t>
  </si>
  <si>
    <t>RETIRADAS</t>
  </si>
  <si>
    <t>3.3.1</t>
  </si>
  <si>
    <t>RETIRADA DE PERSIANAS E CORTINAS</t>
  </si>
  <si>
    <t>3.3.2</t>
  </si>
  <si>
    <t>RETIRADA DE MOBILIÁRIO MÓVEL</t>
  </si>
  <si>
    <t>3.3.3</t>
  </si>
  <si>
    <t>RETIRADA DE MOBILIÁRIO FIXO - MARCENARIA</t>
  </si>
  <si>
    <t>3.3.4</t>
  </si>
  <si>
    <t>RETIRADA DE MOBILIÁRIO FIXO - MARMORARIA</t>
  </si>
  <si>
    <t>3.3.5</t>
  </si>
  <si>
    <t>RETIRADA DE MOBILIÁRIO FIXO - SERRALHERIA</t>
  </si>
  <si>
    <t>3.3.6</t>
  </si>
  <si>
    <t>RETIRADA DE ESQUADRIAS - PORTAS DE MARCENARIA</t>
  </si>
  <si>
    <t>3.3.7</t>
  </si>
  <si>
    <t>RETIRADA DE ESQUADRIAS - PORTAS DE VIDRO</t>
  </si>
  <si>
    <t>3.3.8</t>
  </si>
  <si>
    <t>RETIRADA DE ESQUADRIAS - PORTAS DE ALUMÍNIO</t>
  </si>
  <si>
    <t>3.3.9</t>
  </si>
  <si>
    <t>RETIRADA DE ESQUADRIAS - PORTAS DE PVC</t>
  </si>
  <si>
    <t>3.3.10</t>
  </si>
  <si>
    <t>RETIRADA DE ESQUADRIAS - JANELAS DE MARCENARIA</t>
  </si>
  <si>
    <t>3.3.11</t>
  </si>
  <si>
    <t>RETIRADA DE ESQUADRIAS - JANELAS DE VIDRO</t>
  </si>
  <si>
    <t>3.3.12</t>
  </si>
  <si>
    <t>RETIRADA DE ESQUADRIAS - JANELA DE ALUMÍNIO</t>
  </si>
  <si>
    <t>3.3.13</t>
  </si>
  <si>
    <t>RETIRADA DE ESQUADRIAS - VISOR EM VIDRO</t>
  </si>
  <si>
    <t>CONSTRUÇÃO</t>
  </si>
  <si>
    <t>4.1</t>
  </si>
  <si>
    <t>PISO - ETAPA 1</t>
  </si>
  <si>
    <t>4.1.1</t>
  </si>
  <si>
    <t>EXECUÇÃO DE REGULARIZAÇÃO DE CONTRAPISO EM ARGAMASSA DE CIMENTO ATÉ 2CM</t>
  </si>
  <si>
    <t>ETAPA 1</t>
  </si>
  <si>
    <t>4.1.2</t>
  </si>
  <si>
    <t>EXECUÇÃO DE CONTRAPISO DE CIMENTO E AREIA ATÉ 6CM</t>
  </si>
  <si>
    <t>4.1.3</t>
  </si>
  <si>
    <t>EXECUÇÃO DE CONTRAPISO ARMADO COM MASSA DE CIMENTO E AREIA ATÉ 6CM</t>
  </si>
  <si>
    <t>4.1.4</t>
  </si>
  <si>
    <t>EXECUÇÃO DE ENCHIMENTO DE PISO EM ISOPOR ATÉ 6CM</t>
  </si>
  <si>
    <t>4.1.5</t>
  </si>
  <si>
    <t>EXECUÇÃO DE PISO ELEVADO METÁLICO</t>
  </si>
  <si>
    <t>4.1.17</t>
  </si>
  <si>
    <t>ABERTURA E FECHAMENTO DE VALAS PARA PASSAGEM DE INSTALAÇÕES</t>
  </si>
  <si>
    <t>4.1.18</t>
  </si>
  <si>
    <t>REPARO EM PISO ELEVADO COM CHAPA METÁLICA - 3mm</t>
  </si>
  <si>
    <t>4.1.19</t>
  </si>
  <si>
    <t>RETIRADA E REALOCAÇÃO DE PISOS (ABERTURA, FECHAMENTO E ALINHAMENTO)</t>
  </si>
  <si>
    <t>4.2</t>
  </si>
  <si>
    <t>IMPERMEABILIZAÇÃO - ETAPA 1</t>
  </si>
  <si>
    <t>4.2.1</t>
  </si>
  <si>
    <t>4.2.2</t>
  </si>
  <si>
    <t>EXECUÇÃO DE IMPERMEABILIZAÇÃO EM ARGAMASSA POLIMÉRICA</t>
  </si>
  <si>
    <t>4.2.3</t>
  </si>
  <si>
    <t>EXECUÇÃO DE IMPERMEABILIZAÇÃO EM MATERIAL ACRÍLICO FLEXÍVEL TELADA</t>
  </si>
  <si>
    <t>4.2.4</t>
  </si>
  <si>
    <t>EXECUÇÃO DE PROTEÇÃO MECÂNICA</t>
  </si>
  <si>
    <t>4.3</t>
  </si>
  <si>
    <t>PAREDES - ETAPA 1</t>
  </si>
  <si>
    <t>4.3.1</t>
  </si>
  <si>
    <t>ALVENARIA - CONSTRUÇÃO DE PAREDE INTERNA EM BLOCO CERÂMICO</t>
  </si>
  <si>
    <t>4.3.2</t>
  </si>
  <si>
    <t>ALVENARIA - CONSTRUÇÃO DE PAREDE INTERNA EM BLOCO DE CONCRETO</t>
  </si>
  <si>
    <t>4.3.3</t>
  </si>
  <si>
    <t>ALVENARIA - EXECUÇÃO DE CHAPISCO, REBOCO E EMBOÇO</t>
  </si>
  <si>
    <t>4.3.4</t>
  </si>
  <si>
    <t>ALVENARIA - EXECUÇÃO DE SOCOS E CONTENÇÕES</t>
  </si>
  <si>
    <t>4.3.5</t>
  </si>
  <si>
    <t>DRYWALL - CONSTRUÇÃO DE PAREDE EM CHAPA SIMPES DE GESSO ACARTONADO ST+ST</t>
  </si>
  <si>
    <t>4.3.6</t>
  </si>
  <si>
    <t>DRYWALL - CONSTRUÇÃO DE PAREDE EM CHAPA SIMPES DE GESSO ACARTONADO ST+RU</t>
  </si>
  <si>
    <t>4.3.7</t>
  </si>
  <si>
    <t>DRYWALL - CONSTRUÇÃO DE PAREDE EM CHAPA SIMPES DE GESSO ACARTONADO RU+RU</t>
  </si>
  <si>
    <t>4.3.8</t>
  </si>
  <si>
    <t>DRYWALL - CONSTRUÇÃO DE PAREDE EM CHAPA DUPLA DE GESSO ACARTONADO 2xST + 2xST</t>
  </si>
  <si>
    <t>4.3.9</t>
  </si>
  <si>
    <t>DRYWALL - CONSTRUÇÃO DE PAREDE EM CHAPA DUPLA DE GESSO ACARTONADO 2xST + 2xRU</t>
  </si>
  <si>
    <t>4.3.10</t>
  </si>
  <si>
    <t>DRYWALL - CONSTRUÇÃO DE PAREDE EM CHAPA DUPLA DE GESSO ACARTONADO 2xRU + 2xRU</t>
  </si>
  <si>
    <t>4.3.11</t>
  </si>
  <si>
    <t>DRYWALL - CONSTRUÇÃO DE SEPTO EM CHAPA SIMPLES DE GESSO ACARTONADO ST+ST</t>
  </si>
  <si>
    <t>4.3.12</t>
  </si>
  <si>
    <t>DRYWALL - CONSTRUÇÃO DE SEPTO EM CHAPA DUPLA DE GESSO ACARTONADO 2xST + 2xST</t>
  </si>
  <si>
    <t>4.3.13</t>
  </si>
  <si>
    <t>DRYWALL - CONSTRUÇÃO DE CONTRAPAREDE EM CHAPA SIMPLES DE GESSO ACARTONADO ST</t>
  </si>
  <si>
    <t>4.3.14</t>
  </si>
  <si>
    <t>DRYWALL - CONSTRUÇÃO DE CONTRAPAREDE EM CHAPA DUPLA DE GESSO ACARTONADO 2xST</t>
  </si>
  <si>
    <t>4.3.15</t>
  </si>
  <si>
    <t>DRYWALL - FORNECIMENTO E INSTALAÇÃO DE LÃ DE ROCHA</t>
  </si>
  <si>
    <t>4.3.16</t>
  </si>
  <si>
    <t>4.4</t>
  </si>
  <si>
    <t>TETO E FORRO ETAPA 2</t>
  </si>
  <si>
    <t>4.4.1</t>
  </si>
  <si>
    <t>FORRO DE GESSO ACARTONADO ST, COM ESTRUTURA SUSPENSA EM GUIAS, MONTANTES E SUPORTES EM METALON</t>
  </si>
  <si>
    <t>ETAPA 2</t>
  </si>
  <si>
    <t>4.4.2</t>
  </si>
  <si>
    <t>EXECUÇÃO DE FECHAMENTO HORIZONTAL E VERTICAL EM GESSO ACARTONADO ST</t>
  </si>
  <si>
    <t>4.4.3</t>
  </si>
  <si>
    <t>FORNECIMENTO E INSTALAÇÃO DE TABICA METÁLICA</t>
  </si>
  <si>
    <t>4.4.4</t>
  </si>
  <si>
    <t>EXECUÇÃO DE ALÇAPÃO COM ACABAMENTO DE BORDA METÁLICO BRANCO</t>
  </si>
  <si>
    <t>4.4.5</t>
  </si>
  <si>
    <t>EXECUÇÃO DE ABERTURA EM FORRO PARA INSTALAÇÃO DE LUMINÁRIA</t>
  </si>
  <si>
    <t>4.4.6</t>
  </si>
  <si>
    <t>EXECUÇÃO DE ABERTURA E FECHAMENTO EM FORRO DE GESSO ACARTONADO EXISTENTE</t>
  </si>
  <si>
    <t>4.4.7</t>
  </si>
  <si>
    <t>EXECUÇÃO DE ABERTURA E FECHAMENTO EM FORRO EM PLACA DE GESSO EXISTENTE</t>
  </si>
  <si>
    <t>4.4.8</t>
  </si>
  <si>
    <t>EXECUÇÃO DE FORRO MODULAR MINERAL EM PLACAS DE 625,5X62,5CM BRANCAS COM ESTRUTURA SUPERIOR EM GUIAS, MONTANTES E SUPORTES EM METALON</t>
  </si>
  <si>
    <t>4.4.9</t>
  </si>
  <si>
    <t>EXECUÇÃO DE FORRO MODULAR MINERAL EM PLACAS DE 125X62,5CM BRANCAS COM ESTRUTURA SUPERIOR EM GUIAS, MONTANTES E SUPORTES EM METALON</t>
  </si>
  <si>
    <t>4.4.10</t>
  </si>
  <si>
    <t>EXECUÇÃO DE REFORÇO ESTRUTURA SOBRE FORRO DE GESSO PARA INSTALAÇÃO DE EQUIPAMENTOS</t>
  </si>
  <si>
    <t>DIVISÓRIAS - ETAPA 2</t>
  </si>
  <si>
    <t>DIVISÓRIA INDUSTRIAL EM VIDRO SIMPLES 6MM INCOLOR, COM ESTRUTURA EM ALUMINÍNIO</t>
  </si>
  <si>
    <t>DIVISÓRIA INDUSTRIAL ACÚSTICA EM VIDRO DUPLO 6MM INCOLOR, COM ESTRUTURA EM ALUMINÍNIO</t>
  </si>
  <si>
    <t>DIVISÓRIA ACÚSTICA FIXA (conforme especificação de projeto)</t>
  </si>
  <si>
    <t>DIVISÓRIA ACÚSTICA RETRÁTIL (conforme especificação de projeto)</t>
  </si>
  <si>
    <t>DIVISÓRIA SANITÁRIA EM TS, NA COR BRANCA TX (conforme especificação de projeto)</t>
  </si>
  <si>
    <t>REVESTIMENTOS</t>
  </si>
  <si>
    <t>5.1</t>
  </si>
  <si>
    <t>PISO - BANHEIROS, COPA, DML, DEPÓSITO, CPD</t>
  </si>
  <si>
    <t>5.1.1</t>
  </si>
  <si>
    <t>FORNECIMENTO E INSTALAÇÃO DE REVESTIMENTO CERÂMICO 45x45CM
INCLUSIVE ARGAMASSA E REJUNTE (coforme especificação de projeto)</t>
  </si>
  <si>
    <t>5.1.2</t>
  </si>
  <si>
    <t>FORNECIMENTO E INSTALAÇÃO DE REVESTIMENTO CERÂMICO 60X60CM
INCLUSIVE ARGAMASSA E REJUNTE (coforme especificação de projeto)</t>
  </si>
  <si>
    <t>5.1.3</t>
  </si>
  <si>
    <t>FORNECIMENTO E INSTALAÇÃO DE REVESTIMENTO CERÂMICO 90X90CM
INCLUSIVE ARGAMASSA E REJUNTE (coforme especificação de projeto)</t>
  </si>
  <si>
    <t>5.1.4</t>
  </si>
  <si>
    <t>FORNECIMENTO E INSTALAÇÃO DE PORCELANATO 45x45CM
INCLUSIVE ARGAMASSA E REJUNTE (coforme especificação de projeto)</t>
  </si>
  <si>
    <t>5.1.5</t>
  </si>
  <si>
    <t>FORNECIMENTO E INSTALAÇÃO DE PORCELANATO 60X60CM
INCLUSIVE ARGAMASSA E REJUNTE (coforme especificação de projeto)</t>
  </si>
  <si>
    <t>5.1.6</t>
  </si>
  <si>
    <t>FORNECIMENTO E INSTALAÇÃO DE PORCELANATO 90X90CM
INCLUSIVE ARGAMASSA E REJUNTE (coforme especificação de projeto)</t>
  </si>
  <si>
    <t>5.2</t>
  </si>
  <si>
    <t>PISO - RECEPÇÃO, ATENDIMENTO, SALA DE TRABALHO, COORDENAÇÃO, SALAS DE REUNIÃO E CAPACITAÇÃO, OUTROS</t>
  </si>
  <si>
    <t>5.2.1</t>
  </si>
  <si>
    <t>5.2.2</t>
  </si>
  <si>
    <t>5.2.3</t>
  </si>
  <si>
    <t>5.2.4</t>
  </si>
  <si>
    <t>5.2.5</t>
  </si>
  <si>
    <t>FORNECIMENTO E INSTALAÇÃO DE PISO VINÍLICO EM RÉGUA 120X20CM
INCLUSIVE COLA E MASSA PREPARADORA (coforme especificação de projeto)</t>
  </si>
  <si>
    <t>5.2.6</t>
  </si>
  <si>
    <t>FORNECIMENTO E INSTALAÇÃO DE CARPETE 50X50CM
INCLUSIVE COLA (coforme especificação de projeto)</t>
  </si>
  <si>
    <t>5.3</t>
  </si>
  <si>
    <t>PAREDE - BANHEIRO, COPA E DML</t>
  </si>
  <si>
    <t>5.3.1</t>
  </si>
  <si>
    <t>FORNECIMENTO E INSTALAÇÃO DE REVESTIMENTO CERÂMICO 30x60CM
INCLUSIVE ARGAMASSA E REJUNTE (coforme especificação de projeto)</t>
  </si>
  <si>
    <t>5.3.2</t>
  </si>
  <si>
    <t>FORNECIMENTO E INSTALAÇÃO DE PORCELANATO 30x60CM
INCLUSIVE ARGAMASSA E REJUNTE (coforme especificação de projeto)</t>
  </si>
  <si>
    <t>5.4</t>
  </si>
  <si>
    <t>LOUSAS, QUADROS BRANCOS E ESPELHOS</t>
  </si>
  <si>
    <t>5.4.1</t>
  </si>
  <si>
    <t>FORNECIMENTO E INSTALAÇÃO DE FÓRMICA TIPO LOUSA NA COR BRANCA BRILHANTE 0.8MM
INCLUSIVE COLA E REQUADRO EM MARCENARIA NA COR BRANCA (coforme especificação de projeto)</t>
  </si>
  <si>
    <t>5.4.2</t>
  </si>
  <si>
    <t>FORNECIMENTO E INSTALAÇÃO DE REVESTIMENTO LAMINADO PARA PAREDE PADRÃO LOUSA / QUADRO BRANCO
INCLUSIVE MATERIAL DE INSTALAÇÃO (coforme especificação de projeto)</t>
  </si>
  <si>
    <t>5.4.3</t>
  </si>
  <si>
    <t>FORNECIMENTO E INSTALAÇÃO DE ESPELHO COLADO SOBRE REVESTIMENTO
INCLUSIVE FIXADORES CROMADOS (coforme especificação de projeto)</t>
  </si>
  <si>
    <t>5.5</t>
  </si>
  <si>
    <t>RODAPÉS</t>
  </si>
  <si>
    <t>5.5.1</t>
  </si>
  <si>
    <t>FORNECIMENTO E INSTALAÇÃO DE RODAPÉ CERÂMICO 60x10CM
INCLUSIVE ARGAMASSA E REJUNTE (coforme especificação de projeto)</t>
  </si>
  <si>
    <t>5.5.2</t>
  </si>
  <si>
    <t>FORNECIMENTO E INSTALAÇÃO DE RODAPÉ EM POLIESTIRENO NA COR BRANCA 240X10CM
INCLUSIVE COLA E PARAFUSOS (coforme especificação de projeto)</t>
  </si>
  <si>
    <t>5.5.3</t>
  </si>
  <si>
    <t>FORNECIMENTO E INSTALAÇÃO DE RODAPÉ EM MARCENARIA PINTADO NA COR BRANCA
INCLUSIVE COLA E PARAFUSOS (coforme especificação de projeto)</t>
  </si>
  <si>
    <t>5.5.4</t>
  </si>
  <si>
    <t>FORNECIMENTO E INSTALAÇÃO DE RODAPÉ METÁLICO NA COR BRANCA
INCLUSIVE INSUMOS PARA INSTALAÇÃO (coforme especificação de projeto)</t>
  </si>
  <si>
    <t>5.5.5</t>
  </si>
  <si>
    <t>FORNECIMENTO E INSTALAÇÃO DE RODAPÉ EM MARCENARIA PINTADO NA COR DA PAREDE
INCLUSIVE COLA E PARAFUSOS (coforme especificação de projeto)</t>
  </si>
  <si>
    <t>INSTALAÇÕES</t>
  </si>
  <si>
    <t>6.1</t>
  </si>
  <si>
    <t>INFRAESTRUTURA PARA INSTALAÇÕES ELÉTRICAS, ILUMINAÇÃO E DADOS - ETAPA 1</t>
  </si>
  <si>
    <t>6.1.1</t>
  </si>
  <si>
    <t>INFRAESTRUTURA SECA EM PVC FLEXÍVEL - PONTO ELÉTRICO</t>
  </si>
  <si>
    <t>PTO</t>
  </si>
  <si>
    <t>INFRAESTRUTURA SECA EM SEAL TUBE - PONTO ELÉTRICO</t>
  </si>
  <si>
    <t>6.1.2</t>
  </si>
  <si>
    <t>INFRAESTRUTURA SECA EM PVC FLEXÍVEL - ILUMINAÇÃO</t>
  </si>
  <si>
    <t>6.1.3</t>
  </si>
  <si>
    <t>INFRAESTRUTURA SECA EM PVC FLEXÍVEL - LUMINÁRIA DE EMERGENCIA</t>
  </si>
  <si>
    <t>6.1.4</t>
  </si>
  <si>
    <t>INFRAESTRUTURA SECA EM PVC FLEXÍVEL - CABEAMENTO DE DADOS E VOZ</t>
  </si>
  <si>
    <t>6.1.6</t>
  </si>
  <si>
    <t>INFRAESTRUTURA SECA EM PVC FLEXÍVEL - PONTO DE CFTV</t>
  </si>
  <si>
    <t>6.1.7</t>
  </si>
  <si>
    <t>INFRAESTRUTURA SECA  EM PVC FLEXÍVEL  PONTO HDMI</t>
  </si>
  <si>
    <t>6.1.8</t>
  </si>
  <si>
    <t>INFRAESTRUTURA SECA EM PVC FLEXÍVEL - PONTO DE SONORIZAÇÃO</t>
  </si>
  <si>
    <t>6.1.9</t>
  </si>
  <si>
    <t>INFRAESTRUTURA SECA EM TUBO METÁLICO - PONTO ELÉTRICO</t>
  </si>
  <si>
    <t>6.1.10</t>
  </si>
  <si>
    <t>INFRAESTRUTURA SECA EM TUBO METÁLICO - ILUMINAÇÃO</t>
  </si>
  <si>
    <t>6.1.11</t>
  </si>
  <si>
    <t>INFRAESTRUTURA SECA EM TUBO METÁLICO - LUMINÁRIA DE EMERGENCIA</t>
  </si>
  <si>
    <t>6.1.12</t>
  </si>
  <si>
    <t>INFRAESTRUTURA SECA EM TUBO METÁLICO - CABEAMENTO DE DADOS E VOZ</t>
  </si>
  <si>
    <t>6.1.13</t>
  </si>
  <si>
    <t>INFRAESTRUTURA SECA EM TUBO METÁLICO - PONTO DE WIFI</t>
  </si>
  <si>
    <t>6.1.14</t>
  </si>
  <si>
    <t>INFRAESTRUTURA SECA EM TUBO METÁLICO - PONTO DE CFTV</t>
  </si>
  <si>
    <t>6.1.15</t>
  </si>
  <si>
    <t>INFRAESTRUTURA SECA EM TUBO METÁLICO - PONTO HDMI</t>
  </si>
  <si>
    <t>6.1.16</t>
  </si>
  <si>
    <t>INFRAESTRUTURA SECA EM TUBO METÁLICO - PONTO DE SONORIZAÇÃO</t>
  </si>
  <si>
    <t>6.1.17</t>
  </si>
  <si>
    <t>INFRAESTRUTURA SECA EM ELETROCALHA LISA EM 2 VIAS PARA DISTRIBUIÇÃO DE CIRCUITOS DE 
INSTALAÇÕES ELÉTRICAS, DADOS E VOZ</t>
  </si>
  <si>
    <t>6.1.18</t>
  </si>
  <si>
    <t>CAIXA DE PVC 4X2 PARA EMBUTIR EM PISO</t>
  </si>
  <si>
    <t>6.1.19</t>
  </si>
  <si>
    <t>CAIXA DE PVC 4X4 PARA EMBUTIR EM PISO</t>
  </si>
  <si>
    <t>6.1.20</t>
  </si>
  <si>
    <t>CAIXA DE PVC 4X2 PARA EMBUTIR EM ALVENARIA</t>
  </si>
  <si>
    <t>6.1.21</t>
  </si>
  <si>
    <t>CAIXA DE PVC 4X4 PARA EMBUTIR EM ALVENARIA</t>
  </si>
  <si>
    <t>6.1.22</t>
  </si>
  <si>
    <t>CAIXA DE PVC 4X2 PARA EMBUTIR EM DRYWALL</t>
  </si>
  <si>
    <t>6.1.23</t>
  </si>
  <si>
    <t>CAIXA DE PVC 4X4 PARA EMBUTIR EM DRYWALL</t>
  </si>
  <si>
    <t>6.1.24</t>
  </si>
  <si>
    <t>CAIXA DE PASSAGEM EM PVC 10X10 PARA EMBUTIR</t>
  </si>
  <si>
    <t>6.1.25</t>
  </si>
  <si>
    <t>CAIXA DE PASSAGEM EM PVC 15X15 PARA EMBUTIR</t>
  </si>
  <si>
    <t>6.1.26</t>
  </si>
  <si>
    <t>CAIXA METÁLICA 4X2 DE SOBREPOR</t>
  </si>
  <si>
    <t>6.1.27</t>
  </si>
  <si>
    <t>CAIXA METÁLICA 4X4 DE SOBREPOR</t>
  </si>
  <si>
    <t>6.1.28</t>
  </si>
  <si>
    <t>CAIXA DE PASSAGEM METÁLICA 10X10 DE SOBREPOR</t>
  </si>
  <si>
    <t>6.1.29</t>
  </si>
  <si>
    <t>CAIXA DE PASSAGEM METÁLICA 15X15 DE SOBREPOR</t>
  </si>
  <si>
    <t>6.2</t>
  </si>
  <si>
    <t>INSTALAÇÕES ELÉTRICAS - ETAPA 1</t>
  </si>
  <si>
    <t>6.2.1</t>
  </si>
  <si>
    <t>PONTO DE TOMADA DE PISO - 127V - 10A (conforme especificação de projeto)
INCLUSIVE MÓDULO, ESPELHO, SUPORTE, CONECTORES E TERMINAIS</t>
  </si>
  <si>
    <t>6.2.2</t>
  </si>
  <si>
    <t>PONTO DE TOMADA DE PISO 127V - 20A (conforme especificação de projeto)
INCLUSIVE MÓDULO, ESPELHO, SUPORTE, CONECTORES E TERMINAIS</t>
  </si>
  <si>
    <t>6.2.3</t>
  </si>
  <si>
    <t>PONTO DE TOMADA DE PISO 220V - 10A (conforme especificação de projeto)
INCLUSIVE MÓDULO, ESPELHO, SUPORTE, CONECTORES E TERMINAIS</t>
  </si>
  <si>
    <t>6.2.4</t>
  </si>
  <si>
    <t>PONTO DE TOMADA DE PISO 220V - 20A (conforme especificação de projeto)
INCLUSIVE MÓDULO, ESPELHO, SUPORTE, CONECTORES E TERMINAIS</t>
  </si>
  <si>
    <t>6.2.5</t>
  </si>
  <si>
    <t>PONTO DE TOMADA DE PAREDE 127V - 10A (conforme especificação de projeto)
INCLUSIVE MÓDULO, ESPELHO, SUPORTE, CONECTORES E TERMINAIS</t>
  </si>
  <si>
    <t>6.2.6</t>
  </si>
  <si>
    <t>PONTO DE TOMADA DE PAREDE 220V - 20A (conforme especificação de projeto)
INCLUSIVE MÓDULO, ESPELHO, SUPORTE, CONECTORES E TERMINAIS</t>
  </si>
  <si>
    <t>6.2.7</t>
  </si>
  <si>
    <t>PONTO DE TOMADA DE TETO 220V - 10A (conforme especificação de projeto)
INCLUSIVE MÓDULO, ESPELHO, SUPORTE, CONECTORES E TERMINAIS</t>
  </si>
  <si>
    <t>6.2.8</t>
  </si>
  <si>
    <t>PONTO DE TOMADA DE TETO 127V - 10A (conforme especificação de projeto)
INCLUSIVE MÓDULO, ESPELHO, SUPORTE, CONECTORES E TERMINAIS</t>
  </si>
  <si>
    <t>6.2.9</t>
  </si>
  <si>
    <t>PONTO DE ELÉTRICO 220V PARA AR CONDICIONADO 
INCLUSIVE CONECTORES E TERMINAIS</t>
  </si>
  <si>
    <t>6.2.10</t>
  </si>
  <si>
    <t>PONTO DE INTERRUPTOR SIMPLES (conforme especificação de projeto)
INCLUSIVE MÓDULO, ESPELHO, SUPORTE, CONECTORES E TERMINAIS</t>
  </si>
  <si>
    <t>6.2.11</t>
  </si>
  <si>
    <t>PONTO DE INTERRUPTOR PARALELO (conforme especificação de projeto)
INCLUSIVE MÓDULO, ESPELHO, SUPORTE, CONECTORES E TERMINAIS</t>
  </si>
  <si>
    <t>6.2.12</t>
  </si>
  <si>
    <t>PONTO DE INTERRUPTOR INTERMEDIÁRIO (conforme especificação de projeto)
INCLUSIVE MÓDULO, ESPELHO, SUPORTE, CONECTORES E TERMINAIS</t>
  </si>
  <si>
    <t>6.2.13</t>
  </si>
  <si>
    <t>PONTO PARA LUMINÁRIAS - INCLUSIVE CONECTORES E TERMINAIS</t>
  </si>
  <si>
    <t>6.2.14</t>
  </si>
  <si>
    <t>QUADRO DE DISTRIBUIÇÃO DE EMBUTIR EM PVC PARA 24 POSIÇÕES
INCLUSIVE  DISJUNTORES, PROTEÇÃO, BARRAMENTO, CONECTORES, TERMINAIS</t>
  </si>
  <si>
    <t>6.2.15</t>
  </si>
  <si>
    <t>QUADRO DE DISTRIBUIÇÃO DE EMBUTIR EM PVC PARA 36 POSIÇÕES
INCLUSIVE  DISJUNTORES, PROTEÇÃO, BARRAMENTO, CONECTORES, TERMINAIS</t>
  </si>
  <si>
    <t>6.2.16</t>
  </si>
  <si>
    <t>QUADRO DE DISTRIBUIÇÃO DE EMBUTIR EM PVC PARA 56 POSIÇÕES
INCLUSIVE  DISJUNTORES, PROTEÇÃO, BARRAMENTO, CONECTORES, TERMINAIS</t>
  </si>
  <si>
    <t>6.2.17</t>
  </si>
  <si>
    <t>PROCESSO DE AUMENTO DE CARGA (conforme projeto)</t>
  </si>
  <si>
    <t>6.3</t>
  </si>
  <si>
    <t>ILUMINAÇÃO - ETAPA 2</t>
  </si>
  <si>
    <t>6.3.1</t>
  </si>
  <si>
    <t>LUMINÁRIA PENDENTE INDUSTRIAL EM ALUMÍNIO, NA COR PRETO, Ø43CM, 1 X E27</t>
  </si>
  <si>
    <t>6.3.2</t>
  </si>
  <si>
    <t>LUMINÁRIA PENDENTE RING LED INTEGRADO EM ALUMINÍNIO, NA COR BRANCO, Ø60CM 27W 3000K</t>
  </si>
  <si>
    <t>6.3.3</t>
  </si>
  <si>
    <t>LUMINÁRIA PENDENTE RING LED INTEGRADO EM ALUMINÍNIO, NA COR BRANCO, Ø100CM 44W 3000K</t>
  </si>
  <si>
    <t>6.3.4</t>
  </si>
  <si>
    <t>LUMINÁRIA PENDENTE LINEAR 120CM COM LED INTEGRADO E DIFUSOR LEITOSO, NA COR PRETA, 4000K</t>
  </si>
  <si>
    <t>6.3.5</t>
  </si>
  <si>
    <t>LUMINÁRIA PENDENTE LINEAR 150CM COM LED INTEGRADO E DIFUSOR LEITOSO, NA COR PRETA, 4000K</t>
  </si>
  <si>
    <t>6.3.6</t>
  </si>
  <si>
    <t>LUMINÁRIA PENDENTE LINEAR 180CM COM LED INTEGRADO E DIFUSOR LEITOSO, NA COR PRETA, 4000K</t>
  </si>
  <si>
    <t>6.3.7</t>
  </si>
  <si>
    <t>LUMINÁRIA PENDENTE LINEAR 200CM COM LED INTEGRADO E DIFUSOR LEITOSO, NA COR PRETA, 4000K</t>
  </si>
  <si>
    <t>6.3.8</t>
  </si>
  <si>
    <t>TRILHO ELETRIFICADO 1,00M  DE SOBREPOR NA COR PRETO</t>
  </si>
  <si>
    <t>6.3.9</t>
  </si>
  <si>
    <t>TRILHO ELETRIFICADO 1,50M  DE SOBREPOR NA COR PRETO</t>
  </si>
  <si>
    <t>6.3.10</t>
  </si>
  <si>
    <t>TRILHO ELETRIFICADO 2,00M  DE SOBREPOR NA COR PRETO</t>
  </si>
  <si>
    <t>6.3.11</t>
  </si>
  <si>
    <t>TRILHO ELETRIFICADO 3,00M  DE SOBREPOR NA COR PRETO</t>
  </si>
  <si>
    <t>6.3.12</t>
  </si>
  <si>
    <t>SPOT DIRECIONÁVEL PARA TRILHO ELETRIFICADO NA COR PRETO, 1 X E27</t>
  </si>
  <si>
    <t>6.3.13</t>
  </si>
  <si>
    <t>LUMINÁRIA QUADRADA ORIENTÁVEL DE EMBUTIR NA COR BRANCA, DIMENSÃO 15X15CM, PARA 1 X E27</t>
  </si>
  <si>
    <t>6.3.14</t>
  </si>
  <si>
    <t>LUMINÁRIA REDONDA ORIENTÁVEL DE EMBUTIR NA COR BRANCA, DIMENSÃO  Ø15CM, PARA 1 X E27</t>
  </si>
  <si>
    <t>6.3.15</t>
  </si>
  <si>
    <t xml:space="preserve">LUMINÁRIA COM LED INTEGRADO DE EMBUTIR 10X10 6W 4000K, NA COR BRANCA, </t>
  </si>
  <si>
    <t>6.3.16</t>
  </si>
  <si>
    <t>LUMINÁRIA COM LED INTEGRADO DE EMBUTIR 15X15CM 4000K, NA COR BRANCA (conforme projeto)</t>
  </si>
  <si>
    <t>6.3.17</t>
  </si>
  <si>
    <t>LUMINÁRIA COM LED INTEGRADO DE EMBUTIR 20X20CM 4000K, NA COR BRANCA (conforme projeto)</t>
  </si>
  <si>
    <t>6.3.18</t>
  </si>
  <si>
    <t>6.3.19</t>
  </si>
  <si>
    <t>LUMINÁRIA COM LED INTEGRADO DE EMBUTIR 40X40CM, 4000K, NA COR BRANCA (conforme projeto)</t>
  </si>
  <si>
    <t>6.3.20</t>
  </si>
  <si>
    <t>LUMINÁRIA COM LED INTEGRADO DE EMBUTIR 60X60CM, 4000K, NA COR BRANCA (conforme projeto)</t>
  </si>
  <si>
    <t>6.3.21</t>
  </si>
  <si>
    <t>LAMPADA LED E27 BULBO 4000K 48W</t>
  </si>
  <si>
    <t>6.3.22</t>
  </si>
  <si>
    <t>LÂMPADA LED E27 PAR 20 3000K ATÉ 9W</t>
  </si>
  <si>
    <t>6.3.23</t>
  </si>
  <si>
    <t>LUMINÁRIA DE EMBUTIR DOWNLIGHT LED NA COR BRANCA, 3000K, DIMENSÃO  Ø15CM - REF. LUMICENTER EF38-E10700830</t>
  </si>
  <si>
    <t>6.3.24</t>
  </si>
  <si>
    <t>LUMINÁRIA DE EMBUTIR LED RETANGULAR 125x10cm, 3000K - REF.: LUMICENTER NS101626 OU SIMILAR</t>
  </si>
  <si>
    <t>6.4</t>
  </si>
  <si>
    <t>INSTALAÇÕES HIDROSSANITÁRIAS - ETAPA 1</t>
  </si>
  <si>
    <t>6.4.1</t>
  </si>
  <si>
    <t>PONTO DE ÁGUA FRIA</t>
  </si>
  <si>
    <t>6.4.2</t>
  </si>
  <si>
    <t>PONTO DE ESGOTO - LAVATÓRIO</t>
  </si>
  <si>
    <t>6.4.3</t>
  </si>
  <si>
    <t>PONTO DE ESGOTO - RALO</t>
  </si>
  <si>
    <t>6.4.4</t>
  </si>
  <si>
    <t>PONTO DE ESGOTO - BACIA SANITÁRIA</t>
  </si>
  <si>
    <t>6.4.5</t>
  </si>
  <si>
    <t>PONTO DE ESGOTO - MICTÓRIO</t>
  </si>
  <si>
    <t>6.4.6</t>
  </si>
  <si>
    <t>PONTO DE ESGOTO - COZINHA</t>
  </si>
  <si>
    <t>6.4.7</t>
  </si>
  <si>
    <t>PONTO DE ESGOTO - DRENO PARA AR CONDICIONADO</t>
  </si>
  <si>
    <t>6.4.8</t>
  </si>
  <si>
    <t>CAIXA DE GORDURA</t>
  </si>
  <si>
    <t>6.4.9</t>
  </si>
  <si>
    <t>CAIXA DE INSPEÇÃO</t>
  </si>
  <si>
    <t>6.5</t>
  </si>
  <si>
    <t>INSTALAÇÕES HIDROSSANITÁRIAS - ETAPA 2</t>
  </si>
  <si>
    <t>6.5.1</t>
  </si>
  <si>
    <t>ACABAMENTO DE REGISTRO (conforme especificação de projeto)</t>
  </si>
  <si>
    <t>6.5.2</t>
  </si>
  <si>
    <t>SIFÃO METÁLICO FLEXÍVEL COM COPO PARA BANHEIRO</t>
  </si>
  <si>
    <t>6.5.3</t>
  </si>
  <si>
    <t>SIFÃO METÁLICO FLEXÍVEL COM COPO COZINHA</t>
  </si>
  <si>
    <t>6.5.4</t>
  </si>
  <si>
    <t>MANGUEIRA DE ENGATE FLEXÍVEL 40CM</t>
  </si>
  <si>
    <t>6.5.5</t>
  </si>
  <si>
    <t>CUBA DE SEMI ENCAIXE NA COR BRANCA (conforme especificação de projeto)</t>
  </si>
  <si>
    <t>6.5.6</t>
  </si>
  <si>
    <t>CUBA INOX ACETINADO 47X30X17  (conforme especificação de projeto)</t>
  </si>
  <si>
    <t>6.5.7</t>
  </si>
  <si>
    <t>TANQUE DE ENCAIXE 30L EM AÇO INOX ACETINADO 50X40  (conforme especificação de projeto)</t>
  </si>
  <si>
    <t>6.5.8</t>
  </si>
  <si>
    <t>TORNEIRA DE MESA BICA ALTA PARA BANHEIRO (conforme especificação de projeto)</t>
  </si>
  <si>
    <t>6.5.9</t>
  </si>
  <si>
    <t>TORNEIRA PCD (conforme especificação de projeto)</t>
  </si>
  <si>
    <t>6.5.10</t>
  </si>
  <si>
    <t>TORNEIRA DE MESA ALTA PARA COZINHA CROMADA (conforme especificação de projeto)</t>
  </si>
  <si>
    <t>6.5.11</t>
  </si>
  <si>
    <t>TORNEIRA DE PAREDE PARA TANQUE CROMADA (conforme especificação de projeto)</t>
  </si>
  <si>
    <t>6.5.12</t>
  </si>
  <si>
    <t>BACIA SANITÁRIA COM CAIXA ACOPLADA NA COR BRANCA (inclusive assento e kit de instalação)</t>
  </si>
  <si>
    <t>6.5.13</t>
  </si>
  <si>
    <t>BACIA SANITÁRIA COM CAIXA ACOPLADA COM ABERTURA FRONTAL NA COR BRANCA
 (inclusive assento e kit de instalação)</t>
  </si>
  <si>
    <t>6.5.14</t>
  </si>
  <si>
    <t>MICTÓRIO CERÂMICO SUSPENSO NA COR BRANCA
 (inclusive assento e kit de instalação)</t>
  </si>
  <si>
    <t>6.5.15</t>
  </si>
  <si>
    <t>ACABAMENTO PARA FILTRO (conforme especificação de projeto)</t>
  </si>
  <si>
    <t>6.5.16</t>
  </si>
  <si>
    <t>ACABAMENTO DE RALO 15X15 (conforme especificação de projeto)</t>
  </si>
  <si>
    <t>6.5.17</t>
  </si>
  <si>
    <t>BARRAS DE APOIO EM AÇO POLIDO 40CM</t>
  </si>
  <si>
    <t>6.5.18</t>
  </si>
  <si>
    <t>BARRAS DE APOIO EM AÇO POLIDO 70CM</t>
  </si>
  <si>
    <t>6.5.19</t>
  </si>
  <si>
    <t>BARRAS DE APOIO EM AÇO POLIDO 80CM</t>
  </si>
  <si>
    <t>6.5.20</t>
  </si>
  <si>
    <t>BARRAS DE APOIO EM "L" EM AÇO POLIDO 70X70CM</t>
  </si>
  <si>
    <t>6.5.21</t>
  </si>
  <si>
    <t>BARRAS DE APOIO LATERAL FIXA EM 2 NÍVEIS EM AÇO POLIDO 30CM</t>
  </si>
  <si>
    <t>6.5.22</t>
  </si>
  <si>
    <t>BARRAS DE APOIO LATERAL ARTICULADA EM 2 NÍVEIS EM AÇO POLIDO 60CM</t>
  </si>
  <si>
    <t>INSTALAÇÕES DE DADOS E VOZ - ETAPA 2</t>
  </si>
  <si>
    <t>RACK METÁLICO FECHADO 19"X40Us, PROF.: 570mm; COM PORTA E FECHAMENTOS LATERAIS REMOVÍVEIS</t>
  </si>
  <si>
    <t>GAVETA DE VENTILAÇÃO PADRÃO 19" COM QUATRO VENTILADORES</t>
  </si>
  <si>
    <t>CALHA COM 8 TOMADAS 2P+T PADRÃO ABNT INSTALADO NO FUNDO DO ARMÁRIO</t>
  </si>
  <si>
    <t>ORGANIZADOR DE CABOS DE 1U</t>
  </si>
  <si>
    <t>NO-BREAK ENTRADA 100-240V AC SAIDA 115V ac 1,0KvA E AUTONOMIA MPINIMA DE 20 MINUTOS</t>
  </si>
  <si>
    <t>TAMPA CEGA PARA RACK PADRÃO 19" (1U)</t>
  </si>
  <si>
    <t>SWITCH ETHERNET PADRÃO 19" - 48 PORTAS + 4 PORTAS GIGABIT</t>
  </si>
  <si>
    <t>PATCH PANEL 48 POSIÇÕES CATEGORIA 6</t>
  </si>
  <si>
    <t xml:space="preserve">VOICE PANEL CATEGORIA 2 COM 50 PORTAS </t>
  </si>
  <si>
    <t>PATCH CORD UTP/UTP CAT 6 NA COR CINZA (DADOS) 2,5m</t>
  </si>
  <si>
    <t>PATCH CORD UTP/UTP CAT 6 NA COR VERMELHO (RAMAIS) 2,5m</t>
  </si>
  <si>
    <t>CABO UTP-4P CAT 5E</t>
  </si>
  <si>
    <t>ACABAMENTO - SUPORTE 4X2 COM TAMPA COM 1 FURO</t>
  </si>
  <si>
    <t>PONTO DE TOMADA DE PISO PARA REDE RJ45, COM 2 TOMADAS (conforme especificação de projeto)
INCLUSIVE MÓDULO, ESPELHO METÁLICO, SUPORTE, CONECTORES E TERMINAIS</t>
  </si>
  <si>
    <t>PONTO DE TOMADA DE PISO PARA REDE RJ45, COM 4 TOMADAS (conforme especificação de projeto)
INCLUSIVE MÓDULO, ESPELHO METÁLICO, SUPORTE, CONECTORES E TERMINAIS</t>
  </si>
  <si>
    <t>PONTO DE TOMADA DE PAREDE PARA REDE RJ45, COM 2 TOMADAS (conforme especificação de projeto)
INCLUSIVE MÓDULO, ESPELHO METÁLICO, SUPORTE, CONECTORES E TERMINAIS</t>
  </si>
  <si>
    <t>PONTO DE TOMADA DE PAREDE PARA REDE RJ45, COM 4 TOMADAS (conforme especificação de projeto)
INCLUSIVE MÓDULO, ESPELHO METÁLICO, SUPORTE, CONECTORES E TERMINAIS</t>
  </si>
  <si>
    <t>PONTO DE TOMADA NO TETO PARA REDE RJ45, COM 2 TOMADAS (conforme especificação de projeto)
INCLUSIVE MÓDULO, ESPELHO METÁLICO, SUPORTE, CONECTORES E TERMINAIS</t>
  </si>
  <si>
    <t>SISTEMA DE REFRIGERAÇÃO</t>
  </si>
  <si>
    <t>7.1</t>
  </si>
  <si>
    <t>INFRAESTRUTURA PARA REFRIGERAÇÃO E EXAUSTÃO - ETAPA 1</t>
  </si>
  <si>
    <t>7.1.1</t>
  </si>
  <si>
    <t>INFRAESTRUTURA PARA INSTALAÇÃO DE EQUIPAMENTO SPLIT / VRF 7.000Btus</t>
  </si>
  <si>
    <t>7.1.2</t>
  </si>
  <si>
    <t>INFRAESTRUTURA PARA INSTALAÇÃO DE EQUIPAMENTO SPLIT / VRF 9.000Btus</t>
  </si>
  <si>
    <t>7.1.3</t>
  </si>
  <si>
    <t>INFRAESTRUTURA PARA INSTALAÇÃO DE EQUIPAMENTO SPLIT / VRF 12.000Btus</t>
  </si>
  <si>
    <t>7.1.4</t>
  </si>
  <si>
    <t>INFRAESTRUTURA PARA INSTALAÇÃO DE EQUIPAMENTO SPLIT / VRF 18.000Btus</t>
  </si>
  <si>
    <t>7.1.5</t>
  </si>
  <si>
    <t>INFRAESTRUTURA PARA INSTALAÇÃO DE EQUIPAMENTO SPLIT / VRF 22.000Btus</t>
  </si>
  <si>
    <t>7.1.6</t>
  </si>
  <si>
    <t>INFRAESTRUTURA PARA INSTALAÇÃO DE EQUIPAMENTO SPLIT / VRF 36.000Btus</t>
  </si>
  <si>
    <t>7.1.7</t>
  </si>
  <si>
    <t>INFRAESTRUTURA PARA INSTALAÇÃO DE EQUIPAMENTO SPLIT / VRF 48.000Btus</t>
  </si>
  <si>
    <t>7.1.8</t>
  </si>
  <si>
    <t>INFRAESTRUTURA PARA INSTALAÇÃO DE EQUIPAMENTO DE EXAUSTÃO MECANICA</t>
  </si>
  <si>
    <t>7.1.9</t>
  </si>
  <si>
    <t>DUTOS EM CHAPA DE AÇO GALVANIZADO PARA CONDICIONAMENTO DE AR, ISOLADO COM MANTA DE LÃ DE VIDRO, COM MONTAGEM SOBRE O FORRO E DISTRIBUIÇÃO POR DIFUSORES QUADRADOS E LINEARES INTERLIGADOS COM DUTOS FLEXÍVEIS ISOLADOS (inclusive dampers, suportes, braçadeiras, ferragens, perfis e vergalhões roscados)</t>
  </si>
  <si>
    <t>7.2</t>
  </si>
  <si>
    <t>EQUIPAMENTOS DE REFRIGERAÇÃO - ETAPA 2</t>
  </si>
  <si>
    <t>7.2.1</t>
  </si>
  <si>
    <t>UNIDADE EVAPORADORA TIPO SPLIT 9.000Btus 220V (conforme projeto)</t>
  </si>
  <si>
    <t>7.2.2</t>
  </si>
  <si>
    <t>UNIDADE EVAPORADORA TIPO SPLIT 12.000Btus 220V (conforme projeto)</t>
  </si>
  <si>
    <t>7.2.3</t>
  </si>
  <si>
    <t>UNIDADE EVAPORADORA TIPO SPLIT 18.000Btus 220V (conforme projeto)</t>
  </si>
  <si>
    <t>7.2.4</t>
  </si>
  <si>
    <t>UNIDADE EVAPORADORA TIPO SPLIT 22.000Btus 220V (conforme projeto)</t>
  </si>
  <si>
    <t>7.2.5</t>
  </si>
  <si>
    <t>UNIDADE EVAPORADORA TIPO SPLIT 36.000Btus 220V (conforme projeto)</t>
  </si>
  <si>
    <t>7.2.6</t>
  </si>
  <si>
    <t>UNIDADE EVAPORADORA TIPO SPLIT 48.000Btus 220V (conforme projeto)</t>
  </si>
  <si>
    <t>7.3</t>
  </si>
  <si>
    <t>EQUIPAMENTOS DE EXAUSTÃO - ETAPA 2</t>
  </si>
  <si>
    <t>7.3.1</t>
  </si>
  <si>
    <t>EXAUSTOR DE TETO PARA BANHEIRO Ø100MM 15W - 220V</t>
  </si>
  <si>
    <t>7.4</t>
  </si>
  <si>
    <t>MANUTENÇÕES E MELHORIAS - ETAPA 2</t>
  </si>
  <si>
    <t>7.4.1</t>
  </si>
  <si>
    <t>MANUTENÇÃO NO SISTEMA DE REFRIGERAÇÃO EXISTENTE - POR MÁQUINA</t>
  </si>
  <si>
    <t>7.4.2</t>
  </si>
  <si>
    <t>MANUTENÇÃO NO SISTEMA DE EXAUSTÃO EXISTENTE - POR MÁQUINA</t>
  </si>
  <si>
    <t>7.4.3</t>
  </si>
  <si>
    <t>REALIZAÇÃO DE TESTE E BALANCEAMENTO NO SISTEMA DE REFRIGERAÇÃO</t>
  </si>
  <si>
    <t>7.4.4</t>
  </si>
  <si>
    <t>COMPLEMENTAÇÃO DE DUTOS DE REDE DE REFRIGERAÇÃO EXISTENTE</t>
  </si>
  <si>
    <t>7.4.5</t>
  </si>
  <si>
    <t>COMPLEMENTAÇÃO DE DIFUSORES A REDE DE REFRIGERAÇÃO EXISTENTE</t>
  </si>
  <si>
    <t>PINTURA</t>
  </si>
  <si>
    <t>8.1</t>
  </si>
  <si>
    <t>PINTURA DE PAREDES</t>
  </si>
  <si>
    <t>8.1.1</t>
  </si>
  <si>
    <t>PREPARO DE SUPERFÍCIE INTERNA - APLICAÇÃO DE SELADORA E MASSA CORRIDA 
(inclusive insumos e ferramentas)</t>
  </si>
  <si>
    <t>8.1.2</t>
  </si>
  <si>
    <t>PREPARO DE SUPERFÍCIE INTERNA MOLHADA - APLICAÇÃO DE SELADORA E MASSA ACRÍLICA 
(inclusive insumos e ferramentas)</t>
  </si>
  <si>
    <t>8.1.3</t>
  </si>
  <si>
    <t>PREPARO DE SUPERFÍCIE EXTERNA - APLICAÇÃO DE SELADORA E MASSA ACRÍLICA 
(inclusive insumos e ferramentas)</t>
  </si>
  <si>
    <t>8.1.4</t>
  </si>
  <si>
    <t>PINTURA INTERNA EM TINTA ACRÍLICA ACETINADA NA COR BRANCA</t>
  </si>
  <si>
    <t>8.1.5</t>
  </si>
  <si>
    <t>PINTURA INTERNA EM TINTA ACRÍLICA ACETINADA EM COR DE CATÁLOGO</t>
  </si>
  <si>
    <t>8.1.6</t>
  </si>
  <si>
    <t>PINTURA INTERNA EM TINTA ACRÍLICA ACETINADA EM COR ESPECIAL</t>
  </si>
  <si>
    <t>8.1.7</t>
  </si>
  <si>
    <t>PINTURA EXTERNA EM TINTA ACRÍLICA ACETINADA NA COR BRANCA</t>
  </si>
  <si>
    <t>8.1.8</t>
  </si>
  <si>
    <t>PINTURA EXTERNA EM TINTA ACRÍLICA ACETINADA EM COR DE CATÁLOGO</t>
  </si>
  <si>
    <t>8.1.9</t>
  </si>
  <si>
    <t>PINTURA EXTERNA EM TINTA ACRÍLICA ACETINADA EM COR ESPECIAL</t>
  </si>
  <si>
    <t>8.2</t>
  </si>
  <si>
    <t>PINTURA DE TETOS E FORROS</t>
  </si>
  <si>
    <t>8.2.1</t>
  </si>
  <si>
    <t>PREPARO DE SUPERFÍCIE - APLICAÇÃO DE SELADORA E MASSA CORRIDA 
(inclusive insumos e ferramentas)</t>
  </si>
  <si>
    <t>8.2.2</t>
  </si>
  <si>
    <t>PINTURA INTERNA EM TINTA PVA FOSCA NA COR BRANCA</t>
  </si>
  <si>
    <t>8.2.3</t>
  </si>
  <si>
    <t>PINTURA INTERNA EM TINTA ACRÍLICA FOSCA COR BRANCA</t>
  </si>
  <si>
    <t>8.2.4</t>
  </si>
  <si>
    <t>8.3</t>
  </si>
  <si>
    <t>PINTURA EM MARCENARIA OU CARPINTARIA</t>
  </si>
  <si>
    <t>8.3.1</t>
  </si>
  <si>
    <t>PINTURA DE PORTA EM TINTA ESMALTE SINTÉTICA A BASE D'ÁGUA NA COR BRANCO
(inclusive insumos e ferramentas)</t>
  </si>
  <si>
    <t>8.3.2</t>
  </si>
  <si>
    <t>PINTURA DE PORTA EM TINTA ESMALTE SINTÉTICA A BASE DE SOLVENTE NA COR BRANCO
(inclusive insumos e ferramentas)</t>
  </si>
  <si>
    <t>8.3.3</t>
  </si>
  <si>
    <t>PINTURA DE JANELA OU VISOR EM TINTA ESMALTE SINTÉTICA A BASE D'ÁGUA NA COR BRANCO
(inclusive insumos e ferramentas)</t>
  </si>
  <si>
    <t>8.3.4</t>
  </si>
  <si>
    <t>PINTURA DE JANELA OU VISOR EM TINTA ESMALTE SINTÉTICA A BASE DE SOLVENTE NA COR BRANCO
(inclusive insumos e ferramentas)</t>
  </si>
  <si>
    <t>8.3.5</t>
  </si>
  <si>
    <t>PINTURA DE RODAPÉ EM TINTA ESMALTE SINTÉTICA A BASE D'ÁGUA NA COR BRANCO
(inclusive insumos e ferramentas)</t>
  </si>
  <si>
    <t>8.3.6</t>
  </si>
  <si>
    <t>PINTURA DE RODAPÉ EM TINTA ESMALTE SINTÉTICA A BASE DE SOLVENTE NA COR BRANCO
(inclusive insumos e ferramentas)</t>
  </si>
  <si>
    <t>8.3.7</t>
  </si>
  <si>
    <t>PREPARO DE SUPERFÍCIE DE MÓVEL EM MARCENARIA - APLICAÇÃO DE MASSA PARA PINTURA
(inclusive insumos e ferramentas)</t>
  </si>
  <si>
    <t>8.3.8</t>
  </si>
  <si>
    <t>PINTURA DE MÓVEL EM MARCENARIA EM TINTA ESMALTE SINTÉTICA A BASE D'ÁGUA NA COR BRANCO
(inclusive insumos e ferramentas)</t>
  </si>
  <si>
    <t>8.3.9</t>
  </si>
  <si>
    <t>PINTURA DE MÓVEL EM MARCENARIA EM TINTA ESMALTE SINTÉTICA A BASE DE SOLVENTE NA COR BRANCO (inclusive insumos e ferramentas)</t>
  </si>
  <si>
    <t>8.4</t>
  </si>
  <si>
    <t>PINTURA EM SERRALHERIA</t>
  </si>
  <si>
    <t>8.4.1</t>
  </si>
  <si>
    <t>PINTURA EM TINTA ESMALTE SINTÉTICA A BASE D'ÁGUA NA COR BRANCO
(inclusive insumos e ferramentas)</t>
  </si>
  <si>
    <t>8.4.2</t>
  </si>
  <si>
    <t>PINTURA EM TINTA ESMALTE SINTÉTICA A BASE DE SOLVENTE NA COR BRANCO
(inclusive insumos e ferramentas)</t>
  </si>
  <si>
    <t>8.4.3</t>
  </si>
  <si>
    <t>PINTURA EM TINTA ESMALTE SINTÉTICA A BASE D'ÁGUA EM COR DE CATÁLOGO
(inclusive insumos e ferramentas)</t>
  </si>
  <si>
    <t>8.4.4</t>
  </si>
  <si>
    <t>PINTURA EM TINTA ESMALTE SINTÉTICA A BASE DE SOLVENTE EM COR DE CATÁLOGO
(inclusive insumos e ferramentas)</t>
  </si>
  <si>
    <t>8.4.5</t>
  </si>
  <si>
    <t>PINTURA EM TINTA ESMALTE SINTÉTICA A BASE D'ÁGUA EM COR ESPECIAL
(inclusive insumos e ferramentas)</t>
  </si>
  <si>
    <t>8.4.6</t>
  </si>
  <si>
    <t>PINTURA EM TINTA ESMALTE SINTÉTICA A BASE DE SOLVENTE EM COR ESPECIAL
(inclusive insumos e ferramentas)</t>
  </si>
  <si>
    <t>ESQUADRIAS</t>
  </si>
  <si>
    <t>9.1</t>
  </si>
  <si>
    <t>ESQUADRIAS DE MADEIRA</t>
  </si>
  <si>
    <t>9.1.1</t>
  </si>
  <si>
    <t>PORTA EM 1 FOLHA SEMI-OCA PARA PINTURA - VÃO 60CM 
(inclusive caixonete, batente, alisares e ferragens)</t>
  </si>
  <si>
    <t>9.1.2</t>
  </si>
  <si>
    <t>PORTA EM 1 FOLHA SEMI-OCA PARA PINTURA - VÃO 70CM 
(inclusive caixonete, batente, alisares e ferragens)</t>
  </si>
  <si>
    <t>9.1.3</t>
  </si>
  <si>
    <t>PORTA EM 1 FOLHA SEMI-OCA PARA PINTURA - VÃO 80CM 
(inclusive caixonete, batente, alisares e ferragens)</t>
  </si>
  <si>
    <t>9.1.4</t>
  </si>
  <si>
    <t>PORTA EM 1 FOLHA SEMI-OCA PARA PINTURA - VÃO 90CM 
(inclusive caixonete, batente, alisares e ferragens)</t>
  </si>
  <si>
    <t>9.1.5</t>
  </si>
  <si>
    <t>PORTA EM 2 FOLHAS SEMI-OCA PARA PINTURA - VÃO 120CM 
(inclusive caixonete, batente, alisares e ferragens)</t>
  </si>
  <si>
    <t>9.1.6</t>
  </si>
  <si>
    <t>PORTA EM 2 FOLHAS SEMI-OCA PARA PINTURA - VÃO 160CM 
(inclusive caixonete, batente, alisares e ferragens)</t>
  </si>
  <si>
    <t>9.1.7</t>
  </si>
  <si>
    <t>PORTA EM 1 FOLHA MACIÇA PARA PINTURA - VÃO 60CM 
(inclusive caixonete, batente, alisares e ferragens)</t>
  </si>
  <si>
    <t>9.1.8</t>
  </si>
  <si>
    <t>PORTA EM 1 FOLHA MACIÇA PARA PINTURA - VÃO 70CM 
(inclusive caixonete, batente, alisares e ferragens)</t>
  </si>
  <si>
    <t>9.1.9</t>
  </si>
  <si>
    <t>PORTA EM 1 FOLHA MACIÇA PARA PINTURA - VÃO 80CM 
(inclusive caixonete, batente, alisares e ferragens)</t>
  </si>
  <si>
    <t>9.1.10</t>
  </si>
  <si>
    <t>PORTA EM 1 FOLHA MACIÇA PARA PINTURA - VÃO 90CM 
(inclusive caixonete, batente, alisares e ferragens)</t>
  </si>
  <si>
    <t>9.1.11</t>
  </si>
  <si>
    <t>PORTA EM 2 FOLHAS MACIÇA PARA PINTURA - VÃO 120CM 
(inclusive caixonete, batente, alisares e ferragens)</t>
  </si>
  <si>
    <t>9.1.12</t>
  </si>
  <si>
    <t>PORTA EM 2 FOLHAS MACIÇA PARA PINTURA - VÃO 160CM 
(inclusive caixonete, batente, alisares e ferragens)</t>
  </si>
  <si>
    <t>9.1.13</t>
  </si>
  <si>
    <t>JANELA DE GIRO EM 2 FOLHAS EM MARCENARIA PARA PINTURA 
(inclusive caixonete, batente, alisares e ferragens) - (conforme projeto)</t>
  </si>
  <si>
    <t>9.1.14</t>
  </si>
  <si>
    <t>JANELA DE GIRO EM 4 FOLHAS EM MARCENARIA PARA PINTURA 
(inclusive caixonete, batente, alisares e ferragens) - (conforme projeto)</t>
  </si>
  <si>
    <t>9.1.15</t>
  </si>
  <si>
    <t>VISOR EM MARCENARIA E VIDRO PARA PINTURA 
(inclusive caixonete, batente, alisares e ferragens) - (conforme projeto)</t>
  </si>
  <si>
    <t>9.1.16</t>
  </si>
  <si>
    <t>REPOSIÇÃO DE ESQUADRIA DE MADEIRA
(inclusive caixonete, batente, alisares e ferragens) - (conforme projeto)</t>
  </si>
  <si>
    <t>9.1.17</t>
  </si>
  <si>
    <t>MANUTENÇÃO DE ESQUADRIA DE MADEIRA
(inclusive caixonete, batente, alisares e ferragens) - (conforme projeto)</t>
  </si>
  <si>
    <t>9.2</t>
  </si>
  <si>
    <t>ESQUADRIAS DE SERRALHERIA</t>
  </si>
  <si>
    <t>9.2.1</t>
  </si>
  <si>
    <t>PORTA EM ALUMÍNIO EM 1 FOLHA COM VENEZIANA - VÃO 60CM 
(inclusive caixonete, batente, alisares e ferragens)</t>
  </si>
  <si>
    <t>9.2.2</t>
  </si>
  <si>
    <t>PORTA EM ALUMÍNIO EM 1 FOLHA COM VENEZIANA - VÃO 70CM 
(inclusive caixonete, batente, alisares e ferragens)</t>
  </si>
  <si>
    <t>9.2.3</t>
  </si>
  <si>
    <t>PORTA EM ALUMÍNIO EM 1 FOLHA COM VENEZIANA - VÃO 80CM 
(inclusive caixonete, batente, alisares e ferragens)</t>
  </si>
  <si>
    <t>9.2.4</t>
  </si>
  <si>
    <t>PORTA EM ALUMÍNIO EM 1 FOLHA COM VENEZIANA - VÃO 90CM 
(inclusive caixonete, batente, alisares e ferragens)</t>
  </si>
  <si>
    <t>9.2.5</t>
  </si>
  <si>
    <t>PORTA EM ALUMÍNIO EM 2 FOLHAS COM VENEZIANA - VÃO 120CM 
(inclusive caixonete, batente, alisares e ferragens)</t>
  </si>
  <si>
    <t>9.2.6</t>
  </si>
  <si>
    <t>PORTA EM ALUMÍNIO EM 2 FOLHAS COM VENEZIANA - VÃO 160CM 
(inclusive caixonete, batente, alisares e ferragens)</t>
  </si>
  <si>
    <t>9.2.7</t>
  </si>
  <si>
    <t>JANELA DE GIRO EM ALUMÍNIO EM 2 FOLHAS COM VENEZIANA
(inclusive caixonete, batente, alisares e ferragens) - (conforme projeto)</t>
  </si>
  <si>
    <t>9.2.8</t>
  </si>
  <si>
    <t>JANELA DE GIRO EM ALUMÍNIO EM 4 FOLHAS  COM VENEZIANA
(inclusive caixonete, batente, alisares e ferragens) - (conforme projeto)</t>
  </si>
  <si>
    <t>9.2.9</t>
  </si>
  <si>
    <t>JANELA TIPO BÁSCULA EM ALUMÍNIO  COM VENEZIANA
(inclusive caixonete, batente, alisares e ferragens) - (conforme projeto)</t>
  </si>
  <si>
    <t>9.2.10</t>
  </si>
  <si>
    <t>JANELA DE GIRO EM ALUMÍNIO EM 2 FOLHAS COM FECHAMENTO EM VIDRO
(inclusive caixonete, batente, alisares e ferragens) - (conforme projeto)</t>
  </si>
  <si>
    <t>9.2.11</t>
  </si>
  <si>
    <t>JANELA DE GIRO EM ALUMÍNIO EM 4 FOLHAS COM  FECHAMENTO EM VIDRO
(inclusive caixonete, batente, alisares e ferragens) - (conforme projeto)</t>
  </si>
  <si>
    <t>9.2.12</t>
  </si>
  <si>
    <t>JANELA TIPO BÁSCULA EM ALUMÍNIO COM FECHAMENTO EM VIDRO
(inclusive caixonete, batente, alisares e ferragens) - (conforme projeto)</t>
  </si>
  <si>
    <t>9.2.13</t>
  </si>
  <si>
    <t>9.2.14</t>
  </si>
  <si>
    <t>JANELA DE CORRER EM ALUMÍNIO COM FECHAMENTO EM VIDRO
(inclusive caixonete, batente, alisares e ferragens) - (conforme projeto)</t>
  </si>
  <si>
    <t>9.2.15</t>
  </si>
  <si>
    <t>9.2.16</t>
  </si>
  <si>
    <t>FORNECIMENTO E INSTALAÇÃO DE CORRIMÃO EM AÇO INOX
(inclusive caixonete, batente, alisares e ferragens) - (conforme projeto)</t>
  </si>
  <si>
    <t>9.2.17</t>
  </si>
  <si>
    <t>FORNECIMENTO E INSTALAÇÃO DE GUARDACORPO EM AÇO INOX
(inclusive caixonete, batente, alisares e ferragens) - (conforme projeto)</t>
  </si>
  <si>
    <t>9.2.18</t>
  </si>
  <si>
    <t>REPOSIÇÃO DE ESQUADRIA DE SERRALHERIA
(inclusive caixonete, batente, alisares e ferragens) - (conforme projeto)</t>
  </si>
  <si>
    <t>9.2.19</t>
  </si>
  <si>
    <t>MANUTENÇÃO DE ESQUADRIA DE SERRALHERIA
(inclusive caixonete, batente, alisares e ferragens) - (conforme projeto)</t>
  </si>
  <si>
    <t>9.3</t>
  </si>
  <si>
    <t>ESQUADRIAS DE VIDRO</t>
  </si>
  <si>
    <t>9.3.1</t>
  </si>
  <si>
    <t>PORTA DE GIRO EM VIDRO TEMPERADO VÃO 80CM  - (inclusive ferragens)</t>
  </si>
  <si>
    <t>9.3.2</t>
  </si>
  <si>
    <t>PORTA DE GIRO EM VIDRO TEMPERADO VÃO 90CM  - (inclusive ferragens)</t>
  </si>
  <si>
    <t>9.3.3</t>
  </si>
  <si>
    <t>PORTA DE GIRO EM VIDRO TEMPERADO VÃO 100CM  - (inclusive ferragens)</t>
  </si>
  <si>
    <t>9.3.4</t>
  </si>
  <si>
    <t>PORTA DE CORRER EM VIDRO TEMPERADO VÃO 80CM  - (inclusive ferragens)</t>
  </si>
  <si>
    <t>9.3.5</t>
  </si>
  <si>
    <t>PORTA DE CORRER EM VIDRO TEMPERADO VÃO 90CM  - (inclusive ferragens)</t>
  </si>
  <si>
    <t>9.3.6</t>
  </si>
  <si>
    <t>PORTA DE CORRER EM VIDRO TEMPERADO VÃO 100CM  - (inclusive ferragens)</t>
  </si>
  <si>
    <t>9.4</t>
  </si>
  <si>
    <t>ESQUADRIAS ESPECIAIS</t>
  </si>
  <si>
    <t>9.4.1</t>
  </si>
  <si>
    <t>PORTA DE GIRO PARA DIVISÓRIA SANITÁRIA EM TS VÃO 60CM - (inclusive ferragens)</t>
  </si>
  <si>
    <t>9.4.2</t>
  </si>
  <si>
    <t>PORTA DE GIRO PARA DIVISÓRIA INDUSTRIAL EM VIDRO SIMPLES - VÃO 80CM - (inclusive ferragens)</t>
  </si>
  <si>
    <t>9.4.3</t>
  </si>
  <si>
    <t>PORTA DE GIRO PARA DIVISÓRIA INDUSTRIAL EM VIDRO DUPLO - VÃO 80CM - (inclusive ferragens)</t>
  </si>
  <si>
    <t>9.4.4</t>
  </si>
  <si>
    <t>PORTA DE GIRO PARA DIVISÓRIA INDUSTRIAL EM MARCENARIA - VÃO 80CM - (inclusive ferragens)</t>
  </si>
  <si>
    <t>9.4.5</t>
  </si>
  <si>
    <t>PORTA DE GIRO PARA DIVISÓRIA INDUSTRIAL EM VIDRO SIMPLES - VÃO 90CM - (inclusive ferragens)</t>
  </si>
  <si>
    <t>9.4.6</t>
  </si>
  <si>
    <t>PORTA DE GIRO PARA DIVISÓRIA INDUSTRIAL EM VIDRO DUPLO - VÃO 90CM - (inclusive ferragens)</t>
  </si>
  <si>
    <t>9.4.7</t>
  </si>
  <si>
    <t>PORTA DE GIRO PARA DIVISÓRIA INDUSTRIAL EM MARCENARIA - VÃO 90CM - (inclusive ferragens)</t>
  </si>
  <si>
    <t>9.4.8</t>
  </si>
  <si>
    <t>PORTA DE CORRER PARA DIVISÓRIA INDUSTRIAL EM VIDRO SIMPLES - VÃO 100CM - (inclusive ferragens)</t>
  </si>
  <si>
    <t>9.4.9</t>
  </si>
  <si>
    <t>PORTA DE CORRER PARA DIVISÓRIA INDUSTRIAL EM VIDRO DUPLO - VÃO 100CM - (inclusive ferragens)</t>
  </si>
  <si>
    <t>9.4.10</t>
  </si>
  <si>
    <t>PORTA DE CORRER PARA DIVISÓRIA INDUSTRIAL EM MARCENARIA - VÃO 100CM - (inclusive ferragens)</t>
  </si>
  <si>
    <t>MARMORARIA</t>
  </si>
  <si>
    <t>10.1</t>
  </si>
  <si>
    <t>BANCADAS</t>
  </si>
  <si>
    <t>10.1.1</t>
  </si>
  <si>
    <t>BANCADA DE BANHEIRO EM GRANITO OU MÁRMORE POLIDO, PARA CUBA DE EMBUTIR 
INCLUSIVE ARGAMASSA E REJUNTE (coforme especificação de projeto)</t>
  </si>
  <si>
    <t>10.1.2</t>
  </si>
  <si>
    <t>BANCADA DE BANHEIRO EM GRANITO OU MÁRMORE POLIDO, PARA CUBA DE SEMI-ENCAIXE 
INCLUSIVE ARGAMASSA E REJUNTE (coforme especificação de projeto)</t>
  </si>
  <si>
    <t>10.1.3</t>
  </si>
  <si>
    <t>BANCADA DE BANHEIRO EM GRANITO OU MÁRMORE POLIDO, PARA CUBA DE APOIO
INCLUSIVE ARGAMASSA E REJUNTE (coforme especificação de projeto)</t>
  </si>
  <si>
    <t>10.1.4</t>
  </si>
  <si>
    <t>BANCADA DE COPA EM GRANITO OU MÁRMORE POLIDO, PARA CUBA DE EMBUTIR 
INCLUSIVE ARGAMASSA E REJUNTE (coforme especificação de projeto)</t>
  </si>
  <si>
    <t>10.1.5</t>
  </si>
  <si>
    <t>BANCADA DE TANQUE EM GRANITO OU MÁRMORE POLIDO, PARA TANQUE DE ENCAIXE 
INCLUSIVE ARGAMASSA E REJUNTE (coforme especificação de projeto)</t>
  </si>
  <si>
    <t>10.2</t>
  </si>
  <si>
    <t>SOLEIRAS E FILETES</t>
  </si>
  <si>
    <t>10.2.1</t>
  </si>
  <si>
    <t>FORNECIMENTO E INSTALAÇÃO DE SOLEIRA EM GRANITO OU MÁRMORE POLIDO
INCLUSIVE ARGAMASSA E REJUNTE (coforme especificação de projeto)</t>
  </si>
  <si>
    <t>10.2.2</t>
  </si>
  <si>
    <t>FORNECIMENTO E INSTALAÇÃO DE FILETE EM GRANITO OU MÁRMORE POLIDO
INCLUSIVE ARGAMASSA E REJUNTE (coforme especificação de projeto)</t>
  </si>
  <si>
    <t>10.2.3</t>
  </si>
  <si>
    <t>FORNECIMENTO E INSTALAÇÃO DE SOLEIRA METÁLICA
INCLUSIVE INSUMOS PARA INSTALAÇÃO (coforme especificação de projeto)</t>
  </si>
  <si>
    <t>10.2.4</t>
  </si>
  <si>
    <t>FORNECIMENTO E INSTALAÇÃO DE CANTONEIRA METÁLICA PARA DEGRAUS
INCLUSIVE INSUMOS PARA INSTALAÇÃO (coforme especificação de projeto)</t>
  </si>
  <si>
    <t>10.3</t>
  </si>
  <si>
    <t>PEITORIS E REQUADROS</t>
  </si>
  <si>
    <t>10.3.1</t>
  </si>
  <si>
    <t>FORNECIMENTO E INSTALAÇÃO DE PEITORIL PARA JANELAS E VÃOS EM GRANITO OU MÁRMORE POLIDO
INCLUSIVE ARGAMASSA E REJUNTE (coforme especificação de projeto)</t>
  </si>
  <si>
    <t>10.3.2</t>
  </si>
  <si>
    <t>FORNECIMENTO E INSTALAÇÃO DE REQUADO PARA JANELAS E VÃOS EM GRANITO OU MÁRMORE POLIDO
INCLUSIVE ARGAMASSA E REJUNTE (coforme especificação de projeto)</t>
  </si>
  <si>
    <t>SISTEMA DE PROTEÇÃO E COMBATE A INCÊNDIO</t>
  </si>
  <si>
    <t>11.1</t>
  </si>
  <si>
    <t>INFRAESTRUTURA DE SPRINKLERS - ETAPA 1</t>
  </si>
  <si>
    <t>11.1.1</t>
  </si>
  <si>
    <t>INCLUSÃO, DESATIVAÇÃO E REALOCAÇÃO DE PONTO DE SPRINKLER NO TETO</t>
  </si>
  <si>
    <t>11.1.2</t>
  </si>
  <si>
    <t>PINTURA DE TUBULAÇÃO DE REDE DE SPRINKLER</t>
  </si>
  <si>
    <t>11.2</t>
  </si>
  <si>
    <t>EQUIPAMENTOS DE PCI - ETAPA 2</t>
  </si>
  <si>
    <t>11.2.1</t>
  </si>
  <si>
    <t>EXTINTORES PÓ QUIMICO ABC 6KG 3-A/20-B/C</t>
  </si>
  <si>
    <t>11.2.2</t>
  </si>
  <si>
    <t>LUMINÁRIA DE EMERGÊNCIA AUTONOMA 2W 30 LEDS 127V/220V</t>
  </si>
  <si>
    <t>11.2.3</t>
  </si>
  <si>
    <t>INSTALAÇÃO DE DETECTORES DE FUMAÇA ANALÓGICOS, CONVENCIONAIS, TERMOVELOCIMÉTRICOS, ETC., COM BASE NAS NORMAS DE SEGURANÇA VIGENTES</t>
  </si>
  <si>
    <t>11.3</t>
  </si>
  <si>
    <t>SINALIZAÇÃO - ETAPA 2</t>
  </si>
  <si>
    <t>11.3.1</t>
  </si>
  <si>
    <t>PLACA EM ACRÍLICO COM APLICAÇÃO DE ADEVISO - INDICAÇÃO DE EXTINTOR - DIM.: 190X95</t>
  </si>
  <si>
    <t>11.3.2</t>
  </si>
  <si>
    <t>PLACA EM ACRÍLICO COM APLICAÇÃO DE ADEVISO - INDICAÇÃO DE SENTIDO - DIM.: 190X95</t>
  </si>
  <si>
    <t>11.3.5</t>
  </si>
  <si>
    <t>PLACA EM ACRÍLICO COM APLICAÇÃO DE ADEVISO - INDICAÇÃO DE SENTIDO ESQUERDA - DIM.: 190X95</t>
  </si>
  <si>
    <t>11.3.6</t>
  </si>
  <si>
    <t>PLACA EM ACRÍLICO COM APLICAÇÃO DE ADEVISO - INDICAÇÃO DE ESCADA - DIM.: 190X95</t>
  </si>
  <si>
    <t>11.3.7</t>
  </si>
  <si>
    <t>PLACA EM ACRÍLICO COM APLICAÇÃO DE ADEVISO - INDICAÇÃO DE SENTIDO SAÍDA DE EMERGENCIA
DIM.: 190X95</t>
  </si>
  <si>
    <t>MARCENARIA E SERRALHERIA</t>
  </si>
  <si>
    <t>12.1</t>
  </si>
  <si>
    <t>MARCENARIA</t>
  </si>
  <si>
    <t>12.1.1</t>
  </si>
  <si>
    <t>ARQUIBANCADA EM MARCENARIA CONFORME ITEM DE PROJETO M01-ESN</t>
  </si>
  <si>
    <t>12.1.2</t>
  </si>
  <si>
    <t>BALCÃO EM MARCENARIA CONFORME ITEM DE PROJETO M02-ESN</t>
  </si>
  <si>
    <t>12.2</t>
  </si>
  <si>
    <t>SERRALHERIA</t>
  </si>
  <si>
    <t>12.2.1</t>
  </si>
  <si>
    <t>12.2.2</t>
  </si>
  <si>
    <t>OMISSOS</t>
  </si>
  <si>
    <t>13.1</t>
  </si>
  <si>
    <t>13.1.1</t>
  </si>
  <si>
    <t>13.1.2</t>
  </si>
  <si>
    <t>13.1.3</t>
  </si>
  <si>
    <t>13.1.4</t>
  </si>
  <si>
    <t>13.1.5</t>
  </si>
  <si>
    <t>13.1.6</t>
  </si>
  <si>
    <t>13.1.7</t>
  </si>
  <si>
    <t>13.1.8</t>
  </si>
  <si>
    <t>13.1.9</t>
  </si>
  <si>
    <t>13.1.10</t>
  </si>
  <si>
    <t>13.1.11</t>
  </si>
  <si>
    <t>13.1.12</t>
  </si>
  <si>
    <t>13.1.13</t>
  </si>
  <si>
    <t>13.1.14</t>
  </si>
  <si>
    <t>13.1.15</t>
  </si>
  <si>
    <t>13.1.16</t>
  </si>
  <si>
    <t>13.1.17</t>
  </si>
  <si>
    <t>13.1.18</t>
  </si>
  <si>
    <t>LIMPEZA FINAL DE OBRA</t>
  </si>
  <si>
    <t>14.1</t>
  </si>
  <si>
    <t>14.1.1</t>
  </si>
  <si>
    <t>SUBTOTAL</t>
  </si>
  <si>
    <r>
      <rPr>
        <b/>
        <sz val="11"/>
        <color theme="1"/>
        <rFont val="Calibri"/>
        <family val="2"/>
        <scheme val="minor"/>
      </rPr>
      <t>TAXA DE BDI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[(1 + AC + SGR) x (1 + DF) x (1 + L) / (1 - I)] - 1</t>
    </r>
  </si>
  <si>
    <t>Coluna2</t>
  </si>
  <si>
    <t>Coluna3</t>
  </si>
  <si>
    <t>Coluna4</t>
  </si>
  <si>
    <t>Coluna6</t>
  </si>
  <si>
    <t>15.1</t>
  </si>
  <si>
    <t>GARANTIA/RISCO/SEGURO</t>
  </si>
  <si>
    <t>SGR</t>
  </si>
  <si>
    <t>15.2</t>
  </si>
  <si>
    <t>DESPESAS FINANCEIRAS</t>
  </si>
  <si>
    <t>DF</t>
  </si>
  <si>
    <t>14.3</t>
  </si>
  <si>
    <t>ADMINISTRAÇÃO CENTRAL</t>
  </si>
  <si>
    <t>AC</t>
  </si>
  <si>
    <t>14.4</t>
  </si>
  <si>
    <t>REMUNERAÇÃO</t>
  </si>
  <si>
    <t>L</t>
  </si>
  <si>
    <t>14.5</t>
  </si>
  <si>
    <t>TRIBUTOS</t>
  </si>
  <si>
    <t>I</t>
  </si>
  <si>
    <t>14.6</t>
  </si>
  <si>
    <t>COFINS</t>
  </si>
  <si>
    <t>14.7</t>
  </si>
  <si>
    <t>ISS</t>
  </si>
  <si>
    <t>14.8</t>
  </si>
  <si>
    <t xml:space="preserve"> PIS</t>
  </si>
  <si>
    <t>14.9</t>
  </si>
  <si>
    <t>OUTROS</t>
  </si>
  <si>
    <t>TOTAL</t>
  </si>
  <si>
    <t>PLANILHA ORÇAMENTÁRIA RESUMO
OBRAS E REFORMAS ESCRITÓRIOS REGIONAIS</t>
  </si>
  <si>
    <t>CNPJ</t>
  </si>
  <si>
    <t>CONTATO - TELEFONE</t>
  </si>
  <si>
    <t>CONTATO - EMAIL</t>
  </si>
  <si>
    <t>REVISÃO</t>
  </si>
  <si>
    <t>ÁREA CONSTRUÍDA</t>
  </si>
  <si>
    <t>PRAZO DE OBRA</t>
  </si>
  <si>
    <t>DESCRITIVO</t>
  </si>
  <si>
    <t>VALOR TOTAL C/ BDI</t>
  </si>
  <si>
    <t>VALOR TOTAL</t>
  </si>
  <si>
    <t>CRONOGRAMA FÍSICO FINANCEIRO
OBRAS E REFORMAS ESCRITÓRIOS REGIONAIS</t>
  </si>
  <si>
    <t>ESCOPO</t>
  </si>
  <si>
    <t>QUINZENA DE 
INÍCIO</t>
  </si>
  <si>
    <t>QUINZENA DE 
FINALIZAÇÃO</t>
  </si>
  <si>
    <t>QUINZENA</t>
  </si>
  <si>
    <t>QUINZENA 
DE MEDIÇÃO</t>
  </si>
  <si>
    <r>
      <t xml:space="preserve">VALOR DA MEDIÇÃO 
</t>
    </r>
    <r>
      <rPr>
        <sz val="11"/>
        <color theme="0"/>
        <rFont val="Calibri"/>
        <family val="2"/>
        <scheme val="minor"/>
      </rPr>
      <t>(com bdi)</t>
    </r>
  </si>
  <si>
    <t>CRONOGRAMA DE PAGAMENTOS</t>
  </si>
  <si>
    <t>QUINZENA DE MEDIÇÃO</t>
  </si>
  <si>
    <t>VALOR A PAGAR</t>
  </si>
  <si>
    <t>PRAZO DE PAGAMENTO</t>
  </si>
  <si>
    <t>RECEBIMENTO PROVISÓRIO (5%)</t>
  </si>
  <si>
    <t>15 DIAS APÓS RECEBIMENTO PROVISÓRIO</t>
  </si>
  <si>
    <t>RECEBIMENTO DEFINITIVO (5%)</t>
  </si>
  <si>
    <t>15 DIAS APÓS RECEBIMENTO DEFINITIVO</t>
  </si>
  <si>
    <t>AV. MARECHAL CÂMARA, 171 - 2º ANDAR - CENTRO</t>
  </si>
  <si>
    <t>VALOR MÁXIMO</t>
  </si>
  <si>
    <t>VALOR UNIT MÁX.</t>
  </si>
  <si>
    <t>VALOR TOTAL MÁX.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</si>
</sst>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theme="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/>
      <top style="thin">
        <color theme="4" tint="0.59999389629810485"/>
      </top>
      <bottom style="thin">
        <color theme="4" tint="0.39997558519241921"/>
      </bottom>
      <diagonal/>
    </border>
    <border>
      <left/>
      <right/>
      <top style="thin">
        <color theme="4" tint="0.59999389629810485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59999389629810485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medium">
        <color indexed="64"/>
      </left>
      <right style="thin">
        <color theme="4" tint="0.59999389629810485"/>
      </right>
      <top style="medium">
        <color indexed="64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medium">
        <color indexed="64"/>
      </top>
      <bottom style="thin">
        <color theme="4" tint="0.59999389629810485"/>
      </bottom>
      <diagonal/>
    </border>
    <border>
      <left style="thin">
        <color theme="4" tint="0.59999389629810485"/>
      </left>
      <right style="medium">
        <color indexed="64"/>
      </right>
      <top style="medium">
        <color indexed="64"/>
      </top>
      <bottom style="thin">
        <color theme="4" tint="0.59999389629810485"/>
      </bottom>
      <diagonal/>
    </border>
    <border>
      <left style="medium">
        <color indexed="64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medium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 style="medium">
        <color indexed="64"/>
      </left>
      <right style="thin">
        <color theme="4" tint="0.59999389629810485"/>
      </right>
      <top style="thin">
        <color theme="4" tint="0.59999389629810485"/>
      </top>
      <bottom style="medium">
        <color indexed="64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medium">
        <color indexed="64"/>
      </bottom>
      <diagonal/>
    </border>
    <border>
      <left style="thin">
        <color theme="4" tint="0.59999389629810485"/>
      </left>
      <right style="medium">
        <color indexed="64"/>
      </right>
      <top style="thin">
        <color theme="4" tint="0.59999389629810485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59999389629810485"/>
      </top>
      <bottom/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theme="4" tint="0.59999389629810485"/>
      </right>
      <top style="medium">
        <color indexed="64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indexed="64"/>
      </right>
      <top style="medium">
        <color indexed="64"/>
      </top>
      <bottom style="thin">
        <color theme="4" tint="0.59999389629810485"/>
      </bottom>
      <diagonal/>
    </border>
    <border>
      <left style="thin">
        <color indexed="64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indexed="64"/>
      </right>
      <top style="thin">
        <color theme="4" tint="0.59999389629810485"/>
      </top>
      <bottom style="medium">
        <color indexed="64"/>
      </bottom>
      <diagonal/>
    </border>
    <border>
      <left style="thin">
        <color indexed="64"/>
      </left>
      <right style="thin">
        <color theme="4" tint="0.59999389629810485"/>
      </right>
      <top style="thin">
        <color theme="4" tint="0.5999938962981048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59999389629810485"/>
      </bottom>
      <diagonal/>
    </border>
    <border>
      <left style="medium">
        <color indexed="64"/>
      </left>
      <right style="medium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 style="medium">
        <color indexed="64"/>
      </left>
      <right style="medium">
        <color indexed="64"/>
      </right>
      <top style="thin">
        <color theme="4" tint="0.59999389629810485"/>
      </top>
      <bottom style="medium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medium">
        <color indexed="64"/>
      </right>
      <top style="medium">
        <color indexed="64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4" tint="0.79998168889431442"/>
      </left>
      <right style="medium">
        <color indexed="64"/>
      </right>
      <top style="thin">
        <color theme="4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medium">
        <color indexed="64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medium">
        <color indexed="64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medium">
        <color indexed="64"/>
      </bottom>
      <diagonal/>
    </border>
    <border>
      <left/>
      <right/>
      <top style="thin">
        <color theme="4" tint="0.79998168889431442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79998168889431442"/>
      </left>
      <right/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medium">
        <color indexed="64"/>
      </right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 tint="0.59999389629810485"/>
      </right>
      <top/>
      <bottom/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/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4" tint="0.59999389629810485"/>
      </left>
      <right style="medium">
        <color indexed="64"/>
      </right>
      <top style="thin">
        <color theme="4" tint="0.59999389629810485"/>
      </top>
      <bottom/>
      <diagonal/>
    </border>
    <border>
      <left style="thin">
        <color indexed="64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indexed="64"/>
      </right>
      <top style="thin">
        <color theme="4" tint="0.59999389629810485"/>
      </top>
      <bottom/>
      <diagonal/>
    </border>
    <border>
      <left style="medium">
        <color indexed="64"/>
      </left>
      <right style="medium">
        <color indexed="64"/>
      </right>
      <top style="thin">
        <color theme="4" tint="0.59999389629810485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4" borderId="1" xfId="0" applyFill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3" fillId="4" borderId="1" xfId="0" applyFont="1" applyFill="1" applyBorder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4" borderId="1" xfId="0" applyFill="1" applyBorder="1"/>
    <xf numFmtId="0" fontId="3" fillId="4" borderId="1" xfId="0" applyFont="1" applyFill="1" applyBorder="1" applyAlignment="1">
      <alignment horizontal="left"/>
    </xf>
    <xf numFmtId="0" fontId="0" fillId="4" borderId="1" xfId="0" applyFill="1" applyBorder="1" applyAlignment="1">
      <alignment horizontal="right"/>
    </xf>
    <xf numFmtId="0" fontId="0" fillId="0" borderId="17" xfId="0" applyBorder="1" applyAlignment="1">
      <alignment horizontal="center"/>
    </xf>
    <xf numFmtId="44" fontId="0" fillId="0" borderId="0" xfId="1" applyFont="1" applyBorder="1"/>
    <xf numFmtId="0" fontId="0" fillId="0" borderId="28" xfId="0" applyBorder="1" applyAlignment="1">
      <alignment horizontal="center"/>
    </xf>
    <xf numFmtId="44" fontId="0" fillId="0" borderId="29" xfId="1" applyFont="1" applyBorder="1"/>
    <xf numFmtId="0" fontId="13" fillId="0" borderId="25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45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3" fillId="4" borderId="54" xfId="0" applyFont="1" applyFill="1" applyBorder="1"/>
    <xf numFmtId="0" fontId="3" fillId="4" borderId="57" xfId="0" applyFont="1" applyFill="1" applyBorder="1"/>
    <xf numFmtId="0" fontId="3" fillId="4" borderId="60" xfId="0" applyFont="1" applyFill="1" applyBorder="1"/>
    <xf numFmtId="0" fontId="0" fillId="0" borderId="11" xfId="0" applyBorder="1" applyAlignment="1">
      <alignment horizontal="center"/>
    </xf>
    <xf numFmtId="0" fontId="0" fillId="4" borderId="58" xfId="0" applyFill="1" applyBorder="1" applyAlignment="1">
      <alignment horizontal="left"/>
    </xf>
    <xf numFmtId="0" fontId="0" fillId="4" borderId="55" xfId="0" applyFill="1" applyBorder="1" applyAlignment="1">
      <alignment horizontal="left"/>
    </xf>
    <xf numFmtId="0" fontId="0" fillId="4" borderId="66" xfId="0" applyFill="1" applyBorder="1" applyAlignment="1">
      <alignment horizontal="left"/>
    </xf>
    <xf numFmtId="0" fontId="0" fillId="4" borderId="53" xfId="0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40" xfId="0" applyBorder="1" applyAlignment="1">
      <alignment horizontal="center"/>
    </xf>
    <xf numFmtId="44" fontId="0" fillId="0" borderId="0" xfId="1" applyFont="1" applyBorder="1" applyAlignment="1" applyProtection="1">
      <alignment horizontal="left"/>
      <protection locked="0"/>
    </xf>
    <xf numFmtId="44" fontId="0" fillId="0" borderId="39" xfId="1" applyFont="1" applyBorder="1" applyAlignment="1" applyProtection="1">
      <alignment horizontal="left"/>
      <protection locked="0"/>
    </xf>
    <xf numFmtId="10" fontId="0" fillId="0" borderId="0" xfId="2" applyNumberFormat="1" applyFont="1" applyFill="1" applyBorder="1" applyProtection="1"/>
    <xf numFmtId="1" fontId="0" fillId="0" borderId="0" xfId="0" applyNumberFormat="1" applyAlignment="1">
      <alignment horizontal="center"/>
    </xf>
    <xf numFmtId="0" fontId="0" fillId="0" borderId="35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6" borderId="35" xfId="0" applyFill="1" applyBorder="1" applyAlignment="1">
      <alignment horizontal="left"/>
    </xf>
    <xf numFmtId="0" fontId="0" fillId="6" borderId="15" xfId="0" applyFill="1" applyBorder="1" applyAlignment="1">
      <alignment horizontal="center"/>
    </xf>
    <xf numFmtId="0" fontId="0" fillId="6" borderId="36" xfId="0" applyFill="1" applyBorder="1" applyAlignment="1">
      <alignment horizontal="left"/>
    </xf>
    <xf numFmtId="0" fontId="0" fillId="6" borderId="20" xfId="0" applyFill="1" applyBorder="1" applyAlignment="1">
      <alignment horizontal="center"/>
    </xf>
    <xf numFmtId="0" fontId="7" fillId="0" borderId="0" xfId="0" applyFont="1" applyAlignment="1">
      <alignment horizontal="right"/>
    </xf>
    <xf numFmtId="0" fontId="0" fillId="0" borderId="11" xfId="0" applyBorder="1" applyAlignment="1">
      <alignment horizontal="left"/>
    </xf>
    <xf numFmtId="0" fontId="10" fillId="2" borderId="35" xfId="0" applyFont="1" applyFill="1" applyBorder="1" applyAlignment="1">
      <alignment horizontal="left"/>
    </xf>
    <xf numFmtId="0" fontId="10" fillId="2" borderId="15" xfId="0" applyFont="1" applyFill="1" applyBorder="1" applyAlignment="1">
      <alignment horizontal="left"/>
    </xf>
    <xf numFmtId="0" fontId="10" fillId="2" borderId="15" xfId="0" applyFont="1" applyFill="1" applyBorder="1" applyAlignment="1">
      <alignment horizontal="center"/>
    </xf>
    <xf numFmtId="10" fontId="0" fillId="0" borderId="33" xfId="2" applyNumberFormat="1" applyFont="1" applyFill="1" applyBorder="1" applyProtection="1"/>
    <xf numFmtId="44" fontId="0" fillId="0" borderId="70" xfId="1" applyFont="1" applyBorder="1" applyProtection="1"/>
    <xf numFmtId="0" fontId="3" fillId="3" borderId="9" xfId="0" applyFont="1" applyFill="1" applyBorder="1" applyAlignment="1">
      <alignment horizontal="left"/>
    </xf>
    <xf numFmtId="0" fontId="3" fillId="5" borderId="21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center"/>
    </xf>
    <xf numFmtId="44" fontId="3" fillId="5" borderId="22" xfId="1" applyFont="1" applyFill="1" applyBorder="1" applyProtection="1"/>
    <xf numFmtId="44" fontId="0" fillId="0" borderId="22" xfId="1" applyFont="1" applyBorder="1" applyProtection="1"/>
    <xf numFmtId="0" fontId="0" fillId="0" borderId="21" xfId="0" applyBorder="1" applyAlignment="1">
      <alignment horizontal="left"/>
    </xf>
    <xf numFmtId="0" fontId="0" fillId="0" borderId="8" xfId="0" applyBorder="1" applyAlignment="1">
      <alignment horizontal="left" wrapText="1"/>
    </xf>
    <xf numFmtId="0" fontId="0" fillId="0" borderId="8" xfId="0" applyBorder="1" applyAlignment="1">
      <alignment horizontal="left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8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0" xfId="0" quotePrefix="1" applyAlignment="1">
      <alignment horizontal="center"/>
    </xf>
    <xf numFmtId="0" fontId="3" fillId="4" borderId="68" xfId="0" applyFont="1" applyFill="1" applyBorder="1" applyAlignment="1">
      <alignment horizontal="left"/>
    </xf>
    <xf numFmtId="0" fontId="3" fillId="4" borderId="74" xfId="0" applyFont="1" applyFill="1" applyBorder="1" applyAlignment="1">
      <alignment horizontal="left"/>
    </xf>
    <xf numFmtId="0" fontId="3" fillId="4" borderId="69" xfId="0" applyFont="1" applyFill="1" applyBorder="1" applyAlignment="1">
      <alignment horizontal="left"/>
    </xf>
    <xf numFmtId="0" fontId="3" fillId="4" borderId="75" xfId="0" applyFont="1" applyFill="1" applyBorder="1" applyAlignment="1">
      <alignment horizontal="left"/>
    </xf>
    <xf numFmtId="0" fontId="3" fillId="4" borderId="65" xfId="0" applyFont="1" applyFill="1" applyBorder="1" applyAlignment="1">
      <alignment horizontal="left"/>
    </xf>
    <xf numFmtId="0" fontId="3" fillId="4" borderId="76" xfId="0" applyFont="1" applyFill="1" applyBorder="1" applyAlignment="1">
      <alignment horizontal="left"/>
    </xf>
    <xf numFmtId="44" fontId="0" fillId="0" borderId="7" xfId="1" applyFont="1" applyBorder="1" applyAlignment="1" applyProtection="1">
      <alignment horizontal="left"/>
      <protection locked="0"/>
    </xf>
    <xf numFmtId="44" fontId="0" fillId="0" borderId="0" xfId="0" applyNumberFormat="1"/>
    <xf numFmtId="0" fontId="4" fillId="7" borderId="9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left"/>
    </xf>
    <xf numFmtId="0" fontId="3" fillId="8" borderId="7" xfId="0" applyFont="1" applyFill="1" applyBorder="1" applyAlignment="1">
      <alignment horizontal="left"/>
    </xf>
    <xf numFmtId="0" fontId="3" fillId="8" borderId="7" xfId="0" applyFont="1" applyFill="1" applyBorder="1" applyAlignment="1">
      <alignment horizontal="center"/>
    </xf>
    <xf numFmtId="44" fontId="3" fillId="8" borderId="10" xfId="1" applyFont="1" applyFill="1" applyBorder="1" applyProtection="1"/>
    <xf numFmtId="44" fontId="4" fillId="7" borderId="6" xfId="1" applyFont="1" applyFill="1" applyBorder="1" applyAlignment="1" applyProtection="1">
      <alignment horizontal="center"/>
    </xf>
    <xf numFmtId="2" fontId="0" fillId="0" borderId="8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2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13" fillId="0" borderId="63" xfId="0" applyFont="1" applyBorder="1" applyAlignment="1">
      <alignment horizontal="center"/>
    </xf>
    <xf numFmtId="0" fontId="13" fillId="0" borderId="78" xfId="0" applyFont="1" applyBorder="1" applyAlignment="1">
      <alignment horizontal="center"/>
    </xf>
    <xf numFmtId="0" fontId="13" fillId="0" borderId="79" xfId="0" applyFont="1" applyBorder="1" applyAlignment="1">
      <alignment horizontal="center"/>
    </xf>
    <xf numFmtId="0" fontId="3" fillId="9" borderId="34" xfId="0" applyFont="1" applyFill="1" applyBorder="1" applyAlignment="1">
      <alignment horizontal="left"/>
    </xf>
    <xf numFmtId="0" fontId="4" fillId="7" borderId="2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44" fontId="4" fillId="7" borderId="6" xfId="1" applyFont="1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44" fontId="0" fillId="9" borderId="27" xfId="1" applyFont="1" applyFill="1" applyBorder="1"/>
    <xf numFmtId="0" fontId="0" fillId="9" borderId="28" xfId="0" applyFill="1" applyBorder="1" applyAlignment="1">
      <alignment horizontal="center"/>
    </xf>
    <xf numFmtId="44" fontId="0" fillId="9" borderId="29" xfId="1" applyFont="1" applyFill="1" applyBorder="1"/>
    <xf numFmtId="0" fontId="11" fillId="10" borderId="9" xfId="0" applyFont="1" applyFill="1" applyBorder="1" applyAlignment="1">
      <alignment horizontal="center" vertical="center"/>
    </xf>
    <xf numFmtId="1" fontId="11" fillId="10" borderId="40" xfId="0" applyNumberFormat="1" applyFont="1" applyFill="1" applyBorder="1" applyAlignment="1">
      <alignment horizontal="center" vertical="center"/>
    </xf>
    <xf numFmtId="1" fontId="11" fillId="10" borderId="41" xfId="0" applyNumberFormat="1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/>
    </xf>
    <xf numFmtId="0" fontId="0" fillId="11" borderId="26" xfId="0" applyFill="1" applyBorder="1" applyAlignment="1">
      <alignment horizontal="left"/>
    </xf>
    <xf numFmtId="0" fontId="0" fillId="11" borderId="26" xfId="0" applyFill="1" applyBorder="1" applyAlignment="1">
      <alignment horizontal="center"/>
    </xf>
    <xf numFmtId="1" fontId="0" fillId="11" borderId="26" xfId="0" applyNumberFormat="1" applyFill="1" applyBorder="1" applyAlignment="1" applyProtection="1">
      <alignment horizontal="center"/>
      <protection locked="0"/>
    </xf>
    <xf numFmtId="1" fontId="0" fillId="12" borderId="27" xfId="0" applyNumberFormat="1" applyFill="1" applyBorder="1" applyAlignment="1" applyProtection="1">
      <alignment horizontal="center"/>
      <protection locked="0"/>
    </xf>
    <xf numFmtId="0" fontId="3" fillId="12" borderId="28" xfId="0" applyFont="1" applyFill="1" applyBorder="1" applyAlignment="1">
      <alignment horizontal="center"/>
    </xf>
    <xf numFmtId="0" fontId="0" fillId="12" borderId="1" xfId="0" applyFill="1" applyBorder="1" applyAlignment="1">
      <alignment horizontal="left"/>
    </xf>
    <xf numFmtId="0" fontId="0" fillId="12" borderId="1" xfId="0" applyFill="1" applyBorder="1" applyAlignment="1">
      <alignment horizontal="center"/>
    </xf>
    <xf numFmtId="1" fontId="0" fillId="12" borderId="1" xfId="0" applyNumberFormat="1" applyFill="1" applyBorder="1" applyAlignment="1" applyProtection="1">
      <alignment horizontal="center"/>
      <protection locked="0"/>
    </xf>
    <xf numFmtId="1" fontId="0" fillId="12" borderId="29" xfId="0" applyNumberFormat="1" applyFill="1" applyBorder="1" applyAlignment="1" applyProtection="1">
      <alignment horizontal="center"/>
      <protection locked="0"/>
    </xf>
    <xf numFmtId="0" fontId="3" fillId="11" borderId="28" xfId="0" applyFont="1" applyFill="1" applyBorder="1" applyAlignment="1">
      <alignment horizontal="center"/>
    </xf>
    <xf numFmtId="0" fontId="0" fillId="11" borderId="1" xfId="0" applyFill="1" applyBorder="1" applyAlignment="1">
      <alignment horizontal="left"/>
    </xf>
    <xf numFmtId="0" fontId="0" fillId="11" borderId="1" xfId="0" applyFill="1" applyBorder="1" applyAlignment="1">
      <alignment horizontal="center"/>
    </xf>
    <xf numFmtId="1" fontId="0" fillId="11" borderId="1" xfId="0" applyNumberFormat="1" applyFill="1" applyBorder="1" applyAlignment="1" applyProtection="1">
      <alignment horizontal="center"/>
      <protection locked="0"/>
    </xf>
    <xf numFmtId="0" fontId="3" fillId="12" borderId="63" xfId="0" applyFont="1" applyFill="1" applyBorder="1" applyAlignment="1">
      <alignment horizontal="center"/>
    </xf>
    <xf numFmtId="1" fontId="0" fillId="12" borderId="61" xfId="0" applyNumberFormat="1" applyFill="1" applyBorder="1" applyAlignment="1" applyProtection="1">
      <alignment horizontal="center"/>
      <protection locked="0"/>
    </xf>
    <xf numFmtId="1" fontId="0" fillId="12" borderId="77" xfId="0" applyNumberFormat="1" applyFill="1" applyBorder="1" applyAlignment="1" applyProtection="1">
      <alignment horizontal="center"/>
      <protection locked="0"/>
    </xf>
    <xf numFmtId="0" fontId="3" fillId="11" borderId="30" xfId="0" applyFont="1" applyFill="1" applyBorder="1" applyAlignment="1">
      <alignment horizontal="center"/>
    </xf>
    <xf numFmtId="0" fontId="0" fillId="11" borderId="31" xfId="0" applyFill="1" applyBorder="1" applyAlignment="1">
      <alignment horizontal="left"/>
    </xf>
    <xf numFmtId="0" fontId="0" fillId="11" borderId="31" xfId="0" applyFill="1" applyBorder="1" applyAlignment="1">
      <alignment horizontal="center"/>
    </xf>
    <xf numFmtId="1" fontId="0" fillId="11" borderId="31" xfId="0" applyNumberFormat="1" applyFill="1" applyBorder="1" applyAlignment="1" applyProtection="1">
      <alignment horizontal="center"/>
      <protection locked="0"/>
    </xf>
    <xf numFmtId="1" fontId="0" fillId="12" borderId="32" xfId="0" applyNumberFormat="1" applyFill="1" applyBorder="1" applyAlignment="1" applyProtection="1">
      <alignment horizontal="center"/>
      <protection locked="0"/>
    </xf>
    <xf numFmtId="0" fontId="0" fillId="12" borderId="50" xfId="1" applyNumberFormat="1" applyFont="1" applyFill="1" applyBorder="1" applyAlignment="1" applyProtection="1">
      <alignment horizontal="center"/>
      <protection locked="0"/>
    </xf>
    <xf numFmtId="44" fontId="0" fillId="12" borderId="50" xfId="1" applyFont="1" applyFill="1" applyBorder="1"/>
    <xf numFmtId="0" fontId="0" fillId="12" borderId="51" xfId="1" applyNumberFormat="1" applyFont="1" applyFill="1" applyBorder="1" applyAlignment="1" applyProtection="1">
      <alignment horizontal="center"/>
      <protection locked="0"/>
    </xf>
    <xf numFmtId="44" fontId="0" fillId="12" borderId="51" xfId="1" applyFont="1" applyFill="1" applyBorder="1"/>
    <xf numFmtId="0" fontId="0" fillId="12" borderId="80" xfId="1" applyNumberFormat="1" applyFont="1" applyFill="1" applyBorder="1" applyAlignment="1" applyProtection="1">
      <alignment horizontal="center"/>
      <protection locked="0"/>
    </xf>
    <xf numFmtId="0" fontId="0" fillId="12" borderId="52" xfId="1" applyNumberFormat="1" applyFont="1" applyFill="1" applyBorder="1" applyAlignment="1" applyProtection="1">
      <alignment horizontal="center"/>
      <protection locked="0"/>
    </xf>
    <xf numFmtId="44" fontId="0" fillId="12" borderId="52" xfId="1" applyFont="1" applyFill="1" applyBorder="1"/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left"/>
    </xf>
    <xf numFmtId="0" fontId="0" fillId="0" borderId="24" xfId="0" applyBorder="1" applyAlignment="1">
      <alignment horizontal="left" wrapText="1"/>
    </xf>
    <xf numFmtId="0" fontId="0" fillId="0" borderId="24" xfId="0" applyBorder="1" applyAlignment="1">
      <alignment horizontal="left"/>
    </xf>
    <xf numFmtId="2" fontId="0" fillId="0" borderId="24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3" fillId="8" borderId="9" xfId="0" applyFont="1" applyFill="1" applyBorder="1" applyAlignment="1">
      <alignment horizontal="left" vertical="center"/>
    </xf>
    <xf numFmtId="0" fontId="3" fillId="5" borderId="21" xfId="0" applyFont="1" applyFill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10" fontId="0" fillId="0" borderId="0" xfId="2" applyNumberFormat="1" applyFont="1" applyBorder="1" applyAlignment="1" applyProtection="1">
      <alignment horizontal="center"/>
      <protection locked="0"/>
    </xf>
    <xf numFmtId="0" fontId="0" fillId="6" borderId="39" xfId="0" applyFill="1" applyBorder="1" applyAlignment="1">
      <alignment horizontal="center"/>
    </xf>
    <xf numFmtId="0" fontId="0" fillId="0" borderId="81" xfId="0" applyBorder="1" applyAlignment="1">
      <alignment horizontal="center"/>
    </xf>
    <xf numFmtId="0" fontId="0" fillId="6" borderId="37" xfId="0" applyFill="1" applyBorder="1" applyAlignment="1">
      <alignment horizontal="left"/>
    </xf>
    <xf numFmtId="44" fontId="3" fillId="13" borderId="10" xfId="1" applyFont="1" applyFill="1" applyBorder="1" applyProtection="1"/>
    <xf numFmtId="0" fontId="4" fillId="14" borderId="10" xfId="0" applyFont="1" applyFill="1" applyBorder="1" applyAlignment="1">
      <alignment horizontal="center"/>
    </xf>
    <xf numFmtId="0" fontId="4" fillId="7" borderId="2" xfId="0" applyFont="1" applyFill="1" applyBorder="1"/>
    <xf numFmtId="0" fontId="4" fillId="7" borderId="3" xfId="0" applyFont="1" applyFill="1" applyBorder="1"/>
    <xf numFmtId="0" fontId="0" fillId="6" borderId="38" xfId="0" applyFill="1" applyBorder="1"/>
    <xf numFmtId="0" fontId="0" fillId="0" borderId="16" xfId="0" applyBorder="1"/>
    <xf numFmtId="0" fontId="0" fillId="0" borderId="15" xfId="0" applyBorder="1"/>
    <xf numFmtId="0" fontId="0" fillId="6" borderId="82" xfId="0" applyFill="1" applyBorder="1"/>
    <xf numFmtId="0" fontId="0" fillId="0" borderId="83" xfId="0" applyBorder="1"/>
    <xf numFmtId="0" fontId="0" fillId="0" borderId="84" xfId="0" applyBorder="1"/>
    <xf numFmtId="0" fontId="0" fillId="6" borderId="84" xfId="0" applyFill="1" applyBorder="1"/>
    <xf numFmtId="0" fontId="0" fillId="6" borderId="0" xfId="0" applyFill="1"/>
    <xf numFmtId="0" fontId="0" fillId="6" borderId="18" xfId="0" applyFill="1" applyBorder="1"/>
    <xf numFmtId="0" fontId="0" fillId="6" borderId="19" xfId="0" applyFill="1" applyBorder="1"/>
    <xf numFmtId="0" fontId="0" fillId="8" borderId="7" xfId="0" applyFill="1" applyBorder="1"/>
    <xf numFmtId="10" fontId="0" fillId="0" borderId="0" xfId="0" applyNumberFormat="1"/>
    <xf numFmtId="0" fontId="7" fillId="0" borderId="0" xfId="0" applyFont="1"/>
    <xf numFmtId="0" fontId="2" fillId="0" borderId="0" xfId="0" applyFont="1"/>
    <xf numFmtId="10" fontId="2" fillId="0" borderId="33" xfId="2" applyNumberFormat="1" applyFont="1" applyFill="1" applyBorder="1" applyProtection="1"/>
    <xf numFmtId="44" fontId="2" fillId="0" borderId="0" xfId="0" applyNumberFormat="1" applyFont="1"/>
    <xf numFmtId="0" fontId="0" fillId="0" borderId="86" xfId="0" applyBorder="1"/>
    <xf numFmtId="44" fontId="4" fillId="7" borderId="87" xfId="1" applyFont="1" applyFill="1" applyBorder="1" applyAlignment="1" applyProtection="1">
      <alignment horizontal="center"/>
    </xf>
    <xf numFmtId="10" fontId="2" fillId="16" borderId="87" xfId="2" applyNumberFormat="1" applyFont="1" applyFill="1" applyBorder="1"/>
    <xf numFmtId="44" fontId="4" fillId="0" borderId="86" xfId="1" applyFont="1" applyFill="1" applyBorder="1" applyAlignment="1" applyProtection="1">
      <alignment horizontal="center"/>
    </xf>
    <xf numFmtId="44" fontId="0" fillId="0" borderId="0" xfId="1" applyFont="1"/>
    <xf numFmtId="2" fontId="15" fillId="15" borderId="85" xfId="3" applyNumberFormat="1" applyFont="1" applyFill="1" applyBorder="1" applyAlignment="1" applyProtection="1">
      <alignment horizontal="center" vertical="center"/>
    </xf>
    <xf numFmtId="2" fontId="15" fillId="15" borderId="0" xfId="3" applyNumberFormat="1" applyFont="1" applyFill="1" applyBorder="1" applyAlignment="1" applyProtection="1">
      <alignment horizontal="center" vertical="center"/>
    </xf>
    <xf numFmtId="0" fontId="6" fillId="7" borderId="11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3" fillId="4" borderId="12" xfId="0" applyFont="1" applyFill="1" applyBorder="1" applyAlignment="1" applyProtection="1">
      <alignment horizontal="center"/>
      <protection locked="0"/>
    </xf>
    <xf numFmtId="0" fontId="3" fillId="4" borderId="13" xfId="0" applyFont="1" applyFill="1" applyBorder="1" applyAlignment="1" applyProtection="1">
      <alignment horizontal="center"/>
      <protection locked="0"/>
    </xf>
    <xf numFmtId="0" fontId="0" fillId="9" borderId="12" xfId="0" applyFill="1" applyBorder="1" applyAlignment="1">
      <alignment horizontal="left"/>
    </xf>
    <xf numFmtId="0" fontId="0" fillId="9" borderId="14" xfId="0" applyFill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4" fillId="7" borderId="2" xfId="0" applyFont="1" applyFill="1" applyBorder="1" applyAlignment="1">
      <alignment horizontal="left"/>
    </xf>
    <xf numFmtId="0" fontId="4" fillId="7" borderId="3" xfId="0" applyFont="1" applyFill="1" applyBorder="1" applyAlignment="1">
      <alignment horizontal="left"/>
    </xf>
    <xf numFmtId="0" fontId="4" fillId="7" borderId="5" xfId="0" applyFont="1" applyFill="1" applyBorder="1" applyAlignment="1">
      <alignment horizontal="left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9" borderId="26" xfId="0" applyFill="1" applyBorder="1" applyAlignment="1">
      <alignment horizontal="left"/>
    </xf>
    <xf numFmtId="0" fontId="4" fillId="7" borderId="3" xfId="0" applyFont="1" applyFill="1" applyBorder="1" applyAlignment="1">
      <alignment horizontal="center"/>
    </xf>
    <xf numFmtId="44" fontId="0" fillId="0" borderId="39" xfId="1" applyFont="1" applyBorder="1" applyAlignment="1">
      <alignment horizontal="right"/>
    </xf>
    <xf numFmtId="44" fontId="0" fillId="0" borderId="67" xfId="1" applyFont="1" applyBorder="1" applyAlignment="1">
      <alignment horizontal="right"/>
    </xf>
    <xf numFmtId="44" fontId="0" fillId="0" borderId="0" xfId="1" applyFont="1" applyBorder="1" applyAlignment="1">
      <alignment horizontal="right"/>
    </xf>
    <xf numFmtId="44" fontId="0" fillId="0" borderId="33" xfId="1" applyFont="1" applyBorder="1" applyAlignment="1">
      <alignment horizontal="right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right" vertical="center"/>
    </xf>
    <xf numFmtId="0" fontId="3" fillId="8" borderId="4" xfId="0" applyFont="1" applyFill="1" applyBorder="1" applyAlignment="1">
      <alignment horizontal="right" vertical="center"/>
    </xf>
    <xf numFmtId="44" fontId="0" fillId="0" borderId="7" xfId="1" applyFont="1" applyBorder="1" applyAlignment="1">
      <alignment horizontal="right"/>
    </xf>
    <xf numFmtId="44" fontId="0" fillId="0" borderId="10" xfId="1" applyFont="1" applyBorder="1" applyAlignment="1">
      <alignment horizontal="right"/>
    </xf>
    <xf numFmtId="0" fontId="4" fillId="7" borderId="11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0" fillId="4" borderId="65" xfId="0" applyFill="1" applyBorder="1" applyAlignment="1">
      <alignment horizontal="right"/>
    </xf>
    <xf numFmtId="0" fontId="0" fillId="4" borderId="59" xfId="0" applyFill="1" applyBorder="1" applyAlignment="1">
      <alignment horizontal="right"/>
    </xf>
    <xf numFmtId="0" fontId="0" fillId="4" borderId="68" xfId="0" applyFill="1" applyBorder="1" applyAlignment="1">
      <alignment horizontal="right"/>
    </xf>
    <xf numFmtId="0" fontId="0" fillId="4" borderId="56" xfId="0" applyFill="1" applyBorder="1" applyAlignment="1">
      <alignment horizontal="right"/>
    </xf>
    <xf numFmtId="0" fontId="0" fillId="4" borderId="69" xfId="0" applyFill="1" applyBorder="1" applyAlignment="1">
      <alignment horizontal="right"/>
    </xf>
    <xf numFmtId="0" fontId="0" fillId="4" borderId="71" xfId="0" applyFill="1" applyBorder="1" applyAlignment="1">
      <alignment horizontal="right"/>
    </xf>
    <xf numFmtId="0" fontId="0" fillId="4" borderId="55" xfId="0" applyFill="1" applyBorder="1" applyAlignment="1">
      <alignment horizontal="left"/>
    </xf>
    <xf numFmtId="0" fontId="0" fillId="4" borderId="53" xfId="0" applyFill="1" applyBorder="1" applyAlignment="1">
      <alignment horizontal="left"/>
    </xf>
    <xf numFmtId="0" fontId="0" fillId="4" borderId="58" xfId="0" applyFill="1" applyBorder="1" applyAlignment="1">
      <alignment horizontal="left"/>
    </xf>
    <xf numFmtId="0" fontId="0" fillId="4" borderId="65" xfId="0" applyFill="1" applyBorder="1" applyAlignment="1">
      <alignment horizontal="left"/>
    </xf>
    <xf numFmtId="0" fontId="0" fillId="4" borderId="66" xfId="0" applyFill="1" applyBorder="1" applyAlignment="1">
      <alignment horizontal="left"/>
    </xf>
    <xf numFmtId="0" fontId="10" fillId="10" borderId="48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10" borderId="39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/>
    </xf>
    <xf numFmtId="0" fontId="10" fillId="10" borderId="39" xfId="0" applyFont="1" applyFill="1" applyBorder="1" applyAlignment="1">
      <alignment horizontal="center" vertical="center"/>
    </xf>
    <xf numFmtId="0" fontId="3" fillId="12" borderId="63" xfId="0" applyFont="1" applyFill="1" applyBorder="1" applyAlignment="1">
      <alignment horizontal="center" vertical="center"/>
    </xf>
    <xf numFmtId="0" fontId="3" fillId="12" borderId="72" xfId="0" applyFont="1" applyFill="1" applyBorder="1" applyAlignment="1">
      <alignment horizontal="center" vertical="center"/>
    </xf>
    <xf numFmtId="0" fontId="0" fillId="12" borderId="61" xfId="0" applyFill="1" applyBorder="1" applyAlignment="1">
      <alignment horizontal="left" vertical="center"/>
    </xf>
    <xf numFmtId="0" fontId="0" fillId="12" borderId="73" xfId="0" applyFill="1" applyBorder="1" applyAlignment="1">
      <alignment horizontal="left" vertical="center"/>
    </xf>
    <xf numFmtId="0" fontId="10" fillId="10" borderId="67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0" borderId="40" xfId="0" applyFont="1" applyFill="1" applyBorder="1" applyAlignment="1">
      <alignment horizontal="center" vertical="center"/>
    </xf>
    <xf numFmtId="0" fontId="3" fillId="11" borderId="63" xfId="0" applyFont="1" applyFill="1" applyBorder="1" applyAlignment="1">
      <alignment horizontal="center" vertical="center"/>
    </xf>
    <xf numFmtId="0" fontId="3" fillId="11" borderId="64" xfId="0" applyFont="1" applyFill="1" applyBorder="1" applyAlignment="1">
      <alignment horizontal="center" vertical="center"/>
    </xf>
    <xf numFmtId="0" fontId="0" fillId="11" borderId="61" xfId="0" applyFill="1" applyBorder="1" applyAlignment="1">
      <alignment horizontal="left" vertical="center" wrapText="1"/>
    </xf>
    <xf numFmtId="0" fontId="0" fillId="11" borderId="62" xfId="0" applyFill="1" applyBorder="1" applyAlignment="1">
      <alignment horizontal="left" vertical="center" wrapText="1"/>
    </xf>
    <xf numFmtId="0" fontId="3" fillId="12" borderId="64" xfId="0" applyFont="1" applyFill="1" applyBorder="1" applyAlignment="1">
      <alignment horizontal="center" vertical="center"/>
    </xf>
    <xf numFmtId="0" fontId="0" fillId="12" borderId="62" xfId="0" applyFill="1" applyBorder="1" applyAlignment="1">
      <alignment horizontal="left" vertical="center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13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R$&quot;\ * #,##0.00_-;\-&quot;R$&quot;\ * #,##0.00_-;_-&quot;R$&quot;\ * &quot;-&quot;??_-;_-@_-"/>
      <border diagonalUp="0" diagonalDown="0">
        <left/>
        <right style="medium">
          <color indexed="6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R$&quot;\ * #,##0.00_-;\-&quot;R$&quot;\ * #,##0.00_-;_-&quot;R$&quot;\ * &quot;-&quot;??_-;_-@_-"/>
      <border diagonalUp="0" diagonalDown="0">
        <left/>
        <right style="medium">
          <color indexed="64"/>
        </right>
        <top style="thin">
          <color theme="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57150</xdr:rowOff>
    </xdr:from>
    <xdr:ext cx="1123950" cy="609600"/>
    <xdr:pic>
      <xdr:nvPicPr>
        <xdr:cNvPr id="2" name="Imagem 1">
          <a:extLst>
            <a:ext uri="{FF2B5EF4-FFF2-40B4-BE49-F238E27FC236}">
              <a16:creationId xmlns:a16="http://schemas.microsoft.com/office/drawing/2014/main" id="{734A2FAC-D01D-4A40-8460-1E294EDA57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10" b="11755"/>
        <a:stretch/>
      </xdr:blipFill>
      <xdr:spPr bwMode="auto">
        <a:xfrm>
          <a:off x="100853" y="57150"/>
          <a:ext cx="11239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57150</xdr:rowOff>
    </xdr:from>
    <xdr:ext cx="1123950" cy="609600"/>
    <xdr:pic>
      <xdr:nvPicPr>
        <xdr:cNvPr id="2" name="Imagem 1">
          <a:extLst>
            <a:ext uri="{FF2B5EF4-FFF2-40B4-BE49-F238E27FC236}">
              <a16:creationId xmlns:a16="http://schemas.microsoft.com/office/drawing/2014/main" id="{0687148E-1EDA-4AB9-BF15-7AFA9F6AFD8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10" b="11755"/>
        <a:stretch/>
      </xdr:blipFill>
      <xdr:spPr bwMode="auto">
        <a:xfrm>
          <a:off x="0" y="57150"/>
          <a:ext cx="11239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57150</xdr:rowOff>
    </xdr:from>
    <xdr:ext cx="1123950" cy="609600"/>
    <xdr:pic>
      <xdr:nvPicPr>
        <xdr:cNvPr id="2" name="Imagem 1">
          <a:extLst>
            <a:ext uri="{FF2B5EF4-FFF2-40B4-BE49-F238E27FC236}">
              <a16:creationId xmlns:a16="http://schemas.microsoft.com/office/drawing/2014/main" id="{641634D4-6FAF-4BCB-9BC8-7D995931642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10" b="11755"/>
        <a:stretch/>
      </xdr:blipFill>
      <xdr:spPr bwMode="auto">
        <a:xfrm>
          <a:off x="0" y="57150"/>
          <a:ext cx="11239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braepr.sharepoint.com/UAS/PREDIAL/Painel%20de%20Bordo%20-%20PREDI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ME"/>
      <sheetName val="AF's"/>
      <sheetName val="CONTRATOS"/>
      <sheetName val="INDICADORES"/>
      <sheetName val="ROTINAS"/>
      <sheetName val="Gerador OS Corret"/>
      <sheetName val="MEDIÇÃO REFRIG"/>
      <sheetName val="MEDIÇÃO AUTOMAÇÃO"/>
      <sheetName val="Mapa 52 semanas "/>
      <sheetName val="OS PREVENTIVA"/>
      <sheetName val="EMPRESAS"/>
      <sheetName val="CONFIG"/>
      <sheetName val="ASA NORTE"/>
      <sheetName val="ASA SUL"/>
      <sheetName val="CARGOS CONTRATOS"/>
      <sheetName val="PAINEL CONTRATOS"/>
      <sheetName val="CT577"/>
      <sheetName val="CONT PAG PREDIAL"/>
      <sheetName val="CT577 CHECKLIST"/>
      <sheetName val="CT577 CHECKLIST MAT"/>
      <sheetName val="MED PREDIAL"/>
      <sheetName val="MEDPRED 2017"/>
      <sheetName val="MEDPRED17 JAN"/>
      <sheetName val="MEDPRED17 FEV"/>
      <sheetName val="MEDPRED17 MAR"/>
      <sheetName val="MEDPRED17 ABR"/>
      <sheetName val="MEDPRED17 MAI"/>
      <sheetName val="MEDPRED17 JUN"/>
      <sheetName val="MEDPRED17 JUL"/>
      <sheetName val="MEDPRED17 AGO"/>
      <sheetName val="MEDPRED17 SET"/>
      <sheetName val="MEDPRED17 OUT"/>
      <sheetName val="MEDPRED17 NOV"/>
      <sheetName val="MEDPRED17 DEZ"/>
      <sheetName val="MAODEOBRA PRED"/>
      <sheetName val="INDICPRED"/>
      <sheetName val="GRAFOSPRED"/>
      <sheetName val="GRAFCOEFPRED"/>
      <sheetName val="GRAFPRED CONSUM"/>
      <sheetName val="Plan Sint Predial"/>
      <sheetName val="ResumoRepacPRED"/>
      <sheetName val="1TAPRED"/>
      <sheetName val="PLANSINTPRED1TA"/>
      <sheetName val="REDUCPECAS1TAPRED"/>
      <sheetName val="REDUCMOPRED1TA"/>
      <sheetName val="PLANSINTPRED2TA"/>
      <sheetName val="MAODEOBREPRED UNIT"/>
      <sheetName val="ENGPRED"/>
      <sheetName val="ENCARPRED"/>
      <sheetName val="ELETPRED"/>
      <sheetName val="AUXPRED"/>
      <sheetName val="BOMBPRED"/>
      <sheetName val="TECREDPRED"/>
      <sheetName val="OFICDIUPRED"/>
      <sheetName val="OFICNOTPRED"/>
      <sheetName val="MAPLPRED"/>
      <sheetName val="LISTMAPLPRED"/>
      <sheetName val="CT003-17"/>
      <sheetName val="CTPAGREVMOV"/>
      <sheetName val="CHECKCTREFMOV"/>
      <sheetName val="PLANDISTRIBREFMOV"/>
      <sheetName val="CONTOSREFMOV"/>
      <sheetName val="VARIAVEISMODILAC"/>
      <sheetName val="SAD PRED"/>
      <sheetName val="MEDMAPL"/>
      <sheetName val="CONTSLDMAPL"/>
      <sheetName val="LITSSADPRED"/>
      <sheetName val="CTRLSADPRED"/>
      <sheetName val="MEDISADPREDI"/>
      <sheetName val="CTAUTOREFRI"/>
      <sheetName val="CTPAGAUTOREFRI"/>
      <sheetName val="CHECKNFAUTOREFRI"/>
      <sheetName val="CHECK LITS MAT REFRIAUTO"/>
      <sheetName val="MEDCTAUTOREFRI"/>
      <sheetName val="MED AUTREFRI 17"/>
      <sheetName val="MAPLAUTOREFRI"/>
      <sheetName val="LISTMAPLAUTOREFRI"/>
      <sheetName val="MEDMAPLAUTOREFRI"/>
      <sheetName val="CTRMAPLAUTOREFRI"/>
      <sheetName val="PLANSINTAUTOREFRI"/>
      <sheetName val="SADAUTOREFRI"/>
      <sheetName val="LISTSADAUTOREFRI"/>
      <sheetName val="MEDSADAUTOREFRI"/>
      <sheetName val="CTRSADAUTOREFRI"/>
      <sheetName val="MOAUTOREFRI"/>
      <sheetName val="MOUNITXPOSTOAUTOREFRI"/>
      <sheetName val="MEDJANAUTOREFRI"/>
      <sheetName val="MEDFEVAUTOREFRI"/>
      <sheetName val="MEDMARAUTOREFRI"/>
      <sheetName val="MEDNONAUTOREFRI"/>
      <sheetName val="CTEPS469-14"/>
      <sheetName val="INFGERALEPS"/>
      <sheetName val="CHECKLIST EPS"/>
      <sheetName val="MOAPLEPS"/>
      <sheetName val="PLANCOMPMO"/>
      <sheetName val="CTPAGEPS"/>
      <sheetName val="DASHBOARD"/>
      <sheetName val="MEDJANAUTOREFRI (2)"/>
      <sheetName val="GERAL MAC"/>
      <sheetName val="CHECKLIST NF MAC"/>
      <sheetName val="PGMTS MAC"/>
      <sheetName val="TEC MECA AR MAC"/>
      <sheetName val="AUX SERV GER MAC"/>
      <sheetName val="ENG MAC"/>
      <sheetName val="EQUIP MAC"/>
      <sheetName val="MAPL MAC"/>
      <sheetName val="CT133 MAC"/>
      <sheetName val="MO MAC"/>
      <sheetName val="CT.307 DIVISORIAS"/>
      <sheetName val="GERAL DIVISORIAS"/>
      <sheetName val="CTPAGDIVISORIAS"/>
      <sheetName val="CHECKLIST DIVISORIAS"/>
      <sheetName val="VARIAVEIS CT DIVISORIAS"/>
      <sheetName val="GERADOR OS DIV"/>
      <sheetName val="CTR OS DIVI"/>
      <sheetName val="SLD DIVISORIAS"/>
      <sheetName val="CT.482-15 ORONA"/>
      <sheetName val="GERAL ORONA"/>
      <sheetName val="CTRPAG ORONA"/>
      <sheetName val="CHECKLIST ORONA"/>
      <sheetName val="DADOS ELEVADORES"/>
      <sheetName val="CT.294THYSSENKRUPP"/>
      <sheetName val="GERAL THYSSENKRUPP"/>
      <sheetName val="PAG THYSSEN"/>
      <sheetName val="CHECKLIST THYSSEN"/>
      <sheetName val="DADOS ELEVADORES THYSSEN"/>
      <sheetName val="ENTRADA DADOS THYSSEN"/>
      <sheetName val="INFO THYSSEN"/>
      <sheetName val="CT.459-15 LIMPEZA"/>
      <sheetName val="GERALLIMPEZA"/>
      <sheetName val="CTPAGLIMPEZA"/>
      <sheetName val="CT PAG LIMP 2 TA"/>
      <sheetName val="CHECKLISTLIMPEZA"/>
      <sheetName val="LISTFUNCLIMPEZA"/>
      <sheetName val="SLASLIMPEZA"/>
      <sheetName val="MOLIMPEZA"/>
      <sheetName val="PLAN CONSOLIDADA"/>
      <sheetName val="COMPMOSUPLIMP"/>
      <sheetName val="COMPMOENCARGERLIMP"/>
      <sheetName val="COMPMOSERVLIMP"/>
      <sheetName val="COMPMOCARRELIMP"/>
      <sheetName val="COMPJAUZLIMP"/>
      <sheetName val="COMPENCARLIMP"/>
      <sheetName val="COMPJARDLIMP"/>
      <sheetName val="COMPPISCILIMP"/>
      <sheetName val="SADLIMPEZA"/>
      <sheetName val="CTRUNIFORMESLIMP"/>
      <sheetName val="SAD OS LIMPEZA"/>
      <sheetName val="REPACTUACOESLIMPEZA"/>
      <sheetName val="1TALIMP"/>
      <sheetName val="A"/>
      <sheetName val="MEDIREFRI FEV"/>
      <sheetName val="MEDIREFRI MAR"/>
      <sheetName val="MEDIREFRI ABR"/>
      <sheetName val="MEDIREFRI MAI"/>
      <sheetName val="MEDIREFRI JUN"/>
      <sheetName val="MEDIREFRI JUL"/>
      <sheetName val="MEDIREFRI AGO"/>
      <sheetName val="MEDIREFRI SET"/>
      <sheetName val="MEDIREFRI OUT"/>
      <sheetName val="MEDIREFRI NOV"/>
      <sheetName val="MEDIREFRI DEZ"/>
      <sheetName val="CT.460.15-VISAN"/>
      <sheetName val="DADOS GERAIS"/>
      <sheetName val="1º TA - CONTROLE DE PAGAMENTO"/>
      <sheetName val="2º TA - CT PAG VISAN"/>
      <sheetName val="CHECK LIST NF"/>
      <sheetName val="MO"/>
      <sheetName val="UNIFORMES"/>
      <sheetName val="REGISTRO ARMAS"/>
      <sheetName val="VALIDADES CNV"/>
      <sheetName val="VIGILANTE 12X36 DIURN DESARM"/>
      <sheetName val="VIGILANTE 12X36 DIURN ARM"/>
      <sheetName val="VIGILANTE 12X36 NOT ARM"/>
      <sheetName val="AGENT SEG PESSOAL 44HR"/>
      <sheetName val="SUPERVISOR 44HR DIURNO"/>
      <sheetName val="VIGIL 44HRS DIURN DESRM"/>
      <sheetName val="VIG 12X36 DIU ARM CFTV"/>
      <sheetName val="VIG 12X36 NOT ARM CFTV"/>
      <sheetName val="CTPAGMANCH"/>
      <sheetName val="CTPAGMAN2TA"/>
      <sheetName val="Plan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84FC6DB-ED03-4674-8EFC-73DFA888338F}" name="Tabela6" displayName="Tabela6" ref="A11:K489" totalsRowShown="0" headerRowDxfId="12">
  <autoFilter ref="A11:K489" xr:uid="{284FC6DB-ED03-4674-8EFC-73DFA888338F}">
    <filterColumn colId="2">
      <filters blank="1"/>
    </filterColumn>
  </autoFilter>
  <tableColumns count="11">
    <tableColumn id="1" xr3:uid="{B0A8ADE9-438E-4191-9A23-1F37499A8A0C}" name="FILT." dataDxfId="11">
      <calculatedColumnFormula array="1">_xlfn.IFS(B12&lt;1,"",B12&lt;=2,1,B12&lt;=4,2,B12&lt;=8,3)</calculatedColumnFormula>
    </tableColumn>
    <tableColumn id="2" xr3:uid="{449A5B48-B734-482C-8E59-648ADDCCB131}" name="IND." dataDxfId="10">
      <calculatedColumnFormula>LEN('PLANILHA ORÇAMENTÁRIA'!$E12)</calculatedColumnFormula>
    </tableColumn>
    <tableColumn id="14" xr3:uid="{5076A9A6-010B-44D6-ABAA-6388A42EC125}" name="Coluna1" dataDxfId="9">
      <calculatedColumnFormula>IF(AND(Tabela6[[#This Row],[IND.]]&gt;=5,Tabela6[[#This Row],[QUANT]]=0),"X","")</calculatedColumnFormula>
    </tableColumn>
    <tableColumn id="3" xr3:uid="{70A35585-7132-47AB-A5FC-E3B616B04640}" name="."/>
    <tableColumn id="4" xr3:uid="{4EA4F5C8-F7A2-4D29-A54E-F528057DF85D}" name="ITEM" dataDxfId="8"/>
    <tableColumn id="5" xr3:uid="{A27B59F6-32EA-469C-A5A1-9DE766639B94}" name="ESCOPO - DESCRITIVO" dataDxfId="7"/>
    <tableColumn id="10" xr3:uid="{484E6D34-9070-4A1C-B1F7-FDFF75F3541F}" name="ETAPA" dataDxfId="6"/>
    <tableColumn id="6" xr3:uid="{66173864-7124-4D50-B492-2D2E60A5D6BA}" name="QUANT" dataDxfId="5"/>
    <tableColumn id="7" xr3:uid="{EE4D5D55-8EE1-47D3-996C-FB7364803F57}" name="UNID" dataDxfId="4"/>
    <tableColumn id="23" xr3:uid="{E6C825C4-E146-42E0-849F-109254F5E7CA}" name="VALOR UNIT MÁX." dataDxfId="3" dataCellStyle="Moeda">
      <calculatedColumnFormula>ROUND(AVERAGE(#REF!,#REF!),2)</calculatedColumnFormula>
    </tableColumn>
    <tableColumn id="9" xr3:uid="{5EAE365B-7120-4087-AEA2-E102DB591CDC}" name="VALOR TOTAL MÁX." dataDxfId="2" dataCellStyle="Moeda">
      <calculatedColumnFormula>'PLANILHA ORÇAMENTÁRIA'!#REF!*'PLANILHA ORÇAMENTÁRIA'!$H12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193B-0D65-4C22-8322-83294FC13BDE}">
  <sheetPr>
    <pageSetUpPr fitToPage="1"/>
  </sheetPr>
  <dimension ref="A1:N509"/>
  <sheetViews>
    <sheetView showGridLines="0" tabSelected="1" topLeftCell="D1" zoomScale="85" zoomScaleNormal="85" workbookViewId="0">
      <selection activeCell="J3" sqref="J3:K9"/>
    </sheetView>
  </sheetViews>
  <sheetFormatPr defaultRowHeight="14.5" x14ac:dyDescent="0.35"/>
  <cols>
    <col min="1" max="3" width="5.453125" style="1" hidden="1" customWidth="1"/>
    <col min="4" max="4" width="2.453125" customWidth="1"/>
    <col min="5" max="5" width="21.7265625" bestFit="1" customWidth="1"/>
    <col min="6" max="6" width="60.1796875" style="2" customWidth="1"/>
    <col min="7" max="7" width="16.26953125" style="2" customWidth="1"/>
    <col min="8" max="8" width="16.26953125" style="1" customWidth="1"/>
    <col min="9" max="9" width="13.26953125" style="1" customWidth="1"/>
    <col min="10" max="10" width="29.54296875" customWidth="1"/>
    <col min="11" max="11" width="33.26953125" customWidth="1"/>
    <col min="13" max="13" width="33.1796875" bestFit="1" customWidth="1"/>
  </cols>
  <sheetData>
    <row r="1" spans="1:14" ht="55.9" customHeight="1" x14ac:dyDescent="0.35">
      <c r="C1" s="67" t="s">
        <v>0</v>
      </c>
      <c r="E1" s="175" t="s">
        <v>1</v>
      </c>
      <c r="F1" s="176"/>
      <c r="G1" s="176"/>
      <c r="H1" s="176"/>
      <c r="I1" s="176"/>
      <c r="J1" s="176"/>
      <c r="K1" s="176"/>
    </row>
    <row r="2" spans="1:14" ht="4.9000000000000004" customHeight="1" x14ac:dyDescent="0.35"/>
    <row r="3" spans="1:14" ht="15" customHeight="1" x14ac:dyDescent="0.35">
      <c r="E3" s="6" t="s">
        <v>2</v>
      </c>
      <c r="F3" s="179"/>
      <c r="G3" s="180"/>
      <c r="H3" s="180"/>
      <c r="I3" s="180"/>
      <c r="J3" s="173" t="s">
        <v>963</v>
      </c>
      <c r="K3" s="174"/>
      <c r="M3" s="6" t="s">
        <v>3</v>
      </c>
      <c r="N3" s="9">
        <v>1150.02</v>
      </c>
    </row>
    <row r="4" spans="1:14" ht="15" customHeight="1" x14ac:dyDescent="0.35">
      <c r="E4" s="6" t="s">
        <v>4</v>
      </c>
      <c r="F4" s="179"/>
      <c r="G4" s="180"/>
      <c r="H4" s="180"/>
      <c r="I4" s="180"/>
      <c r="J4" s="173"/>
      <c r="K4" s="174"/>
      <c r="M4" s="6" t="s">
        <v>5</v>
      </c>
      <c r="N4" s="9">
        <v>105</v>
      </c>
    </row>
    <row r="5" spans="1:14" ht="15" customHeight="1" x14ac:dyDescent="0.35">
      <c r="E5" s="6" t="s">
        <v>6</v>
      </c>
      <c r="F5" s="179"/>
      <c r="G5" s="180"/>
      <c r="H5" s="180"/>
      <c r="I5" s="180"/>
      <c r="J5" s="173"/>
      <c r="K5" s="174"/>
    </row>
    <row r="6" spans="1:14" ht="15" customHeight="1" x14ac:dyDescent="0.35">
      <c r="E6" s="6" t="s">
        <v>7</v>
      </c>
      <c r="F6" s="179"/>
      <c r="G6" s="180"/>
      <c r="H6" s="180"/>
      <c r="I6" s="180"/>
      <c r="J6" s="173"/>
      <c r="K6" s="174"/>
    </row>
    <row r="7" spans="1:14" ht="4.9000000000000004" customHeight="1" x14ac:dyDescent="0.35">
      <c r="J7" s="173"/>
      <c r="K7" s="174"/>
    </row>
    <row r="8" spans="1:14" ht="15" customHeight="1" x14ac:dyDescent="0.35">
      <c r="E8" s="6" t="s">
        <v>8</v>
      </c>
      <c r="F8" s="177" t="s">
        <v>9</v>
      </c>
      <c r="G8" s="178"/>
      <c r="H8" s="178"/>
      <c r="I8" s="178"/>
      <c r="J8" s="173"/>
      <c r="K8" s="174"/>
    </row>
    <row r="9" spans="1:14" ht="15" customHeight="1" x14ac:dyDescent="0.35">
      <c r="E9" s="6" t="s">
        <v>10</v>
      </c>
      <c r="F9" s="177" t="str" cm="1">
        <f t="array" ref="F9">IFERROR(_xlfn.IFS(F8=AUXILIAR!B1,AUXILIAR!D1,F8=AUXILIAR!B2,AUXILIAR!D2,F8=AUXILIAR!B3,AUXILIAR!D3),"")</f>
        <v>AV. MARECHAL CÂMARA, 171 - 2º ANDAR - CENTRO</v>
      </c>
      <c r="G9" s="178"/>
      <c r="H9" s="178"/>
      <c r="I9" s="178"/>
      <c r="J9" s="173"/>
      <c r="K9" s="174"/>
    </row>
    <row r="10" spans="1:14" ht="4.9000000000000004" customHeight="1" thickBot="1" x14ac:dyDescent="0.4"/>
    <row r="11" spans="1:14" ht="21.5" thickBot="1" x14ac:dyDescent="0.55000000000000004">
      <c r="A11" s="8" t="s">
        <v>11</v>
      </c>
      <c r="B11" s="8" t="s">
        <v>12</v>
      </c>
      <c r="C11" s="63" t="s">
        <v>13</v>
      </c>
      <c r="D11" s="1" t="s">
        <v>14</v>
      </c>
      <c r="E11" s="76" t="s">
        <v>15</v>
      </c>
      <c r="F11" s="77" t="s">
        <v>16</v>
      </c>
      <c r="G11" s="77" t="s">
        <v>17</v>
      </c>
      <c r="H11" s="77" t="s">
        <v>18</v>
      </c>
      <c r="I11" s="77" t="s">
        <v>19</v>
      </c>
      <c r="J11" s="149" t="s">
        <v>964</v>
      </c>
      <c r="K11" s="149" t="s">
        <v>965</v>
      </c>
    </row>
    <row r="12" spans="1:14" x14ac:dyDescent="0.35">
      <c r="A12" s="38" cm="1">
        <f t="array" ref="A12">_xlfn.IFS(B12&lt;1,"",B12&lt;=2,1,B12&lt;=4,2,B12&lt;=8,3)</f>
        <v>1</v>
      </c>
      <c r="B12" s="1">
        <f>LEN('PLANILHA ORÇAMENTÁRIA'!$E12)</f>
        <v>1</v>
      </c>
      <c r="C12" t="str">
        <f>IF(Tabela6[[#This Row],[QUANT]]="x","x","")</f>
        <v/>
      </c>
      <c r="E12" s="141">
        <v>1</v>
      </c>
      <c r="F12" s="79" t="s">
        <v>20</v>
      </c>
      <c r="G12" s="79"/>
      <c r="H12" s="80" t="str">
        <f>IF(SUM(H13:H34)=0,"x","")</f>
        <v/>
      </c>
      <c r="I12" s="80"/>
      <c r="J12" s="148"/>
      <c r="K12" s="148">
        <f>SUMIF($A$12:$A$34,"2",K12:K34)</f>
        <v>305406.29139999999</v>
      </c>
    </row>
    <row r="13" spans="1:14" x14ac:dyDescent="0.35">
      <c r="A13" s="38" cm="1">
        <f t="array" ref="A13">_xlfn.IFS(B13&lt;1,"",B13&lt;=2,1,B13&lt;=4,2,B13&lt;=8,3)</f>
        <v>2</v>
      </c>
      <c r="B13" s="1">
        <f>LEN('PLANILHA ORÇAMENTÁRIA'!$E13)</f>
        <v>3</v>
      </c>
      <c r="C13" t="str">
        <f>IF(Tabela6[[#This Row],[QUANT]]="x","x","")</f>
        <v/>
      </c>
      <c r="E13" s="142" t="s">
        <v>21</v>
      </c>
      <c r="F13" s="54" t="s">
        <v>22</v>
      </c>
      <c r="G13" s="54"/>
      <c r="H13" s="55" t="str">
        <f>IF(SUM(H14:H19)=0,"x","")</f>
        <v/>
      </c>
      <c r="I13" s="55"/>
      <c r="J13" s="56"/>
      <c r="K13" s="56">
        <f>SUMIF($A$14:$A$19,"3",K14:K19)</f>
        <v>31340.83</v>
      </c>
    </row>
    <row r="14" spans="1:14" x14ac:dyDescent="0.35">
      <c r="A14" s="38" cm="1">
        <f t="array" ref="A14">_xlfn.IFS(B14&lt;1,"",B14&lt;=2,1,B14&lt;=4,2,B14&lt;=8,3)</f>
        <v>3</v>
      </c>
      <c r="B14" s="1">
        <f>LEN('PLANILHA ORÇAMENTÁRIA'!$E14)</f>
        <v>5</v>
      </c>
      <c r="C14" t="str">
        <f>IF(AND(Tabela6[[#This Row],[IND.]]&gt;=5,Tabela6[[#This Row],[QUANT]]=0),"X","")</f>
        <v/>
      </c>
      <c r="E14" s="87" t="s">
        <v>23</v>
      </c>
      <c r="F14" s="60" t="s">
        <v>24</v>
      </c>
      <c r="G14" s="60" t="s">
        <v>25</v>
      </c>
      <c r="H14" s="61">
        <v>1</v>
      </c>
      <c r="I14" s="62" t="s">
        <v>26</v>
      </c>
      <c r="J14" s="57">
        <v>868.73</v>
      </c>
      <c r="K14" s="57">
        <v>868.73</v>
      </c>
    </row>
    <row r="15" spans="1:14" x14ac:dyDescent="0.35">
      <c r="A15" s="38" cm="1">
        <f t="array" ref="A15">_xlfn.IFS(B15&lt;1,"",B15&lt;=2,1,B15&lt;=4,2,B15&lt;=8,3)</f>
        <v>3</v>
      </c>
      <c r="B15" s="1">
        <f>LEN('PLANILHA ORÇAMENTÁRIA'!$E15)</f>
        <v>5</v>
      </c>
      <c r="C15" t="str">
        <f>IF(AND(Tabela6[[#This Row],[IND.]]&gt;=5,Tabela6[[#This Row],[QUANT]]=0),"X","")</f>
        <v/>
      </c>
      <c r="E15" s="87" t="s">
        <v>27</v>
      </c>
      <c r="F15" s="60" t="s">
        <v>28</v>
      </c>
      <c r="G15" s="60" t="s">
        <v>25</v>
      </c>
      <c r="H15" s="61">
        <v>1</v>
      </c>
      <c r="I15" s="62" t="s">
        <v>29</v>
      </c>
      <c r="J15" s="57">
        <v>638.5</v>
      </c>
      <c r="K15" s="57">
        <v>638.5</v>
      </c>
    </row>
    <row r="16" spans="1:14" x14ac:dyDescent="0.35">
      <c r="A16" s="38" cm="1">
        <f t="array" ref="A16">_xlfn.IFS(B16&lt;1,"",B16&lt;=2,1,B16&lt;=4,2,B16&lt;=8,3)</f>
        <v>3</v>
      </c>
      <c r="B16" s="1">
        <f>LEN('PLANILHA ORÇAMENTÁRIA'!$E16)</f>
        <v>5</v>
      </c>
      <c r="C16" t="str">
        <f>IF(AND(Tabela6[[#This Row],[IND.]]&gt;=5,Tabela6[[#This Row],[QUANT]]=0),"X","")</f>
        <v/>
      </c>
      <c r="E16" s="87" t="s">
        <v>30</v>
      </c>
      <c r="F16" s="60" t="s">
        <v>31</v>
      </c>
      <c r="G16" s="60" t="s">
        <v>25</v>
      </c>
      <c r="H16" s="61">
        <v>1</v>
      </c>
      <c r="I16" s="62" t="s">
        <v>29</v>
      </c>
      <c r="J16" s="57">
        <v>17980.400000000001</v>
      </c>
      <c r="K16" s="57">
        <v>17980.400000000001</v>
      </c>
    </row>
    <row r="17" spans="1:11" x14ac:dyDescent="0.35">
      <c r="A17" s="38" cm="1">
        <f t="array" ref="A17">_xlfn.IFS(B17&lt;1,"",B17&lt;=2,1,B17&lt;=4,2,B17&lt;=8,3)</f>
        <v>3</v>
      </c>
      <c r="B17" s="1">
        <f>LEN('PLANILHA ORÇAMENTÁRIA'!$E17)</f>
        <v>5</v>
      </c>
      <c r="C17" t="str">
        <f>IF(AND(Tabela6[[#This Row],[IND.]]&gt;=5,Tabela6[[#This Row],[QUANT]]=0),"X","")</f>
        <v/>
      </c>
      <c r="E17" s="87" t="s">
        <v>32</v>
      </c>
      <c r="F17" s="60" t="s">
        <v>33</v>
      </c>
      <c r="G17" s="60" t="s">
        <v>25</v>
      </c>
      <c r="H17" s="61">
        <v>1</v>
      </c>
      <c r="I17" s="62" t="s">
        <v>29</v>
      </c>
      <c r="J17" s="57">
        <v>6938</v>
      </c>
      <c r="K17" s="57">
        <v>6938</v>
      </c>
    </row>
    <row r="18" spans="1:11" hidden="1" x14ac:dyDescent="0.35">
      <c r="A18" s="38" cm="1">
        <f t="array" ref="A18">_xlfn.IFS(B18&lt;1,"",B18&lt;=2,1,B18&lt;=4,2,B18&lt;=8,3)</f>
        <v>3</v>
      </c>
      <c r="B18" s="1">
        <f>LEN('PLANILHA ORÇAMENTÁRIA'!$E18)</f>
        <v>5</v>
      </c>
      <c r="C18" t="str">
        <f>IF(AND(Tabela6[[#This Row],[IND.]]&gt;=5,Tabela6[[#This Row],[QUANT]]=0),"X","")</f>
        <v>X</v>
      </c>
      <c r="E18" s="58" t="s">
        <v>34</v>
      </c>
      <c r="F18" s="60" t="s">
        <v>35</v>
      </c>
      <c r="G18" s="60" t="s">
        <v>25</v>
      </c>
      <c r="H18" s="61"/>
      <c r="I18" s="62" t="s">
        <v>29</v>
      </c>
      <c r="J18" s="57">
        <v>0</v>
      </c>
      <c r="K18" s="57">
        <v>0</v>
      </c>
    </row>
    <row r="19" spans="1:11" x14ac:dyDescent="0.35">
      <c r="A19" s="38" cm="1">
        <f t="array" ref="A19">_xlfn.IFS(B19&lt;1,"",B19&lt;=2,1,B19&lt;=4,2,B19&lt;=8,3)</f>
        <v>3</v>
      </c>
      <c r="B19" s="1">
        <f>LEN('PLANILHA ORÇAMENTÁRIA'!$E19)</f>
        <v>5</v>
      </c>
      <c r="C19" t="str">
        <f>IF(AND(Tabela6[[#This Row],[IND.]]&gt;=5,Tabela6[[#This Row],[QUANT]]=0),"X","")</f>
        <v/>
      </c>
      <c r="E19" s="87" t="s">
        <v>34</v>
      </c>
      <c r="F19" s="60" t="s">
        <v>36</v>
      </c>
      <c r="G19" s="60" t="s">
        <v>25</v>
      </c>
      <c r="H19" s="61">
        <v>1</v>
      </c>
      <c r="I19" s="62" t="s">
        <v>29</v>
      </c>
      <c r="J19" s="57">
        <v>4915.2</v>
      </c>
      <c r="K19" s="57">
        <v>4915.2</v>
      </c>
    </row>
    <row r="20" spans="1:11" x14ac:dyDescent="0.35">
      <c r="A20" s="38" cm="1">
        <f t="array" ref="A20">_xlfn.IFS(B20&lt;1,"",B20&lt;=2,1,B20&lt;=4,2,B20&lt;=8,3)</f>
        <v>2</v>
      </c>
      <c r="B20" s="1">
        <f>LEN('PLANILHA ORÇAMENTÁRIA'!$E20)</f>
        <v>3</v>
      </c>
      <c r="C20" t="str">
        <f>IF(Tabela6[[#This Row],[QUANT]]="x","x","")</f>
        <v/>
      </c>
      <c r="E20" s="142" t="s">
        <v>37</v>
      </c>
      <c r="F20" s="54" t="s">
        <v>38</v>
      </c>
      <c r="G20" s="54"/>
      <c r="H20" s="55" t="str">
        <f>IF(SUM(H21:H25)=0,"x","")</f>
        <v/>
      </c>
      <c r="I20" s="55"/>
      <c r="J20" s="56"/>
      <c r="K20" s="56">
        <f>SUMIF($A$21:$A$25,"3",K21:K25)</f>
        <v>21417.567599999995</v>
      </c>
    </row>
    <row r="21" spans="1:11" x14ac:dyDescent="0.35">
      <c r="A21" s="38" cm="1">
        <f t="array" ref="A21">_xlfn.IFS(B21&lt;1,"",B21&lt;=2,1,B21&lt;=4,2,B21&lt;=8,3)</f>
        <v>3</v>
      </c>
      <c r="B21" s="1">
        <f>LEN('PLANILHA ORÇAMENTÁRIA'!$E21)</f>
        <v>5</v>
      </c>
      <c r="C21" t="str">
        <f>IF(AND(Tabela6[[#This Row],[IND.]]&gt;=5,Tabela6[[#This Row],[QUANT]]=0),"X","")</f>
        <v/>
      </c>
      <c r="E21" s="87" t="s">
        <v>39</v>
      </c>
      <c r="F21" s="60" t="s">
        <v>40</v>
      </c>
      <c r="G21" s="60" t="s">
        <v>25</v>
      </c>
      <c r="H21" s="61">
        <f>ÁREA_CONSTRUIDA</f>
        <v>1150.02</v>
      </c>
      <c r="I21" s="62" t="s">
        <v>41</v>
      </c>
      <c r="J21" s="57">
        <v>16.38</v>
      </c>
      <c r="K21" s="57">
        <v>18837.327599999997</v>
      </c>
    </row>
    <row r="22" spans="1:11" hidden="1" x14ac:dyDescent="0.35">
      <c r="A22" s="38" cm="1">
        <f t="array" ref="A22">_xlfn.IFS(B22&lt;1,"",B22&lt;=2,1,B22&lt;=4,2,B22&lt;=8,3)</f>
        <v>3</v>
      </c>
      <c r="B22" s="1">
        <f>LEN('PLANILHA ORÇAMENTÁRIA'!$E22)</f>
        <v>5</v>
      </c>
      <c r="C22" t="str">
        <f>IF(AND(Tabela6[[#This Row],[IND.]]&gt;=5,Tabela6[[#This Row],[QUANT]]=0),"X","")</f>
        <v>X</v>
      </c>
      <c r="E22" s="58" t="s">
        <v>42</v>
      </c>
      <c r="F22" s="60" t="s">
        <v>43</v>
      </c>
      <c r="G22" s="60" t="s">
        <v>25</v>
      </c>
      <c r="H22" s="61"/>
      <c r="I22" s="62" t="s">
        <v>41</v>
      </c>
      <c r="J22" s="57">
        <v>0</v>
      </c>
      <c r="K22" s="57">
        <v>0</v>
      </c>
    </row>
    <row r="23" spans="1:11" hidden="1" x14ac:dyDescent="0.35">
      <c r="A23" s="38" cm="1">
        <f t="array" ref="A23">_xlfn.IFS(B23&lt;1,"",B23&lt;=2,1,B23&lt;=4,2,B23&lt;=8,3)</f>
        <v>3</v>
      </c>
      <c r="B23" s="1">
        <f>LEN('PLANILHA ORÇAMENTÁRIA'!$E23)</f>
        <v>5</v>
      </c>
      <c r="C23" t="str">
        <f>IF(AND(Tabela6[[#This Row],[IND.]]&gt;=5,Tabela6[[#This Row],[QUANT]]=0),"X","")</f>
        <v>X</v>
      </c>
      <c r="E23" s="58" t="s">
        <v>44</v>
      </c>
      <c r="F23" s="60" t="s">
        <v>45</v>
      </c>
      <c r="G23" s="60" t="s">
        <v>25</v>
      </c>
      <c r="H23" s="61"/>
      <c r="I23" s="62" t="s">
        <v>41</v>
      </c>
      <c r="J23" s="57">
        <v>0</v>
      </c>
      <c r="K23" s="57">
        <v>0</v>
      </c>
    </row>
    <row r="24" spans="1:11" x14ac:dyDescent="0.35">
      <c r="A24" s="38" cm="1">
        <f t="array" ref="A24">_xlfn.IFS(B24&lt;1,"",B24&lt;=2,1,B24&lt;=4,2,B24&lt;=8,3)</f>
        <v>3</v>
      </c>
      <c r="B24" s="1">
        <f>LEN('PLANILHA ORÇAMENTÁRIA'!$E24)</f>
        <v>5</v>
      </c>
      <c r="C24" t="str">
        <f>IF(AND(Tabela6[[#This Row],[IND.]]&gt;=5,Tabela6[[#This Row],[QUANT]]=0),"X","")</f>
        <v/>
      </c>
      <c r="E24" s="87" t="s">
        <v>46</v>
      </c>
      <c r="F24" s="60" t="s">
        <v>47</v>
      </c>
      <c r="G24" s="60" t="s">
        <v>25</v>
      </c>
      <c r="H24" s="61">
        <v>1</v>
      </c>
      <c r="I24" s="62" t="s">
        <v>29</v>
      </c>
      <c r="J24" s="57">
        <v>1250.07</v>
      </c>
      <c r="K24" s="57">
        <v>1250.07</v>
      </c>
    </row>
    <row r="25" spans="1:11" x14ac:dyDescent="0.35">
      <c r="A25" s="38" cm="1">
        <f t="array" ref="A25">_xlfn.IFS(B25&lt;1,"",B25&lt;=2,1,B25&lt;=4,2,B25&lt;=8,3)</f>
        <v>3</v>
      </c>
      <c r="B25" s="1">
        <f>LEN('PLANILHA ORÇAMENTÁRIA'!$E25)</f>
        <v>5</v>
      </c>
      <c r="C25" t="str">
        <f>IF(AND(Tabela6[[#This Row],[IND.]]&gt;=5,Tabela6[[#This Row],[QUANT]]=0),"X","")</f>
        <v/>
      </c>
      <c r="E25" s="87" t="s">
        <v>48</v>
      </c>
      <c r="F25" s="60" t="s">
        <v>49</v>
      </c>
      <c r="G25" s="60" t="s">
        <v>25</v>
      </c>
      <c r="H25" s="61">
        <v>1</v>
      </c>
      <c r="I25" s="62" t="s">
        <v>29</v>
      </c>
      <c r="J25" s="57">
        <v>1330.17</v>
      </c>
      <c r="K25" s="57">
        <v>1330.17</v>
      </c>
    </row>
    <row r="26" spans="1:11" x14ac:dyDescent="0.35">
      <c r="A26" s="38" cm="1">
        <f t="array" ref="A26">_xlfn.IFS(B26&lt;1,"",B26&lt;=2,1,B26&lt;=4,2,B26&lt;=8,3)</f>
        <v>2</v>
      </c>
      <c r="B26" s="1">
        <f>LEN('PLANILHA ORÇAMENTÁRIA'!$E26)</f>
        <v>3</v>
      </c>
      <c r="C26" t="str">
        <f>IF(Tabela6[[#This Row],[QUANT]]="x","x","")</f>
        <v/>
      </c>
      <c r="E26" s="142" t="s">
        <v>50</v>
      </c>
      <c r="F26" s="54" t="s">
        <v>51</v>
      </c>
      <c r="G26" s="54"/>
      <c r="H26" s="55" t="str">
        <f>IF(SUM(H27:H34)=0,"x","")</f>
        <v/>
      </c>
      <c r="I26" s="55"/>
      <c r="J26" s="56"/>
      <c r="K26" s="56">
        <f>SUMIF($A$27:$A$34,"3",K27:K34)</f>
        <v>252647.89380000002</v>
      </c>
    </row>
    <row r="27" spans="1:11" x14ac:dyDescent="0.35">
      <c r="A27" s="38" cm="1">
        <f t="array" ref="A27">_xlfn.IFS(B27&lt;1,"",B27&lt;=2,1,B27&lt;=4,2,B27&lt;=8,3)</f>
        <v>3</v>
      </c>
      <c r="B27" s="1">
        <f>LEN('PLANILHA ORÇAMENTÁRIA'!$E27)</f>
        <v>5</v>
      </c>
      <c r="C27" t="str">
        <f>IF(AND(Tabela6[[#This Row],[IND.]]&gt;=5,Tabela6[[#This Row],[QUANT]]=0),"X","")</f>
        <v/>
      </c>
      <c r="E27" s="87" t="s">
        <v>52</v>
      </c>
      <c r="F27" s="60" t="s">
        <v>53</v>
      </c>
      <c r="G27" s="60" t="s">
        <v>25</v>
      </c>
      <c r="H27" s="61">
        <f t="shared" ref="H27:H32" si="0">ÁREA_CONSTRUIDA</f>
        <v>1150.02</v>
      </c>
      <c r="I27" s="62" t="s">
        <v>41</v>
      </c>
      <c r="J27" s="57">
        <v>44.38</v>
      </c>
      <c r="K27" s="57">
        <v>51037.887600000002</v>
      </c>
    </row>
    <row r="28" spans="1:11" x14ac:dyDescent="0.35">
      <c r="A28" s="38" cm="1">
        <f t="array" ref="A28">_xlfn.IFS(B28&lt;1,"",B28&lt;=2,1,B28&lt;=4,2,B28&lt;=8,3)</f>
        <v>3</v>
      </c>
      <c r="B28" s="1">
        <f>LEN('PLANILHA ORÇAMENTÁRIA'!$E28)</f>
        <v>5</v>
      </c>
      <c r="C28" t="str">
        <f>IF(AND(Tabela6[[#This Row],[IND.]]&gt;=5,Tabela6[[#This Row],[QUANT]]=0),"X","")</f>
        <v/>
      </c>
      <c r="E28" s="87" t="s">
        <v>54</v>
      </c>
      <c r="F28" s="60" t="s">
        <v>55</v>
      </c>
      <c r="G28" s="60" t="s">
        <v>25</v>
      </c>
      <c r="H28" s="61">
        <f t="shared" si="0"/>
        <v>1150.02</v>
      </c>
      <c r="I28" s="62" t="s">
        <v>41</v>
      </c>
      <c r="J28" s="57">
        <v>23.72</v>
      </c>
      <c r="K28" s="57">
        <v>27278.474399999999</v>
      </c>
    </row>
    <row r="29" spans="1:11" x14ac:dyDescent="0.35">
      <c r="A29" s="38" cm="1">
        <f t="array" ref="A29">_xlfn.IFS(B29&lt;1,"",B29&lt;=2,1,B29&lt;=4,2,B29&lt;=8,3)</f>
        <v>3</v>
      </c>
      <c r="B29" s="1">
        <f>LEN('PLANILHA ORÇAMENTÁRIA'!$E29)</f>
        <v>5</v>
      </c>
      <c r="C29" t="str">
        <f>IF(AND(Tabela6[[#This Row],[IND.]]&gt;=5,Tabela6[[#This Row],[QUANT]]=0),"X","")</f>
        <v/>
      </c>
      <c r="E29" s="87" t="s">
        <v>56</v>
      </c>
      <c r="F29" s="60" t="s">
        <v>57</v>
      </c>
      <c r="G29" s="60" t="s">
        <v>25</v>
      </c>
      <c r="H29" s="61">
        <f t="shared" si="0"/>
        <v>1150.02</v>
      </c>
      <c r="I29" s="62" t="s">
        <v>41</v>
      </c>
      <c r="J29" s="57">
        <v>24.32</v>
      </c>
      <c r="K29" s="57">
        <v>27968.486400000002</v>
      </c>
    </row>
    <row r="30" spans="1:11" x14ac:dyDescent="0.35">
      <c r="A30" s="38" cm="1">
        <f t="array" ref="A30">_xlfn.IFS(B30&lt;1,"",B30&lt;=2,1,B30&lt;=4,2,B30&lt;=8,3)</f>
        <v>3</v>
      </c>
      <c r="B30" s="1">
        <f>LEN('PLANILHA ORÇAMENTÁRIA'!$E30)</f>
        <v>5</v>
      </c>
      <c r="C30" t="str">
        <f>IF(AND(Tabela6[[#This Row],[IND.]]&gt;=5,Tabela6[[#This Row],[QUANT]]=0),"X","")</f>
        <v/>
      </c>
      <c r="E30" s="87" t="s">
        <v>58</v>
      </c>
      <c r="F30" s="60" t="s">
        <v>59</v>
      </c>
      <c r="G30" s="60" t="s">
        <v>25</v>
      </c>
      <c r="H30" s="61">
        <f t="shared" si="0"/>
        <v>1150.02</v>
      </c>
      <c r="I30" s="62" t="s">
        <v>41</v>
      </c>
      <c r="J30" s="57">
        <v>19.649999999999999</v>
      </c>
      <c r="K30" s="57">
        <v>22597.892999999996</v>
      </c>
    </row>
    <row r="31" spans="1:11" x14ac:dyDescent="0.35">
      <c r="A31" s="38" cm="1">
        <f t="array" ref="A31">_xlfn.IFS(B31&lt;1,"",B31&lt;=2,1,B31&lt;=4,2,B31&lt;=8,3)</f>
        <v>3</v>
      </c>
      <c r="B31" s="1">
        <f>LEN('PLANILHA ORÇAMENTÁRIA'!$E31)</f>
        <v>5</v>
      </c>
      <c r="C31" t="str">
        <f>IF(AND(Tabela6[[#This Row],[IND.]]&gt;=5,Tabela6[[#This Row],[QUANT]]=0),"X","")</f>
        <v/>
      </c>
      <c r="E31" s="87" t="s">
        <v>60</v>
      </c>
      <c r="F31" s="60" t="s">
        <v>61</v>
      </c>
      <c r="G31" s="60" t="s">
        <v>25</v>
      </c>
      <c r="H31" s="61">
        <f t="shared" si="0"/>
        <v>1150.02</v>
      </c>
      <c r="I31" s="62" t="s">
        <v>41</v>
      </c>
      <c r="J31" s="57">
        <v>28.46</v>
      </c>
      <c r="K31" s="57">
        <v>32729.569200000002</v>
      </c>
    </row>
    <row r="32" spans="1:11" x14ac:dyDescent="0.35">
      <c r="A32" s="38" cm="1">
        <f t="array" ref="A32">_xlfn.IFS(B32&lt;1,"",B32&lt;=2,1,B32&lt;=4,2,B32&lt;=8,3)</f>
        <v>3</v>
      </c>
      <c r="B32" s="1">
        <f>LEN('PLANILHA ORÇAMENTÁRIA'!$E32)</f>
        <v>5</v>
      </c>
      <c r="C32" t="str">
        <f>IF(AND(Tabela6[[#This Row],[IND.]]&gt;=5,Tabela6[[#This Row],[QUANT]]=0),"X","")</f>
        <v/>
      </c>
      <c r="E32" s="87" t="s">
        <v>62</v>
      </c>
      <c r="F32" s="60" t="s">
        <v>63</v>
      </c>
      <c r="G32" s="60" t="s">
        <v>25</v>
      </c>
      <c r="H32" s="61">
        <f t="shared" si="0"/>
        <v>1150.02</v>
      </c>
      <c r="I32" s="62" t="s">
        <v>41</v>
      </c>
      <c r="J32" s="57">
        <v>19.03</v>
      </c>
      <c r="K32" s="57">
        <v>21884.8806</v>
      </c>
    </row>
    <row r="33" spans="1:11" x14ac:dyDescent="0.35">
      <c r="A33" s="38" cm="1">
        <f t="array" ref="A33">_xlfn.IFS(B33&lt;1,"",B33&lt;=2,1,B33&lt;=4,2,B33&lt;=8,3)</f>
        <v>3</v>
      </c>
      <c r="B33" s="1">
        <f>LEN('PLANILHA ORÇAMENTÁRIA'!$E33)</f>
        <v>5</v>
      </c>
      <c r="C33" t="str">
        <f>IF(AND(Tabela6[[#This Row],[IND.]]&gt;=5,Tabela6[[#This Row],[QUANT]]=0),"X","")</f>
        <v/>
      </c>
      <c r="E33" s="87" t="s">
        <v>64</v>
      </c>
      <c r="F33" s="60" t="s">
        <v>65</v>
      </c>
      <c r="G33" s="60" t="s">
        <v>25</v>
      </c>
      <c r="H33" s="61">
        <f>ÁREA_CONSTRUIDA</f>
        <v>1150.02</v>
      </c>
      <c r="I33" s="62" t="s">
        <v>41</v>
      </c>
      <c r="J33" s="57">
        <v>26.23</v>
      </c>
      <c r="K33" s="57">
        <v>30165.024600000001</v>
      </c>
    </row>
    <row r="34" spans="1:11" ht="15" thickBot="1" x14ac:dyDescent="0.4">
      <c r="A34" s="38" cm="1">
        <f t="array" ref="A34">_xlfn.IFS(B34&lt;1,"",B34&lt;=2,1,B34&lt;=4,2,B34&lt;=8,3)</f>
        <v>3</v>
      </c>
      <c r="B34" s="1">
        <f>LEN('PLANILHA ORÇAMENTÁRIA'!$E34)</f>
        <v>5</v>
      </c>
      <c r="C34" t="str">
        <f>IF(AND(Tabela6[[#This Row],[IND.]]&gt;=5,Tabela6[[#This Row],[QUANT]]=0),"X","")</f>
        <v/>
      </c>
      <c r="E34" s="87" t="s">
        <v>66</v>
      </c>
      <c r="F34" s="60" t="s">
        <v>67</v>
      </c>
      <c r="G34" s="60" t="s">
        <v>25</v>
      </c>
      <c r="H34" s="61">
        <f>ÁREA_CONSTRUIDA</f>
        <v>1150.02</v>
      </c>
      <c r="I34" s="62" t="s">
        <v>41</v>
      </c>
      <c r="J34" s="57">
        <v>33.9</v>
      </c>
      <c r="K34" s="57">
        <v>38985.678</v>
      </c>
    </row>
    <row r="35" spans="1:11" x14ac:dyDescent="0.35">
      <c r="A35" s="38" cm="1">
        <f t="array" ref="A35">_xlfn.IFS(B35&lt;1,"",B35&lt;=2,1,B35&lt;=4,2,B35&lt;=8,3)</f>
        <v>1</v>
      </c>
      <c r="B35" s="1">
        <f>LEN('PLANILHA ORÇAMENTÁRIA'!$E35)</f>
        <v>1</v>
      </c>
      <c r="C35" t="str">
        <f>IF(Tabela6[[#This Row],[QUANT]]="x","x","")</f>
        <v/>
      </c>
      <c r="E35" s="141">
        <v>2</v>
      </c>
      <c r="F35" s="79" t="s">
        <v>68</v>
      </c>
      <c r="G35" s="79"/>
      <c r="H35" s="80" t="str">
        <f>IF(SUM(H36:H56)=0,"x","")</f>
        <v/>
      </c>
      <c r="I35" s="80"/>
      <c r="J35" s="81"/>
      <c r="K35" s="81">
        <f>SUMIF($A$35:$A$56,"2",K35:K56)</f>
        <v>194730.8352</v>
      </c>
    </row>
    <row r="36" spans="1:11" x14ac:dyDescent="0.35">
      <c r="A36" s="38" cm="1">
        <f t="array" ref="A36">_xlfn.IFS(B36&lt;1,"",B36&lt;=2,1,B36&lt;=4,2,B36&lt;=8,3)</f>
        <v>2</v>
      </c>
      <c r="B36" s="1">
        <f>LEN('PLANILHA ORÇAMENTÁRIA'!$E36)</f>
        <v>3</v>
      </c>
      <c r="C36" t="str">
        <f>IF(Tabela6[[#This Row],[QUANT]]="x","x","")</f>
        <v/>
      </c>
      <c r="E36" s="142" t="s">
        <v>69</v>
      </c>
      <c r="F36" s="54" t="s">
        <v>70</v>
      </c>
      <c r="G36" s="54"/>
      <c r="H36" s="55" t="str">
        <f>IF(SUM(H37:H39)=0,"x","")</f>
        <v/>
      </c>
      <c r="I36" s="55"/>
      <c r="J36" s="56"/>
      <c r="K36" s="56">
        <f>SUMIF($A$37:$A$39,"3",K37:K39)</f>
        <v>73962.399999999994</v>
      </c>
    </row>
    <row r="37" spans="1:11" x14ac:dyDescent="0.35">
      <c r="A37" s="38" cm="1">
        <f t="array" ref="A37">_xlfn.IFS(B37&lt;1,"",B37&lt;=2,1,B37&lt;=4,2,B37&lt;=8,3)</f>
        <v>3</v>
      </c>
      <c r="B37" s="1">
        <f>LEN('PLANILHA ORÇAMENTÁRIA'!$E37)</f>
        <v>5</v>
      </c>
      <c r="C37" t="str">
        <f>IF(AND(Tabela6[[#This Row],[IND.]]&gt;=5,Tabela6[[#This Row],[QUANT]]=0),"X","")</f>
        <v/>
      </c>
      <c r="E37" s="87" t="s">
        <v>71</v>
      </c>
      <c r="F37" s="60" t="s">
        <v>72</v>
      </c>
      <c r="G37" s="60" t="s">
        <v>25</v>
      </c>
      <c r="H37" s="61">
        <f>ROUNDUP(((PRAZO_DE_OBRA-30)/7)*44,0)</f>
        <v>472</v>
      </c>
      <c r="I37" s="62" t="s">
        <v>73</v>
      </c>
      <c r="J37" s="57">
        <v>39.64</v>
      </c>
      <c r="K37" s="57">
        <v>18710.080000000002</v>
      </c>
    </row>
    <row r="38" spans="1:11" x14ac:dyDescent="0.35">
      <c r="A38" s="38" cm="1">
        <f t="array" ref="A38">_xlfn.IFS(B38&lt;1,"",B38&lt;=2,1,B38&lt;=4,2,B38&lt;=8,3)</f>
        <v>3</v>
      </c>
      <c r="B38" s="1">
        <f>LEN('PLANILHA ORÇAMENTÁRIA'!$E38)</f>
        <v>5</v>
      </c>
      <c r="C38" t="str">
        <f>IF(AND(Tabela6[[#This Row],[IND.]]&gt;=5,Tabela6[[#This Row],[QUANT]]=0),"X","")</f>
        <v/>
      </c>
      <c r="E38" s="87" t="s">
        <v>74</v>
      </c>
      <c r="F38" s="60" t="s">
        <v>75</v>
      </c>
      <c r="G38" s="60" t="s">
        <v>25</v>
      </c>
      <c r="H38" s="61">
        <f>ROUNDUP(((PRAZO_DE_OBRA-30)/7)*44,0)</f>
        <v>472</v>
      </c>
      <c r="I38" s="62" t="s">
        <v>73</v>
      </c>
      <c r="J38" s="57">
        <v>86.25</v>
      </c>
      <c r="K38" s="57">
        <v>40710</v>
      </c>
    </row>
    <row r="39" spans="1:11" x14ac:dyDescent="0.35">
      <c r="A39" s="38" cm="1">
        <f t="array" ref="A39">_xlfn.IFS(B39&lt;1,"",B39&lt;=2,1,B39&lt;=4,2,B39&lt;=8,3)</f>
        <v>3</v>
      </c>
      <c r="B39" s="1">
        <f>LEN('PLANILHA ORÇAMENTÁRIA'!$E39)</f>
        <v>5</v>
      </c>
      <c r="C39" t="str">
        <f>IF(AND(Tabela6[[#This Row],[IND.]]&gt;=5,Tabela6[[#This Row],[QUANT]]=0),"X","")</f>
        <v/>
      </c>
      <c r="E39" s="87" t="s">
        <v>76</v>
      </c>
      <c r="F39" s="60" t="s">
        <v>77</v>
      </c>
      <c r="G39" s="60" t="s">
        <v>25</v>
      </c>
      <c r="H39" s="61">
        <f>ROUNDUP(((PRAZO_DE_OBRA-30)/7)*44,0)</f>
        <v>472</v>
      </c>
      <c r="I39" s="62" t="s">
        <v>73</v>
      </c>
      <c r="J39" s="57">
        <v>30.81</v>
      </c>
      <c r="K39" s="57">
        <v>14542.32</v>
      </c>
    </row>
    <row r="40" spans="1:11" x14ac:dyDescent="0.35">
      <c r="A40" s="38" cm="1">
        <f t="array" ref="A40">_xlfn.IFS(B40&lt;1,"",B40&lt;=2,1,B40&lt;=4,2,B40&lt;=8,3)</f>
        <v>2</v>
      </c>
      <c r="B40" s="1">
        <f>LEN('PLANILHA ORÇAMENTÁRIA'!$E40)</f>
        <v>3</v>
      </c>
      <c r="C40" t="str">
        <f>IF(Tabela6[[#This Row],[QUANT]]="x","x","")</f>
        <v/>
      </c>
      <c r="E40" s="142" t="s">
        <v>78</v>
      </c>
      <c r="F40" s="54" t="s">
        <v>79</v>
      </c>
      <c r="G40" s="54"/>
      <c r="H40" s="55" t="str">
        <f>IF(SUM(H41:H43)=0,"x","")</f>
        <v/>
      </c>
      <c r="I40" s="55"/>
      <c r="J40" s="56"/>
      <c r="K40" s="56">
        <f>SUMIF($A$41:$A$43,"3",K41:K43)</f>
        <v>83700.645399999994</v>
      </c>
    </row>
    <row r="41" spans="1:11" x14ac:dyDescent="0.35">
      <c r="A41" s="38" cm="1">
        <f t="array" ref="A41">_xlfn.IFS(B41&lt;1,"",B41&lt;=2,1,B41&lt;=4,2,B41&lt;=8,3)</f>
        <v>3</v>
      </c>
      <c r="B41" s="1">
        <f>LEN('PLANILHA ORÇAMENTÁRIA'!$E41)</f>
        <v>5</v>
      </c>
      <c r="C41" t="str">
        <f>IF(AND(Tabela6[[#This Row],[IND.]]&gt;=5,Tabela6[[#This Row],[QUANT]]=0),"X","")</f>
        <v/>
      </c>
      <c r="E41" s="87" t="s">
        <v>80</v>
      </c>
      <c r="F41" s="60" t="s">
        <v>81</v>
      </c>
      <c r="G41" s="60" t="s">
        <v>25</v>
      </c>
      <c r="H41" s="61">
        <v>1</v>
      </c>
      <c r="I41" s="62" t="s">
        <v>29</v>
      </c>
      <c r="J41" s="57">
        <v>4105.3999999999996</v>
      </c>
      <c r="K41" s="57">
        <v>4105.3999999999996</v>
      </c>
    </row>
    <row r="42" spans="1:11" x14ac:dyDescent="0.35">
      <c r="A42" s="38" cm="1">
        <f t="array" ref="A42">_xlfn.IFS(B42&lt;1,"",B42&lt;=2,1,B42&lt;=4,2,B42&lt;=8,3)</f>
        <v>3</v>
      </c>
      <c r="B42" s="1">
        <f>LEN('PLANILHA ORÇAMENTÁRIA'!$E42)</f>
        <v>5</v>
      </c>
      <c r="C42" t="str">
        <f>IF(AND(Tabela6[[#This Row],[IND.]]&gt;=5,Tabela6[[#This Row],[QUANT]]=0),"X","")</f>
        <v/>
      </c>
      <c r="E42" s="87" t="s">
        <v>82</v>
      </c>
      <c r="F42" s="60" t="s">
        <v>83</v>
      </c>
      <c r="G42" s="60" t="s">
        <v>25</v>
      </c>
      <c r="H42" s="61">
        <v>1</v>
      </c>
      <c r="I42" s="62" t="s">
        <v>29</v>
      </c>
      <c r="J42" s="57">
        <v>2233.4</v>
      </c>
      <c r="K42" s="57">
        <v>2233.4</v>
      </c>
    </row>
    <row r="43" spans="1:11" x14ac:dyDescent="0.35">
      <c r="A43" s="38" cm="1">
        <f t="array" ref="A43">_xlfn.IFS(B43&lt;1,"",B43&lt;=2,1,B43&lt;=4,2,B43&lt;=8,3)</f>
        <v>3</v>
      </c>
      <c r="B43" s="1">
        <f>LEN('PLANILHA ORÇAMENTÁRIA'!$E43)</f>
        <v>5</v>
      </c>
      <c r="C43" t="str">
        <f>IF(AND(Tabela6[[#This Row],[IND.]]&gt;=5,Tabela6[[#This Row],[QUANT]]=0),"X","")</f>
        <v/>
      </c>
      <c r="E43" s="87" t="s">
        <v>84</v>
      </c>
      <c r="F43" s="60" t="s">
        <v>85</v>
      </c>
      <c r="G43" s="60" t="s">
        <v>25</v>
      </c>
      <c r="H43" s="61">
        <f>ÁREA_CONSTRUIDA</f>
        <v>1150.02</v>
      </c>
      <c r="I43" s="62" t="s">
        <v>41</v>
      </c>
      <c r="J43" s="57">
        <v>67.27</v>
      </c>
      <c r="K43" s="57">
        <v>77361.845399999991</v>
      </c>
    </row>
    <row r="44" spans="1:11" x14ac:dyDescent="0.35">
      <c r="A44" s="38" cm="1">
        <f t="array" ref="A44">_xlfn.IFS(B44&lt;1,"",B44&lt;=2,1,B44&lt;=4,2,B44&lt;=8,3)</f>
        <v>2</v>
      </c>
      <c r="B44" s="1">
        <f>LEN('PLANILHA ORÇAMENTÁRIA'!$E44)</f>
        <v>3</v>
      </c>
      <c r="C44" t="str">
        <f>IF(Tabela6[[#This Row],[QUANT]]="x","x","")</f>
        <v/>
      </c>
      <c r="E44" s="142" t="s">
        <v>86</v>
      </c>
      <c r="F44" s="54" t="s">
        <v>87</v>
      </c>
      <c r="G44" s="54"/>
      <c r="H44" s="55" t="str">
        <f>IF(SUM(H45:H46)=0,"x","")</f>
        <v/>
      </c>
      <c r="I44" s="55"/>
      <c r="J44" s="56"/>
      <c r="K44" s="56">
        <f>SUMIF($A$45:$A$46,"3",K45:K46)</f>
        <v>6990.24</v>
      </c>
    </row>
    <row r="45" spans="1:11" x14ac:dyDescent="0.35">
      <c r="A45" s="38" cm="1">
        <f t="array" ref="A45">_xlfn.IFS(B45&lt;1,"",B45&lt;=2,1,B45&lt;=4,2,B45&lt;=8,3)</f>
        <v>3</v>
      </c>
      <c r="B45" s="1">
        <f>LEN('PLANILHA ORÇAMENTÁRIA'!$E45)</f>
        <v>5</v>
      </c>
      <c r="C45" t="str">
        <f>IF(AND(Tabela6[[#This Row],[IND.]]&gt;=5,Tabela6[[#This Row],[QUANT]]=0),"X","")</f>
        <v/>
      </c>
      <c r="E45" s="87" t="s">
        <v>88</v>
      </c>
      <c r="F45" s="60" t="s">
        <v>89</v>
      </c>
      <c r="G45" s="60" t="s">
        <v>25</v>
      </c>
      <c r="H45" s="61">
        <v>1</v>
      </c>
      <c r="I45" s="62" t="s">
        <v>29</v>
      </c>
      <c r="J45" s="57">
        <v>4371.7700000000004</v>
      </c>
      <c r="K45" s="57">
        <v>4371.7700000000004</v>
      </c>
    </row>
    <row r="46" spans="1:11" x14ac:dyDescent="0.35">
      <c r="A46" s="38" cm="1">
        <f t="array" ref="A46">_xlfn.IFS(B46&lt;1,"",B46&lt;=2,1,B46&lt;=4,2,B46&lt;=8,3)</f>
        <v>3</v>
      </c>
      <c r="B46" s="1">
        <f>LEN('PLANILHA ORÇAMENTÁRIA'!$E46)</f>
        <v>5</v>
      </c>
      <c r="C46" t="str">
        <f>IF(AND(Tabela6[[#This Row],[IND.]]&gt;=5,Tabela6[[#This Row],[QUANT]]=0),"X","")</f>
        <v/>
      </c>
      <c r="E46" s="87" t="s">
        <v>90</v>
      </c>
      <c r="F46" s="60" t="s">
        <v>87</v>
      </c>
      <c r="G46" s="60" t="s">
        <v>25</v>
      </c>
      <c r="H46" s="61">
        <v>1</v>
      </c>
      <c r="I46" s="62" t="s">
        <v>29</v>
      </c>
      <c r="J46" s="57">
        <v>2618.4699999999998</v>
      </c>
      <c r="K46" s="57">
        <v>2618.4699999999998</v>
      </c>
    </row>
    <row r="47" spans="1:11" x14ac:dyDescent="0.35">
      <c r="A47" s="38" cm="1">
        <f t="array" ref="A47">_xlfn.IFS(B47&lt;1,"",B47&lt;=2,1,B47&lt;=4,2,B47&lt;=8,3)</f>
        <v>2</v>
      </c>
      <c r="B47" s="1">
        <f>LEN('PLANILHA ORÇAMENTÁRIA'!$E47)</f>
        <v>3</v>
      </c>
      <c r="C47" t="str">
        <f>IF(Tabela6[[#This Row],[QUANT]]="x","x","")</f>
        <v/>
      </c>
      <c r="E47" s="142" t="s">
        <v>91</v>
      </c>
      <c r="F47" s="54" t="s">
        <v>92</v>
      </c>
      <c r="G47" s="54"/>
      <c r="H47" s="55" t="str">
        <f>IF(SUM(H48:H52)=0,"x","")</f>
        <v/>
      </c>
      <c r="I47" s="55"/>
      <c r="J47" s="56"/>
      <c r="K47" s="56">
        <f>SUMIF($A$48:$A$52,"3",K48:K52)</f>
        <v>27577.505399999998</v>
      </c>
    </row>
    <row r="48" spans="1:11" x14ac:dyDescent="0.35">
      <c r="A48" s="38" cm="1">
        <f t="array" ref="A48">_xlfn.IFS(B48&lt;1,"",B48&lt;=2,1,B48&lt;=4,2,B48&lt;=8,3)</f>
        <v>3</v>
      </c>
      <c r="B48" s="1">
        <f>LEN('PLANILHA ORÇAMENTÁRIA'!$E48)</f>
        <v>5</v>
      </c>
      <c r="C48" t="str">
        <f>IF(AND(Tabela6[[#This Row],[IND.]]&gt;=5,Tabela6[[#This Row],[QUANT]]=0),"X","")</f>
        <v/>
      </c>
      <c r="E48" s="87" t="s">
        <v>93</v>
      </c>
      <c r="F48" s="60" t="s">
        <v>94</v>
      </c>
      <c r="G48" s="60" t="s">
        <v>25</v>
      </c>
      <c r="H48" s="61">
        <f>$H$49*5</f>
        <v>75</v>
      </c>
      <c r="I48" s="62" t="s">
        <v>95</v>
      </c>
      <c r="J48" s="57">
        <v>42.57</v>
      </c>
      <c r="K48" s="57">
        <v>3192.75</v>
      </c>
    </row>
    <row r="49" spans="1:11" x14ac:dyDescent="0.35">
      <c r="A49" s="38" cm="1">
        <f t="array" ref="A49">_xlfn.IFS(B49&lt;1,"",B49&lt;=2,1,B49&lt;=4,2,B49&lt;=8,3)</f>
        <v>3</v>
      </c>
      <c r="B49" s="1">
        <f>LEN('PLANILHA ORÇAMENTÁRIA'!$E49)</f>
        <v>5</v>
      </c>
      <c r="C49" t="str">
        <f>IF(AND(Tabela6[[#This Row],[IND.]]&gt;=5,Tabela6[[#This Row],[QUANT]]=0),"X","")</f>
        <v/>
      </c>
      <c r="E49" s="87" t="s">
        <v>96</v>
      </c>
      <c r="F49" s="60" t="s">
        <v>97</v>
      </c>
      <c r="G49" s="60" t="s">
        <v>25</v>
      </c>
      <c r="H49" s="61">
        <f>ROUNDUP(PRAZO_DE_OBRA/7,0)</f>
        <v>15</v>
      </c>
      <c r="I49" s="62" t="s">
        <v>26</v>
      </c>
      <c r="J49" s="57">
        <v>432.67</v>
      </c>
      <c r="K49" s="57">
        <v>6490.05</v>
      </c>
    </row>
    <row r="50" spans="1:11" x14ac:dyDescent="0.35">
      <c r="A50" s="38" cm="1">
        <f t="array" ref="A50">_xlfn.IFS(B50&lt;1,"",B50&lt;=2,1,B50&lt;=4,2,B50&lt;=8,3)</f>
        <v>3</v>
      </c>
      <c r="B50" s="1">
        <f>LEN('PLANILHA ORÇAMENTÁRIA'!$E50)</f>
        <v>5</v>
      </c>
      <c r="C50" t="str">
        <f>IF(AND(Tabela6[[#This Row],[IND.]]&gt;=5,Tabela6[[#This Row],[QUANT]]=0),"X","")</f>
        <v/>
      </c>
      <c r="E50" s="87" t="s">
        <v>98</v>
      </c>
      <c r="F50" s="60" t="s">
        <v>99</v>
      </c>
      <c r="G50" s="60" t="s">
        <v>25</v>
      </c>
      <c r="H50" s="61">
        <f>$H$49*5</f>
        <v>75</v>
      </c>
      <c r="I50" s="62" t="s">
        <v>95</v>
      </c>
      <c r="J50" s="57">
        <v>40.56</v>
      </c>
      <c r="K50" s="57">
        <v>3042</v>
      </c>
    </row>
    <row r="51" spans="1:11" x14ac:dyDescent="0.35">
      <c r="A51" s="38" cm="1">
        <f t="array" ref="A51">_xlfn.IFS(B51&lt;1,"",B51&lt;=2,1,B51&lt;=4,2,B51&lt;=8,3)</f>
        <v>3</v>
      </c>
      <c r="B51" s="1">
        <f>LEN('PLANILHA ORÇAMENTÁRIA'!$E51)</f>
        <v>5</v>
      </c>
      <c r="C51" t="str">
        <f>IF(AND(Tabela6[[#This Row],[IND.]]&gt;=5,Tabela6[[#This Row],[QUANT]]=0),"X","")</f>
        <v/>
      </c>
      <c r="E51" s="87" t="s">
        <v>100</v>
      </c>
      <c r="F51" s="60" t="s">
        <v>101</v>
      </c>
      <c r="G51" s="60" t="s">
        <v>25</v>
      </c>
      <c r="H51" s="61">
        <f>$H$49*5</f>
        <v>75</v>
      </c>
      <c r="I51" s="62" t="s">
        <v>95</v>
      </c>
      <c r="J51" s="57">
        <v>40.56</v>
      </c>
      <c r="K51" s="57">
        <v>3042</v>
      </c>
    </row>
    <row r="52" spans="1:11" x14ac:dyDescent="0.35">
      <c r="A52" s="38" cm="1">
        <f t="array" ref="A52">_xlfn.IFS(B52&lt;1,"",B52&lt;=2,1,B52&lt;=4,2,B52&lt;=8,3)</f>
        <v>3</v>
      </c>
      <c r="B52" s="1">
        <f>LEN('PLANILHA ORÇAMENTÁRIA'!$E52)</f>
        <v>5</v>
      </c>
      <c r="C52" t="str">
        <f>IF(AND(Tabela6[[#This Row],[IND.]]&gt;=5,Tabela6[[#This Row],[QUANT]]=0),"X","")</f>
        <v/>
      </c>
      <c r="E52" s="87" t="s">
        <v>100</v>
      </c>
      <c r="F52" s="60" t="s">
        <v>102</v>
      </c>
      <c r="G52" s="60" t="s">
        <v>25</v>
      </c>
      <c r="H52" s="61">
        <f>ÁREA_CONSTRUIDA</f>
        <v>1150.02</v>
      </c>
      <c r="I52" s="62" t="s">
        <v>41</v>
      </c>
      <c r="J52" s="57">
        <v>10.27</v>
      </c>
      <c r="K52" s="57">
        <v>11810.705399999999</v>
      </c>
    </row>
    <row r="53" spans="1:11" x14ac:dyDescent="0.35">
      <c r="A53" s="38" cm="1">
        <f t="array" ref="A53">_xlfn.IFS(B53&lt;1,"",B53&lt;=2,1,B53&lt;=4,2,B53&lt;=8,3)</f>
        <v>2</v>
      </c>
      <c r="B53" s="1">
        <f>LEN('PLANILHA ORÇAMENTÁRIA'!$E53)</f>
        <v>3</v>
      </c>
      <c r="C53" t="str">
        <f>IF(Tabela6[[#This Row],[QUANT]]="x","x","")</f>
        <v/>
      </c>
      <c r="E53" s="142" t="s">
        <v>103</v>
      </c>
      <c r="F53" s="54" t="s">
        <v>104</v>
      </c>
      <c r="G53" s="54"/>
      <c r="H53" s="55" t="str">
        <f>IF(SUM(H54:H56)=0,"x","")</f>
        <v/>
      </c>
      <c r="I53" s="55"/>
      <c r="J53" s="56"/>
      <c r="K53" s="56">
        <f>SUMIF($A$54:$A$56,"3",K54:K56)</f>
        <v>2500.0443999999998</v>
      </c>
    </row>
    <row r="54" spans="1:11" hidden="1" x14ac:dyDescent="0.35">
      <c r="A54" s="38" cm="1">
        <f t="array" ref="A54">_xlfn.IFS(B54&lt;1,"",B54&lt;=2,1,B54&lt;=4,2,B54&lt;=8,3)</f>
        <v>3</v>
      </c>
      <c r="B54" s="1">
        <f>LEN('PLANILHA ORÇAMENTÁRIA'!$E54)</f>
        <v>5</v>
      </c>
      <c r="C54" t="str">
        <f>IF(AND(Tabela6[[#This Row],[IND.]]&gt;=5,Tabela6[[#This Row],[QUANT]]=0),"X","")</f>
        <v>X</v>
      </c>
      <c r="E54" s="58" t="s">
        <v>105</v>
      </c>
      <c r="F54" s="60" t="s">
        <v>106</v>
      </c>
      <c r="G54" s="60" t="s">
        <v>25</v>
      </c>
      <c r="H54" s="61"/>
      <c r="I54" s="62" t="s">
        <v>41</v>
      </c>
      <c r="J54" s="57">
        <v>0</v>
      </c>
      <c r="K54" s="57">
        <v>0</v>
      </c>
    </row>
    <row r="55" spans="1:11" ht="15" thickBot="1" x14ac:dyDescent="0.4">
      <c r="A55" s="38" cm="1">
        <f t="array" ref="A55">_xlfn.IFS(B55&lt;1,"",B55&lt;=2,1,B55&lt;=4,2,B55&lt;=8,3)</f>
        <v>3</v>
      </c>
      <c r="B55" s="1">
        <f>LEN('PLANILHA ORÇAMENTÁRIA'!$E55)</f>
        <v>5</v>
      </c>
      <c r="C55" t="str">
        <f>IF(AND(Tabela6[[#This Row],[IND.]]&gt;=5,Tabela6[[#This Row],[QUANT]]=0),"X","")</f>
        <v/>
      </c>
      <c r="E55" s="87" t="s">
        <v>107</v>
      </c>
      <c r="F55" s="60" t="s">
        <v>108</v>
      </c>
      <c r="G55" s="60" t="s">
        <v>25</v>
      </c>
      <c r="H55" s="61">
        <v>197.32</v>
      </c>
      <c r="I55" s="62" t="s">
        <v>41</v>
      </c>
      <c r="J55" s="57">
        <v>12.67</v>
      </c>
      <c r="K55" s="57">
        <v>2500.0443999999998</v>
      </c>
    </row>
    <row r="56" spans="1:11" ht="15" hidden="1" thickBot="1" x14ac:dyDescent="0.4">
      <c r="A56" s="38" cm="1">
        <f t="array" ref="A56">_xlfn.IFS(B56&lt;1,"",B56&lt;=2,1,B56&lt;=4,2,B56&lt;=8,3)</f>
        <v>3</v>
      </c>
      <c r="B56" s="1">
        <f>LEN('PLANILHA ORÇAMENTÁRIA'!$E56)</f>
        <v>5</v>
      </c>
      <c r="C56" t="str">
        <f>IF(AND(Tabela6[[#This Row],[IND.]]&gt;=5,Tabela6[[#This Row],[QUANT]]=0),"X","")</f>
        <v>X</v>
      </c>
      <c r="E56" s="58" t="s">
        <v>109</v>
      </c>
      <c r="F56" s="60" t="s">
        <v>110</v>
      </c>
      <c r="G56" s="60" t="s">
        <v>25</v>
      </c>
      <c r="H56" s="61"/>
      <c r="I56" s="62" t="s">
        <v>111</v>
      </c>
      <c r="J56" s="57">
        <v>0</v>
      </c>
      <c r="K56" s="57">
        <v>0</v>
      </c>
    </row>
    <row r="57" spans="1:11" x14ac:dyDescent="0.35">
      <c r="A57" s="38" cm="1">
        <f t="array" ref="A57">_xlfn.IFS(B57&lt;1,"",B57&lt;=2,1,B57&lt;=4,2,B57&lt;=8,3)</f>
        <v>1</v>
      </c>
      <c r="B57" s="1">
        <f>LEN('PLANILHA ORÇAMENTÁRIA'!$E57)</f>
        <v>1</v>
      </c>
      <c r="C57" t="str">
        <f>IF(Tabela6[[#This Row],[QUANT]]="x","x","")</f>
        <v/>
      </c>
      <c r="E57" s="141">
        <v>3</v>
      </c>
      <c r="F57" s="79" t="s">
        <v>112</v>
      </c>
      <c r="G57" s="79"/>
      <c r="H57" s="80" t="str">
        <f>IF(SUM(H58:H111)=0,"x","")</f>
        <v/>
      </c>
      <c r="I57" s="80"/>
      <c r="J57" s="81"/>
      <c r="K57" s="81">
        <f>SUMIF($A$58:$A$111,"2",K58:K111)</f>
        <v>89253.87</v>
      </c>
    </row>
    <row r="58" spans="1:11" x14ac:dyDescent="0.35">
      <c r="A58" s="38" cm="1">
        <f t="array" ref="A58">_xlfn.IFS(B58&lt;1,"",B58&lt;=2,1,B58&lt;=4,2,B58&lt;=8,3)</f>
        <v>2</v>
      </c>
      <c r="B58" s="1">
        <f>LEN('PLANILHA ORÇAMENTÁRIA'!$E58)</f>
        <v>3</v>
      </c>
      <c r="C58" t="str">
        <f>IF(Tabela6[[#This Row],[QUANT]]="x","x","")</f>
        <v/>
      </c>
      <c r="E58" s="142" t="s">
        <v>113</v>
      </c>
      <c r="F58" s="54" t="s">
        <v>114</v>
      </c>
      <c r="G58" s="54"/>
      <c r="H58" s="55" t="str">
        <f>IF(SUM(H59:H77)=0,"x","")</f>
        <v/>
      </c>
      <c r="I58" s="55"/>
      <c r="J58" s="56"/>
      <c r="K58" s="56">
        <f>SUMIF($A$59:$A$77,"3",K59:K77)</f>
        <v>42003.193199999994</v>
      </c>
    </row>
    <row r="59" spans="1:11" hidden="1" x14ac:dyDescent="0.35">
      <c r="A59" s="38" cm="1">
        <f t="array" ref="A59">_xlfn.IFS(B59&lt;1,"",B59&lt;=2,1,B59&lt;=4,2,B59&lt;=8,3)</f>
        <v>3</v>
      </c>
      <c r="B59" s="1">
        <f>LEN('PLANILHA ORÇAMENTÁRIA'!$E59)</f>
        <v>5</v>
      </c>
      <c r="C59" t="str">
        <f>IF(AND(Tabela6[[#This Row],[IND.]]&gt;=5,Tabela6[[#This Row],[QUANT]]=0),"X","")</f>
        <v>X</v>
      </c>
      <c r="E59" s="58" t="s">
        <v>115</v>
      </c>
      <c r="F59" s="60" t="s">
        <v>116</v>
      </c>
      <c r="G59" s="60" t="s">
        <v>25</v>
      </c>
      <c r="H59" s="61"/>
      <c r="I59" s="62" t="s">
        <v>41</v>
      </c>
      <c r="J59" s="57">
        <v>0</v>
      </c>
      <c r="K59" s="57">
        <v>0</v>
      </c>
    </row>
    <row r="60" spans="1:11" x14ac:dyDescent="0.35">
      <c r="A60" s="38" cm="1">
        <f t="array" ref="A60">_xlfn.IFS(B60&lt;1,"",B60&lt;=2,1,B60&lt;=4,2,B60&lt;=8,3)</f>
        <v>3</v>
      </c>
      <c r="B60" s="1">
        <f>LEN('PLANILHA ORÇAMENTÁRIA'!$E60)</f>
        <v>5</v>
      </c>
      <c r="C60" t="str">
        <f>IF(AND(Tabela6[[#This Row],[IND.]]&gt;=5,Tabela6[[#This Row],[QUANT]]=0),"X","")</f>
        <v/>
      </c>
      <c r="E60" s="87" t="s">
        <v>117</v>
      </c>
      <c r="F60" s="60" t="s">
        <v>118</v>
      </c>
      <c r="G60" s="60" t="s">
        <v>25</v>
      </c>
      <c r="H60" s="61">
        <f>91.54+685.65</f>
        <v>777.18999999999994</v>
      </c>
      <c r="I60" s="62" t="s">
        <v>41</v>
      </c>
      <c r="J60" s="57">
        <v>18.3</v>
      </c>
      <c r="K60" s="57">
        <v>14222.576999999999</v>
      </c>
    </row>
    <row r="61" spans="1:11" hidden="1" x14ac:dyDescent="0.35">
      <c r="A61" s="38" cm="1">
        <f t="array" ref="A61">_xlfn.IFS(B61&lt;1,"",B61&lt;=2,1,B61&lt;=4,2,B61&lt;=8,3)</f>
        <v>3</v>
      </c>
      <c r="B61" s="1">
        <f>LEN('PLANILHA ORÇAMENTÁRIA'!$E61)</f>
        <v>5</v>
      </c>
      <c r="C61" t="str">
        <f>IF(AND(Tabela6[[#This Row],[IND.]]&gt;=5,Tabela6[[#This Row],[QUANT]]=0),"X","")</f>
        <v>X</v>
      </c>
      <c r="E61" s="58" t="s">
        <v>119</v>
      </c>
      <c r="F61" s="60" t="s">
        <v>120</v>
      </c>
      <c r="G61" s="60" t="s">
        <v>25</v>
      </c>
      <c r="H61" s="61"/>
      <c r="I61" s="62" t="s">
        <v>41</v>
      </c>
      <c r="J61" s="57">
        <v>0</v>
      </c>
      <c r="K61" s="57">
        <v>0</v>
      </c>
    </row>
    <row r="62" spans="1:11" hidden="1" x14ac:dyDescent="0.35">
      <c r="A62" s="38" cm="1">
        <f t="array" ref="A62">_xlfn.IFS(B62&lt;1,"",B62&lt;=2,1,B62&lt;=4,2,B62&lt;=8,3)</f>
        <v>3</v>
      </c>
      <c r="B62" s="1">
        <f>LEN('PLANILHA ORÇAMENTÁRIA'!$E62)</f>
        <v>5</v>
      </c>
      <c r="C62" t="str">
        <f>IF(AND(Tabela6[[#This Row],[IND.]]&gt;=5,Tabela6[[#This Row],[QUANT]]=0),"X","")</f>
        <v>X</v>
      </c>
      <c r="E62" s="58" t="s">
        <v>121</v>
      </c>
      <c r="F62" s="60" t="s">
        <v>122</v>
      </c>
      <c r="G62" s="60" t="s">
        <v>25</v>
      </c>
      <c r="H62" s="61"/>
      <c r="I62" s="62" t="s">
        <v>41</v>
      </c>
      <c r="J62" s="57">
        <v>0</v>
      </c>
      <c r="K62" s="57">
        <v>0</v>
      </c>
    </row>
    <row r="63" spans="1:11" hidden="1" x14ac:dyDescent="0.35">
      <c r="A63" s="38" cm="1">
        <f t="array" ref="A63">_xlfn.IFS(B63&lt;1,"",B63&lt;=2,1,B63&lt;=4,2,B63&lt;=8,3)</f>
        <v>3</v>
      </c>
      <c r="B63" s="1">
        <f>LEN('PLANILHA ORÇAMENTÁRIA'!$E63)</f>
        <v>5</v>
      </c>
      <c r="C63" t="str">
        <f>IF(AND(Tabela6[[#This Row],[IND.]]&gt;=5,Tabela6[[#This Row],[QUANT]]=0),"X","")</f>
        <v>X</v>
      </c>
      <c r="E63" s="58" t="s">
        <v>123</v>
      </c>
      <c r="F63" s="60" t="s">
        <v>124</v>
      </c>
      <c r="G63" s="60" t="s">
        <v>25</v>
      </c>
      <c r="H63" s="61"/>
      <c r="I63" s="62" t="s">
        <v>41</v>
      </c>
      <c r="J63" s="57">
        <v>0</v>
      </c>
      <c r="K63" s="57">
        <v>0</v>
      </c>
    </row>
    <row r="64" spans="1:11" hidden="1" x14ac:dyDescent="0.35">
      <c r="A64" s="38" cm="1">
        <f t="array" ref="A64">_xlfn.IFS(B64&lt;1,"",B64&lt;=2,1,B64&lt;=4,2,B64&lt;=8,3)</f>
        <v>3</v>
      </c>
      <c r="B64" s="1">
        <f>LEN('PLANILHA ORÇAMENTÁRIA'!$E64)</f>
        <v>5</v>
      </c>
      <c r="C64" t="str">
        <f>IF(AND(Tabela6[[#This Row],[IND.]]&gt;=5,Tabela6[[#This Row],[QUANT]]=0),"X","")</f>
        <v>X</v>
      </c>
      <c r="E64" s="58" t="s">
        <v>125</v>
      </c>
      <c r="F64" s="60" t="s">
        <v>126</v>
      </c>
      <c r="G64" s="60" t="s">
        <v>25</v>
      </c>
      <c r="H64" s="61"/>
      <c r="I64" s="62" t="s">
        <v>41</v>
      </c>
      <c r="J64" s="57">
        <v>0</v>
      </c>
      <c r="K64" s="57">
        <v>0</v>
      </c>
    </row>
    <row r="65" spans="1:11" hidden="1" x14ac:dyDescent="0.35">
      <c r="A65" s="38" cm="1">
        <f t="array" ref="A65">_xlfn.IFS(B65&lt;1,"",B65&lt;=2,1,B65&lt;=4,2,B65&lt;=8,3)</f>
        <v>3</v>
      </c>
      <c r="B65" s="1">
        <f>LEN('PLANILHA ORÇAMENTÁRIA'!$E65)</f>
        <v>5</v>
      </c>
      <c r="C65" t="str">
        <f>IF(AND(Tabela6[[#This Row],[IND.]]&gt;=5,Tabela6[[#This Row],[QUANT]]=0),"X","")</f>
        <v>X</v>
      </c>
      <c r="E65" s="58" t="s">
        <v>127</v>
      </c>
      <c r="F65" s="60" t="s">
        <v>128</v>
      </c>
      <c r="G65" s="60" t="s">
        <v>25</v>
      </c>
      <c r="H65" s="61"/>
      <c r="I65" s="62" t="s">
        <v>41</v>
      </c>
      <c r="J65" s="57">
        <v>0</v>
      </c>
      <c r="K65" s="57">
        <v>0</v>
      </c>
    </row>
    <row r="66" spans="1:11" ht="15.75" customHeight="1" x14ac:dyDescent="0.35">
      <c r="A66" s="38" cm="1">
        <f t="array" ref="A66">_xlfn.IFS(B66&lt;1,"",B66&lt;=2,1,B66&lt;=4,2,B66&lt;=8,3)</f>
        <v>3</v>
      </c>
      <c r="B66" s="1">
        <f>LEN('PLANILHA ORÇAMENTÁRIA'!$E66)</f>
        <v>5</v>
      </c>
      <c r="C66" t="str">
        <f>IF(AND(Tabela6[[#This Row],[IND.]]&gt;=5,Tabela6[[#This Row],[QUANT]]=0),"X","")</f>
        <v/>
      </c>
      <c r="E66" s="87" t="s">
        <v>129</v>
      </c>
      <c r="F66" s="60" t="s">
        <v>130</v>
      </c>
      <c r="G66" s="60" t="s">
        <v>25</v>
      </c>
      <c r="H66" s="61">
        <f>15.87+89.46+5.76+7.24</f>
        <v>118.33</v>
      </c>
      <c r="I66" s="62" t="s">
        <v>41</v>
      </c>
      <c r="J66" s="57">
        <v>29.7</v>
      </c>
      <c r="K66" s="57">
        <v>3514.4009999999998</v>
      </c>
    </row>
    <row r="67" spans="1:11" hidden="1" x14ac:dyDescent="0.35">
      <c r="A67" s="38" cm="1">
        <f t="array" ref="A67">_xlfn.IFS(B67&lt;1,"",B67&lt;=2,1,B67&lt;=4,2,B67&lt;=8,3)</f>
        <v>3</v>
      </c>
      <c r="B67" s="1">
        <f>LEN('PLANILHA ORÇAMENTÁRIA'!$E67)</f>
        <v>5</v>
      </c>
      <c r="C67" t="str">
        <f>IF(AND(Tabela6[[#This Row],[IND.]]&gt;=5,Tabela6[[#This Row],[QUANT]]=0),"X","")</f>
        <v>X</v>
      </c>
      <c r="E67" s="58" t="s">
        <v>131</v>
      </c>
      <c r="F67" s="60" t="s">
        <v>132</v>
      </c>
      <c r="G67" s="60" t="s">
        <v>25</v>
      </c>
      <c r="H67" s="61"/>
      <c r="I67" s="62" t="s">
        <v>41</v>
      </c>
      <c r="J67" s="57">
        <v>0</v>
      </c>
      <c r="K67" s="57">
        <v>0</v>
      </c>
    </row>
    <row r="68" spans="1:11" x14ac:dyDescent="0.35">
      <c r="A68" s="38" cm="1">
        <f t="array" ref="A68">_xlfn.IFS(B68&lt;1,"",B68&lt;=2,1,B68&lt;=4,2,B68&lt;=8,3)</f>
        <v>3</v>
      </c>
      <c r="B68" s="1">
        <f>LEN('PLANILHA ORÇAMENTÁRIA'!$E68)</f>
        <v>6</v>
      </c>
      <c r="C68" t="str">
        <f>IF(AND(Tabela6[[#This Row],[IND.]]&gt;=5,Tabela6[[#This Row],[QUANT]]=0),"X","")</f>
        <v/>
      </c>
      <c r="E68" s="87" t="s">
        <v>133</v>
      </c>
      <c r="F68" s="60" t="s">
        <v>134</v>
      </c>
      <c r="G68" s="60" t="s">
        <v>25</v>
      </c>
      <c r="H68" s="61">
        <v>50.74</v>
      </c>
      <c r="I68" s="62" t="s">
        <v>41</v>
      </c>
      <c r="J68" s="57">
        <v>56.78</v>
      </c>
      <c r="K68" s="57">
        <v>2881.0172000000002</v>
      </c>
    </row>
    <row r="69" spans="1:11" hidden="1" x14ac:dyDescent="0.35">
      <c r="A69" s="38" cm="1">
        <f t="array" ref="A69">_xlfn.IFS(B69&lt;1,"",B69&lt;=2,1,B69&lt;=4,2,B69&lt;=8,3)</f>
        <v>3</v>
      </c>
      <c r="B69" s="1">
        <f>LEN('PLANILHA ORÇAMENTÁRIA'!$E69)</f>
        <v>6</v>
      </c>
      <c r="C69" t="str">
        <f>IF(AND(Tabela6[[#This Row],[IND.]]&gt;=5,Tabela6[[#This Row],[QUANT]]=0),"X","")</f>
        <v>X</v>
      </c>
      <c r="E69" s="58" t="s">
        <v>135</v>
      </c>
      <c r="F69" s="60" t="s">
        <v>136</v>
      </c>
      <c r="G69" s="60" t="s">
        <v>25</v>
      </c>
      <c r="H69" s="61"/>
      <c r="I69" s="62" t="s">
        <v>41</v>
      </c>
      <c r="J69" s="57">
        <v>0</v>
      </c>
      <c r="K69" s="57">
        <v>0</v>
      </c>
    </row>
    <row r="70" spans="1:11" hidden="1" x14ac:dyDescent="0.35">
      <c r="A70" s="38" cm="1">
        <f t="array" ref="A70">_xlfn.IFS(B70&lt;1,"",B70&lt;=2,1,B70&lt;=4,2,B70&lt;=8,3)</f>
        <v>3</v>
      </c>
      <c r="B70" s="1">
        <f>LEN('PLANILHA ORÇAMENTÁRIA'!$E70)</f>
        <v>6</v>
      </c>
      <c r="C70" t="str">
        <f>IF(AND(Tabela6[[#This Row],[IND.]]&gt;=5,Tabela6[[#This Row],[QUANT]]=0),"X","")</f>
        <v>X</v>
      </c>
      <c r="E70" s="58" t="s">
        <v>135</v>
      </c>
      <c r="F70" s="60" t="s">
        <v>137</v>
      </c>
      <c r="G70" s="60" t="s">
        <v>25</v>
      </c>
      <c r="H70" s="61"/>
      <c r="I70" s="62" t="s">
        <v>41</v>
      </c>
      <c r="J70" s="57">
        <v>0</v>
      </c>
      <c r="K70" s="57">
        <v>0</v>
      </c>
    </row>
    <row r="71" spans="1:11" hidden="1" x14ac:dyDescent="0.35">
      <c r="A71" s="38" cm="1">
        <f t="array" ref="A71">_xlfn.IFS(B71&lt;1,"",B71&lt;=2,1,B71&lt;=4,2,B71&lt;=8,3)</f>
        <v>3</v>
      </c>
      <c r="B71" s="1">
        <f>LEN('PLANILHA ORÇAMENTÁRIA'!$E71)</f>
        <v>6</v>
      </c>
      <c r="C71" t="str">
        <f>IF(AND(Tabela6[[#This Row],[IND.]]&gt;=5,Tabela6[[#This Row],[QUANT]]=0),"X","")</f>
        <v>X</v>
      </c>
      <c r="E71" s="58" t="s">
        <v>135</v>
      </c>
      <c r="F71" s="60" t="s">
        <v>138</v>
      </c>
      <c r="G71" s="60" t="s">
        <v>25</v>
      </c>
      <c r="H71" s="61"/>
      <c r="I71" s="62" t="s">
        <v>41</v>
      </c>
      <c r="J71" s="57">
        <v>0</v>
      </c>
      <c r="K71" s="57">
        <v>0</v>
      </c>
    </row>
    <row r="72" spans="1:11" hidden="1" x14ac:dyDescent="0.35">
      <c r="A72" s="38" cm="1">
        <f t="array" ref="A72">_xlfn.IFS(B72&lt;1,"",B72&lt;=2,1,B72&lt;=4,2,B72&lt;=8,3)</f>
        <v>3</v>
      </c>
      <c r="B72" s="1">
        <f>LEN('PLANILHA ORÇAMENTÁRIA'!$E72)</f>
        <v>6</v>
      </c>
      <c r="C72" t="str">
        <f>IF(AND(Tabela6[[#This Row],[IND.]]&gt;=5,Tabela6[[#This Row],[QUANT]]=0),"X","")</f>
        <v>X</v>
      </c>
      <c r="E72" s="58" t="s">
        <v>139</v>
      </c>
      <c r="F72" s="60" t="s">
        <v>140</v>
      </c>
      <c r="G72" s="60" t="s">
        <v>25</v>
      </c>
      <c r="H72" s="61"/>
      <c r="I72" s="62" t="s">
        <v>41</v>
      </c>
      <c r="J72" s="57">
        <v>0</v>
      </c>
      <c r="K72" s="57">
        <v>0</v>
      </c>
    </row>
    <row r="73" spans="1:11" x14ac:dyDescent="0.35">
      <c r="A73" s="38" cm="1">
        <f t="array" ref="A73">_xlfn.IFS(B73&lt;1,"",B73&lt;=2,1,B73&lt;=4,2,B73&lt;=8,3)</f>
        <v>3</v>
      </c>
      <c r="B73" s="1">
        <f>LEN('PLANILHA ORÇAMENTÁRIA'!$E73)</f>
        <v>6</v>
      </c>
      <c r="C73" t="str">
        <f>IF(AND(Tabela6[[#This Row],[IND.]]&gt;=5,Tabela6[[#This Row],[QUANT]]=0),"X","")</f>
        <v/>
      </c>
      <c r="E73" s="87" t="s">
        <v>141</v>
      </c>
      <c r="F73" s="60" t="s">
        <v>142</v>
      </c>
      <c r="G73" s="60" t="s">
        <v>25</v>
      </c>
      <c r="H73" s="61">
        <f>2.62+232.38</f>
        <v>235</v>
      </c>
      <c r="I73" s="62" t="s">
        <v>41</v>
      </c>
      <c r="J73" s="57">
        <v>31.37</v>
      </c>
      <c r="K73" s="57">
        <v>7371.95</v>
      </c>
    </row>
    <row r="74" spans="1:11" hidden="1" x14ac:dyDescent="0.35">
      <c r="A74" s="38" cm="1">
        <f t="array" ref="A74">_xlfn.IFS(B74&lt;1,"",B74&lt;=2,1,B74&lt;=4,2,B74&lt;=8,3)</f>
        <v>3</v>
      </c>
      <c r="B74" s="1">
        <f>LEN('PLANILHA ORÇAMENTÁRIA'!$E74)</f>
        <v>6</v>
      </c>
      <c r="C74" t="str">
        <f>IF(AND(Tabela6[[#This Row],[IND.]]&gt;=5,Tabela6[[#This Row],[QUANT]]=0),"X","")</f>
        <v>X</v>
      </c>
      <c r="E74" s="58" t="s">
        <v>143</v>
      </c>
      <c r="F74" s="60" t="s">
        <v>144</v>
      </c>
      <c r="G74" s="60" t="s">
        <v>25</v>
      </c>
      <c r="H74" s="61"/>
      <c r="I74" s="62" t="s">
        <v>41</v>
      </c>
      <c r="J74" s="57">
        <v>0</v>
      </c>
      <c r="K74" s="57">
        <v>0</v>
      </c>
    </row>
    <row r="75" spans="1:11" hidden="1" x14ac:dyDescent="0.35">
      <c r="A75" s="38" cm="1">
        <f t="array" ref="A75">_xlfn.IFS(B75&lt;1,"",B75&lt;=2,1,B75&lt;=4,2,B75&lt;=8,3)</f>
        <v>3</v>
      </c>
      <c r="B75" s="1">
        <f>LEN('PLANILHA ORÇAMENTÁRIA'!$E75)</f>
        <v>6</v>
      </c>
      <c r="C75" t="str">
        <f>IF(AND(Tabela6[[#This Row],[IND.]]&gt;=5,Tabela6[[#This Row],[QUANT]]=0),"X","")</f>
        <v>X</v>
      </c>
      <c r="E75" s="58" t="s">
        <v>145</v>
      </c>
      <c r="F75" s="60" t="s">
        <v>146</v>
      </c>
      <c r="G75" s="60" t="s">
        <v>25</v>
      </c>
      <c r="H75" s="61"/>
      <c r="I75" s="62" t="s">
        <v>41</v>
      </c>
      <c r="J75" s="57">
        <v>0</v>
      </c>
      <c r="K75" s="57">
        <v>0</v>
      </c>
    </row>
    <row r="76" spans="1:11" ht="14.25" customHeight="1" x14ac:dyDescent="0.35">
      <c r="A76" s="38" cm="1">
        <f t="array" ref="A76">_xlfn.IFS(B76&lt;1,"",B76&lt;=2,1,B76&lt;=4,2,B76&lt;=8,3)</f>
        <v>3</v>
      </c>
      <c r="B76" s="1">
        <f>LEN('PLANILHA ORÇAMENTÁRIA'!$E76)</f>
        <v>6</v>
      </c>
      <c r="C76" t="str">
        <f>IF(AND(Tabela6[[#This Row],[IND.]]&gt;=5,Tabela6[[#This Row],[QUANT]]=0),"X","")</f>
        <v/>
      </c>
      <c r="E76" s="87" t="s">
        <v>147</v>
      </c>
      <c r="F76" s="60" t="s">
        <v>148</v>
      </c>
      <c r="G76" s="60" t="s">
        <v>25</v>
      </c>
      <c r="H76" s="61">
        <v>403.84</v>
      </c>
      <c r="I76" s="62" t="s">
        <v>41</v>
      </c>
      <c r="J76" s="57">
        <v>34.700000000000003</v>
      </c>
      <c r="K76" s="57">
        <v>14013.248</v>
      </c>
    </row>
    <row r="77" spans="1:11" hidden="1" x14ac:dyDescent="0.35">
      <c r="A77" s="38" cm="1">
        <f t="array" ref="A77">_xlfn.IFS(B77&lt;1,"",B77&lt;=2,1,B77&lt;=4,2,B77&lt;=8,3)</f>
        <v>3</v>
      </c>
      <c r="B77" s="1">
        <f>LEN('PLANILHA ORÇAMENTÁRIA'!$E77)</f>
        <v>6</v>
      </c>
      <c r="C77" t="str">
        <f>IF(AND(Tabela6[[#This Row],[IND.]]&gt;=5,Tabela6[[#This Row],[QUANT]]=0),"X","")</f>
        <v>X</v>
      </c>
      <c r="E77" s="58" t="s">
        <v>147</v>
      </c>
      <c r="F77" s="60" t="s">
        <v>149</v>
      </c>
      <c r="G77" s="60" t="s">
        <v>25</v>
      </c>
      <c r="H77" s="61"/>
      <c r="I77" s="62" t="s">
        <v>41</v>
      </c>
      <c r="J77" s="57">
        <v>0</v>
      </c>
      <c r="K77" s="57">
        <v>0</v>
      </c>
    </row>
    <row r="78" spans="1:11" x14ac:dyDescent="0.35">
      <c r="A78" s="38" cm="1">
        <f t="array" ref="A78">_xlfn.IFS(B78&lt;1,"",B78&lt;=2,1,B78&lt;=4,2,B78&lt;=8,3)</f>
        <v>2</v>
      </c>
      <c r="B78" s="1">
        <f>LEN('PLANILHA ORÇAMENTÁRIA'!$E78)</f>
        <v>3</v>
      </c>
      <c r="C78" t="str">
        <f>IF(Tabela6[[#This Row],[QUANT]]="x","x","")</f>
        <v/>
      </c>
      <c r="E78" s="142" t="s">
        <v>150</v>
      </c>
      <c r="F78" s="54" t="s">
        <v>151</v>
      </c>
      <c r="G78" s="54"/>
      <c r="H78" s="55" t="str">
        <f>IF(SUM(H79:H97)=0,"x","")</f>
        <v/>
      </c>
      <c r="I78" s="55"/>
      <c r="J78" s="56"/>
      <c r="K78" s="56">
        <f>SUMIF($A$79:$A$97,"3",K79:K97)</f>
        <v>45341.356799999994</v>
      </c>
    </row>
    <row r="79" spans="1:11" x14ac:dyDescent="0.35">
      <c r="A79" s="38" cm="1">
        <f t="array" ref="A79">_xlfn.IFS(B79&lt;1,"",B79&lt;=2,1,B79&lt;=4,2,B79&lt;=8,3)</f>
        <v>3</v>
      </c>
      <c r="B79" s="1">
        <f>LEN('PLANILHA ORÇAMENTÁRIA'!$E79)</f>
        <v>5</v>
      </c>
      <c r="C79" t="str">
        <f>IF(AND(Tabela6[[#This Row],[IND.]]&gt;=5,Tabela6[[#This Row],[QUANT]]=0),"X","")</f>
        <v/>
      </c>
      <c r="E79" s="87" t="s">
        <v>152</v>
      </c>
      <c r="F79" s="60" t="s">
        <v>153</v>
      </c>
      <c r="G79" s="60" t="s">
        <v>25</v>
      </c>
      <c r="H79" s="61">
        <f>H60</f>
        <v>777.18999999999994</v>
      </c>
      <c r="I79" s="62" t="s">
        <v>41</v>
      </c>
      <c r="J79" s="57">
        <v>7.5</v>
      </c>
      <c r="K79" s="57">
        <v>5828.9249999999993</v>
      </c>
    </row>
    <row r="80" spans="1:11" ht="29" x14ac:dyDescent="0.35">
      <c r="A80" s="38" cm="1">
        <f t="array" ref="A80">_xlfn.IFS(B80&lt;1,"",B80&lt;=2,1,B80&lt;=4,2,B80&lt;=8,3)</f>
        <v>3</v>
      </c>
      <c r="B80" s="1">
        <f>LEN('PLANILHA ORÇAMENTÁRIA'!$E80)</f>
        <v>5</v>
      </c>
      <c r="C80" t="str">
        <f>IF(AND(Tabela6[[#This Row],[IND.]]&gt;=5,Tabela6[[#This Row],[QUANT]]=0),"X","")</f>
        <v/>
      </c>
      <c r="E80" s="87" t="s">
        <v>154</v>
      </c>
      <c r="F80" s="59" t="s">
        <v>155</v>
      </c>
      <c r="G80" s="60" t="s">
        <v>25</v>
      </c>
      <c r="H80" s="61">
        <f>H60</f>
        <v>777.18999999999994</v>
      </c>
      <c r="I80" s="62" t="s">
        <v>41</v>
      </c>
      <c r="J80" s="57">
        <v>5.83</v>
      </c>
      <c r="K80" s="57">
        <v>4531.0176999999994</v>
      </c>
    </row>
    <row r="81" spans="1:11" x14ac:dyDescent="0.35">
      <c r="A81" s="38" cm="1">
        <f t="array" ref="A81">_xlfn.IFS(B81&lt;1,"",B81&lt;=2,1,B81&lt;=4,2,B81&lt;=8,3)</f>
        <v>3</v>
      </c>
      <c r="B81" s="1">
        <f>LEN('PLANILHA ORÇAMENTÁRIA'!$E81)</f>
        <v>5</v>
      </c>
      <c r="C81" t="str">
        <f>IF(AND(Tabela6[[#This Row],[IND.]]&gt;=5,Tabela6[[#This Row],[QUANT]]=0),"X","")</f>
        <v/>
      </c>
      <c r="E81" s="87" t="s">
        <v>156</v>
      </c>
      <c r="F81" s="59" t="s">
        <v>157</v>
      </c>
      <c r="G81" s="60" t="s">
        <v>25</v>
      </c>
      <c r="H81" s="61">
        <v>169</v>
      </c>
      <c r="I81" s="62" t="s">
        <v>26</v>
      </c>
      <c r="J81" s="57">
        <v>10.33</v>
      </c>
      <c r="K81" s="57">
        <v>1745.77</v>
      </c>
    </row>
    <row r="82" spans="1:11" hidden="1" x14ac:dyDescent="0.35">
      <c r="A82" s="38" cm="1">
        <f t="array" ref="A82">_xlfn.IFS(B82&lt;1,"",B82&lt;=2,1,B82&lt;=4,2,B82&lt;=8,3)</f>
        <v>3</v>
      </c>
      <c r="B82" s="1">
        <f>LEN('PLANILHA ORÇAMENTÁRIA'!$E82)</f>
        <v>5</v>
      </c>
      <c r="C82" t="str">
        <f>IF(AND(Tabela6[[#This Row],[IND.]]&gt;=5,Tabela6[[#This Row],[QUANT]]=0),"X","")</f>
        <v>X</v>
      </c>
      <c r="E82" s="58" t="s">
        <v>158</v>
      </c>
      <c r="F82" s="59" t="s">
        <v>159</v>
      </c>
      <c r="G82" s="60" t="s">
        <v>25</v>
      </c>
      <c r="H82" s="61"/>
      <c r="I82" s="62" t="s">
        <v>26</v>
      </c>
      <c r="J82" s="57">
        <v>0</v>
      </c>
      <c r="K82" s="57">
        <v>0</v>
      </c>
    </row>
    <row r="83" spans="1:11" hidden="1" x14ac:dyDescent="0.35">
      <c r="A83" s="38" cm="1">
        <f t="array" ref="A83">_xlfn.IFS(B83&lt;1,"",B83&lt;=2,1,B83&lt;=4,2,B83&lt;=8,3)</f>
        <v>3</v>
      </c>
      <c r="B83" s="1">
        <f>LEN('PLANILHA ORÇAMENTÁRIA'!$E83)</f>
        <v>5</v>
      </c>
      <c r="C83" t="str">
        <f>IF(AND(Tabela6[[#This Row],[IND.]]&gt;=5,Tabela6[[#This Row],[QUANT]]=0),"X","")</f>
        <v>X</v>
      </c>
      <c r="E83" s="58" t="s">
        <v>160</v>
      </c>
      <c r="F83" s="60" t="s">
        <v>161</v>
      </c>
      <c r="G83" s="60" t="s">
        <v>25</v>
      </c>
      <c r="H83" s="61"/>
      <c r="I83" s="62" t="s">
        <v>26</v>
      </c>
      <c r="J83" s="57">
        <v>0</v>
      </c>
      <c r="K83" s="57">
        <v>0</v>
      </c>
    </row>
    <row r="84" spans="1:11" hidden="1" x14ac:dyDescent="0.35">
      <c r="A84" s="38" cm="1">
        <f t="array" ref="A84">_xlfn.IFS(B84&lt;1,"",B84&lt;=2,1,B84&lt;=4,2,B84&lt;=8,3)</f>
        <v>3</v>
      </c>
      <c r="B84" s="1">
        <f>LEN('PLANILHA ORÇAMENTÁRIA'!$E84)</f>
        <v>5</v>
      </c>
      <c r="C84" t="str">
        <f>IF(AND(Tabela6[[#This Row],[IND.]]&gt;=5,Tabela6[[#This Row],[QUANT]]=0),"X","")</f>
        <v>X</v>
      </c>
      <c r="E84" s="58" t="s">
        <v>162</v>
      </c>
      <c r="F84" s="60" t="s">
        <v>163</v>
      </c>
      <c r="G84" s="60" t="s">
        <v>25</v>
      </c>
      <c r="H84" s="61"/>
      <c r="I84" s="62" t="s">
        <v>26</v>
      </c>
      <c r="J84" s="57">
        <v>0</v>
      </c>
      <c r="K84" s="57">
        <v>0</v>
      </c>
    </row>
    <row r="85" spans="1:11" hidden="1" x14ac:dyDescent="0.35">
      <c r="A85" s="38" cm="1">
        <f t="array" ref="A85">_xlfn.IFS(B85&lt;1,"",B85&lt;=2,1,B85&lt;=4,2,B85&lt;=8,3)</f>
        <v>3</v>
      </c>
      <c r="B85" s="1">
        <f>LEN('PLANILHA ORÇAMENTÁRIA'!$E85)</f>
        <v>5</v>
      </c>
      <c r="C85" t="str">
        <f>IF(AND(Tabela6[[#This Row],[IND.]]&gt;=5,Tabela6[[#This Row],[QUANT]]=0),"X","")</f>
        <v>X</v>
      </c>
      <c r="E85" s="58" t="s">
        <v>164</v>
      </c>
      <c r="F85" s="60" t="s">
        <v>165</v>
      </c>
      <c r="G85" s="60" t="s">
        <v>25</v>
      </c>
      <c r="H85" s="61"/>
      <c r="I85" s="62" t="s">
        <v>26</v>
      </c>
      <c r="J85" s="57">
        <v>0</v>
      </c>
      <c r="K85" s="57">
        <v>0</v>
      </c>
    </row>
    <row r="86" spans="1:11" hidden="1" x14ac:dyDescent="0.35">
      <c r="A86" s="38" cm="1">
        <f t="array" ref="A86">_xlfn.IFS(B86&lt;1,"",B86&lt;=2,1,B86&lt;=4,2,B86&lt;=8,3)</f>
        <v>3</v>
      </c>
      <c r="B86" s="1">
        <f>LEN('PLANILHA ORÇAMENTÁRIA'!$E86)</f>
        <v>5</v>
      </c>
      <c r="C86" t="str">
        <f>IF(AND(Tabela6[[#This Row],[IND.]]&gt;=5,Tabela6[[#This Row],[QUANT]]=0),"X","")</f>
        <v>X</v>
      </c>
      <c r="E86" s="58" t="s">
        <v>166</v>
      </c>
      <c r="F86" s="60" t="s">
        <v>167</v>
      </c>
      <c r="G86" s="60" t="s">
        <v>25</v>
      </c>
      <c r="H86" s="61"/>
      <c r="I86" s="62" t="s">
        <v>26</v>
      </c>
      <c r="J86" s="57">
        <v>0</v>
      </c>
      <c r="K86" s="57">
        <v>0</v>
      </c>
    </row>
    <row r="87" spans="1:11" hidden="1" x14ac:dyDescent="0.35">
      <c r="A87" s="38" cm="1">
        <f t="array" ref="A87">_xlfn.IFS(B87&lt;1,"",B87&lt;=2,1,B87&lt;=4,2,B87&lt;=8,3)</f>
        <v>3</v>
      </c>
      <c r="B87" s="1">
        <f>LEN('PLANILHA ORÇAMENTÁRIA'!$E87)</f>
        <v>5</v>
      </c>
      <c r="C87" t="str">
        <f>IF(AND(Tabela6[[#This Row],[IND.]]&gt;=5,Tabela6[[#This Row],[QUANT]]=0),"X","")</f>
        <v>X</v>
      </c>
      <c r="E87" s="58" t="s">
        <v>168</v>
      </c>
      <c r="F87" s="60" t="s">
        <v>169</v>
      </c>
      <c r="G87" s="60" t="s">
        <v>25</v>
      </c>
      <c r="H87" s="61"/>
      <c r="I87" s="62" t="s">
        <v>26</v>
      </c>
      <c r="J87" s="57">
        <v>0</v>
      </c>
      <c r="K87" s="57">
        <v>0</v>
      </c>
    </row>
    <row r="88" spans="1:11" x14ac:dyDescent="0.35">
      <c r="A88" s="38" cm="1">
        <f t="array" ref="A88">_xlfn.IFS(B88&lt;1,"",B88&lt;=2,1,B88&lt;=4,2,B88&lt;=8,3)</f>
        <v>3</v>
      </c>
      <c r="B88" s="1">
        <f>LEN('PLANILHA ORÇAMENTÁRIA'!$E88)</f>
        <v>6</v>
      </c>
      <c r="C88" t="str">
        <f>IF(AND(Tabela6[[#This Row],[IND.]]&gt;=5,Tabela6[[#This Row],[QUANT]]=0),"X","")</f>
        <v/>
      </c>
      <c r="E88" s="87" t="s">
        <v>170</v>
      </c>
      <c r="F88" s="60" t="s">
        <v>171</v>
      </c>
      <c r="G88" s="60" t="s">
        <v>25</v>
      </c>
      <c r="H88" s="61">
        <f>H60</f>
        <v>777.18999999999994</v>
      </c>
      <c r="I88" s="62" t="s">
        <v>41</v>
      </c>
      <c r="J88" s="57">
        <v>7.5</v>
      </c>
      <c r="K88" s="57">
        <v>5828.9249999999993</v>
      </c>
    </row>
    <row r="89" spans="1:11" x14ac:dyDescent="0.35">
      <c r="A89" s="38" cm="1">
        <f t="array" ref="A89">_xlfn.IFS(B89&lt;1,"",B89&lt;=2,1,B89&lt;=4,2,B89&lt;=8,3)</f>
        <v>3</v>
      </c>
      <c r="B89" s="1">
        <f>LEN('PLANILHA ORÇAMENTÁRIA'!$E89)</f>
        <v>6</v>
      </c>
      <c r="C89" t="str">
        <f>IF(AND(Tabela6[[#This Row],[IND.]]&gt;=5,Tabela6[[#This Row],[QUANT]]=0),"X","")</f>
        <v/>
      </c>
      <c r="E89" s="87" t="s">
        <v>172</v>
      </c>
      <c r="F89" s="60" t="s">
        <v>173</v>
      </c>
      <c r="G89" s="60" t="s">
        <v>25</v>
      </c>
      <c r="H89" s="61">
        <f>H60</f>
        <v>777.18999999999994</v>
      </c>
      <c r="I89" s="62" t="s">
        <v>41</v>
      </c>
      <c r="J89" s="57">
        <v>7.5</v>
      </c>
      <c r="K89" s="57">
        <v>5828.9249999999993</v>
      </c>
    </row>
    <row r="90" spans="1:11" hidden="1" x14ac:dyDescent="0.35">
      <c r="A90" s="38" cm="1">
        <f t="array" ref="A90">_xlfn.IFS(B90&lt;1,"",B90&lt;=2,1,B90&lt;=4,2,B90&lt;=8,3)</f>
        <v>3</v>
      </c>
      <c r="B90" s="1">
        <f>LEN('PLANILHA ORÇAMENTÁRIA'!$E90)</f>
        <v>6</v>
      </c>
      <c r="C90" t="str">
        <f>IF(AND(Tabela6[[#This Row],[IND.]]&gt;=5,Tabela6[[#This Row],[QUANT]]=0),"X","")</f>
        <v>X</v>
      </c>
      <c r="E90" s="58" t="s">
        <v>174</v>
      </c>
      <c r="F90" s="60" t="s">
        <v>175</v>
      </c>
      <c r="G90" s="60" t="s">
        <v>25</v>
      </c>
      <c r="H90" s="61"/>
      <c r="I90" s="62" t="s">
        <v>26</v>
      </c>
      <c r="J90" s="57">
        <v>0</v>
      </c>
      <c r="K90" s="57">
        <v>0</v>
      </c>
    </row>
    <row r="91" spans="1:11" x14ac:dyDescent="0.35">
      <c r="A91" s="38" cm="1">
        <f t="array" ref="A91">_xlfn.IFS(B91&lt;1,"",B91&lt;=2,1,B91&lt;=4,2,B91&lt;=8,3)</f>
        <v>3</v>
      </c>
      <c r="B91" s="1">
        <f>LEN('PLANILHA ORÇAMENTÁRIA'!$E91)</f>
        <v>6</v>
      </c>
      <c r="C91" t="str">
        <f>IF(AND(Tabela6[[#This Row],[IND.]]&gt;=5,Tabela6[[#This Row],[QUANT]]=0),"X","")</f>
        <v/>
      </c>
      <c r="E91" s="87" t="s">
        <v>176</v>
      </c>
      <c r="F91" s="60" t="s">
        <v>177</v>
      </c>
      <c r="G91" s="60" t="s">
        <v>25</v>
      </c>
      <c r="H91" s="61">
        <v>52</v>
      </c>
      <c r="I91" s="62" t="s">
        <v>26</v>
      </c>
      <c r="J91" s="57">
        <v>13.67</v>
      </c>
      <c r="K91" s="57">
        <v>710.84</v>
      </c>
    </row>
    <row r="92" spans="1:11" x14ac:dyDescent="0.35">
      <c r="A92" s="38" cm="1">
        <f t="array" ref="A92">_xlfn.IFS(B92&lt;1,"",B92&lt;=2,1,B92&lt;=4,2,B92&lt;=8,3)</f>
        <v>3</v>
      </c>
      <c r="B92" s="1">
        <f>LEN('PLANILHA ORÇAMENTÁRIA'!$E92)</f>
        <v>6</v>
      </c>
      <c r="C92" t="str">
        <f>IF(AND(Tabela6[[#This Row],[IND.]]&gt;=5,Tabela6[[#This Row],[QUANT]]=0),"X","")</f>
        <v/>
      </c>
      <c r="E92" s="87" t="s">
        <v>178</v>
      </c>
      <c r="F92" s="60" t="s">
        <v>179</v>
      </c>
      <c r="G92" s="60" t="s">
        <v>25</v>
      </c>
      <c r="H92" s="61">
        <v>116</v>
      </c>
      <c r="I92" s="62" t="s">
        <v>26</v>
      </c>
      <c r="J92" s="57">
        <v>73</v>
      </c>
      <c r="K92" s="57">
        <v>8468</v>
      </c>
    </row>
    <row r="93" spans="1:11" x14ac:dyDescent="0.35">
      <c r="A93" s="38" cm="1">
        <f t="array" ref="A93">_xlfn.IFS(B93&lt;1,"",B93&lt;=2,1,B93&lt;=4,2,B93&lt;=8,3)</f>
        <v>3</v>
      </c>
      <c r="B93" s="1">
        <f>LEN('PLANILHA ORÇAMENTÁRIA'!$E93)</f>
        <v>6</v>
      </c>
      <c r="C93" t="str">
        <f>IF(AND(Tabela6[[#This Row],[IND.]]&gt;=5,Tabela6[[#This Row],[QUANT]]=0),"X","")</f>
        <v/>
      </c>
      <c r="E93" s="87" t="s">
        <v>180</v>
      </c>
      <c r="F93" s="60" t="s">
        <v>181</v>
      </c>
      <c r="G93" s="60" t="s">
        <v>25</v>
      </c>
      <c r="H93" s="61">
        <v>4</v>
      </c>
      <c r="I93" s="62" t="s">
        <v>26</v>
      </c>
      <c r="J93" s="57">
        <v>67</v>
      </c>
      <c r="K93" s="57">
        <v>268</v>
      </c>
    </row>
    <row r="94" spans="1:11" x14ac:dyDescent="0.35">
      <c r="A94" s="38" cm="1">
        <f t="array" ref="A94">_xlfn.IFS(B94&lt;1,"",B94&lt;=2,1,B94&lt;=4,2,B94&lt;=8,3)</f>
        <v>3</v>
      </c>
      <c r="B94" s="1">
        <f>LEN('PLANILHA ORÇAMENTÁRIA'!$E94)</f>
        <v>6</v>
      </c>
      <c r="C94" t="str">
        <f>IF(AND(Tabela6[[#This Row],[IND.]]&gt;=5,Tabela6[[#This Row],[QUANT]]=0),"X","")</f>
        <v/>
      </c>
      <c r="E94" s="87" t="s">
        <v>182</v>
      </c>
      <c r="F94" s="60" t="s">
        <v>183</v>
      </c>
      <c r="G94" s="60" t="s">
        <v>25</v>
      </c>
      <c r="H94" s="61">
        <v>10</v>
      </c>
      <c r="I94" s="62" t="s">
        <v>26</v>
      </c>
      <c r="J94" s="57">
        <v>17</v>
      </c>
      <c r="K94" s="57">
        <v>170</v>
      </c>
    </row>
    <row r="95" spans="1:11" x14ac:dyDescent="0.35">
      <c r="A95" s="38" cm="1">
        <f t="array" ref="A95">_xlfn.IFS(B95&lt;1,"",B95&lt;=2,1,B95&lt;=4,2,B95&lt;=8,3)</f>
        <v>3</v>
      </c>
      <c r="B95" s="1">
        <f>LEN('PLANILHA ORÇAMENTÁRIA'!$E95)</f>
        <v>6</v>
      </c>
      <c r="C95" t="str">
        <f>IF(AND(Tabela6[[#This Row],[IND.]]&gt;=5,Tabela6[[#This Row],[QUANT]]=0),"X","")</f>
        <v/>
      </c>
      <c r="E95" s="87" t="s">
        <v>184</v>
      </c>
      <c r="F95" s="60" t="s">
        <v>185</v>
      </c>
      <c r="G95" s="60" t="s">
        <v>25</v>
      </c>
      <c r="H95" s="61">
        <f>H60</f>
        <v>777.18999999999994</v>
      </c>
      <c r="I95" s="62" t="s">
        <v>41</v>
      </c>
      <c r="J95" s="57">
        <v>15.39</v>
      </c>
      <c r="K95" s="57">
        <v>11960.954099999999</v>
      </c>
    </row>
    <row r="96" spans="1:11" hidden="1" x14ac:dyDescent="0.35">
      <c r="A96" s="38" cm="1">
        <f t="array" ref="A96">_xlfn.IFS(B96&lt;1,"",B96&lt;=2,1,B96&lt;=4,2,B96&lt;=8,3)</f>
        <v>3</v>
      </c>
      <c r="B96" s="1">
        <f>LEN('PLANILHA ORÇAMENTÁRIA'!$E96)</f>
        <v>6</v>
      </c>
      <c r="C96" t="str">
        <f>IF(AND(Tabela6[[#This Row],[IND.]]&gt;=5,Tabela6[[#This Row],[QUANT]]=0),"X","")</f>
        <v>X</v>
      </c>
      <c r="E96" s="58" t="s">
        <v>186</v>
      </c>
      <c r="F96" s="60" t="s">
        <v>187</v>
      </c>
      <c r="G96" s="60" t="s">
        <v>25</v>
      </c>
      <c r="H96" s="61"/>
      <c r="I96" s="62" t="s">
        <v>26</v>
      </c>
      <c r="J96" s="57">
        <v>0</v>
      </c>
      <c r="K96" s="57">
        <v>0</v>
      </c>
    </row>
    <row r="97" spans="1:11" hidden="1" x14ac:dyDescent="0.35">
      <c r="A97" s="38" cm="1">
        <f t="array" ref="A97">_xlfn.IFS(B97&lt;1,"",B97&lt;=2,1,B97&lt;=4,2,B97&lt;=8,3)</f>
        <v>3</v>
      </c>
      <c r="B97" s="1">
        <f>LEN('PLANILHA ORÇAMENTÁRIA'!$E97)</f>
        <v>6</v>
      </c>
      <c r="C97" t="str">
        <f>IF(AND(Tabela6[[#This Row],[IND.]]&gt;=5,Tabela6[[#This Row],[QUANT]]=0),"X","")</f>
        <v>X</v>
      </c>
      <c r="E97" s="58" t="s">
        <v>188</v>
      </c>
      <c r="F97" s="60" t="s">
        <v>189</v>
      </c>
      <c r="G97" s="60" t="s">
        <v>25</v>
      </c>
      <c r="H97" s="61"/>
      <c r="I97" s="62" t="s">
        <v>26</v>
      </c>
      <c r="J97" s="57">
        <v>0</v>
      </c>
      <c r="K97" s="57">
        <v>0</v>
      </c>
    </row>
    <row r="98" spans="1:11" x14ac:dyDescent="0.35">
      <c r="A98" s="38" cm="1">
        <f t="array" ref="A98">_xlfn.IFS(B98&lt;1,"",B98&lt;=2,1,B98&lt;=4,2,B98&lt;=8,3)</f>
        <v>2</v>
      </c>
      <c r="B98" s="1">
        <f>LEN('PLANILHA ORÇAMENTÁRIA'!$E98)</f>
        <v>3</v>
      </c>
      <c r="C98" t="str">
        <f>IF(Tabela6[[#This Row],[QUANT]]="x","x","")</f>
        <v/>
      </c>
      <c r="E98" s="142" t="s">
        <v>190</v>
      </c>
      <c r="F98" s="54" t="s">
        <v>191</v>
      </c>
      <c r="G98" s="54"/>
      <c r="H98" s="55" t="str">
        <f>IF(SUM(H99:H111)=0,"x","")</f>
        <v/>
      </c>
      <c r="I98" s="55"/>
      <c r="J98" s="56"/>
      <c r="K98" s="56">
        <f>SUMIF($A$99:$A$111,"3",K99:K111)</f>
        <v>1909.32</v>
      </c>
    </row>
    <row r="99" spans="1:11" x14ac:dyDescent="0.35">
      <c r="A99" s="38" cm="1">
        <f t="array" ref="A99">_xlfn.IFS(B99&lt;1,"",B99&lt;=2,1,B99&lt;=4,2,B99&lt;=8,3)</f>
        <v>3</v>
      </c>
      <c r="B99" s="1">
        <f>LEN('PLANILHA ORÇAMENTÁRIA'!$E99)</f>
        <v>5</v>
      </c>
      <c r="C99" t="str">
        <f>IF(AND(Tabela6[[#This Row],[IND.]]&gt;=5,Tabela6[[#This Row],[QUANT]]=0),"X","")</f>
        <v/>
      </c>
      <c r="E99" s="87" t="s">
        <v>192</v>
      </c>
      <c r="F99" s="60" t="s">
        <v>193</v>
      </c>
      <c r="G99" s="60" t="s">
        <v>25</v>
      </c>
      <c r="H99" s="61">
        <v>61</v>
      </c>
      <c r="I99" s="62" t="s">
        <v>26</v>
      </c>
      <c r="J99" s="57">
        <v>21.3</v>
      </c>
      <c r="K99" s="57">
        <v>1299.3</v>
      </c>
    </row>
    <row r="100" spans="1:11" hidden="1" x14ac:dyDescent="0.35">
      <c r="A100" s="38" cm="1">
        <f t="array" ref="A100">_xlfn.IFS(B100&lt;1,"",B100&lt;=2,1,B100&lt;=4,2,B100&lt;=8,3)</f>
        <v>3</v>
      </c>
      <c r="B100" s="1">
        <f>LEN('PLANILHA ORÇAMENTÁRIA'!$E100)</f>
        <v>5</v>
      </c>
      <c r="C100" t="str">
        <f>IF(AND(Tabela6[[#This Row],[IND.]]&gt;=5,Tabela6[[#This Row],[QUANT]]=0),"X","")</f>
        <v>X</v>
      </c>
      <c r="E100" s="58" t="s">
        <v>194</v>
      </c>
      <c r="F100" s="60" t="s">
        <v>195</v>
      </c>
      <c r="G100" s="60" t="s">
        <v>25</v>
      </c>
      <c r="H100" s="61"/>
      <c r="I100" s="62" t="s">
        <v>26</v>
      </c>
      <c r="J100" s="57">
        <v>0</v>
      </c>
      <c r="K100" s="57">
        <v>0</v>
      </c>
    </row>
    <row r="101" spans="1:11" hidden="1" x14ac:dyDescent="0.35">
      <c r="A101" s="38" cm="1">
        <f t="array" ref="A101">_xlfn.IFS(B101&lt;1,"",B101&lt;=2,1,B101&lt;=4,2,B101&lt;=8,3)</f>
        <v>3</v>
      </c>
      <c r="B101" s="1">
        <f>LEN('PLANILHA ORÇAMENTÁRIA'!$E101)</f>
        <v>5</v>
      </c>
      <c r="C101" t="str">
        <f>IF(AND(Tabela6[[#This Row],[IND.]]&gt;=5,Tabela6[[#This Row],[QUANT]]=0),"X","")</f>
        <v>X</v>
      </c>
      <c r="E101" s="58" t="s">
        <v>196</v>
      </c>
      <c r="F101" s="60" t="s">
        <v>197</v>
      </c>
      <c r="G101" s="60" t="s">
        <v>25</v>
      </c>
      <c r="H101" s="61"/>
      <c r="I101" s="62" t="s">
        <v>26</v>
      </c>
      <c r="J101" s="57">
        <v>0</v>
      </c>
      <c r="K101" s="57">
        <v>0</v>
      </c>
    </row>
    <row r="102" spans="1:11" hidden="1" x14ac:dyDescent="0.35">
      <c r="A102" s="38" cm="1">
        <f t="array" ref="A102">_xlfn.IFS(B102&lt;1,"",B102&lt;=2,1,B102&lt;=4,2,B102&lt;=8,3)</f>
        <v>3</v>
      </c>
      <c r="B102" s="1">
        <f>LEN('PLANILHA ORÇAMENTÁRIA'!$E102)</f>
        <v>5</v>
      </c>
      <c r="C102" t="str">
        <f>IF(AND(Tabela6[[#This Row],[IND.]]&gt;=5,Tabela6[[#This Row],[QUANT]]=0),"X","")</f>
        <v>X</v>
      </c>
      <c r="E102" s="58" t="s">
        <v>198</v>
      </c>
      <c r="F102" s="60" t="s">
        <v>199</v>
      </c>
      <c r="G102" s="60" t="s">
        <v>25</v>
      </c>
      <c r="H102" s="61"/>
      <c r="I102" s="62" t="s">
        <v>26</v>
      </c>
      <c r="J102" s="57">
        <v>0</v>
      </c>
      <c r="K102" s="57">
        <v>0</v>
      </c>
    </row>
    <row r="103" spans="1:11" hidden="1" x14ac:dyDescent="0.35">
      <c r="A103" s="38" cm="1">
        <f t="array" ref="A103">_xlfn.IFS(B103&lt;1,"",B103&lt;=2,1,B103&lt;=4,2,B103&lt;=8,3)</f>
        <v>3</v>
      </c>
      <c r="B103" s="1">
        <f>LEN('PLANILHA ORÇAMENTÁRIA'!$E103)</f>
        <v>5</v>
      </c>
      <c r="C103" t="str">
        <f>IF(AND(Tabela6[[#This Row],[IND.]]&gt;=5,Tabela6[[#This Row],[QUANT]]=0),"X","")</f>
        <v>X</v>
      </c>
      <c r="E103" s="58" t="s">
        <v>200</v>
      </c>
      <c r="F103" s="60" t="s">
        <v>201</v>
      </c>
      <c r="G103" s="60" t="s">
        <v>25</v>
      </c>
      <c r="H103" s="61"/>
      <c r="I103" s="62" t="s">
        <v>26</v>
      </c>
      <c r="J103" s="57">
        <v>0</v>
      </c>
      <c r="K103" s="57">
        <v>0</v>
      </c>
    </row>
    <row r="104" spans="1:11" hidden="1" x14ac:dyDescent="0.35">
      <c r="A104" s="38" cm="1">
        <f t="array" ref="A104">_xlfn.IFS(B104&lt;1,"",B104&lt;=2,1,B104&lt;=4,2,B104&lt;=8,3)</f>
        <v>3</v>
      </c>
      <c r="B104" s="1">
        <f>LEN('PLANILHA ORÇAMENTÁRIA'!$E104)</f>
        <v>5</v>
      </c>
      <c r="C104" t="str">
        <f>IF(AND(Tabela6[[#This Row],[IND.]]&gt;=5,Tabela6[[#This Row],[QUANT]]=0),"X","")</f>
        <v>X</v>
      </c>
      <c r="E104" s="58" t="s">
        <v>202</v>
      </c>
      <c r="F104" s="60" t="s">
        <v>203</v>
      </c>
      <c r="G104" s="60" t="s">
        <v>25</v>
      </c>
      <c r="H104" s="61"/>
      <c r="I104" s="62" t="s">
        <v>26</v>
      </c>
      <c r="J104" s="57">
        <v>0</v>
      </c>
      <c r="K104" s="57">
        <v>0</v>
      </c>
    </row>
    <row r="105" spans="1:11" ht="15" thickBot="1" x14ac:dyDescent="0.4">
      <c r="A105" s="38" cm="1">
        <f t="array" ref="A105">_xlfn.IFS(B105&lt;1,"",B105&lt;=2,1,B105&lt;=4,2,B105&lt;=8,3)</f>
        <v>3</v>
      </c>
      <c r="B105" s="1">
        <f>LEN('PLANILHA ORÇAMENTÁRIA'!$E105)</f>
        <v>5</v>
      </c>
      <c r="C105" t="str">
        <f>IF(AND(Tabela6[[#This Row],[IND.]]&gt;=5,Tabela6[[#This Row],[QUANT]]=0),"X","")</f>
        <v/>
      </c>
      <c r="E105" s="87" t="s">
        <v>204</v>
      </c>
      <c r="F105" s="60" t="s">
        <v>205</v>
      </c>
      <c r="G105" s="60" t="s">
        <v>25</v>
      </c>
      <c r="H105" s="61">
        <v>6</v>
      </c>
      <c r="I105" s="62" t="s">
        <v>26</v>
      </c>
      <c r="J105" s="57">
        <v>101.67</v>
      </c>
      <c r="K105" s="57">
        <v>610.02</v>
      </c>
    </row>
    <row r="106" spans="1:11" ht="15" hidden="1" thickBot="1" x14ac:dyDescent="0.4">
      <c r="A106" s="38" cm="1">
        <f t="array" ref="A106">_xlfn.IFS(B106&lt;1,"",B106&lt;=2,1,B106&lt;=4,2,B106&lt;=8,3)</f>
        <v>3</v>
      </c>
      <c r="B106" s="1">
        <f>LEN('PLANILHA ORÇAMENTÁRIA'!$E106)</f>
        <v>5</v>
      </c>
      <c r="C106" t="str">
        <f>IF(AND(Tabela6[[#This Row],[IND.]]&gt;=5,Tabela6[[#This Row],[QUANT]]=0),"X","")</f>
        <v>X</v>
      </c>
      <c r="E106" s="58" t="s">
        <v>206</v>
      </c>
      <c r="F106" s="60" t="s">
        <v>207</v>
      </c>
      <c r="G106" s="60" t="s">
        <v>25</v>
      </c>
      <c r="H106" s="61"/>
      <c r="I106" s="62" t="s">
        <v>26</v>
      </c>
      <c r="J106" s="57">
        <v>0</v>
      </c>
      <c r="K106" s="57">
        <v>0</v>
      </c>
    </row>
    <row r="107" spans="1:11" ht="15" hidden="1" thickBot="1" x14ac:dyDescent="0.4">
      <c r="A107" s="38" cm="1">
        <f t="array" ref="A107">_xlfn.IFS(B107&lt;1,"",B107&lt;=2,1,B107&lt;=4,2,B107&lt;=8,3)</f>
        <v>3</v>
      </c>
      <c r="B107" s="1">
        <f>LEN('PLANILHA ORÇAMENTÁRIA'!$E107)</f>
        <v>5</v>
      </c>
      <c r="C107" t="str">
        <f>IF(AND(Tabela6[[#This Row],[IND.]]&gt;=5,Tabela6[[#This Row],[QUANT]]=0),"X","")</f>
        <v>X</v>
      </c>
      <c r="E107" s="58" t="s">
        <v>208</v>
      </c>
      <c r="F107" s="60" t="s">
        <v>209</v>
      </c>
      <c r="G107" s="60" t="s">
        <v>25</v>
      </c>
      <c r="H107" s="61"/>
      <c r="I107" s="62" t="s">
        <v>26</v>
      </c>
      <c r="J107" s="57">
        <v>0</v>
      </c>
      <c r="K107" s="57">
        <v>0</v>
      </c>
    </row>
    <row r="108" spans="1:11" ht="15" hidden="1" thickBot="1" x14ac:dyDescent="0.4">
      <c r="A108" s="38" cm="1">
        <f t="array" ref="A108">_xlfn.IFS(B108&lt;1,"",B108&lt;=2,1,B108&lt;=4,2,B108&lt;=8,3)</f>
        <v>3</v>
      </c>
      <c r="B108" s="1">
        <f>LEN('PLANILHA ORÇAMENTÁRIA'!$E108)</f>
        <v>6</v>
      </c>
      <c r="C108" t="str">
        <f>IF(AND(Tabela6[[#This Row],[IND.]]&gt;=5,Tabela6[[#This Row],[QUANT]]=0),"X","")</f>
        <v>X</v>
      </c>
      <c r="E108" s="58" t="s">
        <v>210</v>
      </c>
      <c r="F108" s="60" t="s">
        <v>211</v>
      </c>
      <c r="G108" s="60" t="s">
        <v>25</v>
      </c>
      <c r="H108" s="61"/>
      <c r="I108" s="62" t="s">
        <v>41</v>
      </c>
      <c r="J108" s="57">
        <v>0</v>
      </c>
      <c r="K108" s="57">
        <v>0</v>
      </c>
    </row>
    <row r="109" spans="1:11" ht="15" hidden="1" thickBot="1" x14ac:dyDescent="0.4">
      <c r="A109" s="38" cm="1">
        <f t="array" ref="A109">_xlfn.IFS(B109&lt;1,"",B109&lt;=2,1,B109&lt;=4,2,B109&lt;=8,3)</f>
        <v>3</v>
      </c>
      <c r="B109" s="1">
        <f>LEN('PLANILHA ORÇAMENTÁRIA'!$E109)</f>
        <v>6</v>
      </c>
      <c r="C109" t="str">
        <f>IF(AND(Tabela6[[#This Row],[IND.]]&gt;=5,Tabela6[[#This Row],[QUANT]]=0),"X","")</f>
        <v>X</v>
      </c>
      <c r="E109" s="58" t="s">
        <v>212</v>
      </c>
      <c r="F109" s="60" t="s">
        <v>213</v>
      </c>
      <c r="G109" s="60" t="s">
        <v>25</v>
      </c>
      <c r="H109" s="61"/>
      <c r="I109" s="62" t="s">
        <v>41</v>
      </c>
      <c r="J109" s="57">
        <v>0</v>
      </c>
      <c r="K109" s="57">
        <v>0</v>
      </c>
    </row>
    <row r="110" spans="1:11" ht="15" hidden="1" thickBot="1" x14ac:dyDescent="0.4">
      <c r="A110" s="38" cm="1">
        <f t="array" ref="A110">_xlfn.IFS(B110&lt;1,"",B110&lt;=2,1,B110&lt;=4,2,B110&lt;=8,3)</f>
        <v>3</v>
      </c>
      <c r="B110" s="1">
        <f>LEN('PLANILHA ORÇAMENTÁRIA'!$E110)</f>
        <v>6</v>
      </c>
      <c r="C110" t="str">
        <f>IF(AND(Tabela6[[#This Row],[IND.]]&gt;=5,Tabela6[[#This Row],[QUANT]]=0),"X","")</f>
        <v>X</v>
      </c>
      <c r="E110" s="58" t="s">
        <v>214</v>
      </c>
      <c r="F110" s="60" t="s">
        <v>215</v>
      </c>
      <c r="G110" s="60" t="s">
        <v>25</v>
      </c>
      <c r="H110" s="61"/>
      <c r="I110" s="62" t="s">
        <v>41</v>
      </c>
      <c r="J110" s="57">
        <v>0</v>
      </c>
      <c r="K110" s="57">
        <v>0</v>
      </c>
    </row>
    <row r="111" spans="1:11" ht="15" hidden="1" thickBot="1" x14ac:dyDescent="0.4">
      <c r="A111" s="38" cm="1">
        <f t="array" ref="A111">_xlfn.IFS(B111&lt;1,"",B111&lt;=2,1,B111&lt;=4,2,B111&lt;=8,3)</f>
        <v>3</v>
      </c>
      <c r="B111" s="1">
        <f>LEN('PLANILHA ORÇAMENTÁRIA'!$E111)</f>
        <v>6</v>
      </c>
      <c r="C111" t="str">
        <f>IF(AND(Tabela6[[#This Row],[IND.]]&gt;=5,Tabela6[[#This Row],[QUANT]]=0),"X","")</f>
        <v>X</v>
      </c>
      <c r="E111" s="58" t="s">
        <v>216</v>
      </c>
      <c r="F111" s="60" t="s">
        <v>217</v>
      </c>
      <c r="G111" s="60" t="s">
        <v>25</v>
      </c>
      <c r="H111" s="61"/>
      <c r="I111" s="62" t="s">
        <v>41</v>
      </c>
      <c r="J111" s="57">
        <v>0</v>
      </c>
      <c r="K111" s="57">
        <v>0</v>
      </c>
    </row>
    <row r="112" spans="1:11" x14ac:dyDescent="0.35">
      <c r="A112" s="38" cm="1">
        <f t="array" ref="A112">_xlfn.IFS(B112&lt;1,"",B112&lt;=2,1,B112&lt;=4,2,B112&lt;=8,3)</f>
        <v>1</v>
      </c>
      <c r="B112" s="1">
        <f>LEN('PLANILHA ORÇAMENTÁRIA'!$E112)</f>
        <v>1</v>
      </c>
      <c r="C112" t="str">
        <f>IF(Tabela6[[#This Row],[QUANT]]="x","x","")</f>
        <v/>
      </c>
      <c r="E112" s="141">
        <v>4</v>
      </c>
      <c r="F112" s="79" t="s">
        <v>218</v>
      </c>
      <c r="G112" s="79"/>
      <c r="H112" s="80" t="str">
        <f>IF(SUM(H113:H160)=0,"x","")</f>
        <v/>
      </c>
      <c r="I112" s="80"/>
      <c r="J112" s="81"/>
      <c r="K112" s="81">
        <f>SUMIF($A$113:$A$160,"2",K113:K160)</f>
        <v>551321.89161000005</v>
      </c>
    </row>
    <row r="113" spans="1:11" x14ac:dyDescent="0.35">
      <c r="A113" s="38" cm="1">
        <f t="array" ref="A113">_xlfn.IFS(B113&lt;1,"",B113&lt;=2,1,B113&lt;=4,2,B113&lt;=8,3)</f>
        <v>2</v>
      </c>
      <c r="B113" s="1">
        <f>LEN('PLANILHA ORÇAMENTÁRIA'!$E113)</f>
        <v>3</v>
      </c>
      <c r="C113" t="str">
        <f>IF(Tabela6[[#This Row],[QUANT]]="x","x","")</f>
        <v/>
      </c>
      <c r="E113" s="142" t="s">
        <v>219</v>
      </c>
      <c r="F113" s="54" t="s">
        <v>220</v>
      </c>
      <c r="G113" s="54"/>
      <c r="H113" s="55" t="str">
        <f>IF(SUM(H114:H121)=0,"x","")</f>
        <v/>
      </c>
      <c r="I113" s="55"/>
      <c r="J113" s="56"/>
      <c r="K113" s="56">
        <f>SUMIF($A$114:$A$121,"3",K114:K121)</f>
        <v>46420.781509999993</v>
      </c>
    </row>
    <row r="114" spans="1:11" hidden="1" x14ac:dyDescent="0.35">
      <c r="A114" s="38" cm="1">
        <f t="array" ref="A114">_xlfn.IFS(B114&lt;1,"",B114&lt;=2,1,B114&lt;=4,2,B114&lt;=8,3)</f>
        <v>3</v>
      </c>
      <c r="B114" s="1">
        <f>LEN('PLANILHA ORÇAMENTÁRIA'!$E114)</f>
        <v>5</v>
      </c>
      <c r="C114" t="str">
        <f>IF(AND(Tabela6[[#This Row],[IND.]]&gt;=5,Tabela6[[#This Row],[QUANT]]=0),"X","")</f>
        <v>X</v>
      </c>
      <c r="E114" s="58" t="s">
        <v>221</v>
      </c>
      <c r="F114" s="60" t="s">
        <v>222</v>
      </c>
      <c r="G114" s="60" t="s">
        <v>223</v>
      </c>
      <c r="H114" s="61"/>
      <c r="I114" s="62" t="s">
        <v>41</v>
      </c>
      <c r="J114" s="57">
        <v>0</v>
      </c>
      <c r="K114" s="57">
        <v>0</v>
      </c>
    </row>
    <row r="115" spans="1:11" hidden="1" x14ac:dyDescent="0.35">
      <c r="A115" s="38" cm="1">
        <f t="array" ref="A115">_xlfn.IFS(B115&lt;1,"",B115&lt;=2,1,B115&lt;=4,2,B115&lt;=8,3)</f>
        <v>3</v>
      </c>
      <c r="B115" s="1">
        <f>LEN('PLANILHA ORÇAMENTÁRIA'!$E115)</f>
        <v>5</v>
      </c>
      <c r="C115" t="str">
        <f>IF(AND(Tabela6[[#This Row],[IND.]]&gt;=5,Tabela6[[#This Row],[QUANT]]=0),"X","")</f>
        <v>X</v>
      </c>
      <c r="E115" s="58" t="s">
        <v>224</v>
      </c>
      <c r="F115" s="60" t="s">
        <v>225</v>
      </c>
      <c r="G115" s="60" t="s">
        <v>223</v>
      </c>
      <c r="H115" s="61"/>
      <c r="I115" s="62" t="s">
        <v>41</v>
      </c>
      <c r="J115" s="57">
        <v>0</v>
      </c>
      <c r="K115" s="57">
        <v>0</v>
      </c>
    </row>
    <row r="116" spans="1:11" hidden="1" x14ac:dyDescent="0.35">
      <c r="A116" s="38" cm="1">
        <f t="array" ref="A116">_xlfn.IFS(B116&lt;1,"",B116&lt;=2,1,B116&lt;=4,2,B116&lt;=8,3)</f>
        <v>3</v>
      </c>
      <c r="B116" s="1">
        <f>LEN('PLANILHA ORÇAMENTÁRIA'!$E116)</f>
        <v>5</v>
      </c>
      <c r="C116" t="str">
        <f>IF(AND(Tabela6[[#This Row],[IND.]]&gt;=5,Tabela6[[#This Row],[QUANT]]=0),"X","")</f>
        <v>X</v>
      </c>
      <c r="E116" s="58" t="s">
        <v>226</v>
      </c>
      <c r="F116" s="60" t="s">
        <v>227</v>
      </c>
      <c r="G116" s="60" t="s">
        <v>223</v>
      </c>
      <c r="H116" s="61"/>
      <c r="I116" s="62" t="s">
        <v>41</v>
      </c>
      <c r="J116" s="57">
        <v>0</v>
      </c>
      <c r="K116" s="57">
        <v>0</v>
      </c>
    </row>
    <row r="117" spans="1:11" hidden="1" x14ac:dyDescent="0.35">
      <c r="A117" s="38" cm="1">
        <f t="array" ref="A117">_xlfn.IFS(B117&lt;1,"",B117&lt;=2,1,B117&lt;=4,2,B117&lt;=8,3)</f>
        <v>3</v>
      </c>
      <c r="B117" s="1">
        <f>LEN('PLANILHA ORÇAMENTÁRIA'!$E117)</f>
        <v>5</v>
      </c>
      <c r="C117" t="str">
        <f>IF(AND(Tabela6[[#This Row],[IND.]]&gt;=5,Tabela6[[#This Row],[QUANT]]=0),"X","")</f>
        <v>X</v>
      </c>
      <c r="E117" s="58" t="s">
        <v>228</v>
      </c>
      <c r="F117" s="60" t="s">
        <v>229</v>
      </c>
      <c r="G117" s="60" t="s">
        <v>223</v>
      </c>
      <c r="H117" s="61"/>
      <c r="I117" s="62" t="s">
        <v>41</v>
      </c>
      <c r="J117" s="57">
        <v>0</v>
      </c>
      <c r="K117" s="57">
        <v>0</v>
      </c>
    </row>
    <row r="118" spans="1:11" hidden="1" x14ac:dyDescent="0.35">
      <c r="A118" s="38" cm="1">
        <f t="array" ref="A118">_xlfn.IFS(B118&lt;1,"",B118&lt;=2,1,B118&lt;=4,2,B118&lt;=8,3)</f>
        <v>3</v>
      </c>
      <c r="B118" s="1">
        <f>LEN('PLANILHA ORÇAMENTÁRIA'!$E118)</f>
        <v>5</v>
      </c>
      <c r="C118" t="str">
        <f>IF(AND(Tabela6[[#This Row],[IND.]]&gt;=5,Tabela6[[#This Row],[QUANT]]=0),"X","")</f>
        <v>X</v>
      </c>
      <c r="E118" s="58" t="s">
        <v>230</v>
      </c>
      <c r="F118" s="60" t="s">
        <v>231</v>
      </c>
      <c r="G118" s="60" t="s">
        <v>223</v>
      </c>
      <c r="H118" s="61"/>
      <c r="I118" s="62" t="s">
        <v>41</v>
      </c>
      <c r="J118" s="57">
        <v>0</v>
      </c>
      <c r="K118" s="57">
        <v>0</v>
      </c>
    </row>
    <row r="119" spans="1:11" hidden="1" x14ac:dyDescent="0.35">
      <c r="A119" s="38" cm="1">
        <f t="array" ref="A119">_xlfn.IFS(B119&lt;1,"",B119&lt;=2,1,B119&lt;=4,2,B119&lt;=8,3)</f>
        <v>3</v>
      </c>
      <c r="B119" s="1">
        <f>LEN('PLANILHA ORÇAMENTÁRIA'!$E119)</f>
        <v>6</v>
      </c>
      <c r="C119" t="str">
        <f>IF(AND(Tabela6[[#This Row],[IND.]]&gt;=5,Tabela6[[#This Row],[QUANT]]=0),"X","")</f>
        <v>X</v>
      </c>
      <c r="E119" s="58" t="s">
        <v>232</v>
      </c>
      <c r="F119" s="60" t="s">
        <v>233</v>
      </c>
      <c r="G119" s="60" t="s">
        <v>223</v>
      </c>
      <c r="H119" s="61"/>
      <c r="I119" s="62" t="s">
        <v>111</v>
      </c>
      <c r="J119" s="57">
        <v>0</v>
      </c>
      <c r="K119" s="57">
        <v>0</v>
      </c>
    </row>
    <row r="120" spans="1:11" x14ac:dyDescent="0.35">
      <c r="A120" s="38" cm="1">
        <f t="array" ref="A120">_xlfn.IFS(B120&lt;1,"",B120&lt;=2,1,B120&lt;=4,2,B120&lt;=8,3)</f>
        <v>3</v>
      </c>
      <c r="B120" s="1">
        <f>LEN('PLANILHA ORÇAMENTÁRIA'!$E120)</f>
        <v>6</v>
      </c>
      <c r="C120" t="str">
        <f>IF(AND(Tabela6[[#This Row],[IND.]]&gt;=5,Tabela6[[#This Row],[QUANT]]=0),"X","")</f>
        <v/>
      </c>
      <c r="E120" s="87" t="s">
        <v>234</v>
      </c>
      <c r="F120" s="60" t="s">
        <v>235</v>
      </c>
      <c r="G120" s="60" t="s">
        <v>223</v>
      </c>
      <c r="H120" s="61">
        <f>H60</f>
        <v>777.18999999999994</v>
      </c>
      <c r="I120" s="62" t="s">
        <v>41</v>
      </c>
      <c r="J120" s="57">
        <v>38.33</v>
      </c>
      <c r="K120" s="57">
        <v>29789.692699999996</v>
      </c>
    </row>
    <row r="121" spans="1:11" x14ac:dyDescent="0.35">
      <c r="A121" s="38" cm="1">
        <f t="array" ref="A121">_xlfn.IFS(B121&lt;1,"",B121&lt;=2,1,B121&lt;=4,2,B121&lt;=8,3)</f>
        <v>3</v>
      </c>
      <c r="B121" s="1">
        <f>LEN('PLANILHA ORÇAMENTÁRIA'!$E121)</f>
        <v>6</v>
      </c>
      <c r="C121" t="str">
        <f>IF(AND(Tabela6[[#This Row],[IND.]]&gt;=5,Tabela6[[#This Row],[QUANT]]=0),"X","")</f>
        <v/>
      </c>
      <c r="E121" s="87" t="s">
        <v>236</v>
      </c>
      <c r="F121" s="60" t="s">
        <v>237</v>
      </c>
      <c r="G121" s="60" t="s">
        <v>223</v>
      </c>
      <c r="H121" s="61">
        <f>H120*0.3</f>
        <v>233.15699999999998</v>
      </c>
      <c r="I121" s="62" t="s">
        <v>41</v>
      </c>
      <c r="J121" s="57">
        <v>71.33</v>
      </c>
      <c r="K121" s="57">
        <v>16631.088809999997</v>
      </c>
    </row>
    <row r="122" spans="1:11" hidden="1" x14ac:dyDescent="0.35">
      <c r="A122" s="38" cm="1">
        <f t="array" ref="A122">_xlfn.IFS(B122&lt;1,"",B122&lt;=2,1,B122&lt;=4,2,B122&lt;=8,3)</f>
        <v>2</v>
      </c>
      <c r="B122" s="1">
        <f>LEN('PLANILHA ORÇAMENTÁRIA'!$E122)</f>
        <v>3</v>
      </c>
      <c r="C122" t="str">
        <f>IF(Tabela6[[#This Row],[QUANT]]="x","x","")</f>
        <v>x</v>
      </c>
      <c r="E122" s="53" t="s">
        <v>238</v>
      </c>
      <c r="F122" s="54" t="s">
        <v>239</v>
      </c>
      <c r="G122" s="54"/>
      <c r="H122" s="55" t="str">
        <f>IF(SUM(H123:H126)=0,"x","")</f>
        <v>x</v>
      </c>
      <c r="I122" s="55"/>
      <c r="J122" s="56"/>
      <c r="K122" s="56">
        <f>SUMIF($A$123:$A$126,"3",K123:K126)</f>
        <v>0</v>
      </c>
    </row>
    <row r="123" spans="1:11" hidden="1" x14ac:dyDescent="0.35">
      <c r="A123" s="38" cm="1">
        <f t="array" ref="A123">_xlfn.IFS(B123&lt;1,"",B123&lt;=2,1,B123&lt;=4,2,B123&lt;=8,3)</f>
        <v>3</v>
      </c>
      <c r="B123" s="1">
        <f>LEN('PLANILHA ORÇAMENTÁRIA'!$E123)</f>
        <v>5</v>
      </c>
      <c r="C123" t="str">
        <f>IF(AND(Tabela6[[#This Row],[IND.]]&gt;=5,Tabela6[[#This Row],[QUANT]]=0),"X","")</f>
        <v>X</v>
      </c>
      <c r="E123" s="58" t="s">
        <v>240</v>
      </c>
      <c r="F123" s="60" t="s">
        <v>222</v>
      </c>
      <c r="G123" s="60" t="s">
        <v>223</v>
      </c>
      <c r="H123" s="61"/>
      <c r="I123" s="62" t="s">
        <v>41</v>
      </c>
      <c r="J123" s="57">
        <v>0</v>
      </c>
      <c r="K123" s="57">
        <v>0</v>
      </c>
    </row>
    <row r="124" spans="1:11" hidden="1" x14ac:dyDescent="0.35">
      <c r="A124" s="38" cm="1">
        <f t="array" ref="A124">_xlfn.IFS(B124&lt;1,"",B124&lt;=2,1,B124&lt;=4,2,B124&lt;=8,3)</f>
        <v>3</v>
      </c>
      <c r="B124" s="1">
        <f>LEN('PLANILHA ORÇAMENTÁRIA'!$E124)</f>
        <v>5</v>
      </c>
      <c r="C124" t="str">
        <f>IF(AND(Tabela6[[#This Row],[IND.]]&gt;=5,Tabela6[[#This Row],[QUANT]]=0),"X","")</f>
        <v>X</v>
      </c>
      <c r="E124" s="58" t="s">
        <v>241</v>
      </c>
      <c r="F124" s="60" t="s">
        <v>242</v>
      </c>
      <c r="G124" s="60" t="s">
        <v>223</v>
      </c>
      <c r="H124" s="61"/>
      <c r="I124" s="62" t="s">
        <v>41</v>
      </c>
      <c r="J124" s="57">
        <v>0</v>
      </c>
      <c r="K124" s="57">
        <v>0</v>
      </c>
    </row>
    <row r="125" spans="1:11" hidden="1" x14ac:dyDescent="0.35">
      <c r="A125" s="38" cm="1">
        <f t="array" ref="A125">_xlfn.IFS(B125&lt;1,"",B125&lt;=2,1,B125&lt;=4,2,B125&lt;=8,3)</f>
        <v>3</v>
      </c>
      <c r="B125" s="1">
        <f>LEN('PLANILHA ORÇAMENTÁRIA'!$E125)</f>
        <v>5</v>
      </c>
      <c r="C125" t="str">
        <f>IF(AND(Tabela6[[#This Row],[IND.]]&gt;=5,Tabela6[[#This Row],[QUANT]]=0),"X","")</f>
        <v>X</v>
      </c>
      <c r="E125" s="58" t="s">
        <v>243</v>
      </c>
      <c r="F125" s="60" t="s">
        <v>244</v>
      </c>
      <c r="G125" s="60" t="s">
        <v>223</v>
      </c>
      <c r="H125" s="61"/>
      <c r="I125" s="62" t="s">
        <v>41</v>
      </c>
      <c r="J125" s="57">
        <v>0</v>
      </c>
      <c r="K125" s="57">
        <v>0</v>
      </c>
    </row>
    <row r="126" spans="1:11" hidden="1" x14ac:dyDescent="0.35">
      <c r="A126" s="38" cm="1">
        <f t="array" ref="A126">_xlfn.IFS(B126&lt;1,"",B126&lt;=2,1,B126&lt;=4,2,B126&lt;=8,3)</f>
        <v>3</v>
      </c>
      <c r="B126" s="1">
        <f>LEN('PLANILHA ORÇAMENTÁRIA'!$E126)</f>
        <v>5</v>
      </c>
      <c r="C126" t="str">
        <f>IF(AND(Tabela6[[#This Row],[IND.]]&gt;=5,Tabela6[[#This Row],[QUANT]]=0),"X","")</f>
        <v>X</v>
      </c>
      <c r="E126" s="58" t="s">
        <v>245</v>
      </c>
      <c r="F126" s="60" t="s">
        <v>246</v>
      </c>
      <c r="G126" s="60" t="s">
        <v>223</v>
      </c>
      <c r="H126" s="61"/>
      <c r="I126" s="62" t="s">
        <v>41</v>
      </c>
      <c r="J126" s="57">
        <v>0</v>
      </c>
      <c r="K126" s="57">
        <v>0</v>
      </c>
    </row>
    <row r="127" spans="1:11" x14ac:dyDescent="0.35">
      <c r="A127" s="38" cm="1">
        <f t="array" ref="A127">_xlfn.IFS(B127&lt;1,"",B127&lt;=2,1,B127&lt;=4,2,B127&lt;=8,3)</f>
        <v>2</v>
      </c>
      <c r="B127" s="1">
        <f>LEN('PLANILHA ORÇAMENTÁRIA'!$E127)</f>
        <v>3</v>
      </c>
      <c r="C127" t="str">
        <f>IF(Tabela6[[#This Row],[QUANT]]="x","x","")</f>
        <v/>
      </c>
      <c r="E127" s="142" t="s">
        <v>247</v>
      </c>
      <c r="F127" s="54" t="s">
        <v>248</v>
      </c>
      <c r="G127" s="54"/>
      <c r="H127" s="55" t="str">
        <f>IF(SUM(H128:H143)=0,"x","")</f>
        <v/>
      </c>
      <c r="I127" s="55"/>
      <c r="J127" s="56"/>
      <c r="K127" s="56">
        <f>SUMIF($A$128:$A$143,"3",K128:K143)</f>
        <v>38325.455999999998</v>
      </c>
    </row>
    <row r="128" spans="1:11" hidden="1" x14ac:dyDescent="0.35">
      <c r="A128" s="38" cm="1">
        <f t="array" ref="A128">_xlfn.IFS(B128&lt;1,"",B128&lt;=2,1,B128&lt;=4,2,B128&lt;=8,3)</f>
        <v>3</v>
      </c>
      <c r="B128" s="1">
        <f>LEN('PLANILHA ORÇAMENTÁRIA'!$E128)</f>
        <v>5</v>
      </c>
      <c r="C128" t="str">
        <f>IF(AND(Tabela6[[#This Row],[IND.]]&gt;=5,Tabela6[[#This Row],[QUANT]]=0),"X","")</f>
        <v>X</v>
      </c>
      <c r="E128" s="58" t="s">
        <v>249</v>
      </c>
      <c r="F128" s="60" t="s">
        <v>250</v>
      </c>
      <c r="G128" s="60" t="s">
        <v>223</v>
      </c>
      <c r="H128" s="61"/>
      <c r="I128" s="62" t="s">
        <v>41</v>
      </c>
      <c r="J128" s="57">
        <v>0</v>
      </c>
      <c r="K128" s="57">
        <v>0</v>
      </c>
    </row>
    <row r="129" spans="1:11" ht="29" hidden="1" x14ac:dyDescent="0.35">
      <c r="A129" s="38" cm="1">
        <f t="array" ref="A129">_xlfn.IFS(B129&lt;1,"",B129&lt;=2,1,B129&lt;=4,2,B129&lt;=8,3)</f>
        <v>3</v>
      </c>
      <c r="B129" s="1">
        <f>LEN('PLANILHA ORÇAMENTÁRIA'!$E129)</f>
        <v>5</v>
      </c>
      <c r="C129" t="str">
        <f>IF(AND(Tabela6[[#This Row],[IND.]]&gt;=5,Tabela6[[#This Row],[QUANT]]=0),"X","")</f>
        <v>X</v>
      </c>
      <c r="E129" s="58" t="s">
        <v>251</v>
      </c>
      <c r="F129" s="59" t="s">
        <v>252</v>
      </c>
      <c r="G129" s="60" t="s">
        <v>223</v>
      </c>
      <c r="H129" s="61"/>
      <c r="I129" s="62" t="s">
        <v>41</v>
      </c>
      <c r="J129" s="57">
        <v>0</v>
      </c>
      <c r="K129" s="57">
        <v>0</v>
      </c>
    </row>
    <row r="130" spans="1:11" hidden="1" x14ac:dyDescent="0.35">
      <c r="A130" s="38" cm="1">
        <f t="array" ref="A130">_xlfn.IFS(B130&lt;1,"",B130&lt;=2,1,B130&lt;=4,2,B130&lt;=8,3)</f>
        <v>3</v>
      </c>
      <c r="B130" s="1">
        <f>LEN('PLANILHA ORÇAMENTÁRIA'!$E130)</f>
        <v>5</v>
      </c>
      <c r="C130" t="str">
        <f>IF(AND(Tabela6[[#This Row],[IND.]]&gt;=5,Tabela6[[#This Row],[QUANT]]=0),"X","")</f>
        <v>X</v>
      </c>
      <c r="E130" s="58" t="s">
        <v>253</v>
      </c>
      <c r="F130" s="60" t="s">
        <v>254</v>
      </c>
      <c r="G130" s="60" t="s">
        <v>223</v>
      </c>
      <c r="H130" s="61"/>
      <c r="I130" s="62" t="s">
        <v>41</v>
      </c>
      <c r="J130" s="57">
        <v>0</v>
      </c>
      <c r="K130" s="57">
        <v>0</v>
      </c>
    </row>
    <row r="131" spans="1:11" hidden="1" x14ac:dyDescent="0.35">
      <c r="A131" s="38" cm="1">
        <f t="array" ref="A131">_xlfn.IFS(B131&lt;1,"",B131&lt;=2,1,B131&lt;=4,2,B131&lt;=8,3)</f>
        <v>3</v>
      </c>
      <c r="B131" s="1">
        <f>LEN('PLANILHA ORÇAMENTÁRIA'!$E131)</f>
        <v>5</v>
      </c>
      <c r="C131" t="str">
        <f>IF(AND(Tabela6[[#This Row],[IND.]]&gt;=5,Tabela6[[#This Row],[QUANT]]=0),"X","")</f>
        <v>X</v>
      </c>
      <c r="E131" s="58" t="s">
        <v>255</v>
      </c>
      <c r="F131" s="60" t="s">
        <v>256</v>
      </c>
      <c r="G131" s="60" t="s">
        <v>223</v>
      </c>
      <c r="H131" s="61"/>
      <c r="I131" s="62" t="s">
        <v>41</v>
      </c>
      <c r="J131" s="57">
        <v>0</v>
      </c>
      <c r="K131" s="57">
        <v>0</v>
      </c>
    </row>
    <row r="132" spans="1:11" ht="29" x14ac:dyDescent="0.35">
      <c r="A132" s="38" cm="1">
        <f t="array" ref="A132">_xlfn.IFS(B132&lt;1,"",B132&lt;=2,1,B132&lt;=4,2,B132&lt;=8,3)</f>
        <v>3</v>
      </c>
      <c r="B132" s="1">
        <f>LEN('PLANILHA ORÇAMENTÁRIA'!$E132)</f>
        <v>5</v>
      </c>
      <c r="C132" t="str">
        <f>IF(AND(Tabela6[[#This Row],[IND.]]&gt;=5,Tabela6[[#This Row],[QUANT]]=0),"X","")</f>
        <v/>
      </c>
      <c r="E132" s="87" t="s">
        <v>257</v>
      </c>
      <c r="F132" s="59" t="s">
        <v>258</v>
      </c>
      <c r="G132" s="60" t="s">
        <v>223</v>
      </c>
      <c r="H132" s="61">
        <f>97.49+10.48</f>
        <v>107.97</v>
      </c>
      <c r="I132" s="62" t="s">
        <v>41</v>
      </c>
      <c r="J132" s="57">
        <v>209.73</v>
      </c>
      <c r="K132" s="57">
        <v>22644.5481</v>
      </c>
    </row>
    <row r="133" spans="1:11" ht="29" hidden="1" x14ac:dyDescent="0.35">
      <c r="A133" s="38" cm="1">
        <f t="array" ref="A133">_xlfn.IFS(B133&lt;1,"",B133&lt;=2,1,B133&lt;=4,2,B133&lt;=8,3)</f>
        <v>3</v>
      </c>
      <c r="B133" s="1">
        <f>LEN('PLANILHA ORÇAMENTÁRIA'!$E133)</f>
        <v>5</v>
      </c>
      <c r="C133" t="str">
        <f>IF(AND(Tabela6[[#This Row],[IND.]]&gt;=5,Tabela6[[#This Row],[QUANT]]=0),"X","")</f>
        <v>X</v>
      </c>
      <c r="E133" s="58" t="s">
        <v>259</v>
      </c>
      <c r="F133" s="59" t="s">
        <v>260</v>
      </c>
      <c r="G133" s="60" t="s">
        <v>223</v>
      </c>
      <c r="H133" s="61"/>
      <c r="I133" s="62" t="s">
        <v>41</v>
      </c>
      <c r="J133" s="57">
        <v>0</v>
      </c>
      <c r="K133" s="57">
        <v>0</v>
      </c>
    </row>
    <row r="134" spans="1:11" ht="29" hidden="1" x14ac:dyDescent="0.35">
      <c r="A134" s="38" cm="1">
        <f t="array" ref="A134">_xlfn.IFS(B134&lt;1,"",B134&lt;=2,1,B134&lt;=4,2,B134&lt;=8,3)</f>
        <v>3</v>
      </c>
      <c r="B134" s="1">
        <f>LEN('PLANILHA ORÇAMENTÁRIA'!$E134)</f>
        <v>5</v>
      </c>
      <c r="C134" t="str">
        <f>IF(AND(Tabela6[[#This Row],[IND.]]&gt;=5,Tabela6[[#This Row],[QUANT]]=0),"X","")</f>
        <v>X</v>
      </c>
      <c r="E134" s="58" t="s">
        <v>261</v>
      </c>
      <c r="F134" s="59" t="s">
        <v>262</v>
      </c>
      <c r="G134" s="60" t="s">
        <v>223</v>
      </c>
      <c r="H134" s="61"/>
      <c r="I134" s="62" t="s">
        <v>41</v>
      </c>
      <c r="J134" s="57">
        <v>0</v>
      </c>
      <c r="K134" s="57">
        <v>0</v>
      </c>
    </row>
    <row r="135" spans="1:11" ht="15" hidden="1" customHeight="1" x14ac:dyDescent="0.35">
      <c r="A135" s="38" cm="1">
        <f t="array" ref="A135">_xlfn.IFS(B135&lt;1,"",B135&lt;=2,1,B135&lt;=4,2,B135&lt;=8,3)</f>
        <v>3</v>
      </c>
      <c r="B135" s="1">
        <f>LEN('PLANILHA ORÇAMENTÁRIA'!$E135)</f>
        <v>5</v>
      </c>
      <c r="C135" t="str">
        <f>IF(AND(Tabela6[[#This Row],[IND.]]&gt;=5,Tabela6[[#This Row],[QUANT]]=0),"X","")</f>
        <v>X</v>
      </c>
      <c r="E135" s="58" t="s">
        <v>263</v>
      </c>
      <c r="F135" s="59" t="s">
        <v>264</v>
      </c>
      <c r="G135" s="60" t="s">
        <v>223</v>
      </c>
      <c r="H135" s="61"/>
      <c r="I135" s="62" t="s">
        <v>41</v>
      </c>
      <c r="J135" s="57">
        <v>0</v>
      </c>
      <c r="K135" s="57">
        <v>0</v>
      </c>
    </row>
    <row r="136" spans="1:11" ht="15" hidden="1" customHeight="1" x14ac:dyDescent="0.35">
      <c r="A136" s="38" cm="1">
        <f t="array" ref="A136">_xlfn.IFS(B136&lt;1,"",B136&lt;=2,1,B136&lt;=4,2,B136&lt;=8,3)</f>
        <v>3</v>
      </c>
      <c r="B136" s="1">
        <f>LEN('PLANILHA ORÇAMENTÁRIA'!$E136)</f>
        <v>5</v>
      </c>
      <c r="C136" t="str">
        <f>IF(AND(Tabela6[[#This Row],[IND.]]&gt;=5,Tabela6[[#This Row],[QUANT]]=0),"X","")</f>
        <v>X</v>
      </c>
      <c r="E136" s="58" t="s">
        <v>265</v>
      </c>
      <c r="F136" s="59" t="s">
        <v>266</v>
      </c>
      <c r="G136" s="60" t="s">
        <v>223</v>
      </c>
      <c r="H136" s="61"/>
      <c r="I136" s="62" t="s">
        <v>41</v>
      </c>
      <c r="J136" s="57">
        <v>0</v>
      </c>
      <c r="K136" s="57">
        <v>0</v>
      </c>
    </row>
    <row r="137" spans="1:11" ht="15" hidden="1" customHeight="1" x14ac:dyDescent="0.35">
      <c r="A137" s="38" cm="1">
        <f t="array" ref="A137">_xlfn.IFS(B137&lt;1,"",B137&lt;=2,1,B137&lt;=4,2,B137&lt;=8,3)</f>
        <v>3</v>
      </c>
      <c r="B137" s="1">
        <f>LEN('PLANILHA ORÇAMENTÁRIA'!$E137)</f>
        <v>6</v>
      </c>
      <c r="C137" t="str">
        <f>IF(AND(Tabela6[[#This Row],[IND.]]&gt;=5,Tabela6[[#This Row],[QUANT]]=0),"X","")</f>
        <v>X</v>
      </c>
      <c r="E137" s="58" t="s">
        <v>267</v>
      </c>
      <c r="F137" s="59" t="s">
        <v>268</v>
      </c>
      <c r="G137" s="60" t="s">
        <v>223</v>
      </c>
      <c r="H137" s="61"/>
      <c r="I137" s="62" t="s">
        <v>41</v>
      </c>
      <c r="J137" s="57">
        <v>0</v>
      </c>
      <c r="K137" s="57">
        <v>0</v>
      </c>
    </row>
    <row r="138" spans="1:11" ht="15" customHeight="1" x14ac:dyDescent="0.35">
      <c r="A138" s="38" cm="1">
        <f t="array" ref="A138">_xlfn.IFS(B138&lt;1,"",B138&lt;=2,1,B138&lt;=4,2,B138&lt;=8,3)</f>
        <v>3</v>
      </c>
      <c r="B138" s="1">
        <f>LEN('PLANILHA ORÇAMENTÁRIA'!$E138)</f>
        <v>6</v>
      </c>
      <c r="C138" t="str">
        <f>IF(AND(Tabela6[[#This Row],[IND.]]&gt;=5,Tabela6[[#This Row],[QUANT]]=0),"X","")</f>
        <v/>
      </c>
      <c r="E138" s="87" t="s">
        <v>269</v>
      </c>
      <c r="F138" s="60" t="s">
        <v>270</v>
      </c>
      <c r="G138" s="60" t="s">
        <v>223</v>
      </c>
      <c r="H138" s="61">
        <v>41.51</v>
      </c>
      <c r="I138" s="62" t="s">
        <v>41</v>
      </c>
      <c r="J138" s="57">
        <v>173.33</v>
      </c>
      <c r="K138" s="57">
        <v>7194.9283000000005</v>
      </c>
    </row>
    <row r="139" spans="1:11" ht="15" hidden="1" customHeight="1" x14ac:dyDescent="0.35">
      <c r="A139" s="38" cm="1">
        <f t="array" ref="A139">_xlfn.IFS(B139&lt;1,"",B139&lt;=2,1,B139&lt;=4,2,B139&lt;=8,3)</f>
        <v>3</v>
      </c>
      <c r="B139" s="1">
        <f>LEN('PLANILHA ORÇAMENTÁRIA'!$E139)</f>
        <v>6</v>
      </c>
      <c r="C139" t="str">
        <f>IF(AND(Tabela6[[#This Row],[IND.]]&gt;=5,Tabela6[[#This Row],[QUANT]]=0),"X","")</f>
        <v>X</v>
      </c>
      <c r="E139" s="58" t="s">
        <v>271</v>
      </c>
      <c r="F139" s="59" t="s">
        <v>272</v>
      </c>
      <c r="G139" s="60" t="s">
        <v>223</v>
      </c>
      <c r="H139" s="61"/>
      <c r="I139" s="62" t="s">
        <v>41</v>
      </c>
      <c r="J139" s="57">
        <v>0</v>
      </c>
      <c r="K139" s="57">
        <v>0</v>
      </c>
    </row>
    <row r="140" spans="1:11" hidden="1" x14ac:dyDescent="0.35">
      <c r="A140" s="38" cm="1">
        <f t="array" ref="A140">_xlfn.IFS(B140&lt;1,"",B140&lt;=2,1,B140&lt;=4,2,B140&lt;=8,3)</f>
        <v>3</v>
      </c>
      <c r="B140" s="1">
        <f>LEN('PLANILHA ORÇAMENTÁRIA'!$E140)</f>
        <v>6</v>
      </c>
      <c r="C140" t="str">
        <f>IF(AND(Tabela6[[#This Row],[IND.]]&gt;=5,Tabela6[[#This Row],[QUANT]]=0),"X","")</f>
        <v>X</v>
      </c>
      <c r="E140" s="58" t="s">
        <v>273</v>
      </c>
      <c r="F140" s="60" t="s">
        <v>274</v>
      </c>
      <c r="G140" s="60" t="s">
        <v>223</v>
      </c>
      <c r="H140" s="62"/>
      <c r="I140" s="62" t="s">
        <v>41</v>
      </c>
      <c r="J140" s="57">
        <v>0</v>
      </c>
      <c r="K140" s="57">
        <v>0</v>
      </c>
    </row>
    <row r="141" spans="1:11" ht="29" hidden="1" x14ac:dyDescent="0.35">
      <c r="A141" s="38" cm="1">
        <f t="array" ref="A141">_xlfn.IFS(B141&lt;1,"",B141&lt;=2,1,B141&lt;=4,2,B141&lt;=8,3)</f>
        <v>3</v>
      </c>
      <c r="B141" s="1">
        <f>LEN('PLANILHA ORÇAMENTÁRIA'!$E141)</f>
        <v>6</v>
      </c>
      <c r="C141" t="str">
        <f>IF(AND(Tabela6[[#This Row],[IND.]]&gt;=5,Tabela6[[#This Row],[QUANT]]=0),"X","")</f>
        <v>X</v>
      </c>
      <c r="E141" s="58" t="s">
        <v>275</v>
      </c>
      <c r="F141" s="59" t="s">
        <v>276</v>
      </c>
      <c r="G141" s="60" t="s">
        <v>223</v>
      </c>
      <c r="H141" s="61"/>
      <c r="I141" s="62" t="s">
        <v>41</v>
      </c>
      <c r="J141" s="57">
        <v>0</v>
      </c>
      <c r="K141" s="57">
        <v>0</v>
      </c>
    </row>
    <row r="142" spans="1:11" x14ac:dyDescent="0.35">
      <c r="A142" s="38" cm="1">
        <f t="array" ref="A142">_xlfn.IFS(B142&lt;1,"",B142&lt;=2,1,B142&lt;=4,2,B142&lt;=8,3)</f>
        <v>3</v>
      </c>
      <c r="B142" s="1">
        <f>LEN('PLANILHA ORÇAMENTÁRIA'!$E142)</f>
        <v>6</v>
      </c>
      <c r="C142" t="str">
        <f>IF(AND(Tabela6[[#This Row],[IND.]]&gt;=5,Tabela6[[#This Row],[QUANT]]=0),"X","")</f>
        <v/>
      </c>
      <c r="E142" s="87" t="s">
        <v>277</v>
      </c>
      <c r="F142" s="60" t="s">
        <v>278</v>
      </c>
      <c r="G142" s="60" t="s">
        <v>223</v>
      </c>
      <c r="H142" s="61">
        <f>SUM(H132:H141)</f>
        <v>149.47999999999999</v>
      </c>
      <c r="I142" s="62" t="s">
        <v>41</v>
      </c>
      <c r="J142" s="57">
        <v>56.77</v>
      </c>
      <c r="K142" s="57">
        <v>8485.9796000000006</v>
      </c>
    </row>
    <row r="143" spans="1:11" hidden="1" x14ac:dyDescent="0.35">
      <c r="A143" s="38" cm="1">
        <f t="array" ref="A143">_xlfn.IFS(B143&lt;1,"",B143&lt;=2,1,B143&lt;=4,2,B143&lt;=8,3)</f>
        <v>3</v>
      </c>
      <c r="B143" s="1">
        <f>LEN('PLANILHA ORÇAMENTÁRIA'!$E143)</f>
        <v>6</v>
      </c>
      <c r="C143" t="str">
        <f>IF(AND(Tabela6[[#This Row],[IND.]]&gt;=5,Tabela6[[#This Row],[QUANT]]=0),"X","")</f>
        <v>X</v>
      </c>
      <c r="E143" s="58" t="s">
        <v>279</v>
      </c>
      <c r="F143" s="60" t="s">
        <v>233</v>
      </c>
      <c r="G143" s="60" t="s">
        <v>223</v>
      </c>
      <c r="H143" s="61"/>
      <c r="I143" s="62" t="s">
        <v>111</v>
      </c>
      <c r="J143" s="57">
        <v>0</v>
      </c>
      <c r="K143" s="57">
        <v>0</v>
      </c>
    </row>
    <row r="144" spans="1:11" x14ac:dyDescent="0.35">
      <c r="A144" s="38" cm="1">
        <f t="array" ref="A144">_xlfn.IFS(B144&lt;1,"",B144&lt;=2,1,B144&lt;=4,2,B144&lt;=8,3)</f>
        <v>2</v>
      </c>
      <c r="B144" s="1">
        <f>LEN('PLANILHA ORÇAMENTÁRIA'!$E144)</f>
        <v>3</v>
      </c>
      <c r="C144" t="str">
        <f>IF(Tabela6[[#This Row],[QUANT]]="x","x","")</f>
        <v/>
      </c>
      <c r="E144" s="142" t="s">
        <v>280</v>
      </c>
      <c r="F144" s="54" t="s">
        <v>281</v>
      </c>
      <c r="G144" s="54"/>
      <c r="H144" s="55" t="str">
        <f>IF(SUM(H145:H154)=0,"x","")</f>
        <v/>
      </c>
      <c r="I144" s="55"/>
      <c r="J144" s="56"/>
      <c r="K144" s="56">
        <f>SUMIF($A$145:$A$154,"3",K145:K154)</f>
        <v>161710.0699</v>
      </c>
    </row>
    <row r="145" spans="1:11" ht="29" x14ac:dyDescent="0.35">
      <c r="A145" s="38" cm="1">
        <f t="array" ref="A145">_xlfn.IFS(B145&lt;1,"",B145&lt;=2,1,B145&lt;=4,2,B145&lt;=8,3)</f>
        <v>3</v>
      </c>
      <c r="B145" s="1">
        <f>LEN('PLANILHA ORÇAMENTÁRIA'!$E145)</f>
        <v>5</v>
      </c>
      <c r="C145" t="str">
        <f>IF(AND(Tabela6[[#This Row],[IND.]]&gt;=5,Tabela6[[#This Row],[QUANT]]=0),"X","")</f>
        <v/>
      </c>
      <c r="E145" s="87" t="s">
        <v>282</v>
      </c>
      <c r="F145" s="59" t="s">
        <v>283</v>
      </c>
      <c r="G145" s="60" t="s">
        <v>284</v>
      </c>
      <c r="H145" s="61">
        <v>202.07</v>
      </c>
      <c r="I145" s="62" t="s">
        <v>41</v>
      </c>
      <c r="J145" s="57">
        <v>142.33000000000001</v>
      </c>
      <c r="K145" s="57">
        <v>28760.623100000001</v>
      </c>
    </row>
    <row r="146" spans="1:11" x14ac:dyDescent="0.35">
      <c r="A146" s="38" cm="1">
        <f t="array" ref="A146">_xlfn.IFS(B146&lt;1,"",B146&lt;=2,1,B146&lt;=4,2,B146&lt;=8,3)</f>
        <v>3</v>
      </c>
      <c r="B146" s="1">
        <f>LEN('PLANILHA ORÇAMENTÁRIA'!$E146)</f>
        <v>5</v>
      </c>
      <c r="C146" t="str">
        <f>IF(AND(Tabela6[[#This Row],[IND.]]&gt;=5,Tabela6[[#This Row],[QUANT]]=0),"X","")</f>
        <v/>
      </c>
      <c r="E146" s="87" t="s">
        <v>285</v>
      </c>
      <c r="F146" s="60" t="s">
        <v>286</v>
      </c>
      <c r="G146" s="60" t="s">
        <v>284</v>
      </c>
      <c r="H146" s="61">
        <v>2.1800000000000002</v>
      </c>
      <c r="I146" s="62" t="s">
        <v>111</v>
      </c>
      <c r="J146" s="57">
        <v>301.33</v>
      </c>
      <c r="K146" s="57">
        <v>656.89940000000001</v>
      </c>
    </row>
    <row r="147" spans="1:11" x14ac:dyDescent="0.35">
      <c r="A147" s="38" cm="1">
        <f t="array" ref="A147">_xlfn.IFS(B147&lt;1,"",B147&lt;=2,1,B147&lt;=4,2,B147&lt;=8,3)</f>
        <v>3</v>
      </c>
      <c r="B147" s="1">
        <f>LEN('PLANILHA ORÇAMENTÁRIA'!$E147)</f>
        <v>5</v>
      </c>
      <c r="C147" t="str">
        <f>IF(AND(Tabela6[[#This Row],[IND.]]&gt;=5,Tabela6[[#This Row],[QUANT]]=0),"X","")</f>
        <v/>
      </c>
      <c r="E147" s="87" t="s">
        <v>287</v>
      </c>
      <c r="F147" s="60" t="s">
        <v>288</v>
      </c>
      <c r="G147" s="60" t="s">
        <v>284</v>
      </c>
      <c r="H147" s="61">
        <v>174.46</v>
      </c>
      <c r="I147" s="62" t="s">
        <v>111</v>
      </c>
      <c r="J147" s="57">
        <v>45.33</v>
      </c>
      <c r="K147" s="57">
        <v>7908.2718000000004</v>
      </c>
    </row>
    <row r="148" spans="1:11" x14ac:dyDescent="0.35">
      <c r="A148" s="38" cm="1">
        <f t="array" ref="A148">_xlfn.IFS(B148&lt;1,"",B148&lt;=2,1,B148&lt;=4,2,B148&lt;=8,3)</f>
        <v>3</v>
      </c>
      <c r="B148" s="1">
        <f>LEN('PLANILHA ORÇAMENTÁRIA'!$E148)</f>
        <v>5</v>
      </c>
      <c r="C148" t="str">
        <f>IF(AND(Tabela6[[#This Row],[IND.]]&gt;=5,Tabela6[[#This Row],[QUANT]]=0),"X","")</f>
        <v/>
      </c>
      <c r="E148" s="87" t="s">
        <v>289</v>
      </c>
      <c r="F148" s="60" t="s">
        <v>290</v>
      </c>
      <c r="G148" s="60" t="s">
        <v>284</v>
      </c>
      <c r="H148" s="61">
        <v>10</v>
      </c>
      <c r="I148" s="62" t="s">
        <v>26</v>
      </c>
      <c r="J148" s="57">
        <v>326.67</v>
      </c>
      <c r="K148" s="57">
        <v>3266.7000000000003</v>
      </c>
    </row>
    <row r="149" spans="1:11" x14ac:dyDescent="0.35">
      <c r="A149" s="38" cm="1">
        <f t="array" ref="A149">_xlfn.IFS(B149&lt;1,"",B149&lt;=2,1,B149&lt;=4,2,B149&lt;=8,3)</f>
        <v>3</v>
      </c>
      <c r="B149" s="1">
        <f>LEN('PLANILHA ORÇAMENTÁRIA'!$E149)</f>
        <v>5</v>
      </c>
      <c r="C149" t="str">
        <f>IF(AND(Tabela6[[#This Row],[IND.]]&gt;=5,Tabela6[[#This Row],[QUANT]]=0),"X","")</f>
        <v/>
      </c>
      <c r="E149" s="87" t="s">
        <v>291</v>
      </c>
      <c r="F149" s="60" t="s">
        <v>292</v>
      </c>
      <c r="G149" s="60" t="s">
        <v>284</v>
      </c>
      <c r="H149" s="61">
        <v>39</v>
      </c>
      <c r="I149" s="62" t="s">
        <v>26</v>
      </c>
      <c r="J149" s="57">
        <v>34.33</v>
      </c>
      <c r="K149" s="57">
        <v>1338.87</v>
      </c>
    </row>
    <row r="150" spans="1:11" hidden="1" x14ac:dyDescent="0.35">
      <c r="A150" s="38" cm="1">
        <f t="array" ref="A150">_xlfn.IFS(B150&lt;1,"",B150&lt;=2,1,B150&lt;=4,2,B150&lt;=8,3)</f>
        <v>3</v>
      </c>
      <c r="B150" s="1">
        <f>LEN('PLANILHA ORÇAMENTÁRIA'!$E150)</f>
        <v>5</v>
      </c>
      <c r="C150" t="str">
        <f>IF(AND(Tabela6[[#This Row],[IND.]]&gt;=5,Tabela6[[#This Row],[QUANT]]=0),"X","")</f>
        <v>X</v>
      </c>
      <c r="E150" s="58" t="s">
        <v>293</v>
      </c>
      <c r="F150" s="60" t="s">
        <v>294</v>
      </c>
      <c r="G150" s="60" t="s">
        <v>284</v>
      </c>
      <c r="H150" s="61"/>
      <c r="I150" s="62" t="s">
        <v>26</v>
      </c>
      <c r="J150" s="57">
        <v>0</v>
      </c>
      <c r="K150" s="57">
        <v>0</v>
      </c>
    </row>
    <row r="151" spans="1:11" hidden="1" x14ac:dyDescent="0.35">
      <c r="A151" s="38" cm="1">
        <f t="array" ref="A151">_xlfn.IFS(B151&lt;1,"",B151&lt;=2,1,B151&lt;=4,2,B151&lt;=8,3)</f>
        <v>3</v>
      </c>
      <c r="B151" s="1">
        <f>LEN('PLANILHA ORÇAMENTÁRIA'!$E151)</f>
        <v>5</v>
      </c>
      <c r="C151" t="str">
        <f>IF(AND(Tabela6[[#This Row],[IND.]]&gt;=5,Tabela6[[#This Row],[QUANT]]=0),"X","")</f>
        <v>X</v>
      </c>
      <c r="E151" s="58" t="s">
        <v>295</v>
      </c>
      <c r="F151" s="60" t="s">
        <v>296</v>
      </c>
      <c r="G151" s="60" t="s">
        <v>284</v>
      </c>
      <c r="H151" s="61"/>
      <c r="I151" s="62" t="s">
        <v>26</v>
      </c>
      <c r="J151" s="57">
        <v>0</v>
      </c>
      <c r="K151" s="57">
        <v>0</v>
      </c>
    </row>
    <row r="152" spans="1:11" ht="43.5" hidden="1" x14ac:dyDescent="0.35">
      <c r="A152" s="38" cm="1">
        <f t="array" ref="A152">_xlfn.IFS(B152&lt;1,"",B152&lt;=2,1,B152&lt;=4,2,B152&lt;=8,3)</f>
        <v>3</v>
      </c>
      <c r="B152" s="1">
        <f>LEN('PLANILHA ORÇAMENTÁRIA'!$E152)</f>
        <v>5</v>
      </c>
      <c r="C152" t="str">
        <f>IF(AND(Tabela6[[#This Row],[IND.]]&gt;=5,Tabela6[[#This Row],[QUANT]]=0),"X","")</f>
        <v>X</v>
      </c>
      <c r="E152" s="58" t="s">
        <v>297</v>
      </c>
      <c r="F152" s="59" t="s">
        <v>298</v>
      </c>
      <c r="G152" s="60" t="s">
        <v>284</v>
      </c>
      <c r="H152" s="61"/>
      <c r="I152" s="62" t="s">
        <v>41</v>
      </c>
      <c r="J152" s="57">
        <v>0</v>
      </c>
      <c r="K152" s="57">
        <v>0</v>
      </c>
    </row>
    <row r="153" spans="1:11" ht="43.5" x14ac:dyDescent="0.35">
      <c r="A153" s="38" cm="1">
        <f t="array" ref="A153">_xlfn.IFS(B153&lt;1,"",B153&lt;=2,1,B153&lt;=4,2,B153&lt;=8,3)</f>
        <v>3</v>
      </c>
      <c r="B153" s="1">
        <f>LEN('PLANILHA ORÇAMENTÁRIA'!$E153)</f>
        <v>5</v>
      </c>
      <c r="C153" t="str">
        <f>IF(AND(Tabela6[[#This Row],[IND.]]&gt;=5,Tabela6[[#This Row],[QUANT]]=0),"X","")</f>
        <v/>
      </c>
      <c r="E153" s="87" t="s">
        <v>299</v>
      </c>
      <c r="F153" s="59" t="s">
        <v>300</v>
      </c>
      <c r="G153" s="60" t="s">
        <v>284</v>
      </c>
      <c r="H153" s="61">
        <v>407.89</v>
      </c>
      <c r="I153" s="62" t="s">
        <v>41</v>
      </c>
      <c r="J153" s="57">
        <v>288.04000000000002</v>
      </c>
      <c r="K153" s="57">
        <v>117488.63560000001</v>
      </c>
    </row>
    <row r="154" spans="1:11" ht="29" x14ac:dyDescent="0.35">
      <c r="A154" s="38" cm="1">
        <f t="array" ref="A154">_xlfn.IFS(B154&lt;1,"",B154&lt;=2,1,B154&lt;=4,2,B154&lt;=8,3)</f>
        <v>3</v>
      </c>
      <c r="B154" s="1">
        <f>LEN('PLANILHA ORÇAMENTÁRIA'!$E154)</f>
        <v>6</v>
      </c>
      <c r="C154" t="str">
        <f>IF(AND(Tabela6[[#This Row],[IND.]]&gt;=5,Tabela6[[#This Row],[QUANT]]=0),"X","")</f>
        <v/>
      </c>
      <c r="E154" s="87" t="s">
        <v>301</v>
      </c>
      <c r="F154" s="59" t="s">
        <v>302</v>
      </c>
      <c r="G154" s="60" t="s">
        <v>284</v>
      </c>
      <c r="H154" s="61">
        <v>1</v>
      </c>
      <c r="I154" s="62" t="s">
        <v>29</v>
      </c>
      <c r="J154" s="57">
        <v>2290.0700000000002</v>
      </c>
      <c r="K154" s="57">
        <v>2290.0700000000002</v>
      </c>
    </row>
    <row r="155" spans="1:11" x14ac:dyDescent="0.35">
      <c r="A155" s="38" cm="1">
        <f t="array" ref="A155">_xlfn.IFS(B155&lt;1,"",B155&lt;=2,1,B155&lt;=4,2,B155&lt;=8,3)</f>
        <v>2</v>
      </c>
      <c r="B155" s="1">
        <f>LEN('PLANILHA ORÇAMENTÁRIA'!$E155)</f>
        <v>3</v>
      </c>
      <c r="C155" t="str">
        <f>IF(Tabela6[[#This Row],[QUANT]]="x","x","")</f>
        <v/>
      </c>
      <c r="E155" s="142" t="s">
        <v>280</v>
      </c>
      <c r="F155" s="54" t="s">
        <v>303</v>
      </c>
      <c r="G155" s="54"/>
      <c r="H155" s="55" t="str">
        <f>IF(SUM(H156:H160)=0,"x","")</f>
        <v/>
      </c>
      <c r="I155" s="55"/>
      <c r="J155" s="56"/>
      <c r="K155" s="56">
        <f>SUMIF($A$156:$A$160,"3",K156:K160)</f>
        <v>304865.58419999998</v>
      </c>
    </row>
    <row r="156" spans="1:11" hidden="1" x14ac:dyDescent="0.35">
      <c r="A156" s="38" cm="1">
        <f t="array" ref="A156">_xlfn.IFS(B156&lt;1,"",B156&lt;=2,1,B156&lt;=4,2,B156&lt;=8,3)</f>
        <v>3</v>
      </c>
      <c r="B156" s="1">
        <f>LEN('PLANILHA ORÇAMENTÁRIA'!$E156)</f>
        <v>5</v>
      </c>
      <c r="C156" t="str">
        <f>IF(AND(Tabela6[[#This Row],[IND.]]&gt;=5,Tabela6[[#This Row],[QUANT]]=0),"X","")</f>
        <v>X</v>
      </c>
      <c r="E156" s="58" t="s">
        <v>282</v>
      </c>
      <c r="F156" s="60" t="s">
        <v>304</v>
      </c>
      <c r="G156" s="60" t="s">
        <v>284</v>
      </c>
      <c r="H156" s="61"/>
      <c r="I156" s="62" t="s">
        <v>41</v>
      </c>
      <c r="J156" s="57">
        <v>0</v>
      </c>
      <c r="K156" s="57">
        <v>0</v>
      </c>
    </row>
    <row r="157" spans="1:11" ht="15" thickBot="1" x14ac:dyDescent="0.4">
      <c r="A157" s="38" cm="1">
        <f t="array" ref="A157">_xlfn.IFS(B157&lt;1,"",B157&lt;=2,1,B157&lt;=4,2,B157&lt;=8,3)</f>
        <v>3</v>
      </c>
      <c r="B157" s="1">
        <f>LEN('PLANILHA ORÇAMENTÁRIA'!$E157)</f>
        <v>5</v>
      </c>
      <c r="C157" t="str">
        <f>IF(AND(Tabela6[[#This Row],[IND.]]&gt;=5,Tabela6[[#This Row],[QUANT]]=0),"X","")</f>
        <v/>
      </c>
      <c r="E157" s="87" t="s">
        <v>285</v>
      </c>
      <c r="F157" s="60" t="s">
        <v>305</v>
      </c>
      <c r="G157" s="60" t="s">
        <v>284</v>
      </c>
      <c r="H157" s="61">
        <v>175.54</v>
      </c>
      <c r="I157" s="62" t="s">
        <v>41</v>
      </c>
      <c r="J157" s="57">
        <v>1736.73</v>
      </c>
      <c r="K157" s="57">
        <v>304865.58419999998</v>
      </c>
    </row>
    <row r="158" spans="1:11" ht="15" hidden="1" thickBot="1" x14ac:dyDescent="0.4">
      <c r="A158" s="38" cm="1">
        <f t="array" ref="A158">_xlfn.IFS(B158&lt;1,"",B158&lt;=2,1,B158&lt;=4,2,B158&lt;=8,3)</f>
        <v>3</v>
      </c>
      <c r="B158" s="1">
        <f>LEN('PLANILHA ORÇAMENTÁRIA'!$E158)</f>
        <v>5</v>
      </c>
      <c r="C158" t="str">
        <f>IF(AND(Tabela6[[#This Row],[IND.]]&gt;=5,Tabela6[[#This Row],[QUANT]]=0),"X","")</f>
        <v>X</v>
      </c>
      <c r="E158" s="58" t="s">
        <v>287</v>
      </c>
      <c r="F158" s="60" t="s">
        <v>306</v>
      </c>
      <c r="G158" s="60" t="s">
        <v>284</v>
      </c>
      <c r="H158" s="61"/>
      <c r="I158" s="62" t="s">
        <v>41</v>
      </c>
      <c r="J158" s="57">
        <v>0</v>
      </c>
      <c r="K158" s="57">
        <v>0</v>
      </c>
    </row>
    <row r="159" spans="1:11" ht="15" hidden="1" thickBot="1" x14ac:dyDescent="0.4">
      <c r="A159" s="38" cm="1">
        <f t="array" ref="A159">_xlfn.IFS(B159&lt;1,"",B159&lt;=2,1,B159&lt;=4,2,B159&lt;=8,3)</f>
        <v>3</v>
      </c>
      <c r="B159" s="1">
        <f>LEN('PLANILHA ORÇAMENTÁRIA'!$E159)</f>
        <v>5</v>
      </c>
      <c r="C159" t="str">
        <f>IF(AND(Tabela6[[#This Row],[IND.]]&gt;=5,Tabela6[[#This Row],[QUANT]]=0),"X","")</f>
        <v>X</v>
      </c>
      <c r="E159" s="58" t="s">
        <v>289</v>
      </c>
      <c r="F159" s="60" t="s">
        <v>307</v>
      </c>
      <c r="G159" s="60" t="s">
        <v>284</v>
      </c>
      <c r="H159" s="61"/>
      <c r="I159" s="62" t="s">
        <v>41</v>
      </c>
      <c r="J159" s="57">
        <v>0</v>
      </c>
      <c r="K159" s="57">
        <v>0</v>
      </c>
    </row>
    <row r="160" spans="1:11" ht="15" hidden="1" thickBot="1" x14ac:dyDescent="0.4">
      <c r="A160" s="38" cm="1">
        <f t="array" ref="A160">_xlfn.IFS(B160&lt;1,"",B160&lt;=2,1,B160&lt;=4,2,B160&lt;=8,3)</f>
        <v>3</v>
      </c>
      <c r="B160" s="1">
        <f>LEN('PLANILHA ORÇAMENTÁRIA'!$E160)</f>
        <v>5</v>
      </c>
      <c r="C160" t="str">
        <f>IF(AND(Tabela6[[#This Row],[IND.]]&gt;=5,Tabela6[[#This Row],[QUANT]]=0),"X","")</f>
        <v>X</v>
      </c>
      <c r="E160" s="58" t="s">
        <v>291</v>
      </c>
      <c r="F160" s="60" t="s">
        <v>308</v>
      </c>
      <c r="G160" s="60" t="s">
        <v>284</v>
      </c>
      <c r="H160" s="61"/>
      <c r="I160" s="62" t="s">
        <v>41</v>
      </c>
      <c r="J160" s="57">
        <v>0</v>
      </c>
      <c r="K160" s="57">
        <v>0</v>
      </c>
    </row>
    <row r="161" spans="1:11" x14ac:dyDescent="0.35">
      <c r="A161" s="38" cm="1">
        <f t="array" ref="A161">_xlfn.IFS(B161&lt;1,"",B161&lt;=2,1,B161&lt;=4,2,B161&lt;=8,3)</f>
        <v>1</v>
      </c>
      <c r="B161" s="1">
        <f>LEN('PLANILHA ORÇAMENTÁRIA'!$E161)</f>
        <v>1</v>
      </c>
      <c r="C161" t="str">
        <f>IF(Tabela6[[#This Row],[QUANT]]="x","x","")</f>
        <v/>
      </c>
      <c r="E161" s="141">
        <v>5</v>
      </c>
      <c r="F161" s="79" t="s">
        <v>309</v>
      </c>
      <c r="G161" s="79"/>
      <c r="H161" s="80" t="str">
        <f>IF(SUM(H162:H188)=0,"x","")</f>
        <v/>
      </c>
      <c r="I161" s="80"/>
      <c r="J161" s="81"/>
      <c r="K161" s="81">
        <f>SUMIF($A$162:$A$188,"2",K162:K188)</f>
        <v>348108.68049999996</v>
      </c>
    </row>
    <row r="162" spans="1:11" hidden="1" x14ac:dyDescent="0.35">
      <c r="A162" s="38" cm="1">
        <f t="array" ref="A162">_xlfn.IFS(B162&lt;1,"",B162&lt;=2,1,B162&lt;=4,2,B162&lt;=8,3)</f>
        <v>2</v>
      </c>
      <c r="B162" s="1">
        <f>LEN('PLANILHA ORÇAMENTÁRIA'!$E162)</f>
        <v>3</v>
      </c>
      <c r="C162" t="str">
        <f>IF(Tabela6[[#This Row],[QUANT]]="x","x","")</f>
        <v>x</v>
      </c>
      <c r="E162" s="53" t="s">
        <v>310</v>
      </c>
      <c r="F162" s="54" t="s">
        <v>311</v>
      </c>
      <c r="G162" s="54"/>
      <c r="H162" s="55" t="str">
        <f>IF(SUM(H163:H168)=0,"x","")</f>
        <v>x</v>
      </c>
      <c r="I162" s="55"/>
      <c r="J162" s="56"/>
      <c r="K162" s="56">
        <f>SUMIF($A$163:$A$168,"3",K163:K168)</f>
        <v>0</v>
      </c>
    </row>
    <row r="163" spans="1:11" ht="43.5" hidden="1" x14ac:dyDescent="0.35">
      <c r="A163" s="38" cm="1">
        <f t="array" ref="A163">_xlfn.IFS(B163&lt;1,"",B163&lt;=2,1,B163&lt;=4,2,B163&lt;=8,3)</f>
        <v>3</v>
      </c>
      <c r="B163" s="1">
        <f>LEN('PLANILHA ORÇAMENTÁRIA'!$E163)</f>
        <v>5</v>
      </c>
      <c r="C163" t="str">
        <f>IF(AND(Tabela6[[#This Row],[IND.]]&gt;=5,Tabela6[[#This Row],[QUANT]]=0),"X","")</f>
        <v>X</v>
      </c>
      <c r="E163" s="58" t="s">
        <v>312</v>
      </c>
      <c r="F163" s="59" t="s">
        <v>313</v>
      </c>
      <c r="G163" s="60" t="s">
        <v>25</v>
      </c>
      <c r="H163" s="61"/>
      <c r="I163" s="62" t="s">
        <v>41</v>
      </c>
      <c r="J163" s="57">
        <v>0</v>
      </c>
      <c r="K163" s="57">
        <v>0</v>
      </c>
    </row>
    <row r="164" spans="1:11" ht="43.5" hidden="1" x14ac:dyDescent="0.35">
      <c r="A164" s="38" cm="1">
        <f t="array" ref="A164">_xlfn.IFS(B164&lt;1,"",B164&lt;=2,1,B164&lt;=4,2,B164&lt;=8,3)</f>
        <v>3</v>
      </c>
      <c r="B164" s="1">
        <f>LEN('PLANILHA ORÇAMENTÁRIA'!$E164)</f>
        <v>5</v>
      </c>
      <c r="C164" t="str">
        <f>IF(AND(Tabela6[[#This Row],[IND.]]&gt;=5,Tabela6[[#This Row],[QUANT]]=0),"X","")</f>
        <v>X</v>
      </c>
      <c r="E164" s="58" t="s">
        <v>314</v>
      </c>
      <c r="F164" s="59" t="s">
        <v>315</v>
      </c>
      <c r="G164" s="60" t="s">
        <v>25</v>
      </c>
      <c r="H164" s="61"/>
      <c r="I164" s="62" t="s">
        <v>41</v>
      </c>
      <c r="J164" s="57">
        <v>0</v>
      </c>
      <c r="K164" s="57">
        <v>0</v>
      </c>
    </row>
    <row r="165" spans="1:11" ht="43.5" hidden="1" x14ac:dyDescent="0.35">
      <c r="A165" s="38" cm="1">
        <f t="array" ref="A165">_xlfn.IFS(B165&lt;1,"",B165&lt;=2,1,B165&lt;=4,2,B165&lt;=8,3)</f>
        <v>3</v>
      </c>
      <c r="B165" s="1">
        <f>LEN('PLANILHA ORÇAMENTÁRIA'!$E165)</f>
        <v>5</v>
      </c>
      <c r="C165" t="str">
        <f>IF(AND(Tabela6[[#This Row],[IND.]]&gt;=5,Tabela6[[#This Row],[QUANT]]=0),"X","")</f>
        <v>X</v>
      </c>
      <c r="E165" s="58" t="s">
        <v>316</v>
      </c>
      <c r="F165" s="59" t="s">
        <v>317</v>
      </c>
      <c r="G165" s="60" t="s">
        <v>25</v>
      </c>
      <c r="H165" s="61"/>
      <c r="I165" s="62" t="s">
        <v>41</v>
      </c>
      <c r="J165" s="57">
        <v>0</v>
      </c>
      <c r="K165" s="57">
        <v>0</v>
      </c>
    </row>
    <row r="166" spans="1:11" ht="29" hidden="1" x14ac:dyDescent="0.35">
      <c r="A166" s="38" cm="1">
        <f t="array" ref="A166">_xlfn.IFS(B166&lt;1,"",B166&lt;=2,1,B166&lt;=4,2,B166&lt;=8,3)</f>
        <v>3</v>
      </c>
      <c r="B166" s="1">
        <f>LEN('PLANILHA ORÇAMENTÁRIA'!$E166)</f>
        <v>5</v>
      </c>
      <c r="C166" t="str">
        <f>IF(AND(Tabela6[[#This Row],[IND.]]&gt;=5,Tabela6[[#This Row],[QUANT]]=0),"X","")</f>
        <v>X</v>
      </c>
      <c r="E166" s="58" t="s">
        <v>318</v>
      </c>
      <c r="F166" s="59" t="s">
        <v>319</v>
      </c>
      <c r="G166" s="60" t="s">
        <v>25</v>
      </c>
      <c r="H166" s="61"/>
      <c r="I166" s="62" t="s">
        <v>41</v>
      </c>
      <c r="J166" s="57">
        <v>0</v>
      </c>
      <c r="K166" s="57">
        <v>0</v>
      </c>
    </row>
    <row r="167" spans="1:11" ht="29" hidden="1" x14ac:dyDescent="0.35">
      <c r="A167" s="38" cm="1">
        <f t="array" ref="A167">_xlfn.IFS(B167&lt;1,"",B167&lt;=2,1,B167&lt;=4,2,B167&lt;=8,3)</f>
        <v>3</v>
      </c>
      <c r="B167" s="1">
        <f>LEN('PLANILHA ORÇAMENTÁRIA'!$E167)</f>
        <v>5</v>
      </c>
      <c r="C167" t="str">
        <f>IF(AND(Tabela6[[#This Row],[IND.]]&gt;=5,Tabela6[[#This Row],[QUANT]]=0),"X","")</f>
        <v>X</v>
      </c>
      <c r="E167" s="58" t="s">
        <v>320</v>
      </c>
      <c r="F167" s="59" t="s">
        <v>321</v>
      </c>
      <c r="G167" s="60" t="s">
        <v>25</v>
      </c>
      <c r="H167" s="61"/>
      <c r="I167" s="62" t="s">
        <v>41</v>
      </c>
      <c r="J167" s="57">
        <v>0</v>
      </c>
      <c r="K167" s="57">
        <v>0</v>
      </c>
    </row>
    <row r="168" spans="1:11" ht="29" hidden="1" x14ac:dyDescent="0.35">
      <c r="A168" s="38" cm="1">
        <f t="array" ref="A168">_xlfn.IFS(B168&lt;1,"",B168&lt;=2,1,B168&lt;=4,2,B168&lt;=8,3)</f>
        <v>3</v>
      </c>
      <c r="B168" s="1">
        <f>LEN('PLANILHA ORÇAMENTÁRIA'!$E168)</f>
        <v>5</v>
      </c>
      <c r="C168" t="str">
        <f>IF(AND(Tabela6[[#This Row],[IND.]]&gt;=5,Tabela6[[#This Row],[QUANT]]=0),"X","")</f>
        <v>X</v>
      </c>
      <c r="E168" s="58" t="s">
        <v>322</v>
      </c>
      <c r="F168" s="59" t="s">
        <v>323</v>
      </c>
      <c r="G168" s="60" t="s">
        <v>25</v>
      </c>
      <c r="H168" s="61"/>
      <c r="I168" s="62" t="s">
        <v>41</v>
      </c>
      <c r="J168" s="57">
        <v>0</v>
      </c>
      <c r="K168" s="57">
        <v>0</v>
      </c>
    </row>
    <row r="169" spans="1:11" x14ac:dyDescent="0.35">
      <c r="A169" s="38" cm="1">
        <f t="array" ref="A169">_xlfn.IFS(B169&lt;1,"",B169&lt;=2,1,B169&lt;=4,2,B169&lt;=8,3)</f>
        <v>2</v>
      </c>
      <c r="B169" s="1">
        <f>LEN('PLANILHA ORÇAMENTÁRIA'!$E169)</f>
        <v>3</v>
      </c>
      <c r="C169" t="str">
        <f>IF(Tabela6[[#This Row],[QUANT]]="x","x","")</f>
        <v/>
      </c>
      <c r="E169" s="142" t="s">
        <v>324</v>
      </c>
      <c r="F169" s="54" t="s">
        <v>325</v>
      </c>
      <c r="G169" s="54"/>
      <c r="H169" s="55" t="str">
        <f>IF(SUM(H170:H175)=0,"x","")</f>
        <v/>
      </c>
      <c r="I169" s="55"/>
      <c r="J169" s="56"/>
      <c r="K169" s="56">
        <f>SUMIF($A$170:$A$175,"3",K170:K175)</f>
        <v>341974.60219999996</v>
      </c>
    </row>
    <row r="170" spans="1:11" ht="43.5" hidden="1" x14ac:dyDescent="0.35">
      <c r="A170" s="38" cm="1">
        <f t="array" ref="A170">_xlfn.IFS(B170&lt;1,"",B170&lt;=2,1,B170&lt;=4,2,B170&lt;=8,3)</f>
        <v>3</v>
      </c>
      <c r="B170" s="1">
        <f>LEN('PLANILHA ORÇAMENTÁRIA'!$E170)</f>
        <v>5</v>
      </c>
      <c r="C170" t="str">
        <f>IF(AND(Tabela6[[#This Row],[IND.]]&gt;=5,Tabela6[[#This Row],[QUANT]]=0),"X","")</f>
        <v>X</v>
      </c>
      <c r="E170" s="58" t="s">
        <v>326</v>
      </c>
      <c r="F170" s="59" t="s">
        <v>315</v>
      </c>
      <c r="G170" s="60" t="s">
        <v>25</v>
      </c>
      <c r="H170" s="61"/>
      <c r="I170" s="62" t="s">
        <v>41</v>
      </c>
      <c r="J170" s="57">
        <v>0</v>
      </c>
      <c r="K170" s="57">
        <v>0</v>
      </c>
    </row>
    <row r="171" spans="1:11" ht="43.5" hidden="1" x14ac:dyDescent="0.35">
      <c r="A171" s="38" cm="1">
        <f t="array" ref="A171">_xlfn.IFS(B171&lt;1,"",B171&lt;=2,1,B171&lt;=4,2,B171&lt;=8,3)</f>
        <v>3</v>
      </c>
      <c r="B171" s="1">
        <f>LEN('PLANILHA ORÇAMENTÁRIA'!$E171)</f>
        <v>5</v>
      </c>
      <c r="C171" t="str">
        <f>IF(AND(Tabela6[[#This Row],[IND.]]&gt;=5,Tabela6[[#This Row],[QUANT]]=0),"X","")</f>
        <v>X</v>
      </c>
      <c r="E171" s="58" t="s">
        <v>327</v>
      </c>
      <c r="F171" s="59" t="s">
        <v>317</v>
      </c>
      <c r="G171" s="60" t="s">
        <v>25</v>
      </c>
      <c r="H171" s="61"/>
      <c r="I171" s="62" t="s">
        <v>41</v>
      </c>
      <c r="J171" s="57">
        <v>0</v>
      </c>
      <c r="K171" s="57">
        <v>0</v>
      </c>
    </row>
    <row r="172" spans="1:11" ht="29" hidden="1" x14ac:dyDescent="0.35">
      <c r="A172" s="38" cm="1">
        <f t="array" ref="A172">_xlfn.IFS(B172&lt;1,"",B172&lt;=2,1,B172&lt;=4,2,B172&lt;=8,3)</f>
        <v>3</v>
      </c>
      <c r="B172" s="1">
        <f>LEN('PLANILHA ORÇAMENTÁRIA'!$E172)</f>
        <v>5</v>
      </c>
      <c r="C172" t="str">
        <f>IF(AND(Tabela6[[#This Row],[IND.]]&gt;=5,Tabela6[[#This Row],[QUANT]]=0),"X","")</f>
        <v>X</v>
      </c>
      <c r="E172" s="58" t="s">
        <v>328</v>
      </c>
      <c r="F172" s="59" t="s">
        <v>321</v>
      </c>
      <c r="G172" s="60" t="s">
        <v>25</v>
      </c>
      <c r="H172" s="61"/>
      <c r="I172" s="62" t="s">
        <v>41</v>
      </c>
      <c r="J172" s="57">
        <v>0</v>
      </c>
      <c r="K172" s="57">
        <v>0</v>
      </c>
    </row>
    <row r="173" spans="1:11" ht="29" hidden="1" x14ac:dyDescent="0.35">
      <c r="A173" s="38" cm="1">
        <f t="array" ref="A173">_xlfn.IFS(B173&lt;1,"",B173&lt;=2,1,B173&lt;=4,2,B173&lt;=8,3)</f>
        <v>3</v>
      </c>
      <c r="B173" s="1">
        <f>LEN('PLANILHA ORÇAMENTÁRIA'!$E173)</f>
        <v>5</v>
      </c>
      <c r="C173" t="str">
        <f>IF(AND(Tabela6[[#This Row],[IND.]]&gt;=5,Tabela6[[#This Row],[QUANT]]=0),"X","")</f>
        <v>X</v>
      </c>
      <c r="E173" s="58" t="s">
        <v>329</v>
      </c>
      <c r="F173" s="59" t="s">
        <v>323</v>
      </c>
      <c r="G173" s="60" t="s">
        <v>25</v>
      </c>
      <c r="H173" s="61"/>
      <c r="I173" s="62" t="s">
        <v>41</v>
      </c>
      <c r="J173" s="57">
        <v>0</v>
      </c>
      <c r="K173" s="57">
        <v>0</v>
      </c>
    </row>
    <row r="174" spans="1:11" ht="58" hidden="1" x14ac:dyDescent="0.35">
      <c r="A174" s="38" cm="1">
        <f t="array" ref="A174">_xlfn.IFS(B174&lt;1,"",B174&lt;=2,1,B174&lt;=4,2,B174&lt;=8,3)</f>
        <v>3</v>
      </c>
      <c r="B174" s="1">
        <f>LEN('PLANILHA ORÇAMENTÁRIA'!$E174)</f>
        <v>5</v>
      </c>
      <c r="C174" t="str">
        <f>IF(AND(Tabela6[[#This Row],[IND.]]&gt;=5,Tabela6[[#This Row],[QUANT]]=0),"X","")</f>
        <v>X</v>
      </c>
      <c r="E174" s="58" t="s">
        <v>330</v>
      </c>
      <c r="F174" s="59" t="s">
        <v>331</v>
      </c>
      <c r="G174" s="60" t="s">
        <v>25</v>
      </c>
      <c r="H174" s="61"/>
      <c r="I174" s="62" t="s">
        <v>41</v>
      </c>
      <c r="J174" s="57">
        <v>0</v>
      </c>
      <c r="K174" s="57">
        <v>0</v>
      </c>
    </row>
    <row r="175" spans="1:11" ht="29" x14ac:dyDescent="0.35">
      <c r="A175" s="38" cm="1">
        <f t="array" ref="A175">_xlfn.IFS(B175&lt;1,"",B175&lt;=2,1,B175&lt;=4,2,B175&lt;=8,3)</f>
        <v>3</v>
      </c>
      <c r="B175" s="1">
        <f>LEN('PLANILHA ORÇAMENTÁRIA'!$E175)</f>
        <v>5</v>
      </c>
      <c r="C175" t="str">
        <f>IF(AND(Tabela6[[#This Row],[IND.]]&gt;=5,Tabela6[[#This Row],[QUANT]]=0),"X","")</f>
        <v/>
      </c>
      <c r="E175" s="87" t="s">
        <v>332</v>
      </c>
      <c r="F175" s="59" t="s">
        <v>333</v>
      </c>
      <c r="G175" s="60" t="s">
        <v>25</v>
      </c>
      <c r="H175" s="61">
        <f>716+67.86</f>
        <v>783.86</v>
      </c>
      <c r="I175" s="62" t="s">
        <v>41</v>
      </c>
      <c r="J175" s="57">
        <v>436.27</v>
      </c>
      <c r="K175" s="57">
        <v>341974.60219999996</v>
      </c>
    </row>
    <row r="176" spans="1:11" hidden="1" x14ac:dyDescent="0.35">
      <c r="A176" s="38" cm="1">
        <f t="array" ref="A176">_xlfn.IFS(B176&lt;1,"",B176&lt;=2,1,B176&lt;=4,2,B176&lt;=8,3)</f>
        <v>2</v>
      </c>
      <c r="B176" s="1">
        <f>LEN('PLANILHA ORÇAMENTÁRIA'!$E176)</f>
        <v>3</v>
      </c>
      <c r="C176" t="str">
        <f>IF(Tabela6[[#This Row],[QUANT]]="x","x","")</f>
        <v>x</v>
      </c>
      <c r="E176" s="53" t="s">
        <v>334</v>
      </c>
      <c r="F176" s="54" t="s">
        <v>335</v>
      </c>
      <c r="G176" s="54"/>
      <c r="H176" s="55" t="str">
        <f>IF(SUM(H177:H178)=0,"x","")</f>
        <v>x</v>
      </c>
      <c r="I176" s="55"/>
      <c r="J176" s="56"/>
      <c r="K176" s="56">
        <f>SUMIF($A$177:$A$178,"3",K177:K178)</f>
        <v>0</v>
      </c>
    </row>
    <row r="177" spans="1:11" ht="43.5" hidden="1" x14ac:dyDescent="0.35">
      <c r="A177" s="38" cm="1">
        <f t="array" ref="A177">_xlfn.IFS(B177&lt;1,"",B177&lt;=2,1,B177&lt;=4,2,B177&lt;=8,3)</f>
        <v>3</v>
      </c>
      <c r="B177" s="1">
        <f>LEN('PLANILHA ORÇAMENTÁRIA'!$E177)</f>
        <v>5</v>
      </c>
      <c r="C177" t="str">
        <f>IF(AND(Tabela6[[#This Row],[IND.]]&gt;=5,Tabela6[[#This Row],[QUANT]]=0),"X","")</f>
        <v>X</v>
      </c>
      <c r="E177" s="58" t="s">
        <v>336</v>
      </c>
      <c r="F177" s="59" t="s">
        <v>337</v>
      </c>
      <c r="G177" s="60" t="s">
        <v>25</v>
      </c>
      <c r="H177" s="61"/>
      <c r="I177" s="62" t="s">
        <v>41</v>
      </c>
      <c r="J177" s="57">
        <v>0</v>
      </c>
      <c r="K177" s="57">
        <v>0</v>
      </c>
    </row>
    <row r="178" spans="1:11" ht="29" hidden="1" x14ac:dyDescent="0.35">
      <c r="A178" s="38" cm="1">
        <f t="array" ref="A178">_xlfn.IFS(B178&lt;1,"",B178&lt;=2,1,B178&lt;=4,2,B178&lt;=8,3)</f>
        <v>3</v>
      </c>
      <c r="B178" s="1">
        <f>LEN('PLANILHA ORÇAMENTÁRIA'!$E178)</f>
        <v>5</v>
      </c>
      <c r="C178" t="str">
        <f>IF(AND(Tabela6[[#This Row],[IND.]]&gt;=5,Tabela6[[#This Row],[QUANT]]=0),"X","")</f>
        <v>X</v>
      </c>
      <c r="E178" s="58" t="s">
        <v>338</v>
      </c>
      <c r="F178" s="59" t="s">
        <v>339</v>
      </c>
      <c r="G178" s="60" t="s">
        <v>25</v>
      </c>
      <c r="H178" s="61"/>
      <c r="I178" s="62" t="s">
        <v>41</v>
      </c>
      <c r="J178" s="57">
        <v>0</v>
      </c>
      <c r="K178" s="57">
        <v>0</v>
      </c>
    </row>
    <row r="179" spans="1:11" hidden="1" x14ac:dyDescent="0.35">
      <c r="A179" s="38" cm="1">
        <f t="array" ref="A179">_xlfn.IFS(B179&lt;1,"",B179&lt;=2,1,B179&lt;=4,2,B179&lt;=8,3)</f>
        <v>2</v>
      </c>
      <c r="B179" s="1">
        <f>LEN('PLANILHA ORÇAMENTÁRIA'!$E179)</f>
        <v>3</v>
      </c>
      <c r="C179" t="str">
        <f>IF(Tabela6[[#This Row],[QUANT]]="x","x","")</f>
        <v>x</v>
      </c>
      <c r="E179" s="53" t="s">
        <v>340</v>
      </c>
      <c r="F179" s="54" t="s">
        <v>341</v>
      </c>
      <c r="G179" s="54"/>
      <c r="H179" s="55" t="str">
        <f>IF(SUM(H180:H182)=0,"x","")</f>
        <v>x</v>
      </c>
      <c r="I179" s="55"/>
      <c r="J179" s="56"/>
      <c r="K179" s="56">
        <f>SUMIF($A$180:$A$182,"3",K180:K182)</f>
        <v>0</v>
      </c>
    </row>
    <row r="180" spans="1:11" ht="58" hidden="1" x14ac:dyDescent="0.35">
      <c r="A180" s="38" cm="1">
        <f t="array" ref="A180">_xlfn.IFS(B180&lt;1,"",B180&lt;=2,1,B180&lt;=4,2,B180&lt;=8,3)</f>
        <v>3</v>
      </c>
      <c r="B180" s="1">
        <f>LEN('PLANILHA ORÇAMENTÁRIA'!$E180)</f>
        <v>5</v>
      </c>
      <c r="C180" t="str">
        <f>IF(AND(Tabela6[[#This Row],[IND.]]&gt;=5,Tabela6[[#This Row],[QUANT]]=0),"X","")</f>
        <v>X</v>
      </c>
      <c r="E180" s="58" t="s">
        <v>342</v>
      </c>
      <c r="F180" s="59" t="s">
        <v>343</v>
      </c>
      <c r="G180" s="60" t="s">
        <v>25</v>
      </c>
      <c r="H180" s="61"/>
      <c r="I180" s="62" t="s">
        <v>41</v>
      </c>
      <c r="J180" s="57">
        <v>0</v>
      </c>
      <c r="K180" s="57">
        <v>0</v>
      </c>
    </row>
    <row r="181" spans="1:11" ht="58" hidden="1" x14ac:dyDescent="0.35">
      <c r="A181" s="38" cm="1">
        <f t="array" ref="A181">_xlfn.IFS(B181&lt;1,"",B181&lt;=2,1,B181&lt;=4,2,B181&lt;=8,3)</f>
        <v>3</v>
      </c>
      <c r="B181" s="1">
        <f>LEN('PLANILHA ORÇAMENTÁRIA'!$E181)</f>
        <v>5</v>
      </c>
      <c r="C181" t="str">
        <f>IF(AND(Tabela6[[#This Row],[IND.]]&gt;=5,Tabela6[[#This Row],[QUANT]]=0),"X","")</f>
        <v>X</v>
      </c>
      <c r="E181" s="58" t="s">
        <v>344</v>
      </c>
      <c r="F181" s="59" t="s">
        <v>345</v>
      </c>
      <c r="G181" s="60" t="s">
        <v>25</v>
      </c>
      <c r="H181" s="61"/>
      <c r="I181" s="62" t="s">
        <v>41</v>
      </c>
      <c r="J181" s="57">
        <v>0</v>
      </c>
      <c r="K181" s="57">
        <v>0</v>
      </c>
    </row>
    <row r="182" spans="1:11" ht="43.5" hidden="1" x14ac:dyDescent="0.35">
      <c r="A182" s="38" cm="1">
        <f t="array" ref="A182">_xlfn.IFS(B182&lt;1,"",B182&lt;=2,1,B182&lt;=4,2,B182&lt;=8,3)</f>
        <v>3</v>
      </c>
      <c r="B182" s="1">
        <f>LEN('PLANILHA ORÇAMENTÁRIA'!$E182)</f>
        <v>5</v>
      </c>
      <c r="C182" t="str">
        <f>IF(AND(Tabela6[[#This Row],[IND.]]&gt;=5,Tabela6[[#This Row],[QUANT]]=0),"X","")</f>
        <v>X</v>
      </c>
      <c r="E182" s="58" t="s">
        <v>346</v>
      </c>
      <c r="F182" s="59" t="s">
        <v>347</v>
      </c>
      <c r="G182" s="60" t="s">
        <v>25</v>
      </c>
      <c r="H182" s="61"/>
      <c r="I182" s="62" t="s">
        <v>26</v>
      </c>
      <c r="J182" s="57">
        <v>0</v>
      </c>
      <c r="K182" s="57">
        <v>0</v>
      </c>
    </row>
    <row r="183" spans="1:11" x14ac:dyDescent="0.35">
      <c r="A183" s="38" cm="1">
        <f t="array" ref="A183">_xlfn.IFS(B183&lt;1,"",B183&lt;=2,1,B183&lt;=4,2,B183&lt;=8,3)</f>
        <v>2</v>
      </c>
      <c r="B183" s="1">
        <f>LEN('PLANILHA ORÇAMENTÁRIA'!$E183)</f>
        <v>3</v>
      </c>
      <c r="C183" t="str">
        <f>IF(Tabela6[[#This Row],[QUANT]]="x","x","")</f>
        <v/>
      </c>
      <c r="E183" s="142" t="s">
        <v>348</v>
      </c>
      <c r="F183" s="54" t="s">
        <v>349</v>
      </c>
      <c r="G183" s="54"/>
      <c r="H183" s="55" t="str">
        <f>IF(SUM(H184:H188)=0,"x","")</f>
        <v/>
      </c>
      <c r="I183" s="55"/>
      <c r="J183" s="56"/>
      <c r="K183" s="56">
        <f>SUMIF($A$184:$A$188,"3",K184:K188)</f>
        <v>6134.0783000000001</v>
      </c>
    </row>
    <row r="184" spans="1:11" ht="29" hidden="1" x14ac:dyDescent="0.35">
      <c r="A184" s="38" cm="1">
        <f t="array" ref="A184">_xlfn.IFS(B184&lt;1,"",B184&lt;=2,1,B184&lt;=4,2,B184&lt;=8,3)</f>
        <v>3</v>
      </c>
      <c r="B184" s="1">
        <f>LEN('PLANILHA ORÇAMENTÁRIA'!$E184)</f>
        <v>5</v>
      </c>
      <c r="C184" t="str">
        <f>IF(AND(Tabela6[[#This Row],[IND.]]&gt;=5,Tabela6[[#This Row],[QUANT]]=0),"X","")</f>
        <v>X</v>
      </c>
      <c r="E184" s="58" t="s">
        <v>350</v>
      </c>
      <c r="F184" s="59" t="s">
        <v>351</v>
      </c>
      <c r="G184" s="60" t="s">
        <v>25</v>
      </c>
      <c r="H184" s="61"/>
      <c r="I184" s="62" t="s">
        <v>111</v>
      </c>
      <c r="J184" s="57">
        <v>0</v>
      </c>
      <c r="K184" s="57">
        <v>0</v>
      </c>
    </row>
    <row r="185" spans="1:11" ht="43.5" hidden="1" x14ac:dyDescent="0.35">
      <c r="A185" s="38" cm="1">
        <f t="array" ref="A185">_xlfn.IFS(B185&lt;1,"",B185&lt;=2,1,B185&lt;=4,2,B185&lt;=8,3)</f>
        <v>3</v>
      </c>
      <c r="B185" s="1">
        <f>LEN('PLANILHA ORÇAMENTÁRIA'!$E185)</f>
        <v>5</v>
      </c>
      <c r="C185" t="str">
        <f>IF(AND(Tabela6[[#This Row],[IND.]]&gt;=5,Tabela6[[#This Row],[QUANT]]=0),"X","")</f>
        <v>X</v>
      </c>
      <c r="E185" s="58" t="s">
        <v>352</v>
      </c>
      <c r="F185" s="59" t="s">
        <v>353</v>
      </c>
      <c r="G185" s="60" t="s">
        <v>25</v>
      </c>
      <c r="H185" s="61"/>
      <c r="I185" s="62" t="s">
        <v>111</v>
      </c>
      <c r="J185" s="57">
        <v>0</v>
      </c>
      <c r="K185" s="57">
        <v>0</v>
      </c>
    </row>
    <row r="186" spans="1:11" ht="43.5" hidden="1" x14ac:dyDescent="0.35">
      <c r="A186" s="38" cm="1">
        <f t="array" ref="A186">_xlfn.IFS(B186&lt;1,"",B186&lt;=2,1,B186&lt;=4,2,B186&lt;=8,3)</f>
        <v>3</v>
      </c>
      <c r="B186" s="1">
        <f>LEN('PLANILHA ORÇAMENTÁRIA'!$E186)</f>
        <v>5</v>
      </c>
      <c r="C186" t="str">
        <f>IF(AND(Tabela6[[#This Row],[IND.]]&gt;=5,Tabela6[[#This Row],[QUANT]]=0),"X","")</f>
        <v>X</v>
      </c>
      <c r="E186" s="58" t="s">
        <v>354</v>
      </c>
      <c r="F186" s="59" t="s">
        <v>355</v>
      </c>
      <c r="G186" s="60" t="s">
        <v>25</v>
      </c>
      <c r="H186" s="61"/>
      <c r="I186" s="62" t="s">
        <v>111</v>
      </c>
      <c r="J186" s="57">
        <v>0</v>
      </c>
      <c r="K186" s="57">
        <v>0</v>
      </c>
    </row>
    <row r="187" spans="1:11" ht="58" hidden="1" x14ac:dyDescent="0.35">
      <c r="A187" s="38" cm="1">
        <f t="array" ref="A187">_xlfn.IFS(B187&lt;1,"",B187&lt;=2,1,B187&lt;=4,2,B187&lt;=8,3)</f>
        <v>3</v>
      </c>
      <c r="B187" s="1">
        <f>LEN('PLANILHA ORÇAMENTÁRIA'!$E187)</f>
        <v>5</v>
      </c>
      <c r="C187" t="str">
        <f>IF(AND(Tabela6[[#This Row],[IND.]]&gt;=5,Tabela6[[#This Row],[QUANT]]=0),"X","")</f>
        <v>X</v>
      </c>
      <c r="E187" s="58" t="s">
        <v>356</v>
      </c>
      <c r="F187" s="59" t="s">
        <v>357</v>
      </c>
      <c r="G187" s="60" t="s">
        <v>25</v>
      </c>
      <c r="H187" s="61"/>
      <c r="I187" s="62" t="s">
        <v>111</v>
      </c>
      <c r="J187" s="57">
        <v>0</v>
      </c>
      <c r="K187" s="57">
        <v>0</v>
      </c>
    </row>
    <row r="188" spans="1:11" ht="44" thickBot="1" x14ac:dyDescent="0.4">
      <c r="A188" s="38" cm="1">
        <f t="array" ref="A188">_xlfn.IFS(B188&lt;1,"",B188&lt;=2,1,B188&lt;=4,2,B188&lt;=8,3)</f>
        <v>3</v>
      </c>
      <c r="B188" s="1">
        <f>LEN('PLANILHA ORÇAMENTÁRIA'!$E188)</f>
        <v>5</v>
      </c>
      <c r="C188" t="str">
        <f>IF(AND(Tabela6[[#This Row],[IND.]]&gt;=5,Tabela6[[#This Row],[QUANT]]=0),"X","")</f>
        <v/>
      </c>
      <c r="E188" s="87" t="s">
        <v>358</v>
      </c>
      <c r="F188" s="59" t="s">
        <v>359</v>
      </c>
      <c r="G188" s="60" t="s">
        <v>25</v>
      </c>
      <c r="H188" s="61">
        <v>64.010000000000005</v>
      </c>
      <c r="I188" s="62" t="s">
        <v>111</v>
      </c>
      <c r="J188" s="57">
        <v>95.83</v>
      </c>
      <c r="K188" s="57">
        <v>6134.0783000000001</v>
      </c>
    </row>
    <row r="189" spans="1:11" x14ac:dyDescent="0.35">
      <c r="A189" s="38" cm="1">
        <f t="array" ref="A189">_xlfn.IFS(B189&lt;1,"",B189&lt;=2,1,B189&lt;=4,2,B189&lt;=8,3)</f>
        <v>1</v>
      </c>
      <c r="B189" s="1">
        <f>LEN('PLANILHA ORÇAMENTÁRIA'!$E189)</f>
        <v>1</v>
      </c>
      <c r="C189" t="str">
        <f>IF(Tabela6[[#This Row],[QUANT]]="x","x","")</f>
        <v/>
      </c>
      <c r="E189" s="141">
        <v>6</v>
      </c>
      <c r="F189" s="79" t="s">
        <v>360</v>
      </c>
      <c r="G189" s="79"/>
      <c r="H189" s="80" t="str">
        <f>IF(SUM(H190:H314)=0,"x","")</f>
        <v/>
      </c>
      <c r="I189" s="80"/>
      <c r="J189" s="81"/>
      <c r="K189" s="81">
        <f>SUMIF($A$190:$A$314,"2",K190:K314)</f>
        <v>324882.54189999995</v>
      </c>
    </row>
    <row r="190" spans="1:11" x14ac:dyDescent="0.35">
      <c r="A190" s="38" cm="1">
        <f t="array" ref="A190">_xlfn.IFS(B190&lt;1,"",B190&lt;=2,1,B190&lt;=4,2,B190&lt;=8,3)</f>
        <v>2</v>
      </c>
      <c r="B190" s="1">
        <f>LEN('PLANILHA ORÇAMENTÁRIA'!$E190)</f>
        <v>3</v>
      </c>
      <c r="C190" t="str">
        <f>IF(Tabela6[[#This Row],[QUANT]]="x","x","")</f>
        <v/>
      </c>
      <c r="E190" s="142" t="s">
        <v>361</v>
      </c>
      <c r="F190" s="54" t="s">
        <v>362</v>
      </c>
      <c r="G190" s="54"/>
      <c r="H190" s="55" t="str">
        <f>IF(SUM(H191:H219)=0,"x","")</f>
        <v/>
      </c>
      <c r="I190" s="55"/>
      <c r="J190" s="56"/>
      <c r="K190" s="56">
        <f>SUMIF($A$191:$A$219,"3",K191:K219)</f>
        <v>181942.32189999995</v>
      </c>
    </row>
    <row r="191" spans="1:11" hidden="1" x14ac:dyDescent="0.35">
      <c r="A191" s="38" cm="1">
        <f t="array" ref="A191">_xlfn.IFS(B191&lt;1,"",B191&lt;=2,1,B191&lt;=4,2,B191&lt;=8,3)</f>
        <v>3</v>
      </c>
      <c r="B191" s="1">
        <f>LEN('PLANILHA ORÇAMENTÁRIA'!$E191)</f>
        <v>5</v>
      </c>
      <c r="C191" t="str">
        <f>IF(AND(Tabela6[[#This Row],[IND.]]&gt;=5,Tabela6[[#This Row],[QUANT]]=0),"X","")</f>
        <v>X</v>
      </c>
      <c r="E191" s="58" t="s">
        <v>363</v>
      </c>
      <c r="F191" s="59" t="s">
        <v>364</v>
      </c>
      <c r="G191" s="60" t="s">
        <v>223</v>
      </c>
      <c r="H191" s="61"/>
      <c r="I191" s="62" t="s">
        <v>365</v>
      </c>
      <c r="J191" s="57">
        <v>0</v>
      </c>
      <c r="K191" s="57">
        <v>0</v>
      </c>
    </row>
    <row r="192" spans="1:11" x14ac:dyDescent="0.35">
      <c r="A192" s="38" cm="1">
        <f t="array" ref="A192">_xlfn.IFS(B192&lt;1,"",B192&lt;=2,1,B192&lt;=4,2,B192&lt;=8,3)</f>
        <v>3</v>
      </c>
      <c r="B192" s="1">
        <f>LEN('PLANILHA ORÇAMENTÁRIA'!$E192)</f>
        <v>5</v>
      </c>
      <c r="C192" t="str">
        <f>IF(AND(Tabela6[[#This Row],[IND.]]&gt;=5,Tabela6[[#This Row],[QUANT]]=0),"X","")</f>
        <v/>
      </c>
      <c r="E192" s="87" t="s">
        <v>363</v>
      </c>
      <c r="F192" s="59" t="s">
        <v>366</v>
      </c>
      <c r="G192" s="60" t="s">
        <v>223</v>
      </c>
      <c r="H192" s="61">
        <f>34+15+6+3</f>
        <v>58</v>
      </c>
      <c r="I192" s="62" t="s">
        <v>365</v>
      </c>
      <c r="J192" s="57">
        <v>82</v>
      </c>
      <c r="K192" s="57">
        <v>4756</v>
      </c>
    </row>
    <row r="193" spans="1:11" x14ac:dyDescent="0.35">
      <c r="A193" s="38" cm="1">
        <f t="array" ref="A193">_xlfn.IFS(B193&lt;1,"",B193&lt;=2,1,B193&lt;=4,2,B193&lt;=8,3)</f>
        <v>3</v>
      </c>
      <c r="B193" s="1">
        <f>LEN('PLANILHA ORÇAMENTÁRIA'!$E193)</f>
        <v>5</v>
      </c>
      <c r="C193" t="str">
        <f>IF(AND(Tabela6[[#This Row],[IND.]]&gt;=5,Tabela6[[#This Row],[QUANT]]=0),"X","")</f>
        <v/>
      </c>
      <c r="E193" s="87" t="s">
        <v>367</v>
      </c>
      <c r="F193" s="59" t="s">
        <v>368</v>
      </c>
      <c r="G193" s="60" t="s">
        <v>223</v>
      </c>
      <c r="H193" s="61">
        <f>H60</f>
        <v>777.18999999999994</v>
      </c>
      <c r="I193" s="62" t="s">
        <v>41</v>
      </c>
      <c r="J193" s="57">
        <v>39.67</v>
      </c>
      <c r="K193" s="57">
        <v>30831.1273</v>
      </c>
    </row>
    <row r="194" spans="1:11" ht="29" x14ac:dyDescent="0.35">
      <c r="A194" s="38" cm="1">
        <f t="array" ref="A194">_xlfn.IFS(B194&lt;1,"",B194&lt;=2,1,B194&lt;=4,2,B194&lt;=8,3)</f>
        <v>3</v>
      </c>
      <c r="B194" s="1">
        <f>LEN('PLANILHA ORÇAMENTÁRIA'!$E194)</f>
        <v>5</v>
      </c>
      <c r="C194" t="str">
        <f>IF(AND(Tabela6[[#This Row],[IND.]]&gt;=5,Tabela6[[#This Row],[QUANT]]=0),"X","")</f>
        <v/>
      </c>
      <c r="E194" s="87" t="s">
        <v>369</v>
      </c>
      <c r="F194" s="59" t="s">
        <v>370</v>
      </c>
      <c r="G194" s="60" t="s">
        <v>223</v>
      </c>
      <c r="H194" s="61">
        <f>H60</f>
        <v>777.18999999999994</v>
      </c>
      <c r="I194" s="62" t="s">
        <v>41</v>
      </c>
      <c r="J194" s="57">
        <v>39.67</v>
      </c>
      <c r="K194" s="57">
        <v>30831.1273</v>
      </c>
    </row>
    <row r="195" spans="1:11" ht="29" x14ac:dyDescent="0.35">
      <c r="A195" s="38" cm="1">
        <f t="array" ref="A195">_xlfn.IFS(B195&lt;1,"",B195&lt;=2,1,B195&lt;=4,2,B195&lt;=8,3)</f>
        <v>3</v>
      </c>
      <c r="B195" s="1">
        <f>LEN('PLANILHA ORÇAMENTÁRIA'!$E195)</f>
        <v>5</v>
      </c>
      <c r="C195" t="str">
        <f>IF(AND(Tabela6[[#This Row],[IND.]]&gt;=5,Tabela6[[#This Row],[QUANT]]=0),"X","")</f>
        <v/>
      </c>
      <c r="E195" s="87" t="s">
        <v>371</v>
      </c>
      <c r="F195" s="59" t="s">
        <v>372</v>
      </c>
      <c r="G195" s="60" t="s">
        <v>223</v>
      </c>
      <c r="H195" s="61">
        <f>H60</f>
        <v>777.18999999999994</v>
      </c>
      <c r="I195" s="62" t="s">
        <v>41</v>
      </c>
      <c r="J195" s="57">
        <v>48</v>
      </c>
      <c r="K195" s="57">
        <v>37305.119999999995</v>
      </c>
    </row>
    <row r="196" spans="1:11" x14ac:dyDescent="0.35">
      <c r="A196" s="38" cm="1">
        <f t="array" ref="A196">_xlfn.IFS(B196&lt;1,"",B196&lt;=2,1,B196&lt;=4,2,B196&lt;=8,3)</f>
        <v>3</v>
      </c>
      <c r="B196" s="1">
        <f>LEN('PLANILHA ORÇAMENTÁRIA'!$E196)</f>
        <v>5</v>
      </c>
      <c r="C196" t="str">
        <f>IF(AND(Tabela6[[#This Row],[IND.]]&gt;=5,Tabela6[[#This Row],[QUANT]]=0),"X","")</f>
        <v/>
      </c>
      <c r="E196" s="87" t="s">
        <v>373</v>
      </c>
      <c r="F196" s="59" t="s">
        <v>374</v>
      </c>
      <c r="G196" s="60" t="s">
        <v>223</v>
      </c>
      <c r="H196" s="61">
        <f>H60</f>
        <v>777.18999999999994</v>
      </c>
      <c r="I196" s="62" t="s">
        <v>41</v>
      </c>
      <c r="J196" s="57">
        <v>48</v>
      </c>
      <c r="K196" s="57">
        <v>37305.119999999995</v>
      </c>
    </row>
    <row r="197" spans="1:11" x14ac:dyDescent="0.35">
      <c r="A197" s="38" cm="1">
        <f t="array" ref="A197">_xlfn.IFS(B197&lt;1,"",B197&lt;=2,1,B197&lt;=4,2,B197&lt;=8,3)</f>
        <v>3</v>
      </c>
      <c r="B197" s="1">
        <f>LEN('PLANILHA ORÇAMENTÁRIA'!$E197)</f>
        <v>5</v>
      </c>
      <c r="C197" t="str">
        <f>IF(AND(Tabela6[[#This Row],[IND.]]&gt;=5,Tabela6[[#This Row],[QUANT]]=0),"X","")</f>
        <v/>
      </c>
      <c r="E197" s="87" t="s">
        <v>375</v>
      </c>
      <c r="F197" s="59" t="s">
        <v>376</v>
      </c>
      <c r="G197" s="60" t="s">
        <v>223</v>
      </c>
      <c r="H197" s="61">
        <v>4</v>
      </c>
      <c r="I197" s="62" t="s">
        <v>365</v>
      </c>
      <c r="J197" s="57">
        <v>278</v>
      </c>
      <c r="K197" s="57">
        <v>1112</v>
      </c>
    </row>
    <row r="198" spans="1:11" x14ac:dyDescent="0.35">
      <c r="A198" s="38" cm="1">
        <f t="array" ref="A198">_xlfn.IFS(B198&lt;1,"",B198&lt;=2,1,B198&lt;=4,2,B198&lt;=8,3)</f>
        <v>3</v>
      </c>
      <c r="B198" s="1">
        <f>LEN('PLANILHA ORÇAMENTÁRIA'!$E198)</f>
        <v>5</v>
      </c>
      <c r="C198" t="str">
        <f>IF(AND(Tabela6[[#This Row],[IND.]]&gt;=5,Tabela6[[#This Row],[QUANT]]=0),"X","")</f>
        <v/>
      </c>
      <c r="E198" s="87" t="s">
        <v>377</v>
      </c>
      <c r="F198" s="59" t="s">
        <v>378</v>
      </c>
      <c r="G198" s="60" t="s">
        <v>223</v>
      </c>
      <c r="H198" s="61">
        <f>H60</f>
        <v>777.18999999999994</v>
      </c>
      <c r="I198" s="62" t="s">
        <v>41</v>
      </c>
      <c r="J198" s="57">
        <v>38.67</v>
      </c>
      <c r="K198" s="57">
        <v>30053.937299999998</v>
      </c>
    </row>
    <row r="199" spans="1:11" hidden="1" x14ac:dyDescent="0.35">
      <c r="A199" s="38" cm="1">
        <f t="array" ref="A199">_xlfn.IFS(B199&lt;1,"",B199&lt;=2,1,B199&lt;=4,2,B199&lt;=8,3)</f>
        <v>3</v>
      </c>
      <c r="B199" s="1">
        <f>LEN('PLANILHA ORÇAMENTÁRIA'!$E199)</f>
        <v>5</v>
      </c>
      <c r="C199" t="str">
        <f>IF(AND(Tabela6[[#This Row],[IND.]]&gt;=5,Tabela6[[#This Row],[QUANT]]=0),"X","")</f>
        <v>X</v>
      </c>
      <c r="E199" s="58" t="s">
        <v>379</v>
      </c>
      <c r="F199" s="59" t="s">
        <v>380</v>
      </c>
      <c r="G199" s="60" t="s">
        <v>223</v>
      </c>
      <c r="H199" s="61"/>
      <c r="I199" s="62" t="s">
        <v>365</v>
      </c>
      <c r="J199" s="57">
        <v>0</v>
      </c>
      <c r="K199" s="57">
        <v>0</v>
      </c>
    </row>
    <row r="200" spans="1:11" hidden="1" x14ac:dyDescent="0.35">
      <c r="A200" s="38" cm="1">
        <f t="array" ref="A200">_xlfn.IFS(B200&lt;1,"",B200&lt;=2,1,B200&lt;=4,2,B200&lt;=8,3)</f>
        <v>3</v>
      </c>
      <c r="B200" s="1">
        <f>LEN('PLANILHA ORÇAMENTÁRIA'!$E200)</f>
        <v>6</v>
      </c>
      <c r="C200" t="str">
        <f>IF(AND(Tabela6[[#This Row],[IND.]]&gt;=5,Tabela6[[#This Row],[QUANT]]=0),"X","")</f>
        <v>X</v>
      </c>
      <c r="E200" s="58" t="s">
        <v>381</v>
      </c>
      <c r="F200" s="59" t="s">
        <v>382</v>
      </c>
      <c r="G200" s="60" t="s">
        <v>223</v>
      </c>
      <c r="H200" s="61"/>
      <c r="I200" s="62" t="s">
        <v>365</v>
      </c>
      <c r="J200" s="57">
        <v>0</v>
      </c>
      <c r="K200" s="57">
        <v>0</v>
      </c>
    </row>
    <row r="201" spans="1:11" ht="29" hidden="1" x14ac:dyDescent="0.35">
      <c r="A201" s="38" cm="1">
        <f t="array" ref="A201">_xlfn.IFS(B201&lt;1,"",B201&lt;=2,1,B201&lt;=4,2,B201&lt;=8,3)</f>
        <v>3</v>
      </c>
      <c r="B201" s="1">
        <f>LEN('PLANILHA ORÇAMENTÁRIA'!$E201)</f>
        <v>6</v>
      </c>
      <c r="C201" t="str">
        <f>IF(AND(Tabela6[[#This Row],[IND.]]&gt;=5,Tabela6[[#This Row],[QUANT]]=0),"X","")</f>
        <v>X</v>
      </c>
      <c r="E201" s="58" t="s">
        <v>383</v>
      </c>
      <c r="F201" s="59" t="s">
        <v>384</v>
      </c>
      <c r="G201" s="60" t="s">
        <v>223</v>
      </c>
      <c r="H201" s="61"/>
      <c r="I201" s="62" t="s">
        <v>365</v>
      </c>
      <c r="J201" s="57">
        <v>0</v>
      </c>
      <c r="K201" s="57">
        <v>0</v>
      </c>
    </row>
    <row r="202" spans="1:11" ht="29" hidden="1" x14ac:dyDescent="0.35">
      <c r="A202" s="38" cm="1">
        <f t="array" ref="A202">_xlfn.IFS(B202&lt;1,"",B202&lt;=2,1,B202&lt;=4,2,B202&lt;=8,3)</f>
        <v>3</v>
      </c>
      <c r="B202" s="1">
        <f>LEN('PLANILHA ORÇAMENTÁRIA'!$E202)</f>
        <v>6</v>
      </c>
      <c r="C202" t="str">
        <f>IF(AND(Tabela6[[#This Row],[IND.]]&gt;=5,Tabela6[[#This Row],[QUANT]]=0),"X","")</f>
        <v>X</v>
      </c>
      <c r="E202" s="58" t="s">
        <v>385</v>
      </c>
      <c r="F202" s="59" t="s">
        <v>386</v>
      </c>
      <c r="G202" s="60" t="s">
        <v>223</v>
      </c>
      <c r="H202" s="61"/>
      <c r="I202" s="62" t="s">
        <v>365</v>
      </c>
      <c r="J202" s="57">
        <v>0</v>
      </c>
      <c r="K202" s="57">
        <v>0</v>
      </c>
    </row>
    <row r="203" spans="1:11" hidden="1" x14ac:dyDescent="0.35">
      <c r="A203" s="38" cm="1">
        <f t="array" ref="A203">_xlfn.IFS(B203&lt;1,"",B203&lt;=2,1,B203&lt;=4,2,B203&lt;=8,3)</f>
        <v>3</v>
      </c>
      <c r="B203" s="1">
        <f>LEN('PLANILHA ORÇAMENTÁRIA'!$E203)</f>
        <v>6</v>
      </c>
      <c r="C203" t="str">
        <f>IF(AND(Tabela6[[#This Row],[IND.]]&gt;=5,Tabela6[[#This Row],[QUANT]]=0),"X","")</f>
        <v>X</v>
      </c>
      <c r="E203" s="58" t="s">
        <v>387</v>
      </c>
      <c r="F203" s="59" t="s">
        <v>388</v>
      </c>
      <c r="G203" s="60" t="s">
        <v>223</v>
      </c>
      <c r="H203" s="61"/>
      <c r="I203" s="62" t="s">
        <v>365</v>
      </c>
      <c r="J203" s="57">
        <v>0</v>
      </c>
      <c r="K203" s="57">
        <v>0</v>
      </c>
    </row>
    <row r="204" spans="1:11" hidden="1" x14ac:dyDescent="0.35">
      <c r="A204" s="38" cm="1">
        <f t="array" ref="A204">_xlfn.IFS(B204&lt;1,"",B204&lt;=2,1,B204&lt;=4,2,B204&lt;=8,3)</f>
        <v>3</v>
      </c>
      <c r="B204" s="1">
        <f>LEN('PLANILHA ORÇAMENTÁRIA'!$E204)</f>
        <v>6</v>
      </c>
      <c r="C204" t="str">
        <f>IF(AND(Tabela6[[#This Row],[IND.]]&gt;=5,Tabela6[[#This Row],[QUANT]]=0),"X","")</f>
        <v>X</v>
      </c>
      <c r="E204" s="58" t="s">
        <v>389</v>
      </c>
      <c r="F204" s="59" t="s">
        <v>390</v>
      </c>
      <c r="G204" s="60" t="s">
        <v>223</v>
      </c>
      <c r="H204" s="61"/>
      <c r="I204" s="62" t="s">
        <v>365</v>
      </c>
      <c r="J204" s="57">
        <v>0</v>
      </c>
      <c r="K204" s="57">
        <v>0</v>
      </c>
    </row>
    <row r="205" spans="1:11" hidden="1" x14ac:dyDescent="0.35">
      <c r="A205" s="38" cm="1">
        <f t="array" ref="A205">_xlfn.IFS(B205&lt;1,"",B205&lt;=2,1,B205&lt;=4,2,B205&lt;=8,3)</f>
        <v>3</v>
      </c>
      <c r="B205" s="1">
        <f>LEN('PLANILHA ORÇAMENTÁRIA'!$E205)</f>
        <v>6</v>
      </c>
      <c r="C205" t="str">
        <f>IF(AND(Tabela6[[#This Row],[IND.]]&gt;=5,Tabela6[[#This Row],[QUANT]]=0),"X","")</f>
        <v>X</v>
      </c>
      <c r="E205" s="58" t="s">
        <v>391</v>
      </c>
      <c r="F205" s="59" t="s">
        <v>392</v>
      </c>
      <c r="G205" s="60" t="s">
        <v>223</v>
      </c>
      <c r="H205" s="61"/>
      <c r="I205" s="62" t="s">
        <v>365</v>
      </c>
      <c r="J205" s="57">
        <v>0</v>
      </c>
      <c r="K205" s="57">
        <v>0</v>
      </c>
    </row>
    <row r="206" spans="1:11" ht="29" hidden="1" x14ac:dyDescent="0.35">
      <c r="A206" s="38" cm="1">
        <f t="array" ref="A206">_xlfn.IFS(B206&lt;1,"",B206&lt;=2,1,B206&lt;=4,2,B206&lt;=8,3)</f>
        <v>3</v>
      </c>
      <c r="B206" s="1">
        <f>LEN('PLANILHA ORÇAMENTÁRIA'!$E206)</f>
        <v>6</v>
      </c>
      <c r="C206" t="str">
        <f>IF(AND(Tabela6[[#This Row],[IND.]]&gt;=5,Tabela6[[#This Row],[QUANT]]=0),"X","")</f>
        <v>X</v>
      </c>
      <c r="E206" s="58" t="s">
        <v>393</v>
      </c>
      <c r="F206" s="59" t="s">
        <v>394</v>
      </c>
      <c r="G206" s="60" t="s">
        <v>223</v>
      </c>
      <c r="H206" s="61"/>
      <c r="I206" s="62" t="s">
        <v>365</v>
      </c>
      <c r="J206" s="57">
        <v>0</v>
      </c>
      <c r="K206" s="57">
        <v>0</v>
      </c>
    </row>
    <row r="207" spans="1:11" ht="43.5" x14ac:dyDescent="0.35">
      <c r="A207" s="38" cm="1">
        <f t="array" ref="A207">_xlfn.IFS(B207&lt;1,"",B207&lt;=2,1,B207&lt;=4,2,B207&lt;=8,3)</f>
        <v>3</v>
      </c>
      <c r="B207" s="1">
        <f>LEN('PLANILHA ORÇAMENTÁRIA'!$E207)</f>
        <v>6</v>
      </c>
      <c r="C207" t="str">
        <f>IF(AND(Tabela6[[#This Row],[IND.]]&gt;=5,Tabela6[[#This Row],[QUANT]]=0),"X","")</f>
        <v/>
      </c>
      <c r="E207" s="87" t="s">
        <v>395</v>
      </c>
      <c r="F207" s="59" t="s">
        <v>396</v>
      </c>
      <c r="G207" s="60" t="s">
        <v>223</v>
      </c>
      <c r="H207" s="61">
        <v>75</v>
      </c>
      <c r="I207" s="62" t="s">
        <v>111</v>
      </c>
      <c r="J207" s="57">
        <v>100.33</v>
      </c>
      <c r="K207" s="57">
        <v>7524.75</v>
      </c>
    </row>
    <row r="208" spans="1:11" x14ac:dyDescent="0.35">
      <c r="A208" s="38" cm="1">
        <f t="array" ref="A208">_xlfn.IFS(B208&lt;1,"",B208&lt;=2,1,B208&lt;=4,2,B208&lt;=8,3)</f>
        <v>3</v>
      </c>
      <c r="B208" s="1">
        <f>LEN('PLANILHA ORÇAMENTÁRIA'!$E208)</f>
        <v>6</v>
      </c>
      <c r="C208" t="str">
        <f>IF(AND(Tabela6[[#This Row],[IND.]]&gt;=5,Tabela6[[#This Row],[QUANT]]=0),"X","")</f>
        <v/>
      </c>
      <c r="E208" s="87" t="s">
        <v>397</v>
      </c>
      <c r="F208" s="59" t="s">
        <v>398</v>
      </c>
      <c r="G208" s="60" t="s">
        <v>223</v>
      </c>
      <c r="H208" s="61">
        <v>34</v>
      </c>
      <c r="I208" s="62" t="s">
        <v>365</v>
      </c>
      <c r="J208" s="57">
        <v>38.33</v>
      </c>
      <c r="K208" s="57">
        <v>1303.22</v>
      </c>
    </row>
    <row r="209" spans="1:11" hidden="1" x14ac:dyDescent="0.35">
      <c r="A209" s="38" cm="1">
        <f t="array" ref="A209">_xlfn.IFS(B209&lt;1,"",B209&lt;=2,1,B209&lt;=4,2,B209&lt;=8,3)</f>
        <v>3</v>
      </c>
      <c r="B209" s="1">
        <f>LEN('PLANILHA ORÇAMENTÁRIA'!$E209)</f>
        <v>6</v>
      </c>
      <c r="C209" t="str">
        <f>IF(AND(Tabela6[[#This Row],[IND.]]&gt;=5,Tabela6[[#This Row],[QUANT]]=0),"X","")</f>
        <v>X</v>
      </c>
      <c r="E209" s="58" t="s">
        <v>399</v>
      </c>
      <c r="F209" s="59" t="s">
        <v>400</v>
      </c>
      <c r="G209" s="60" t="s">
        <v>223</v>
      </c>
      <c r="H209" s="61"/>
      <c r="I209" s="62" t="s">
        <v>365</v>
      </c>
      <c r="J209" s="57">
        <v>0</v>
      </c>
      <c r="K209" s="57">
        <v>0</v>
      </c>
    </row>
    <row r="210" spans="1:11" x14ac:dyDescent="0.35">
      <c r="A210" s="38" cm="1">
        <f t="array" ref="A210">_xlfn.IFS(B210&lt;1,"",B210&lt;=2,1,B210&lt;=4,2,B210&lt;=8,3)</f>
        <v>3</v>
      </c>
      <c r="B210" s="1">
        <f>LEN('PLANILHA ORÇAMENTÁRIA'!$E210)</f>
        <v>6</v>
      </c>
      <c r="C210" t="str">
        <f>IF(AND(Tabela6[[#This Row],[IND.]]&gt;=5,Tabela6[[#This Row],[QUANT]]=0),"X","")</f>
        <v/>
      </c>
      <c r="E210" s="87" t="s">
        <v>401</v>
      </c>
      <c r="F210" s="59" t="s">
        <v>402</v>
      </c>
      <c r="G210" s="60" t="s">
        <v>223</v>
      </c>
      <c r="H210" s="61">
        <v>1</v>
      </c>
      <c r="I210" s="62" t="s">
        <v>365</v>
      </c>
      <c r="J210" s="57">
        <v>38.33</v>
      </c>
      <c r="K210" s="57">
        <v>38.33</v>
      </c>
    </row>
    <row r="211" spans="1:11" hidden="1" x14ac:dyDescent="0.35">
      <c r="A211" s="38" cm="1">
        <f t="array" ref="A211">_xlfn.IFS(B211&lt;1,"",B211&lt;=2,1,B211&lt;=4,2,B211&lt;=8,3)</f>
        <v>3</v>
      </c>
      <c r="B211" s="1">
        <f>LEN('PLANILHA ORÇAMENTÁRIA'!$E211)</f>
        <v>6</v>
      </c>
      <c r="C211" t="str">
        <f>IF(AND(Tabela6[[#This Row],[IND.]]&gt;=5,Tabela6[[#This Row],[QUANT]]=0),"X","")</f>
        <v>X</v>
      </c>
      <c r="E211" s="58" t="s">
        <v>403</v>
      </c>
      <c r="F211" s="59" t="s">
        <v>404</v>
      </c>
      <c r="G211" s="60" t="s">
        <v>223</v>
      </c>
      <c r="H211" s="61"/>
      <c r="I211" s="62" t="s">
        <v>365</v>
      </c>
      <c r="J211" s="57">
        <v>0</v>
      </c>
      <c r="K211" s="57">
        <v>0</v>
      </c>
    </row>
    <row r="212" spans="1:11" x14ac:dyDescent="0.35">
      <c r="A212" s="38" cm="1">
        <f t="array" ref="A212">_xlfn.IFS(B212&lt;1,"",B212&lt;=2,1,B212&lt;=4,2,B212&lt;=8,3)</f>
        <v>3</v>
      </c>
      <c r="B212" s="1">
        <f>LEN('PLANILHA ORÇAMENTÁRIA'!$E212)</f>
        <v>6</v>
      </c>
      <c r="C212" t="str">
        <f>IF(AND(Tabela6[[#This Row],[IND.]]&gt;=5,Tabela6[[#This Row],[QUANT]]=0),"X","")</f>
        <v/>
      </c>
      <c r="E212" s="87" t="s">
        <v>405</v>
      </c>
      <c r="F212" s="59" t="s">
        <v>406</v>
      </c>
      <c r="G212" s="60" t="s">
        <v>223</v>
      </c>
      <c r="H212" s="61">
        <f>17+6</f>
        <v>23</v>
      </c>
      <c r="I212" s="62" t="s">
        <v>365</v>
      </c>
      <c r="J212" s="57">
        <v>38.33</v>
      </c>
      <c r="K212" s="57">
        <v>881.58999999999992</v>
      </c>
    </row>
    <row r="213" spans="1:11" hidden="1" x14ac:dyDescent="0.35">
      <c r="A213" s="38" cm="1">
        <f t="array" ref="A213">_xlfn.IFS(B213&lt;1,"",B213&lt;=2,1,B213&lt;=4,2,B213&lt;=8,3)</f>
        <v>3</v>
      </c>
      <c r="B213" s="1">
        <f>LEN('PLANILHA ORÇAMENTÁRIA'!$E213)</f>
        <v>6</v>
      </c>
      <c r="C213" t="str">
        <f>IF(AND(Tabela6[[#This Row],[IND.]]&gt;=5,Tabela6[[#This Row],[QUANT]]=0),"X","")</f>
        <v>X</v>
      </c>
      <c r="E213" s="58" t="s">
        <v>407</v>
      </c>
      <c r="F213" s="59" t="s">
        <v>408</v>
      </c>
      <c r="G213" s="60" t="s">
        <v>223</v>
      </c>
      <c r="H213" s="61"/>
      <c r="I213" s="62" t="s">
        <v>365</v>
      </c>
      <c r="J213" s="57">
        <v>0</v>
      </c>
      <c r="K213" s="57">
        <v>0</v>
      </c>
    </row>
    <row r="214" spans="1:11" hidden="1" x14ac:dyDescent="0.35">
      <c r="A214" s="38" cm="1">
        <f t="array" ref="A214">_xlfn.IFS(B214&lt;1,"",B214&lt;=2,1,B214&lt;=4,2,B214&lt;=8,3)</f>
        <v>3</v>
      </c>
      <c r="B214" s="1">
        <f>LEN('PLANILHA ORÇAMENTÁRIA'!$E214)</f>
        <v>6</v>
      </c>
      <c r="C214" t="str">
        <f>IF(AND(Tabela6[[#This Row],[IND.]]&gt;=5,Tabela6[[#This Row],[QUANT]]=0),"X","")</f>
        <v>X</v>
      </c>
      <c r="E214" s="58" t="s">
        <v>409</v>
      </c>
      <c r="F214" s="59" t="s">
        <v>410</v>
      </c>
      <c r="G214" s="60" t="s">
        <v>223</v>
      </c>
      <c r="H214" s="61"/>
      <c r="I214" s="62" t="s">
        <v>365</v>
      </c>
      <c r="J214" s="57">
        <v>0</v>
      </c>
      <c r="K214" s="57">
        <v>0</v>
      </c>
    </row>
    <row r="215" spans="1:11" hidden="1" x14ac:dyDescent="0.35">
      <c r="A215" s="38" cm="1">
        <f t="array" ref="A215">_xlfn.IFS(B215&lt;1,"",B215&lt;=2,1,B215&lt;=4,2,B215&lt;=8,3)</f>
        <v>3</v>
      </c>
      <c r="B215" s="1">
        <f>LEN('PLANILHA ORÇAMENTÁRIA'!$E215)</f>
        <v>6</v>
      </c>
      <c r="C215" t="str">
        <f>IF(AND(Tabela6[[#This Row],[IND.]]&gt;=5,Tabela6[[#This Row],[QUANT]]=0),"X","")</f>
        <v>X</v>
      </c>
      <c r="E215" s="58" t="s">
        <v>411</v>
      </c>
      <c r="F215" s="59" t="s">
        <v>412</v>
      </c>
      <c r="G215" s="60" t="s">
        <v>223</v>
      </c>
      <c r="H215" s="61"/>
      <c r="I215" s="62" t="s">
        <v>365</v>
      </c>
      <c r="J215" s="57">
        <v>0</v>
      </c>
      <c r="K215" s="57">
        <v>0</v>
      </c>
    </row>
    <row r="216" spans="1:11" hidden="1" x14ac:dyDescent="0.35">
      <c r="A216" s="38" cm="1">
        <f t="array" ref="A216">_xlfn.IFS(B216&lt;1,"",B216&lt;=2,1,B216&lt;=4,2,B216&lt;=8,3)</f>
        <v>3</v>
      </c>
      <c r="B216" s="1">
        <f>LEN('PLANILHA ORÇAMENTÁRIA'!$E216)</f>
        <v>6</v>
      </c>
      <c r="C216" t="str">
        <f>IF(AND(Tabela6[[#This Row],[IND.]]&gt;=5,Tabela6[[#This Row],[QUANT]]=0),"X","")</f>
        <v>X</v>
      </c>
      <c r="E216" s="58" t="s">
        <v>413</v>
      </c>
      <c r="F216" s="59" t="s">
        <v>414</v>
      </c>
      <c r="G216" s="60" t="s">
        <v>223</v>
      </c>
      <c r="H216" s="61"/>
      <c r="I216" s="62" t="s">
        <v>365</v>
      </c>
      <c r="J216" s="57">
        <v>0</v>
      </c>
      <c r="K216" s="57">
        <v>0</v>
      </c>
    </row>
    <row r="217" spans="1:11" hidden="1" x14ac:dyDescent="0.35">
      <c r="A217" s="38" cm="1">
        <f t="array" ref="A217">_xlfn.IFS(B217&lt;1,"",B217&lt;=2,1,B217&lt;=4,2,B217&lt;=8,3)</f>
        <v>3</v>
      </c>
      <c r="B217" s="1">
        <f>LEN('PLANILHA ORÇAMENTÁRIA'!$E217)</f>
        <v>6</v>
      </c>
      <c r="C217" t="str">
        <f>IF(AND(Tabela6[[#This Row],[IND.]]&gt;=5,Tabela6[[#This Row],[QUANT]]=0),"X","")</f>
        <v>X</v>
      </c>
      <c r="E217" s="58" t="s">
        <v>415</v>
      </c>
      <c r="F217" s="59" t="s">
        <v>416</v>
      </c>
      <c r="G217" s="60" t="s">
        <v>223</v>
      </c>
      <c r="H217" s="61"/>
      <c r="I217" s="62" t="s">
        <v>365</v>
      </c>
      <c r="J217" s="57">
        <v>0</v>
      </c>
      <c r="K217" s="57">
        <v>0</v>
      </c>
    </row>
    <row r="218" spans="1:11" hidden="1" x14ac:dyDescent="0.35">
      <c r="A218" s="38" cm="1">
        <f t="array" ref="A218">_xlfn.IFS(B218&lt;1,"",B218&lt;=2,1,B218&lt;=4,2,B218&lt;=8,3)</f>
        <v>3</v>
      </c>
      <c r="B218" s="1">
        <f>LEN('PLANILHA ORÇAMENTÁRIA'!$E218)</f>
        <v>6</v>
      </c>
      <c r="C218" t="str">
        <f>IF(AND(Tabela6[[#This Row],[IND.]]&gt;=5,Tabela6[[#This Row],[QUANT]]=0),"X","")</f>
        <v>X</v>
      </c>
      <c r="E218" s="58" t="s">
        <v>417</v>
      </c>
      <c r="F218" s="59" t="s">
        <v>418</v>
      </c>
      <c r="G218" s="60" t="s">
        <v>223</v>
      </c>
      <c r="H218" s="61"/>
      <c r="I218" s="62" t="s">
        <v>365</v>
      </c>
      <c r="J218" s="57">
        <v>0</v>
      </c>
      <c r="K218" s="57">
        <v>0</v>
      </c>
    </row>
    <row r="219" spans="1:11" hidden="1" x14ac:dyDescent="0.35">
      <c r="A219" s="38" cm="1">
        <f t="array" ref="A219">_xlfn.IFS(B219&lt;1,"",B219&lt;=2,1,B219&lt;=4,2,B219&lt;=8,3)</f>
        <v>3</v>
      </c>
      <c r="B219" s="1">
        <f>LEN('PLANILHA ORÇAMENTÁRIA'!$E219)</f>
        <v>6</v>
      </c>
      <c r="C219" t="str">
        <f>IF(AND(Tabela6[[#This Row],[IND.]]&gt;=5,Tabela6[[#This Row],[QUANT]]=0),"X","")</f>
        <v>X</v>
      </c>
      <c r="E219" s="58" t="s">
        <v>419</v>
      </c>
      <c r="F219" s="59" t="s">
        <v>420</v>
      </c>
      <c r="G219" s="60" t="s">
        <v>223</v>
      </c>
      <c r="H219" s="61"/>
      <c r="I219" s="62" t="s">
        <v>365</v>
      </c>
      <c r="J219" s="57">
        <v>0</v>
      </c>
      <c r="K219" s="57">
        <v>0</v>
      </c>
    </row>
    <row r="220" spans="1:11" x14ac:dyDescent="0.35">
      <c r="A220" s="38" cm="1">
        <f t="array" ref="A220">_xlfn.IFS(B220&lt;1,"",B220&lt;=2,1,B220&lt;=4,2,B220&lt;=8,3)</f>
        <v>2</v>
      </c>
      <c r="B220" s="1">
        <f>LEN('PLANILHA ORÇAMENTÁRIA'!$E220)</f>
        <v>3</v>
      </c>
      <c r="C220" t="str">
        <f>IF(Tabela6[[#This Row],[QUANT]]="x","x","")</f>
        <v/>
      </c>
      <c r="E220" s="142" t="s">
        <v>421</v>
      </c>
      <c r="F220" s="54" t="s">
        <v>422</v>
      </c>
      <c r="G220" s="54"/>
      <c r="H220" s="55" t="str">
        <f>IF(SUM(H221:H237)=0,"x","")</f>
        <v/>
      </c>
      <c r="I220" s="55"/>
      <c r="J220" s="56"/>
      <c r="K220" s="56">
        <f>SUMIF($A$221:$A$237,"3",K221:K237)</f>
        <v>51410.25</v>
      </c>
    </row>
    <row r="221" spans="1:11" ht="43.5" x14ac:dyDescent="0.35">
      <c r="A221" s="38" cm="1">
        <f t="array" ref="A221">_xlfn.IFS(B221&lt;1,"",B221&lt;=2,1,B221&lt;=4,2,B221&lt;=8,3)</f>
        <v>3</v>
      </c>
      <c r="B221" s="1">
        <f>LEN('PLANILHA ORÇAMENTÁRIA'!$E221)</f>
        <v>5</v>
      </c>
      <c r="C221" t="str">
        <f>IF(AND(Tabela6[[#This Row],[IND.]]&gt;=5,Tabela6[[#This Row],[QUANT]]=0),"X","")</f>
        <v/>
      </c>
      <c r="E221" s="87" t="s">
        <v>423</v>
      </c>
      <c r="F221" s="59" t="s">
        <v>424</v>
      </c>
      <c r="G221" s="60" t="s">
        <v>223</v>
      </c>
      <c r="H221" s="83">
        <v>34</v>
      </c>
      <c r="I221" s="62" t="s">
        <v>365</v>
      </c>
      <c r="J221" s="57">
        <v>196.67</v>
      </c>
      <c r="K221" s="57">
        <v>6686.78</v>
      </c>
    </row>
    <row r="222" spans="1:11" ht="43.5" hidden="1" x14ac:dyDescent="0.35">
      <c r="A222" s="38" cm="1">
        <f t="array" ref="A222">_xlfn.IFS(B222&lt;1,"",B222&lt;=2,1,B222&lt;=4,2,B222&lt;=8,3)</f>
        <v>3</v>
      </c>
      <c r="B222" s="1">
        <f>LEN('PLANILHA ORÇAMENTÁRIA'!$E222)</f>
        <v>5</v>
      </c>
      <c r="C222" t="str">
        <f>IF(AND(Tabela6[[#This Row],[IND.]]&gt;=5,Tabela6[[#This Row],[QUANT]]=0),"X","")</f>
        <v>X</v>
      </c>
      <c r="E222" s="58" t="s">
        <v>425</v>
      </c>
      <c r="F222" s="59" t="s">
        <v>426</v>
      </c>
      <c r="G222" s="60" t="s">
        <v>223</v>
      </c>
      <c r="H222" s="83"/>
      <c r="I222" s="62" t="s">
        <v>365</v>
      </c>
      <c r="J222" s="57">
        <v>0</v>
      </c>
      <c r="K222" s="57">
        <v>0</v>
      </c>
    </row>
    <row r="223" spans="1:11" ht="43.5" hidden="1" x14ac:dyDescent="0.35">
      <c r="A223" s="38" cm="1">
        <f t="array" ref="A223">_xlfn.IFS(B223&lt;1,"",B223&lt;=2,1,B223&lt;=4,2,B223&lt;=8,3)</f>
        <v>3</v>
      </c>
      <c r="B223" s="1">
        <f>LEN('PLANILHA ORÇAMENTÁRIA'!$E223)</f>
        <v>5</v>
      </c>
      <c r="C223" t="str">
        <f>IF(AND(Tabela6[[#This Row],[IND.]]&gt;=5,Tabela6[[#This Row],[QUANT]]=0),"X","")</f>
        <v>X</v>
      </c>
      <c r="E223" s="58" t="s">
        <v>427</v>
      </c>
      <c r="F223" s="59" t="s">
        <v>428</v>
      </c>
      <c r="G223" s="60" t="s">
        <v>223</v>
      </c>
      <c r="H223" s="83"/>
      <c r="I223" s="62" t="s">
        <v>365</v>
      </c>
      <c r="J223" s="57">
        <v>0</v>
      </c>
      <c r="K223" s="57">
        <v>0</v>
      </c>
    </row>
    <row r="224" spans="1:11" ht="43.5" hidden="1" x14ac:dyDescent="0.35">
      <c r="A224" s="38" cm="1">
        <f t="array" ref="A224">_xlfn.IFS(B224&lt;1,"",B224&lt;=2,1,B224&lt;=4,2,B224&lt;=8,3)</f>
        <v>3</v>
      </c>
      <c r="B224" s="1">
        <f>LEN('PLANILHA ORÇAMENTÁRIA'!$E224)</f>
        <v>5</v>
      </c>
      <c r="C224" t="str">
        <f>IF(AND(Tabela6[[#This Row],[IND.]]&gt;=5,Tabela6[[#This Row],[QUANT]]=0),"X","")</f>
        <v>X</v>
      </c>
      <c r="E224" s="58" t="s">
        <v>429</v>
      </c>
      <c r="F224" s="59" t="s">
        <v>430</v>
      </c>
      <c r="G224" s="60" t="s">
        <v>223</v>
      </c>
      <c r="H224" s="83"/>
      <c r="I224" s="62" t="s">
        <v>365</v>
      </c>
      <c r="J224" s="57">
        <v>0</v>
      </c>
      <c r="K224" s="57">
        <v>0</v>
      </c>
    </row>
    <row r="225" spans="1:11" ht="43.5" x14ac:dyDescent="0.35">
      <c r="A225" s="38" cm="1">
        <f t="array" ref="A225">_xlfn.IFS(B225&lt;1,"",B225&lt;=2,1,B225&lt;=4,2,B225&lt;=8,3)</f>
        <v>3</v>
      </c>
      <c r="B225" s="1">
        <f>LEN('PLANILHA ORÇAMENTÁRIA'!$E225)</f>
        <v>5</v>
      </c>
      <c r="C225" t="str">
        <f>IF(AND(Tabela6[[#This Row],[IND.]]&gt;=5,Tabela6[[#This Row],[QUANT]]=0),"X","")</f>
        <v/>
      </c>
      <c r="E225" s="87" t="s">
        <v>431</v>
      </c>
      <c r="F225" s="59" t="s">
        <v>432</v>
      </c>
      <c r="G225" s="60" t="s">
        <v>223</v>
      </c>
      <c r="H225" s="83">
        <v>24</v>
      </c>
      <c r="I225" s="62" t="s">
        <v>365</v>
      </c>
      <c r="J225" s="57">
        <v>201.67</v>
      </c>
      <c r="K225" s="57">
        <v>4840.08</v>
      </c>
    </row>
    <row r="226" spans="1:11" ht="43.5" x14ac:dyDescent="0.35">
      <c r="A226" s="38" cm="1">
        <f t="array" ref="A226">_xlfn.IFS(B226&lt;1,"",B226&lt;=2,1,B226&lt;=4,2,B226&lt;=8,3)</f>
        <v>3</v>
      </c>
      <c r="B226" s="1">
        <f>LEN('PLANILHA ORÇAMENTÁRIA'!$E226)</f>
        <v>5</v>
      </c>
      <c r="C226" t="str">
        <f>IF(AND(Tabela6[[#This Row],[IND.]]&gt;=5,Tabela6[[#This Row],[QUANT]]=0),"X","")</f>
        <v/>
      </c>
      <c r="E226" s="87" t="s">
        <v>433</v>
      </c>
      <c r="F226" s="59" t="s">
        <v>434</v>
      </c>
      <c r="G226" s="60" t="s">
        <v>223</v>
      </c>
      <c r="H226" s="83">
        <v>12</v>
      </c>
      <c r="I226" s="62" t="s">
        <v>365</v>
      </c>
      <c r="J226" s="57">
        <v>200.67</v>
      </c>
      <c r="K226" s="57">
        <v>2408.04</v>
      </c>
    </row>
    <row r="227" spans="1:11" ht="43.5" hidden="1" x14ac:dyDescent="0.35">
      <c r="A227" s="38" cm="1">
        <f t="array" ref="A227">_xlfn.IFS(B227&lt;1,"",B227&lt;=2,1,B227&lt;=4,2,B227&lt;=8,3)</f>
        <v>3</v>
      </c>
      <c r="B227" s="1">
        <f>LEN('PLANILHA ORÇAMENTÁRIA'!$E227)</f>
        <v>5</v>
      </c>
      <c r="C227" t="str">
        <f>IF(AND(Tabela6[[#This Row],[IND.]]&gt;=5,Tabela6[[#This Row],[QUANT]]=0),"X","")</f>
        <v>X</v>
      </c>
      <c r="E227" s="58" t="s">
        <v>435</v>
      </c>
      <c r="F227" s="59" t="s">
        <v>436</v>
      </c>
      <c r="G227" s="60" t="s">
        <v>223</v>
      </c>
      <c r="H227" s="83"/>
      <c r="I227" s="62" t="s">
        <v>365</v>
      </c>
      <c r="J227" s="57">
        <v>0</v>
      </c>
      <c r="K227" s="57">
        <v>0</v>
      </c>
    </row>
    <row r="228" spans="1:11" ht="43.5" x14ac:dyDescent="0.35">
      <c r="A228" s="38" cm="1">
        <f t="array" ref="A228">_xlfn.IFS(B228&lt;1,"",B228&lt;=2,1,B228&lt;=4,2,B228&lt;=8,3)</f>
        <v>3</v>
      </c>
      <c r="B228" s="1">
        <f>LEN('PLANILHA ORÇAMENTÁRIA'!$E228)</f>
        <v>5</v>
      </c>
      <c r="C228" t="str">
        <f>IF(AND(Tabela6[[#This Row],[IND.]]&gt;=5,Tabela6[[#This Row],[QUANT]]=0),"X","")</f>
        <v/>
      </c>
      <c r="E228" s="87" t="s">
        <v>437</v>
      </c>
      <c r="F228" s="59" t="s">
        <v>438</v>
      </c>
      <c r="G228" s="60" t="s">
        <v>223</v>
      </c>
      <c r="H228" s="83">
        <v>2</v>
      </c>
      <c r="I228" s="62" t="s">
        <v>365</v>
      </c>
      <c r="J228" s="57">
        <v>196.67</v>
      </c>
      <c r="K228" s="57">
        <v>393.34</v>
      </c>
    </row>
    <row r="229" spans="1:11" ht="29" hidden="1" x14ac:dyDescent="0.35">
      <c r="A229" s="38" cm="1">
        <f t="array" ref="A229">_xlfn.IFS(B229&lt;1,"",B229&lt;=2,1,B229&lt;=4,2,B229&lt;=8,3)</f>
        <v>3</v>
      </c>
      <c r="B229" s="1">
        <f>LEN('PLANILHA ORÇAMENTÁRIA'!$E229)</f>
        <v>5</v>
      </c>
      <c r="C229" t="str">
        <f>IF(AND(Tabela6[[#This Row],[IND.]]&gt;=5,Tabela6[[#This Row],[QUANT]]=0),"X","")</f>
        <v>X</v>
      </c>
      <c r="E229" s="58" t="s">
        <v>439</v>
      </c>
      <c r="F229" s="59" t="s">
        <v>440</v>
      </c>
      <c r="G229" s="60" t="s">
        <v>223</v>
      </c>
      <c r="H229" s="83"/>
      <c r="I229" s="62" t="s">
        <v>365</v>
      </c>
      <c r="J229" s="57">
        <v>0</v>
      </c>
      <c r="K229" s="57">
        <v>0</v>
      </c>
    </row>
    <row r="230" spans="1:11" ht="43.5" x14ac:dyDescent="0.35">
      <c r="A230" s="38" cm="1">
        <f t="array" ref="A230">_xlfn.IFS(B230&lt;1,"",B230&lt;=2,1,B230&lt;=4,2,B230&lt;=8,3)</f>
        <v>3</v>
      </c>
      <c r="B230" s="1">
        <f>LEN('PLANILHA ORÇAMENTÁRIA'!$E230)</f>
        <v>6</v>
      </c>
      <c r="C230" t="str">
        <f>IF(AND(Tabela6[[#This Row],[IND.]]&gt;=5,Tabela6[[#This Row],[QUANT]]=0),"X","")</f>
        <v/>
      </c>
      <c r="E230" s="87" t="s">
        <v>441</v>
      </c>
      <c r="F230" s="59" t="s">
        <v>442</v>
      </c>
      <c r="G230" s="60" t="s">
        <v>223</v>
      </c>
      <c r="H230" s="83">
        <v>5</v>
      </c>
      <c r="I230" s="62" t="s">
        <v>365</v>
      </c>
      <c r="J230" s="57">
        <v>182.67</v>
      </c>
      <c r="K230" s="57">
        <v>913.34999999999991</v>
      </c>
    </row>
    <row r="231" spans="1:11" ht="43.5" hidden="1" x14ac:dyDescent="0.35">
      <c r="A231" s="38" cm="1">
        <f t="array" ref="A231">_xlfn.IFS(B231&lt;1,"",B231&lt;=2,1,B231&lt;=4,2,B231&lt;=8,3)</f>
        <v>3</v>
      </c>
      <c r="B231" s="1">
        <f>LEN('PLANILHA ORÇAMENTÁRIA'!$E231)</f>
        <v>6</v>
      </c>
      <c r="C231" t="str">
        <f>IF(AND(Tabela6[[#This Row],[IND.]]&gt;=5,Tabela6[[#This Row],[QUANT]]=0),"X","")</f>
        <v>X</v>
      </c>
      <c r="E231" s="58" t="s">
        <v>443</v>
      </c>
      <c r="F231" s="59" t="s">
        <v>444</v>
      </c>
      <c r="G231" s="60" t="s">
        <v>223</v>
      </c>
      <c r="H231" s="83"/>
      <c r="I231" s="62" t="s">
        <v>365</v>
      </c>
      <c r="J231" s="57">
        <v>0</v>
      </c>
      <c r="K231" s="57">
        <v>0</v>
      </c>
    </row>
    <row r="232" spans="1:11" ht="43.5" hidden="1" x14ac:dyDescent="0.35">
      <c r="A232" s="38" cm="1">
        <f t="array" ref="A232">_xlfn.IFS(B232&lt;1,"",B232&lt;=2,1,B232&lt;=4,2,B232&lt;=8,3)</f>
        <v>3</v>
      </c>
      <c r="B232" s="1">
        <f>LEN('PLANILHA ORÇAMENTÁRIA'!$E232)</f>
        <v>6</v>
      </c>
      <c r="C232" t="str">
        <f>IF(AND(Tabela6[[#This Row],[IND.]]&gt;=5,Tabela6[[#This Row],[QUANT]]=0),"X","")</f>
        <v>X</v>
      </c>
      <c r="E232" s="58" t="s">
        <v>445</v>
      </c>
      <c r="F232" s="59" t="s">
        <v>446</v>
      </c>
      <c r="G232" s="60" t="s">
        <v>223</v>
      </c>
      <c r="H232" s="83"/>
      <c r="I232" s="62" t="s">
        <v>365</v>
      </c>
      <c r="J232" s="57">
        <v>0</v>
      </c>
      <c r="K232" s="57">
        <v>0</v>
      </c>
    </row>
    <row r="233" spans="1:11" x14ac:dyDescent="0.35">
      <c r="A233" s="38" cm="1">
        <f t="array" ref="A233">_xlfn.IFS(B233&lt;1,"",B233&lt;=2,1,B233&lt;=4,2,B233&lt;=8,3)</f>
        <v>3</v>
      </c>
      <c r="B233" s="1">
        <f>LEN('PLANILHA ORÇAMENTÁRIA'!$E233)</f>
        <v>6</v>
      </c>
      <c r="C233" t="str">
        <f>IF(AND(Tabela6[[#This Row],[IND.]]&gt;=5,Tabela6[[#This Row],[QUANT]]=0),"X","")</f>
        <v/>
      </c>
      <c r="E233" s="87" t="s">
        <v>447</v>
      </c>
      <c r="F233" s="59" t="s">
        <v>448</v>
      </c>
      <c r="G233" s="60" t="s">
        <v>223</v>
      </c>
      <c r="H233" s="83">
        <v>198</v>
      </c>
      <c r="I233" s="62" t="s">
        <v>26</v>
      </c>
      <c r="J233" s="57">
        <v>182.67</v>
      </c>
      <c r="K233" s="57">
        <v>36168.659999999996</v>
      </c>
    </row>
    <row r="234" spans="1:11" ht="43.5" hidden="1" x14ac:dyDescent="0.35">
      <c r="A234" s="38" cm="1">
        <f t="array" ref="A234">_xlfn.IFS(B234&lt;1,"",B234&lt;=2,1,B234&lt;=4,2,B234&lt;=8,3)</f>
        <v>3</v>
      </c>
      <c r="B234" s="1">
        <f>LEN('PLANILHA ORÇAMENTÁRIA'!$E234)</f>
        <v>6</v>
      </c>
      <c r="C234" t="str">
        <f>IF(AND(Tabela6[[#This Row],[IND.]]&gt;=5,Tabela6[[#This Row],[QUANT]]=0),"X","")</f>
        <v>X</v>
      </c>
      <c r="E234" s="58" t="s">
        <v>449</v>
      </c>
      <c r="F234" s="59" t="s">
        <v>450</v>
      </c>
      <c r="G234" s="60" t="s">
        <v>223</v>
      </c>
      <c r="H234" s="83"/>
      <c r="I234" s="62" t="s">
        <v>26</v>
      </c>
      <c r="J234" s="57">
        <v>0</v>
      </c>
      <c r="K234" s="57">
        <v>0</v>
      </c>
    </row>
    <row r="235" spans="1:11" ht="43.5" hidden="1" x14ac:dyDescent="0.35">
      <c r="A235" s="38" cm="1">
        <f t="array" ref="A235">_xlfn.IFS(B235&lt;1,"",B235&lt;=2,1,B235&lt;=4,2,B235&lt;=8,3)</f>
        <v>3</v>
      </c>
      <c r="B235" s="1">
        <f>LEN('PLANILHA ORÇAMENTÁRIA'!$E235)</f>
        <v>6</v>
      </c>
      <c r="C235" t="str">
        <f>IF(AND(Tabela6[[#This Row],[IND.]]&gt;=5,Tabela6[[#This Row],[QUANT]]=0),"X","")</f>
        <v>X</v>
      </c>
      <c r="E235" s="58" t="s">
        <v>451</v>
      </c>
      <c r="F235" s="59" t="s">
        <v>452</v>
      </c>
      <c r="G235" s="60" t="s">
        <v>223</v>
      </c>
      <c r="H235" s="83"/>
      <c r="I235" s="62" t="s">
        <v>26</v>
      </c>
      <c r="J235" s="57">
        <v>0</v>
      </c>
      <c r="K235" s="57">
        <v>0</v>
      </c>
    </row>
    <row r="236" spans="1:11" ht="43.5" hidden="1" x14ac:dyDescent="0.35">
      <c r="A236" s="38" cm="1">
        <f t="array" ref="A236">_xlfn.IFS(B236&lt;1,"",B236&lt;=2,1,B236&lt;=4,2,B236&lt;=8,3)</f>
        <v>3</v>
      </c>
      <c r="B236" s="1">
        <f>LEN('PLANILHA ORÇAMENTÁRIA'!$E236)</f>
        <v>6</v>
      </c>
      <c r="C236" t="str">
        <f>IF(AND(Tabela6[[#This Row],[IND.]]&gt;=5,Tabela6[[#This Row],[QUANT]]=0),"X","")</f>
        <v>X</v>
      </c>
      <c r="E236" s="58" t="s">
        <v>453</v>
      </c>
      <c r="F236" s="59" t="s">
        <v>454</v>
      </c>
      <c r="G236" s="60" t="s">
        <v>223</v>
      </c>
      <c r="H236" s="83"/>
      <c r="I236" s="62" t="s">
        <v>26</v>
      </c>
      <c r="J236" s="57">
        <v>0</v>
      </c>
      <c r="K236" s="57">
        <v>0</v>
      </c>
    </row>
    <row r="237" spans="1:11" hidden="1" x14ac:dyDescent="0.35">
      <c r="A237" s="38" cm="1">
        <f t="array" ref="A237">_xlfn.IFS(B237&lt;1,"",B237&lt;=2,1,B237&lt;=4,2,B237&lt;=8,3)</f>
        <v>3</v>
      </c>
      <c r="B237" s="1">
        <f>LEN('PLANILHA ORÇAMENTÁRIA'!$E237)</f>
        <v>6</v>
      </c>
      <c r="C237" t="str">
        <f>IF(AND(Tabela6[[#This Row],[IND.]]&gt;=5,Tabela6[[#This Row],[QUANT]]=0),"X","")</f>
        <v>X</v>
      </c>
      <c r="E237" s="58" t="s">
        <v>455</v>
      </c>
      <c r="F237" s="60" t="s">
        <v>456</v>
      </c>
      <c r="G237" s="60" t="s">
        <v>223</v>
      </c>
      <c r="H237" s="83"/>
      <c r="I237" s="62" t="s">
        <v>29</v>
      </c>
      <c r="J237" s="57">
        <v>0</v>
      </c>
      <c r="K237" s="57">
        <v>0</v>
      </c>
    </row>
    <row r="238" spans="1:11" x14ac:dyDescent="0.35">
      <c r="A238" s="38" cm="1">
        <f t="array" ref="A238">_xlfn.IFS(B238&lt;1,"",B238&lt;=2,1,B238&lt;=4,2,B238&lt;=8,3)</f>
        <v>2</v>
      </c>
      <c r="B238" s="1">
        <f>LEN('PLANILHA ORÇAMENTÁRIA'!$E238)</f>
        <v>3</v>
      </c>
      <c r="C238" t="str">
        <f>IF(Tabela6[[#This Row],[QUANT]]="x","x","")</f>
        <v/>
      </c>
      <c r="E238" s="142" t="s">
        <v>457</v>
      </c>
      <c r="F238" s="54" t="s">
        <v>458</v>
      </c>
      <c r="G238" s="54"/>
      <c r="H238" s="55" t="str">
        <f>IF(SUM(H239:H262)=0,"x","")</f>
        <v/>
      </c>
      <c r="I238" s="55"/>
      <c r="J238" s="56"/>
      <c r="K238" s="56">
        <f>SUMIF($A$239:$A$262,"3",K239:K262)</f>
        <v>86146.35</v>
      </c>
    </row>
    <row r="239" spans="1:11" ht="29" hidden="1" x14ac:dyDescent="0.35">
      <c r="A239" s="38" cm="1">
        <f t="array" ref="A239">_xlfn.IFS(B239&lt;1,"",B239&lt;=2,1,B239&lt;=4,2,B239&lt;=8,3)</f>
        <v>3</v>
      </c>
      <c r="B239" s="1">
        <f>LEN('PLANILHA ORÇAMENTÁRIA'!$E239)</f>
        <v>5</v>
      </c>
      <c r="C239" t="str">
        <f>IF(AND(Tabela6[[#This Row],[IND.]]&gt;=5,Tabela6[[#This Row],[QUANT]]=0),"X","")</f>
        <v>X</v>
      </c>
      <c r="E239" s="58" t="s">
        <v>459</v>
      </c>
      <c r="F239" s="59" t="s">
        <v>460</v>
      </c>
      <c r="G239" s="60" t="s">
        <v>284</v>
      </c>
      <c r="H239" s="61"/>
      <c r="I239" s="62" t="s">
        <v>26</v>
      </c>
      <c r="J239" s="57">
        <v>0</v>
      </c>
      <c r="K239" s="57">
        <v>0</v>
      </c>
    </row>
    <row r="240" spans="1:11" ht="29" hidden="1" x14ac:dyDescent="0.35">
      <c r="A240" s="38" cm="1">
        <f t="array" ref="A240">_xlfn.IFS(B240&lt;1,"",B240&lt;=2,1,B240&lt;=4,2,B240&lt;=8,3)</f>
        <v>3</v>
      </c>
      <c r="B240" s="1">
        <f>LEN('PLANILHA ORÇAMENTÁRIA'!$E240)</f>
        <v>5</v>
      </c>
      <c r="C240" t="str">
        <f>IF(AND(Tabela6[[#This Row],[IND.]]&gt;=5,Tabela6[[#This Row],[QUANT]]=0),"X","")</f>
        <v>X</v>
      </c>
      <c r="E240" s="58" t="s">
        <v>461</v>
      </c>
      <c r="F240" s="59" t="s">
        <v>462</v>
      </c>
      <c r="G240" s="60" t="s">
        <v>284</v>
      </c>
      <c r="H240" s="61"/>
      <c r="I240" s="62" t="s">
        <v>26</v>
      </c>
      <c r="J240" s="57">
        <v>0</v>
      </c>
      <c r="K240" s="57">
        <v>0</v>
      </c>
    </row>
    <row r="241" spans="1:11" ht="29" hidden="1" x14ac:dyDescent="0.35">
      <c r="A241" s="38" cm="1">
        <f t="array" ref="A241">_xlfn.IFS(B241&lt;1,"",B241&lt;=2,1,B241&lt;=4,2,B241&lt;=8,3)</f>
        <v>3</v>
      </c>
      <c r="B241" s="1">
        <f>LEN('PLANILHA ORÇAMENTÁRIA'!$E241)</f>
        <v>5</v>
      </c>
      <c r="C241" t="str">
        <f>IF(AND(Tabela6[[#This Row],[IND.]]&gt;=5,Tabela6[[#This Row],[QUANT]]=0),"X","")</f>
        <v>X</v>
      </c>
      <c r="E241" s="58" t="s">
        <v>463</v>
      </c>
      <c r="F241" s="59" t="s">
        <v>464</v>
      </c>
      <c r="G241" s="60" t="s">
        <v>284</v>
      </c>
      <c r="H241" s="61"/>
      <c r="I241" s="62" t="s">
        <v>26</v>
      </c>
      <c r="J241" s="57">
        <v>0</v>
      </c>
      <c r="K241" s="57">
        <v>0</v>
      </c>
    </row>
    <row r="242" spans="1:11" ht="30" hidden="1" customHeight="1" x14ac:dyDescent="0.35">
      <c r="A242" s="38" cm="1">
        <f t="array" ref="A242">_xlfn.IFS(B242&lt;1,"",B242&lt;=2,1,B242&lt;=4,2,B242&lt;=8,3)</f>
        <v>3</v>
      </c>
      <c r="B242" s="1">
        <f>LEN('PLANILHA ORÇAMENTÁRIA'!$E242)</f>
        <v>5</v>
      </c>
      <c r="C242" t="str">
        <f>IF(AND(Tabela6[[#This Row],[IND.]]&gt;=5,Tabela6[[#This Row],[QUANT]]=0),"X","")</f>
        <v>X</v>
      </c>
      <c r="E242" s="58" t="s">
        <v>465</v>
      </c>
      <c r="F242" s="59" t="s">
        <v>466</v>
      </c>
      <c r="G242" s="60" t="s">
        <v>284</v>
      </c>
      <c r="H242" s="61"/>
      <c r="I242" s="62" t="s">
        <v>26</v>
      </c>
      <c r="J242" s="57">
        <v>0</v>
      </c>
      <c r="K242" s="57">
        <v>0</v>
      </c>
    </row>
    <row r="243" spans="1:11" ht="30" hidden="1" customHeight="1" x14ac:dyDescent="0.35">
      <c r="A243" s="38" cm="1">
        <f t="array" ref="A243">_xlfn.IFS(B243&lt;1,"",B243&lt;=2,1,B243&lt;=4,2,B243&lt;=8,3)</f>
        <v>3</v>
      </c>
      <c r="B243" s="1">
        <f>LEN('PLANILHA ORÇAMENTÁRIA'!$E243)</f>
        <v>5</v>
      </c>
      <c r="C243" t="str">
        <f>IF(AND(Tabela6[[#This Row],[IND.]]&gt;=5,Tabela6[[#This Row],[QUANT]]=0),"X","")</f>
        <v>X</v>
      </c>
      <c r="E243" s="58" t="s">
        <v>467</v>
      </c>
      <c r="F243" s="59" t="s">
        <v>468</v>
      </c>
      <c r="G243" s="60" t="s">
        <v>284</v>
      </c>
      <c r="H243" s="61"/>
      <c r="I243" s="62" t="s">
        <v>26</v>
      </c>
      <c r="J243" s="57">
        <v>0</v>
      </c>
      <c r="K243" s="57">
        <v>0</v>
      </c>
    </row>
    <row r="244" spans="1:11" ht="29" hidden="1" x14ac:dyDescent="0.35">
      <c r="A244" s="38" cm="1">
        <f t="array" ref="A244">_xlfn.IFS(B244&lt;1,"",B244&lt;=2,1,B244&lt;=4,2,B244&lt;=8,3)</f>
        <v>3</v>
      </c>
      <c r="B244" s="1">
        <f>LEN('PLANILHA ORÇAMENTÁRIA'!$E244)</f>
        <v>5</v>
      </c>
      <c r="C244" t="str">
        <f>IF(AND(Tabela6[[#This Row],[IND.]]&gt;=5,Tabela6[[#This Row],[QUANT]]=0),"X","")</f>
        <v>X</v>
      </c>
      <c r="E244" s="58" t="s">
        <v>469</v>
      </c>
      <c r="F244" s="59" t="s">
        <v>470</v>
      </c>
      <c r="G244" s="60" t="s">
        <v>284</v>
      </c>
      <c r="H244" s="61"/>
      <c r="I244" s="62" t="s">
        <v>26</v>
      </c>
      <c r="J244" s="57">
        <v>0</v>
      </c>
      <c r="K244" s="57">
        <v>0</v>
      </c>
    </row>
    <row r="245" spans="1:11" ht="29" hidden="1" x14ac:dyDescent="0.35">
      <c r="A245" s="38" cm="1">
        <f t="array" ref="A245">_xlfn.IFS(B245&lt;1,"",B245&lt;=2,1,B245&lt;=4,2,B245&lt;=8,3)</f>
        <v>3</v>
      </c>
      <c r="B245" s="1">
        <f>LEN('PLANILHA ORÇAMENTÁRIA'!$E245)</f>
        <v>5</v>
      </c>
      <c r="C245" t="str">
        <f>IF(AND(Tabela6[[#This Row],[IND.]]&gt;=5,Tabela6[[#This Row],[QUANT]]=0),"X","")</f>
        <v>X</v>
      </c>
      <c r="E245" s="58" t="s">
        <v>471</v>
      </c>
      <c r="F245" s="59" t="s">
        <v>472</v>
      </c>
      <c r="G245" s="60" t="s">
        <v>284</v>
      </c>
      <c r="H245" s="61"/>
      <c r="I245" s="62" t="s">
        <v>26</v>
      </c>
      <c r="J245" s="57">
        <v>0</v>
      </c>
      <c r="K245" s="57">
        <v>0</v>
      </c>
    </row>
    <row r="246" spans="1:11" hidden="1" x14ac:dyDescent="0.35">
      <c r="A246" s="38" cm="1">
        <f t="array" ref="A246">_xlfn.IFS(B246&lt;1,"",B246&lt;=2,1,B246&lt;=4,2,B246&lt;=8,3)</f>
        <v>3</v>
      </c>
      <c r="B246" s="1">
        <f>LEN('PLANILHA ORÇAMENTÁRIA'!$E246)</f>
        <v>5</v>
      </c>
      <c r="C246" t="str">
        <f>IF(AND(Tabela6[[#This Row],[IND.]]&gt;=5,Tabela6[[#This Row],[QUANT]]=0),"X","")</f>
        <v>X</v>
      </c>
      <c r="E246" s="58" t="s">
        <v>473</v>
      </c>
      <c r="F246" s="60" t="s">
        <v>474</v>
      </c>
      <c r="G246" s="60" t="s">
        <v>284</v>
      </c>
      <c r="H246" s="61"/>
      <c r="I246" s="62" t="s">
        <v>26</v>
      </c>
      <c r="J246" s="57">
        <v>0</v>
      </c>
      <c r="K246" s="57">
        <v>0</v>
      </c>
    </row>
    <row r="247" spans="1:11" hidden="1" x14ac:dyDescent="0.35">
      <c r="A247" s="38" cm="1">
        <f t="array" ref="A247">_xlfn.IFS(B247&lt;1,"",B247&lt;=2,1,B247&lt;=4,2,B247&lt;=8,3)</f>
        <v>3</v>
      </c>
      <c r="B247" s="1">
        <f>LEN('PLANILHA ORÇAMENTÁRIA'!$E247)</f>
        <v>5</v>
      </c>
      <c r="C247" t="str">
        <f>IF(AND(Tabela6[[#This Row],[IND.]]&gt;=5,Tabela6[[#This Row],[QUANT]]=0),"X","")</f>
        <v>X</v>
      </c>
      <c r="E247" s="58" t="s">
        <v>475</v>
      </c>
      <c r="F247" s="60" t="s">
        <v>476</v>
      </c>
      <c r="G247" s="60" t="s">
        <v>284</v>
      </c>
      <c r="H247" s="61"/>
      <c r="I247" s="62" t="s">
        <v>26</v>
      </c>
      <c r="J247" s="57">
        <v>0</v>
      </c>
      <c r="K247" s="57">
        <v>0</v>
      </c>
    </row>
    <row r="248" spans="1:11" x14ac:dyDescent="0.35">
      <c r="A248" s="38" cm="1">
        <f t="array" ref="A248">_xlfn.IFS(B248&lt;1,"",B248&lt;=2,1,B248&lt;=4,2,B248&lt;=8,3)</f>
        <v>3</v>
      </c>
      <c r="B248" s="1">
        <f>LEN('PLANILHA ORÇAMENTÁRIA'!$E248)</f>
        <v>6</v>
      </c>
      <c r="C248" t="str">
        <f>IF(AND(Tabela6[[#This Row],[IND.]]&gt;=5,Tabela6[[#This Row],[QUANT]]=0),"X","")</f>
        <v/>
      </c>
      <c r="E248" s="87" t="s">
        <v>477</v>
      </c>
      <c r="F248" s="60" t="s">
        <v>478</v>
      </c>
      <c r="G248" s="60" t="s">
        <v>284</v>
      </c>
      <c r="H248" s="61">
        <v>1</v>
      </c>
      <c r="I248" s="62" t="s">
        <v>26</v>
      </c>
      <c r="J248" s="57">
        <v>207.1</v>
      </c>
      <c r="K248" s="57">
        <v>207.1</v>
      </c>
    </row>
    <row r="249" spans="1:11" hidden="1" x14ac:dyDescent="0.35">
      <c r="A249" s="38" cm="1">
        <f t="array" ref="A249">_xlfn.IFS(B249&lt;1,"",B249&lt;=2,1,B249&lt;=4,2,B249&lt;=8,3)</f>
        <v>3</v>
      </c>
      <c r="B249" s="1">
        <f>LEN('PLANILHA ORÇAMENTÁRIA'!$E249)</f>
        <v>6</v>
      </c>
      <c r="C249" t="str">
        <f>IF(AND(Tabela6[[#This Row],[IND.]]&gt;=5,Tabela6[[#This Row],[QUANT]]=0),"X","")</f>
        <v>X</v>
      </c>
      <c r="E249" s="58" t="s">
        <v>479</v>
      </c>
      <c r="F249" s="59" t="s">
        <v>480</v>
      </c>
      <c r="G249" s="60" t="s">
        <v>284</v>
      </c>
      <c r="H249" s="61"/>
      <c r="I249" s="62" t="s">
        <v>26</v>
      </c>
      <c r="J249" s="57">
        <v>0</v>
      </c>
      <c r="K249" s="57">
        <v>0</v>
      </c>
    </row>
    <row r="250" spans="1:11" ht="29" x14ac:dyDescent="0.35">
      <c r="A250" s="38" cm="1">
        <f t="array" ref="A250">_xlfn.IFS(B250&lt;1,"",B250&lt;=2,1,B250&lt;=4,2,B250&lt;=8,3)</f>
        <v>3</v>
      </c>
      <c r="B250" s="1">
        <f>LEN('PLANILHA ORÇAMENTÁRIA'!$E250)</f>
        <v>6</v>
      </c>
      <c r="C250" t="str">
        <f>IF(AND(Tabela6[[#This Row],[IND.]]&gt;=5,Tabela6[[#This Row],[QUANT]]=0),"X","")</f>
        <v/>
      </c>
      <c r="E250" s="87" t="s">
        <v>481</v>
      </c>
      <c r="F250" s="59" t="s">
        <v>482</v>
      </c>
      <c r="G250" s="60" t="s">
        <v>284</v>
      </c>
      <c r="H250" s="61">
        <f>H248*3</f>
        <v>3</v>
      </c>
      <c r="I250" s="62" t="s">
        <v>26</v>
      </c>
      <c r="J250" s="57">
        <v>116.92</v>
      </c>
      <c r="K250" s="57">
        <v>350.76</v>
      </c>
    </row>
    <row r="251" spans="1:11" ht="30" hidden="1" customHeight="1" x14ac:dyDescent="0.35">
      <c r="A251" s="38" cm="1">
        <f t="array" ref="A251">_xlfn.IFS(B251&lt;1,"",B251&lt;=2,1,B251&lt;=4,2,B251&lt;=8,3)</f>
        <v>3</v>
      </c>
      <c r="B251" s="1">
        <f>LEN('PLANILHA ORÇAMENTÁRIA'!$E251)</f>
        <v>6</v>
      </c>
      <c r="C251" t="str">
        <f>IF(AND(Tabela6[[#This Row],[IND.]]&gt;=5,Tabela6[[#This Row],[QUANT]]=0),"X","")</f>
        <v>X</v>
      </c>
      <c r="E251" s="58" t="s">
        <v>483</v>
      </c>
      <c r="F251" s="59" t="s">
        <v>484</v>
      </c>
      <c r="G251" s="60" t="s">
        <v>284</v>
      </c>
      <c r="H251" s="61"/>
      <c r="I251" s="62" t="s">
        <v>26</v>
      </c>
      <c r="J251" s="57">
        <v>0</v>
      </c>
      <c r="K251" s="57">
        <v>0</v>
      </c>
    </row>
    <row r="252" spans="1:11" s="86" customFormat="1" ht="30" hidden="1" customHeight="1" x14ac:dyDescent="0.35">
      <c r="A252" s="84" cm="1">
        <f t="array" ref="A252">_xlfn.IFS(B252&lt;1,"",B252&lt;=2,1,B252&lt;=4,2,B252&lt;=8,3)</f>
        <v>3</v>
      </c>
      <c r="B252" s="85">
        <f>LEN('PLANILHA ORÇAMENTÁRIA'!$E252)</f>
        <v>6</v>
      </c>
      <c r="C252" s="86" t="str">
        <f>IF(AND(Tabela6[[#This Row],[IND.]]&gt;=5,Tabela6[[#This Row],[QUANT]]=0),"X","")</f>
        <v>X</v>
      </c>
      <c r="E252" s="87" t="s">
        <v>485</v>
      </c>
      <c r="F252" s="90" t="s">
        <v>486</v>
      </c>
      <c r="G252" s="88" t="s">
        <v>284</v>
      </c>
      <c r="H252" s="83"/>
      <c r="I252" s="89" t="s">
        <v>26</v>
      </c>
      <c r="J252" s="57">
        <v>0</v>
      </c>
      <c r="K252" s="57">
        <v>0</v>
      </c>
    </row>
    <row r="253" spans="1:11" ht="29" hidden="1" x14ac:dyDescent="0.35">
      <c r="A253" s="38" cm="1">
        <f t="array" ref="A253">_xlfn.IFS(B253&lt;1,"",B253&lt;=2,1,B253&lt;=4,2,B253&lt;=8,3)</f>
        <v>3</v>
      </c>
      <c r="B253" s="1">
        <f>LEN('PLANILHA ORÇAMENTÁRIA'!$E253)</f>
        <v>6</v>
      </c>
      <c r="C253" t="str">
        <f>IF(AND(Tabela6[[#This Row],[IND.]]&gt;=5,Tabela6[[#This Row],[QUANT]]=0),"X","")</f>
        <v>X</v>
      </c>
      <c r="E253" s="58" t="s">
        <v>487</v>
      </c>
      <c r="F253" s="59" t="s">
        <v>488</v>
      </c>
      <c r="G253" s="60" t="s">
        <v>284</v>
      </c>
      <c r="H253" s="61"/>
      <c r="I253" s="62" t="s">
        <v>26</v>
      </c>
      <c r="J253" s="57">
        <v>0</v>
      </c>
      <c r="K253" s="57">
        <v>0</v>
      </c>
    </row>
    <row r="254" spans="1:11" ht="29" hidden="1" x14ac:dyDescent="0.35">
      <c r="A254" s="38" cm="1">
        <f t="array" ref="A254">_xlfn.IFS(B254&lt;1,"",B254&lt;=2,1,B254&lt;=4,2,B254&lt;=8,3)</f>
        <v>3</v>
      </c>
      <c r="B254" s="1">
        <f>LEN('PLANILHA ORÇAMENTÁRIA'!$E254)</f>
        <v>6</v>
      </c>
      <c r="C254" t="str">
        <f>IF(AND(Tabela6[[#This Row],[IND.]]&gt;=5,Tabela6[[#This Row],[QUANT]]=0),"X","")</f>
        <v>X</v>
      </c>
      <c r="E254" s="58" t="s">
        <v>489</v>
      </c>
      <c r="F254" s="59" t="s">
        <v>490</v>
      </c>
      <c r="G254" s="60" t="s">
        <v>284</v>
      </c>
      <c r="H254" s="61"/>
      <c r="I254" s="62" t="s">
        <v>26</v>
      </c>
      <c r="J254" s="57">
        <v>0</v>
      </c>
      <c r="K254" s="57">
        <v>0</v>
      </c>
    </row>
    <row r="255" spans="1:11" ht="29" hidden="1" x14ac:dyDescent="0.35">
      <c r="A255" s="38" cm="1">
        <f t="array" ref="A255">_xlfn.IFS(B255&lt;1,"",B255&lt;=2,1,B255&lt;=4,2,B255&lt;=8,3)</f>
        <v>3</v>
      </c>
      <c r="B255" s="1">
        <f>LEN('PLANILHA ORÇAMENTÁRIA'!$E255)</f>
        <v>6</v>
      </c>
      <c r="C255" t="str">
        <f>IF(AND(Tabela6[[#This Row],[IND.]]&gt;=5,Tabela6[[#This Row],[QUANT]]=0),"X","")</f>
        <v>X</v>
      </c>
      <c r="E255" s="58" t="s">
        <v>491</v>
      </c>
      <c r="F255" s="59" t="s">
        <v>492</v>
      </c>
      <c r="G255" s="60" t="s">
        <v>284</v>
      </c>
      <c r="H255" s="61"/>
      <c r="I255" s="62" t="s">
        <v>26</v>
      </c>
      <c r="J255" s="57">
        <v>0</v>
      </c>
      <c r="K255" s="57">
        <v>0</v>
      </c>
    </row>
    <row r="256" spans="1:11" ht="29" hidden="1" x14ac:dyDescent="0.35">
      <c r="A256" s="38" cm="1">
        <f t="array" ref="A256">_xlfn.IFS(B256&lt;1,"",B256&lt;=2,1,B256&lt;=4,2,B256&lt;=8,3)</f>
        <v>3</v>
      </c>
      <c r="B256" s="1">
        <f>LEN('PLANILHA ORÇAMENTÁRIA'!$E256)</f>
        <v>6</v>
      </c>
      <c r="C256" t="str">
        <f>IF(AND(Tabela6[[#This Row],[IND.]]&gt;=5,Tabela6[[#This Row],[QUANT]]=0),"X","")</f>
        <v>X</v>
      </c>
      <c r="E256" s="58" t="s">
        <v>493</v>
      </c>
      <c r="F256" s="59" t="s">
        <v>492</v>
      </c>
      <c r="G256" s="60" t="s">
        <v>284</v>
      </c>
      <c r="H256" s="61"/>
      <c r="I256" s="62" t="s">
        <v>26</v>
      </c>
      <c r="J256" s="57">
        <v>0</v>
      </c>
      <c r="K256" s="57">
        <v>0</v>
      </c>
    </row>
    <row r="257" spans="1:11" ht="29" hidden="1" x14ac:dyDescent="0.35">
      <c r="A257" s="38" cm="1">
        <f t="array" ref="A257">_xlfn.IFS(B257&lt;1,"",B257&lt;=2,1,B257&lt;=4,2,B257&lt;=8,3)</f>
        <v>3</v>
      </c>
      <c r="B257" s="1">
        <f>LEN('PLANILHA ORÇAMENTÁRIA'!$E257)</f>
        <v>6</v>
      </c>
      <c r="C257" t="str">
        <f>IF(AND(Tabela6[[#This Row],[IND.]]&gt;=5,Tabela6[[#This Row],[QUANT]]=0),"X","")</f>
        <v>X</v>
      </c>
      <c r="E257" s="58" t="s">
        <v>494</v>
      </c>
      <c r="F257" s="59" t="s">
        <v>495</v>
      </c>
      <c r="G257" s="60" t="s">
        <v>284</v>
      </c>
      <c r="H257" s="61"/>
      <c r="I257" s="62" t="s">
        <v>26</v>
      </c>
      <c r="J257" s="57">
        <v>0</v>
      </c>
      <c r="K257" s="57">
        <v>0</v>
      </c>
    </row>
    <row r="258" spans="1:11" ht="30" hidden="1" customHeight="1" x14ac:dyDescent="0.35">
      <c r="A258" s="38" cm="1">
        <f t="array" ref="A258">_xlfn.IFS(B258&lt;1,"",B258&lt;=2,1,B258&lt;=4,2,B258&lt;=8,3)</f>
        <v>3</v>
      </c>
      <c r="B258" s="1">
        <f>LEN('PLANILHA ORÇAMENTÁRIA'!$E258)</f>
        <v>6</v>
      </c>
      <c r="C258" t="str">
        <f>IF(AND(Tabela6[[#This Row],[IND.]]&gt;=5,Tabela6[[#This Row],[QUANT]]=0),"X","")</f>
        <v>X</v>
      </c>
      <c r="E258" s="58" t="s">
        <v>496</v>
      </c>
      <c r="F258" s="59" t="s">
        <v>497</v>
      </c>
      <c r="G258" s="60" t="s">
        <v>284</v>
      </c>
      <c r="H258" s="61"/>
      <c r="I258" s="62" t="s">
        <v>26</v>
      </c>
      <c r="J258" s="57">
        <v>0</v>
      </c>
      <c r="K258" s="57">
        <v>0</v>
      </c>
    </row>
    <row r="259" spans="1:11" hidden="1" x14ac:dyDescent="0.35">
      <c r="A259" s="38" cm="1">
        <f t="array" ref="A259">_xlfn.IFS(B259&lt;1,"",B259&lt;=2,1,B259&lt;=4,2,B259&lt;=8,3)</f>
        <v>3</v>
      </c>
      <c r="B259" s="1">
        <f>LEN('PLANILHA ORÇAMENTÁRIA'!$E259)</f>
        <v>6</v>
      </c>
      <c r="C259" t="str">
        <f>IF(AND(Tabela6[[#This Row],[IND.]]&gt;=5,Tabela6[[#This Row],[QUANT]]=0),"X","")</f>
        <v>X</v>
      </c>
      <c r="E259" s="58" t="s">
        <v>498</v>
      </c>
      <c r="F259" s="59" t="s">
        <v>499</v>
      </c>
      <c r="G259" s="60" t="s">
        <v>284</v>
      </c>
      <c r="H259" s="61"/>
      <c r="I259" s="62" t="s">
        <v>26</v>
      </c>
      <c r="J259" s="57">
        <v>0</v>
      </c>
      <c r="K259" s="57">
        <v>0</v>
      </c>
    </row>
    <row r="260" spans="1:11" x14ac:dyDescent="0.35">
      <c r="A260" s="38" cm="1">
        <f t="array" ref="A260">_xlfn.IFS(B260&lt;1,"",B260&lt;=2,1,B260&lt;=4,2,B260&lt;=8,3)</f>
        <v>3</v>
      </c>
      <c r="B260" s="1">
        <f>LEN('PLANILHA ORÇAMENTÁRIA'!$E260)</f>
        <v>6</v>
      </c>
      <c r="C260" t="str">
        <f>IF(AND(Tabela6[[#This Row],[IND.]]&gt;=5,Tabela6[[#This Row],[QUANT]]=0),"X","")</f>
        <v/>
      </c>
      <c r="E260" s="87" t="s">
        <v>500</v>
      </c>
      <c r="F260" s="59" t="s">
        <v>501</v>
      </c>
      <c r="G260" s="60" t="s">
        <v>284</v>
      </c>
      <c r="H260" s="61">
        <f>H250</f>
        <v>3</v>
      </c>
      <c r="I260" s="62" t="s">
        <v>26</v>
      </c>
      <c r="J260" s="57">
        <v>43.67</v>
      </c>
      <c r="K260" s="57">
        <v>131.01</v>
      </c>
    </row>
    <row r="261" spans="1:11" s="86" customFormat="1" ht="29" x14ac:dyDescent="0.35">
      <c r="A261" s="84" cm="1">
        <f t="array" ref="A261">_xlfn.IFS(B261&lt;1,"",B261&lt;=2,1,B261&lt;=4,2,B261&lt;=8,3)</f>
        <v>3</v>
      </c>
      <c r="B261" s="85">
        <f>LEN('PLANILHA ORÇAMENTÁRIA'!$E261)</f>
        <v>6</v>
      </c>
      <c r="C261" s="86" t="str">
        <f>IF(AND(Tabela6[[#This Row],[IND.]]&gt;=5,Tabela6[[#This Row],[QUANT]]=0),"X","")</f>
        <v/>
      </c>
      <c r="E261" s="87" t="s">
        <v>502</v>
      </c>
      <c r="F261" s="90" t="s">
        <v>503</v>
      </c>
      <c r="G261" s="88" t="s">
        <v>284</v>
      </c>
      <c r="H261" s="83">
        <v>38</v>
      </c>
      <c r="I261" s="89" t="s">
        <v>26</v>
      </c>
      <c r="J261" s="57">
        <v>287.92</v>
      </c>
      <c r="K261" s="57">
        <v>10940.960000000001</v>
      </c>
    </row>
    <row r="262" spans="1:11" s="86" customFormat="1" ht="29" x14ac:dyDescent="0.35">
      <c r="A262" s="84" cm="1">
        <f t="array" ref="A262">_xlfn.IFS(B262&lt;1,"",B262&lt;=2,1,B262&lt;=4,2,B262&lt;=8,3)</f>
        <v>3</v>
      </c>
      <c r="B262" s="85">
        <f>LEN('PLANILHA ORÇAMENTÁRIA'!$E262)</f>
        <v>6</v>
      </c>
      <c r="C262" s="86" t="str">
        <f>IF(AND(Tabela6[[#This Row],[IND.]]&gt;=5,Tabela6[[#This Row],[QUANT]]=0),"X","")</f>
        <v/>
      </c>
      <c r="E262" s="87" t="s">
        <v>504</v>
      </c>
      <c r="F262" s="90" t="s">
        <v>505</v>
      </c>
      <c r="G262" s="88" t="s">
        <v>284</v>
      </c>
      <c r="H262" s="83">
        <v>156</v>
      </c>
      <c r="I262" s="89" t="s">
        <v>26</v>
      </c>
      <c r="J262" s="57">
        <v>477.67</v>
      </c>
      <c r="K262" s="57">
        <v>74516.52</v>
      </c>
    </row>
    <row r="263" spans="1:11" hidden="1" x14ac:dyDescent="0.35">
      <c r="A263" s="38" cm="1">
        <f t="array" ref="A263">_xlfn.IFS(B263&lt;1,"",B263&lt;=2,1,B263&lt;=4,2,B263&lt;=8,3)</f>
        <v>2</v>
      </c>
      <c r="B263" s="1">
        <f>LEN('PLANILHA ORÇAMENTÁRIA'!$E263)</f>
        <v>3</v>
      </c>
      <c r="C263" t="str">
        <f>IF(Tabela6[[#This Row],[QUANT]]="x","x","")</f>
        <v>x</v>
      </c>
      <c r="E263" s="53" t="s">
        <v>506</v>
      </c>
      <c r="F263" s="54" t="s">
        <v>507</v>
      </c>
      <c r="G263" s="54"/>
      <c r="H263" s="55" t="str">
        <f>IF(SUM(H264:H272)=0,"x","")</f>
        <v>x</v>
      </c>
      <c r="I263" s="55"/>
      <c r="J263" s="56"/>
      <c r="K263" s="56">
        <f>SUMIF($A$264:$A$272,"3",K264:K272)</f>
        <v>0</v>
      </c>
    </row>
    <row r="264" spans="1:11" hidden="1" x14ac:dyDescent="0.35">
      <c r="A264" s="38" cm="1">
        <f t="array" ref="A264">_xlfn.IFS(B264&lt;1,"",B264&lt;=2,1,B264&lt;=4,2,B264&lt;=8,3)</f>
        <v>3</v>
      </c>
      <c r="B264" s="1">
        <f>LEN('PLANILHA ORÇAMENTÁRIA'!$E264)</f>
        <v>5</v>
      </c>
      <c r="C264" t="str">
        <f>IF(AND(Tabela6[[#This Row],[IND.]]&gt;=5,Tabela6[[#This Row],[QUANT]]=0),"X","")</f>
        <v>X</v>
      </c>
      <c r="E264" s="58" t="s">
        <v>508</v>
      </c>
      <c r="F264" s="59" t="s">
        <v>509</v>
      </c>
      <c r="G264" s="60" t="s">
        <v>223</v>
      </c>
      <c r="H264" s="61"/>
      <c r="I264" s="62" t="s">
        <v>26</v>
      </c>
      <c r="J264" s="57">
        <v>0</v>
      </c>
      <c r="K264" s="57">
        <v>0</v>
      </c>
    </row>
    <row r="265" spans="1:11" hidden="1" x14ac:dyDescent="0.35">
      <c r="A265" s="38" cm="1">
        <f t="array" ref="A265">_xlfn.IFS(B265&lt;1,"",B265&lt;=2,1,B265&lt;=4,2,B265&lt;=8,3)</f>
        <v>3</v>
      </c>
      <c r="B265" s="1">
        <f>LEN('PLANILHA ORÇAMENTÁRIA'!$E265)</f>
        <v>5</v>
      </c>
      <c r="C265" t="str">
        <f>IF(AND(Tabela6[[#This Row],[IND.]]&gt;=5,Tabela6[[#This Row],[QUANT]]=0),"X","")</f>
        <v>X</v>
      </c>
      <c r="E265" s="58" t="s">
        <v>510</v>
      </c>
      <c r="F265" s="59" t="s">
        <v>511</v>
      </c>
      <c r="G265" s="60" t="s">
        <v>223</v>
      </c>
      <c r="H265" s="61"/>
      <c r="I265" s="62" t="s">
        <v>26</v>
      </c>
      <c r="J265" s="57">
        <v>0</v>
      </c>
      <c r="K265" s="57">
        <v>0</v>
      </c>
    </row>
    <row r="266" spans="1:11" hidden="1" x14ac:dyDescent="0.35">
      <c r="A266" s="38" cm="1">
        <f t="array" ref="A266">_xlfn.IFS(B266&lt;1,"",B266&lt;=2,1,B266&lt;=4,2,B266&lt;=8,3)</f>
        <v>3</v>
      </c>
      <c r="B266" s="1">
        <f>LEN('PLANILHA ORÇAMENTÁRIA'!$E266)</f>
        <v>5</v>
      </c>
      <c r="C266" t="str">
        <f>IF(AND(Tabela6[[#This Row],[IND.]]&gt;=5,Tabela6[[#This Row],[QUANT]]=0),"X","")</f>
        <v>X</v>
      </c>
      <c r="E266" s="58" t="s">
        <v>512</v>
      </c>
      <c r="F266" s="59" t="s">
        <v>513</v>
      </c>
      <c r="G266" s="60" t="s">
        <v>223</v>
      </c>
      <c r="H266" s="61"/>
      <c r="I266" s="62" t="s">
        <v>26</v>
      </c>
      <c r="J266" s="57">
        <v>0</v>
      </c>
      <c r="K266" s="57">
        <v>0</v>
      </c>
    </row>
    <row r="267" spans="1:11" hidden="1" x14ac:dyDescent="0.35">
      <c r="A267" s="38" cm="1">
        <f t="array" ref="A267">_xlfn.IFS(B267&lt;1,"",B267&lt;=2,1,B267&lt;=4,2,B267&lt;=8,3)</f>
        <v>3</v>
      </c>
      <c r="B267" s="1">
        <f>LEN('PLANILHA ORÇAMENTÁRIA'!$E267)</f>
        <v>5</v>
      </c>
      <c r="C267" t="str">
        <f>IF(AND(Tabela6[[#This Row],[IND.]]&gt;=5,Tabela6[[#This Row],[QUANT]]=0),"X","")</f>
        <v>X</v>
      </c>
      <c r="E267" s="58" t="s">
        <v>514</v>
      </c>
      <c r="F267" s="59" t="s">
        <v>515</v>
      </c>
      <c r="G267" s="60" t="s">
        <v>223</v>
      </c>
      <c r="H267" s="61"/>
      <c r="I267" s="62" t="s">
        <v>26</v>
      </c>
      <c r="J267" s="57">
        <v>0</v>
      </c>
      <c r="K267" s="57">
        <v>0</v>
      </c>
    </row>
    <row r="268" spans="1:11" hidden="1" x14ac:dyDescent="0.35">
      <c r="A268" s="38" cm="1">
        <f t="array" ref="A268">_xlfn.IFS(B268&lt;1,"",B268&lt;=2,1,B268&lt;=4,2,B268&lt;=8,3)</f>
        <v>3</v>
      </c>
      <c r="B268" s="1">
        <f>LEN('PLANILHA ORÇAMENTÁRIA'!$E268)</f>
        <v>5</v>
      </c>
      <c r="C268" t="str">
        <f>IF(AND(Tabela6[[#This Row],[IND.]]&gt;=5,Tabela6[[#This Row],[QUANT]]=0),"X","")</f>
        <v>X</v>
      </c>
      <c r="E268" s="58" t="s">
        <v>516</v>
      </c>
      <c r="F268" s="59" t="s">
        <v>517</v>
      </c>
      <c r="G268" s="60" t="s">
        <v>223</v>
      </c>
      <c r="H268" s="61"/>
      <c r="I268" s="62" t="s">
        <v>26</v>
      </c>
      <c r="J268" s="57">
        <v>0</v>
      </c>
      <c r="K268" s="57">
        <v>0</v>
      </c>
    </row>
    <row r="269" spans="1:11" hidden="1" x14ac:dyDescent="0.35">
      <c r="A269" s="38" cm="1">
        <f t="array" ref="A269">_xlfn.IFS(B269&lt;1,"",B269&lt;=2,1,B269&lt;=4,2,B269&lt;=8,3)</f>
        <v>3</v>
      </c>
      <c r="B269" s="1">
        <f>LEN('PLANILHA ORÇAMENTÁRIA'!$E269)</f>
        <v>5</v>
      </c>
      <c r="C269" t="str">
        <f>IF(AND(Tabela6[[#This Row],[IND.]]&gt;=5,Tabela6[[#This Row],[QUANT]]=0),"X","")</f>
        <v>X</v>
      </c>
      <c r="E269" s="58" t="s">
        <v>518</v>
      </c>
      <c r="F269" s="59" t="s">
        <v>519</v>
      </c>
      <c r="G269" s="60" t="s">
        <v>223</v>
      </c>
      <c r="H269" s="61"/>
      <c r="I269" s="62" t="s">
        <v>26</v>
      </c>
      <c r="J269" s="57">
        <v>0</v>
      </c>
      <c r="K269" s="57">
        <v>0</v>
      </c>
    </row>
    <row r="270" spans="1:11" hidden="1" x14ac:dyDescent="0.35">
      <c r="A270" s="38" cm="1">
        <f t="array" ref="A270">_xlfn.IFS(B270&lt;1,"",B270&lt;=2,1,B270&lt;=4,2,B270&lt;=8,3)</f>
        <v>3</v>
      </c>
      <c r="B270" s="1">
        <f>LEN('PLANILHA ORÇAMENTÁRIA'!$E270)</f>
        <v>5</v>
      </c>
      <c r="C270" t="str">
        <f>IF(AND(Tabela6[[#This Row],[IND.]]&gt;=5,Tabela6[[#This Row],[QUANT]]=0),"X","")</f>
        <v>X</v>
      </c>
      <c r="E270" s="58" t="s">
        <v>520</v>
      </c>
      <c r="F270" s="59" t="s">
        <v>521</v>
      </c>
      <c r="G270" s="60" t="s">
        <v>223</v>
      </c>
      <c r="H270" s="61"/>
      <c r="I270" s="62" t="s">
        <v>26</v>
      </c>
      <c r="J270" s="57">
        <v>0</v>
      </c>
      <c r="K270" s="57">
        <v>0</v>
      </c>
    </row>
    <row r="271" spans="1:11" hidden="1" x14ac:dyDescent="0.35">
      <c r="A271" s="38" cm="1">
        <f t="array" ref="A271">_xlfn.IFS(B271&lt;1,"",B271&lt;=2,1,B271&lt;=4,2,B271&lt;=8,3)</f>
        <v>3</v>
      </c>
      <c r="B271" s="1">
        <f>LEN('PLANILHA ORÇAMENTÁRIA'!$E271)</f>
        <v>5</v>
      </c>
      <c r="C271" t="str">
        <f>IF(AND(Tabela6[[#This Row],[IND.]]&gt;=5,Tabela6[[#This Row],[QUANT]]=0),"X","")</f>
        <v>X</v>
      </c>
      <c r="E271" s="58" t="s">
        <v>522</v>
      </c>
      <c r="F271" s="59" t="s">
        <v>523</v>
      </c>
      <c r="G271" s="60" t="s">
        <v>223</v>
      </c>
      <c r="H271" s="61"/>
      <c r="I271" s="62" t="s">
        <v>26</v>
      </c>
      <c r="J271" s="57">
        <v>0</v>
      </c>
      <c r="K271" s="57">
        <v>0</v>
      </c>
    </row>
    <row r="272" spans="1:11" hidden="1" x14ac:dyDescent="0.35">
      <c r="A272" s="38" cm="1">
        <f t="array" ref="A272">_xlfn.IFS(B272&lt;1,"",B272&lt;=2,1,B272&lt;=4,2,B272&lt;=8,3)</f>
        <v>3</v>
      </c>
      <c r="B272" s="1">
        <f>LEN('PLANILHA ORÇAMENTÁRIA'!$E272)</f>
        <v>5</v>
      </c>
      <c r="C272" t="str">
        <f>IF(AND(Tabela6[[#This Row],[IND.]]&gt;=5,Tabela6[[#This Row],[QUANT]]=0),"X","")</f>
        <v>X</v>
      </c>
      <c r="E272" s="58" t="s">
        <v>524</v>
      </c>
      <c r="F272" s="59" t="s">
        <v>525</v>
      </c>
      <c r="G272" s="60" t="s">
        <v>223</v>
      </c>
      <c r="H272" s="61"/>
      <c r="I272" s="62" t="s">
        <v>26</v>
      </c>
      <c r="J272" s="57">
        <v>0</v>
      </c>
      <c r="K272" s="57">
        <v>0</v>
      </c>
    </row>
    <row r="273" spans="1:11" hidden="1" x14ac:dyDescent="0.35">
      <c r="A273" s="38" cm="1">
        <f t="array" ref="A273">_xlfn.IFS(B273&lt;1,"",B273&lt;=2,1,B273&lt;=4,2,B273&lt;=8,3)</f>
        <v>2</v>
      </c>
      <c r="B273" s="1">
        <f>LEN('PLANILHA ORÇAMENTÁRIA'!$E273)</f>
        <v>3</v>
      </c>
      <c r="C273" t="str">
        <f>IF(Tabela6[[#This Row],[QUANT]]="x","x","")</f>
        <v>x</v>
      </c>
      <c r="E273" s="53" t="s">
        <v>526</v>
      </c>
      <c r="F273" s="54" t="s">
        <v>527</v>
      </c>
      <c r="G273" s="54"/>
      <c r="H273" s="55" t="str">
        <f>IF(SUM(H274:H295)=0,"x","")</f>
        <v>x</v>
      </c>
      <c r="I273" s="55"/>
      <c r="J273" s="56"/>
      <c r="K273" s="56">
        <f>SUMIF($A$274:$A$295,"3",K274:K295)</f>
        <v>0</v>
      </c>
    </row>
    <row r="274" spans="1:11" hidden="1" x14ac:dyDescent="0.35">
      <c r="A274" s="38" cm="1">
        <f t="array" ref="A274">_xlfn.IFS(B274&lt;1,"",B274&lt;=2,1,B274&lt;=4,2,B274&lt;=8,3)</f>
        <v>3</v>
      </c>
      <c r="B274" s="1">
        <f>LEN('PLANILHA ORÇAMENTÁRIA'!$E274)</f>
        <v>5</v>
      </c>
      <c r="C274" t="str">
        <f>IF(AND(Tabela6[[#This Row],[IND.]]&gt;=5,Tabela6[[#This Row],[QUANT]]=0),"X","")</f>
        <v>X</v>
      </c>
      <c r="E274" s="58" t="s">
        <v>528</v>
      </c>
      <c r="F274" s="59" t="s">
        <v>529</v>
      </c>
      <c r="G274" s="60" t="s">
        <v>284</v>
      </c>
      <c r="H274" s="61"/>
      <c r="I274" s="62" t="s">
        <v>26</v>
      </c>
      <c r="J274" s="57">
        <v>0</v>
      </c>
      <c r="K274" s="57">
        <v>0</v>
      </c>
    </row>
    <row r="275" spans="1:11" hidden="1" x14ac:dyDescent="0.35">
      <c r="A275" s="38" cm="1">
        <f t="array" ref="A275">_xlfn.IFS(B275&lt;1,"",B275&lt;=2,1,B275&lt;=4,2,B275&lt;=8,3)</f>
        <v>3</v>
      </c>
      <c r="B275" s="1">
        <f>LEN('PLANILHA ORÇAMENTÁRIA'!$E275)</f>
        <v>5</v>
      </c>
      <c r="C275" t="str">
        <f>IF(AND(Tabela6[[#This Row],[IND.]]&gt;=5,Tabela6[[#This Row],[QUANT]]=0),"X","")</f>
        <v>X</v>
      </c>
      <c r="E275" s="58" t="s">
        <v>530</v>
      </c>
      <c r="F275" s="59" t="s">
        <v>531</v>
      </c>
      <c r="G275" s="60" t="s">
        <v>284</v>
      </c>
      <c r="H275" s="61"/>
      <c r="I275" s="62" t="s">
        <v>26</v>
      </c>
      <c r="J275" s="57">
        <v>0</v>
      </c>
      <c r="K275" s="57">
        <v>0</v>
      </c>
    </row>
    <row r="276" spans="1:11" hidden="1" x14ac:dyDescent="0.35">
      <c r="A276" s="38" cm="1">
        <f t="array" ref="A276">_xlfn.IFS(B276&lt;1,"",B276&lt;=2,1,B276&lt;=4,2,B276&lt;=8,3)</f>
        <v>3</v>
      </c>
      <c r="B276" s="1">
        <f>LEN('PLANILHA ORÇAMENTÁRIA'!$E276)</f>
        <v>5</v>
      </c>
      <c r="C276" t="str">
        <f>IF(AND(Tabela6[[#This Row],[IND.]]&gt;=5,Tabela6[[#This Row],[QUANT]]=0),"X","")</f>
        <v>X</v>
      </c>
      <c r="E276" s="58" t="s">
        <v>532</v>
      </c>
      <c r="F276" s="59" t="s">
        <v>533</v>
      </c>
      <c r="G276" s="60" t="s">
        <v>284</v>
      </c>
      <c r="H276" s="61"/>
      <c r="I276" s="62" t="s">
        <v>26</v>
      </c>
      <c r="J276" s="57">
        <v>0</v>
      </c>
      <c r="K276" s="57">
        <v>0</v>
      </c>
    </row>
    <row r="277" spans="1:11" hidden="1" x14ac:dyDescent="0.35">
      <c r="A277" s="38" cm="1">
        <f t="array" ref="A277">_xlfn.IFS(B277&lt;1,"",B277&lt;=2,1,B277&lt;=4,2,B277&lt;=8,3)</f>
        <v>3</v>
      </c>
      <c r="B277" s="1">
        <f>LEN('PLANILHA ORÇAMENTÁRIA'!$E277)</f>
        <v>5</v>
      </c>
      <c r="C277" t="str">
        <f>IF(AND(Tabela6[[#This Row],[IND.]]&gt;=5,Tabela6[[#This Row],[QUANT]]=0),"X","")</f>
        <v>X</v>
      </c>
      <c r="E277" s="58" t="s">
        <v>534</v>
      </c>
      <c r="F277" s="59" t="s">
        <v>535</v>
      </c>
      <c r="G277" s="60" t="s">
        <v>284</v>
      </c>
      <c r="H277" s="61"/>
      <c r="I277" s="62" t="s">
        <v>26</v>
      </c>
      <c r="J277" s="57">
        <v>0</v>
      </c>
      <c r="K277" s="57">
        <v>0</v>
      </c>
    </row>
    <row r="278" spans="1:11" ht="29" hidden="1" x14ac:dyDescent="0.35">
      <c r="A278" s="38" cm="1">
        <f t="array" ref="A278">_xlfn.IFS(B278&lt;1,"",B278&lt;=2,1,B278&lt;=4,2,B278&lt;=8,3)</f>
        <v>3</v>
      </c>
      <c r="B278" s="1">
        <f>LEN('PLANILHA ORÇAMENTÁRIA'!$E278)</f>
        <v>5</v>
      </c>
      <c r="C278" t="str">
        <f>IF(AND(Tabela6[[#This Row],[IND.]]&gt;=5,Tabela6[[#This Row],[QUANT]]=0),"X","")</f>
        <v>X</v>
      </c>
      <c r="E278" s="58" t="s">
        <v>536</v>
      </c>
      <c r="F278" s="59" t="s">
        <v>537</v>
      </c>
      <c r="G278" s="60" t="s">
        <v>284</v>
      </c>
      <c r="H278" s="61"/>
      <c r="I278" s="62" t="s">
        <v>26</v>
      </c>
      <c r="J278" s="57">
        <v>0</v>
      </c>
      <c r="K278" s="57">
        <v>0</v>
      </c>
    </row>
    <row r="279" spans="1:11" ht="29" hidden="1" x14ac:dyDescent="0.35">
      <c r="A279" s="38" cm="1">
        <f t="array" ref="A279">_xlfn.IFS(B279&lt;1,"",B279&lt;=2,1,B279&lt;=4,2,B279&lt;=8,3)</f>
        <v>3</v>
      </c>
      <c r="B279" s="1">
        <f>LEN('PLANILHA ORÇAMENTÁRIA'!$E279)</f>
        <v>5</v>
      </c>
      <c r="C279" t="str">
        <f>IF(AND(Tabela6[[#This Row],[IND.]]&gt;=5,Tabela6[[#This Row],[QUANT]]=0),"X","")</f>
        <v>X</v>
      </c>
      <c r="E279" s="58" t="s">
        <v>538</v>
      </c>
      <c r="F279" s="59" t="s">
        <v>539</v>
      </c>
      <c r="G279" s="60" t="s">
        <v>284</v>
      </c>
      <c r="H279" s="61"/>
      <c r="I279" s="62" t="s">
        <v>26</v>
      </c>
      <c r="J279" s="57">
        <v>0</v>
      </c>
      <c r="K279" s="57">
        <v>0</v>
      </c>
    </row>
    <row r="280" spans="1:11" ht="29" hidden="1" x14ac:dyDescent="0.35">
      <c r="A280" s="38" cm="1">
        <f t="array" ref="A280">_xlfn.IFS(B280&lt;1,"",B280&lt;=2,1,B280&lt;=4,2,B280&lt;=8,3)</f>
        <v>3</v>
      </c>
      <c r="B280" s="1">
        <f>LEN('PLANILHA ORÇAMENTÁRIA'!$E280)</f>
        <v>5</v>
      </c>
      <c r="C280" t="str">
        <f>IF(AND(Tabela6[[#This Row],[IND.]]&gt;=5,Tabela6[[#This Row],[QUANT]]=0),"X","")</f>
        <v>X</v>
      </c>
      <c r="E280" s="58" t="s">
        <v>540</v>
      </c>
      <c r="F280" s="59" t="s">
        <v>541</v>
      </c>
      <c r="G280" s="60" t="s">
        <v>284</v>
      </c>
      <c r="H280" s="61"/>
      <c r="I280" s="62" t="s">
        <v>26</v>
      </c>
      <c r="J280" s="57">
        <v>0</v>
      </c>
      <c r="K280" s="57">
        <v>0</v>
      </c>
    </row>
    <row r="281" spans="1:11" ht="29" hidden="1" x14ac:dyDescent="0.35">
      <c r="A281" s="38" cm="1">
        <f t="array" ref="A281">_xlfn.IFS(B281&lt;1,"",B281&lt;=2,1,B281&lt;=4,2,B281&lt;=8,3)</f>
        <v>3</v>
      </c>
      <c r="B281" s="1">
        <f>LEN('PLANILHA ORÇAMENTÁRIA'!$E281)</f>
        <v>5</v>
      </c>
      <c r="C281" t="str">
        <f>IF(AND(Tabela6[[#This Row],[IND.]]&gt;=5,Tabela6[[#This Row],[QUANT]]=0),"X","")</f>
        <v>X</v>
      </c>
      <c r="E281" s="58" t="s">
        <v>542</v>
      </c>
      <c r="F281" s="59" t="s">
        <v>543</v>
      </c>
      <c r="G281" s="60" t="s">
        <v>284</v>
      </c>
      <c r="H281" s="61"/>
      <c r="I281" s="62" t="s">
        <v>26</v>
      </c>
      <c r="J281" s="57">
        <v>0</v>
      </c>
      <c r="K281" s="57">
        <v>0</v>
      </c>
    </row>
    <row r="282" spans="1:11" hidden="1" x14ac:dyDescent="0.35">
      <c r="A282" s="38" cm="1">
        <f t="array" ref="A282">_xlfn.IFS(B282&lt;1,"",B282&lt;=2,1,B282&lt;=4,2,B282&lt;=8,3)</f>
        <v>3</v>
      </c>
      <c r="B282" s="1">
        <f>LEN('PLANILHA ORÇAMENTÁRIA'!$E282)</f>
        <v>5</v>
      </c>
      <c r="C282" t="str">
        <f>IF(AND(Tabela6[[#This Row],[IND.]]&gt;=5,Tabela6[[#This Row],[QUANT]]=0),"X","")</f>
        <v>X</v>
      </c>
      <c r="E282" s="58" t="s">
        <v>544</v>
      </c>
      <c r="F282" s="59" t="s">
        <v>545</v>
      </c>
      <c r="G282" s="60" t="s">
        <v>284</v>
      </c>
      <c r="H282" s="61"/>
      <c r="I282" s="62" t="s">
        <v>26</v>
      </c>
      <c r="J282" s="57">
        <v>0</v>
      </c>
      <c r="K282" s="57">
        <v>0</v>
      </c>
    </row>
    <row r="283" spans="1:11" ht="29" hidden="1" x14ac:dyDescent="0.35">
      <c r="A283" s="38" cm="1">
        <f t="array" ref="A283">_xlfn.IFS(B283&lt;1,"",B283&lt;=2,1,B283&lt;=4,2,B283&lt;=8,3)</f>
        <v>3</v>
      </c>
      <c r="B283" s="1">
        <f>LEN('PLANILHA ORÇAMENTÁRIA'!$E283)</f>
        <v>6</v>
      </c>
      <c r="C283" t="str">
        <f>IF(AND(Tabela6[[#This Row],[IND.]]&gt;=5,Tabela6[[#This Row],[QUANT]]=0),"X","")</f>
        <v>X</v>
      </c>
      <c r="E283" s="58" t="s">
        <v>546</v>
      </c>
      <c r="F283" s="59" t="s">
        <v>547</v>
      </c>
      <c r="G283" s="60" t="s">
        <v>284</v>
      </c>
      <c r="H283" s="61"/>
      <c r="I283" s="62" t="s">
        <v>26</v>
      </c>
      <c r="J283" s="57">
        <v>0</v>
      </c>
      <c r="K283" s="57">
        <v>0</v>
      </c>
    </row>
    <row r="284" spans="1:11" ht="29" hidden="1" x14ac:dyDescent="0.35">
      <c r="A284" s="38" cm="1">
        <f t="array" ref="A284">_xlfn.IFS(B284&lt;1,"",B284&lt;=2,1,B284&lt;=4,2,B284&lt;=8,3)</f>
        <v>3</v>
      </c>
      <c r="B284" s="1">
        <f>LEN('PLANILHA ORÇAMENTÁRIA'!$E284)</f>
        <v>6</v>
      </c>
      <c r="C284" t="str">
        <f>IF(AND(Tabela6[[#This Row],[IND.]]&gt;=5,Tabela6[[#This Row],[QUANT]]=0),"X","")</f>
        <v>X</v>
      </c>
      <c r="E284" s="58" t="s">
        <v>548</v>
      </c>
      <c r="F284" s="59" t="s">
        <v>549</v>
      </c>
      <c r="G284" s="60" t="s">
        <v>284</v>
      </c>
      <c r="H284" s="61"/>
      <c r="I284" s="62" t="s">
        <v>26</v>
      </c>
      <c r="J284" s="57">
        <v>0</v>
      </c>
      <c r="K284" s="57">
        <v>0</v>
      </c>
    </row>
    <row r="285" spans="1:11" ht="29" hidden="1" x14ac:dyDescent="0.35">
      <c r="A285" s="38" cm="1">
        <f t="array" ref="A285">_xlfn.IFS(B285&lt;1,"",B285&lt;=2,1,B285&lt;=4,2,B285&lt;=8,3)</f>
        <v>3</v>
      </c>
      <c r="B285" s="1">
        <f>LEN('PLANILHA ORÇAMENTÁRIA'!$E285)</f>
        <v>6</v>
      </c>
      <c r="C285" t="str">
        <f>IF(AND(Tabela6[[#This Row],[IND.]]&gt;=5,Tabela6[[#This Row],[QUANT]]=0),"X","")</f>
        <v>X</v>
      </c>
      <c r="E285" s="58" t="s">
        <v>550</v>
      </c>
      <c r="F285" s="59" t="s">
        <v>551</v>
      </c>
      <c r="G285" s="60" t="s">
        <v>284</v>
      </c>
      <c r="H285" s="61"/>
      <c r="I285" s="62" t="s">
        <v>26</v>
      </c>
      <c r="J285" s="57">
        <v>0</v>
      </c>
      <c r="K285" s="57">
        <v>0</v>
      </c>
    </row>
    <row r="286" spans="1:11" ht="43.5" hidden="1" x14ac:dyDescent="0.35">
      <c r="A286" s="38" cm="1">
        <f t="array" ref="A286">_xlfn.IFS(B286&lt;1,"",B286&lt;=2,1,B286&lt;=4,2,B286&lt;=8,3)</f>
        <v>3</v>
      </c>
      <c r="B286" s="1">
        <f>LEN('PLANILHA ORÇAMENTÁRIA'!$E286)</f>
        <v>6</v>
      </c>
      <c r="C286" t="str">
        <f>IF(AND(Tabela6[[#This Row],[IND.]]&gt;=5,Tabela6[[#This Row],[QUANT]]=0),"X","")</f>
        <v>X</v>
      </c>
      <c r="E286" s="58" t="s">
        <v>552</v>
      </c>
      <c r="F286" s="59" t="s">
        <v>553</v>
      </c>
      <c r="G286" s="60" t="s">
        <v>284</v>
      </c>
      <c r="H286" s="61"/>
      <c r="I286" s="62" t="s">
        <v>26</v>
      </c>
      <c r="J286" s="57">
        <v>0</v>
      </c>
      <c r="K286" s="57">
        <v>0</v>
      </c>
    </row>
    <row r="287" spans="1:11" ht="29" hidden="1" x14ac:dyDescent="0.35">
      <c r="A287" s="38" cm="1">
        <f t="array" ref="A287">_xlfn.IFS(B287&lt;1,"",B287&lt;=2,1,B287&lt;=4,2,B287&lt;=8,3)</f>
        <v>3</v>
      </c>
      <c r="B287" s="1">
        <f>LEN('PLANILHA ORÇAMENTÁRIA'!$E287)</f>
        <v>6</v>
      </c>
      <c r="C287" t="str">
        <f>IF(AND(Tabela6[[#This Row],[IND.]]&gt;=5,Tabela6[[#This Row],[QUANT]]=0),"X","")</f>
        <v>X</v>
      </c>
      <c r="E287" s="58" t="s">
        <v>554</v>
      </c>
      <c r="F287" s="59" t="s">
        <v>555</v>
      </c>
      <c r="G287" s="60" t="s">
        <v>284</v>
      </c>
      <c r="H287" s="61"/>
      <c r="I287" s="62" t="s">
        <v>26</v>
      </c>
      <c r="J287" s="57">
        <v>0</v>
      </c>
      <c r="K287" s="57">
        <v>0</v>
      </c>
    </row>
    <row r="288" spans="1:11" hidden="1" x14ac:dyDescent="0.35">
      <c r="A288" s="38" cm="1">
        <f t="array" ref="A288">_xlfn.IFS(B288&lt;1,"",B288&lt;=2,1,B288&lt;=4,2,B288&lt;=8,3)</f>
        <v>3</v>
      </c>
      <c r="B288" s="1">
        <f>LEN('PLANILHA ORÇAMENTÁRIA'!$E288)</f>
        <v>6</v>
      </c>
      <c r="C288" t="str">
        <f>IF(AND(Tabela6[[#This Row],[IND.]]&gt;=5,Tabela6[[#This Row],[QUANT]]=0),"X","")</f>
        <v>X</v>
      </c>
      <c r="E288" s="58" t="s">
        <v>556</v>
      </c>
      <c r="F288" s="59" t="s">
        <v>557</v>
      </c>
      <c r="G288" s="60" t="s">
        <v>284</v>
      </c>
      <c r="H288" s="61"/>
      <c r="I288" s="62" t="s">
        <v>26</v>
      </c>
      <c r="J288" s="57">
        <v>0</v>
      </c>
      <c r="K288" s="57">
        <v>0</v>
      </c>
    </row>
    <row r="289" spans="1:11" hidden="1" x14ac:dyDescent="0.35">
      <c r="A289" s="38" cm="1">
        <f t="array" ref="A289">_xlfn.IFS(B289&lt;1,"",B289&lt;=2,1,B289&lt;=4,2,B289&lt;=8,3)</f>
        <v>3</v>
      </c>
      <c r="B289" s="1">
        <f>LEN('PLANILHA ORÇAMENTÁRIA'!$E289)</f>
        <v>6</v>
      </c>
      <c r="C289" t="str">
        <f>IF(AND(Tabela6[[#This Row],[IND.]]&gt;=5,Tabela6[[#This Row],[QUANT]]=0),"X","")</f>
        <v>X</v>
      </c>
      <c r="E289" s="58" t="s">
        <v>558</v>
      </c>
      <c r="F289" s="59" t="s">
        <v>559</v>
      </c>
      <c r="G289" s="60" t="s">
        <v>284</v>
      </c>
      <c r="H289" s="61"/>
      <c r="I289" s="62" t="s">
        <v>26</v>
      </c>
      <c r="J289" s="57">
        <v>0</v>
      </c>
      <c r="K289" s="57">
        <v>0</v>
      </c>
    </row>
    <row r="290" spans="1:11" hidden="1" x14ac:dyDescent="0.35">
      <c r="A290" s="38" cm="1">
        <f t="array" ref="A290">_xlfn.IFS(B290&lt;1,"",B290&lt;=2,1,B290&lt;=4,2,B290&lt;=8,3)</f>
        <v>3</v>
      </c>
      <c r="B290" s="1">
        <f>LEN('PLANILHA ORÇAMENTÁRIA'!$E290)</f>
        <v>6</v>
      </c>
      <c r="C290" t="str">
        <f>IF(AND(Tabela6[[#This Row],[IND.]]&gt;=5,Tabela6[[#This Row],[QUANT]]=0),"X","")</f>
        <v>X</v>
      </c>
      <c r="E290" s="58" t="s">
        <v>560</v>
      </c>
      <c r="F290" s="59" t="s">
        <v>561</v>
      </c>
      <c r="G290" s="60" t="s">
        <v>284</v>
      </c>
      <c r="H290" s="61"/>
      <c r="I290" s="62" t="s">
        <v>26</v>
      </c>
      <c r="J290" s="57">
        <v>0</v>
      </c>
      <c r="K290" s="57">
        <v>0</v>
      </c>
    </row>
    <row r="291" spans="1:11" hidden="1" x14ac:dyDescent="0.35">
      <c r="A291" s="38" cm="1">
        <f t="array" ref="A291">_xlfn.IFS(B291&lt;1,"",B291&lt;=2,1,B291&lt;=4,2,B291&lt;=8,3)</f>
        <v>3</v>
      </c>
      <c r="B291" s="1">
        <f>LEN('PLANILHA ORÇAMENTÁRIA'!$E291)</f>
        <v>6</v>
      </c>
      <c r="C291" t="str">
        <f>IF(AND(Tabela6[[#This Row],[IND.]]&gt;=5,Tabela6[[#This Row],[QUANT]]=0),"X","")</f>
        <v>X</v>
      </c>
      <c r="E291" s="58" t="s">
        <v>562</v>
      </c>
      <c r="F291" s="59" t="s">
        <v>563</v>
      </c>
      <c r="G291" s="60" t="s">
        <v>284</v>
      </c>
      <c r="H291" s="61"/>
      <c r="I291" s="62" t="s">
        <v>26</v>
      </c>
      <c r="J291" s="57">
        <v>0</v>
      </c>
      <c r="K291" s="57">
        <v>0</v>
      </c>
    </row>
    <row r="292" spans="1:11" hidden="1" x14ac:dyDescent="0.35">
      <c r="A292" s="38" cm="1">
        <f t="array" ref="A292">_xlfn.IFS(B292&lt;1,"",B292&lt;=2,1,B292&lt;=4,2,B292&lt;=8,3)</f>
        <v>3</v>
      </c>
      <c r="B292" s="1">
        <f>LEN('PLANILHA ORÇAMENTÁRIA'!$E292)</f>
        <v>6</v>
      </c>
      <c r="C292" t="str">
        <f>IF(AND(Tabela6[[#This Row],[IND.]]&gt;=5,Tabela6[[#This Row],[QUANT]]=0),"X","")</f>
        <v>X</v>
      </c>
      <c r="E292" s="58" t="s">
        <v>564</v>
      </c>
      <c r="F292" s="59" t="s">
        <v>565</v>
      </c>
      <c r="G292" s="60" t="s">
        <v>284</v>
      </c>
      <c r="H292" s="61"/>
      <c r="I292" s="62" t="s">
        <v>26</v>
      </c>
      <c r="J292" s="57">
        <v>0</v>
      </c>
      <c r="K292" s="57">
        <v>0</v>
      </c>
    </row>
    <row r="293" spans="1:11" hidden="1" x14ac:dyDescent="0.35">
      <c r="A293" s="38" cm="1">
        <f t="array" ref="A293">_xlfn.IFS(B293&lt;1,"",B293&lt;=2,1,B293&lt;=4,2,B293&lt;=8,3)</f>
        <v>3</v>
      </c>
      <c r="B293" s="1">
        <f>LEN('PLANILHA ORÇAMENTÁRIA'!$E293)</f>
        <v>6</v>
      </c>
      <c r="C293" t="str">
        <f>IF(AND(Tabela6[[#This Row],[IND.]]&gt;=5,Tabela6[[#This Row],[QUANT]]=0),"X","")</f>
        <v>X</v>
      </c>
      <c r="E293" s="58" t="s">
        <v>566</v>
      </c>
      <c r="F293" s="59" t="s">
        <v>567</v>
      </c>
      <c r="G293" s="60" t="s">
        <v>284</v>
      </c>
      <c r="H293" s="61"/>
      <c r="I293" s="62" t="s">
        <v>26</v>
      </c>
      <c r="J293" s="57">
        <v>0</v>
      </c>
      <c r="K293" s="57">
        <v>0</v>
      </c>
    </row>
    <row r="294" spans="1:11" hidden="1" x14ac:dyDescent="0.35">
      <c r="A294" s="38" cm="1">
        <f t="array" ref="A294">_xlfn.IFS(B294&lt;1,"",B294&lt;=2,1,B294&lt;=4,2,B294&lt;=8,3)</f>
        <v>3</v>
      </c>
      <c r="B294" s="1">
        <f>LEN('PLANILHA ORÇAMENTÁRIA'!$E294)</f>
        <v>6</v>
      </c>
      <c r="C294" t="str">
        <f>IF(AND(Tabela6[[#This Row],[IND.]]&gt;=5,Tabela6[[#This Row],[QUANT]]=0),"X","")</f>
        <v>X</v>
      </c>
      <c r="E294" s="58" t="s">
        <v>568</v>
      </c>
      <c r="F294" s="59" t="s">
        <v>569</v>
      </c>
      <c r="G294" s="60" t="s">
        <v>284</v>
      </c>
      <c r="H294" s="61"/>
      <c r="I294" s="62" t="s">
        <v>26</v>
      </c>
      <c r="J294" s="57">
        <v>0</v>
      </c>
      <c r="K294" s="57">
        <v>0</v>
      </c>
    </row>
    <row r="295" spans="1:11" ht="29" hidden="1" x14ac:dyDescent="0.35">
      <c r="A295" s="38" cm="1">
        <f t="array" ref="A295">_xlfn.IFS(B295&lt;1,"",B295&lt;=2,1,B295&lt;=4,2,B295&lt;=8,3)</f>
        <v>3</v>
      </c>
      <c r="B295" s="1">
        <f>LEN('PLANILHA ORÇAMENTÁRIA'!$E295)</f>
        <v>6</v>
      </c>
      <c r="C295" t="str">
        <f>IF(AND(Tabela6[[#This Row],[IND.]]&gt;=5,Tabela6[[#This Row],[QUANT]]=0),"X","")</f>
        <v>X</v>
      </c>
      <c r="E295" s="58" t="s">
        <v>570</v>
      </c>
      <c r="F295" s="59" t="s">
        <v>571</v>
      </c>
      <c r="G295" s="60" t="s">
        <v>284</v>
      </c>
      <c r="H295" s="61"/>
      <c r="I295" s="62" t="s">
        <v>26</v>
      </c>
      <c r="J295" s="57">
        <v>0</v>
      </c>
      <c r="K295" s="57">
        <v>0</v>
      </c>
    </row>
    <row r="296" spans="1:11" x14ac:dyDescent="0.35">
      <c r="A296" s="38" cm="1">
        <f t="array" ref="A296">_xlfn.IFS(B296&lt;1,"",B296&lt;=2,1,B296&lt;=4,2,B296&lt;=8,3)</f>
        <v>2</v>
      </c>
      <c r="B296" s="1">
        <f>LEN('PLANILHA ORÇAMENTÁRIA'!$E296)</f>
        <v>3</v>
      </c>
      <c r="C296" t="str">
        <f>IF(Tabela6[[#This Row],[QUANT]]="x","x","")</f>
        <v/>
      </c>
      <c r="E296" s="142" t="s">
        <v>526</v>
      </c>
      <c r="F296" s="54" t="s">
        <v>572</v>
      </c>
      <c r="G296" s="54"/>
      <c r="H296" s="55" t="str">
        <f>IF(SUM(H297:H314)=0,"x","")</f>
        <v/>
      </c>
      <c r="I296" s="55"/>
      <c r="J296" s="56"/>
      <c r="K296" s="56">
        <f>SUMIF($A$297:$A$314,"3",K297:K314)</f>
        <v>5383.62</v>
      </c>
    </row>
    <row r="297" spans="1:11" ht="29" hidden="1" x14ac:dyDescent="0.35">
      <c r="A297" s="38" cm="1">
        <f t="array" ref="A297">_xlfn.IFS(B297&lt;1,"",B297&lt;=2,1,B297&lt;=4,2,B297&lt;=8,3)</f>
        <v>3</v>
      </c>
      <c r="B297" s="1">
        <f>LEN('PLANILHA ORÇAMENTÁRIA'!$E297)</f>
        <v>5</v>
      </c>
      <c r="C297" t="str">
        <f>IF(AND(Tabela6[[#This Row],[IND.]]&gt;=5,Tabela6[[#This Row],[QUANT]]=0),"X","")</f>
        <v>X</v>
      </c>
      <c r="E297" s="58" t="s">
        <v>528</v>
      </c>
      <c r="F297" s="59" t="s">
        <v>573</v>
      </c>
      <c r="G297" s="60" t="s">
        <v>284</v>
      </c>
      <c r="H297" s="61"/>
      <c r="I297" s="62" t="s">
        <v>26</v>
      </c>
      <c r="J297" s="57">
        <v>0</v>
      </c>
      <c r="K297" s="57">
        <v>0</v>
      </c>
    </row>
    <row r="298" spans="1:11" hidden="1" x14ac:dyDescent="0.35">
      <c r="A298" s="38" cm="1">
        <f t="array" ref="A298">_xlfn.IFS(B298&lt;1,"",B298&lt;=2,1,B298&lt;=4,2,B298&lt;=8,3)</f>
        <v>3</v>
      </c>
      <c r="B298" s="1">
        <f>LEN('PLANILHA ORÇAMENTÁRIA'!$E298)</f>
        <v>5</v>
      </c>
      <c r="C298" t="str">
        <f>IF(AND(Tabela6[[#This Row],[IND.]]&gt;=5,Tabela6[[#This Row],[QUANT]]=0),"X","")</f>
        <v>X</v>
      </c>
      <c r="E298" s="58" t="s">
        <v>530</v>
      </c>
      <c r="F298" s="59" t="s">
        <v>574</v>
      </c>
      <c r="G298" s="60" t="s">
        <v>284</v>
      </c>
      <c r="H298" s="61"/>
      <c r="I298" s="62" t="s">
        <v>26</v>
      </c>
      <c r="J298" s="57">
        <v>0</v>
      </c>
      <c r="K298" s="57">
        <v>0</v>
      </c>
    </row>
    <row r="299" spans="1:11" ht="29" hidden="1" x14ac:dyDescent="0.35">
      <c r="A299" s="38" cm="1">
        <f t="array" ref="A299">_xlfn.IFS(B299&lt;1,"",B299&lt;=2,1,B299&lt;=4,2,B299&lt;=8,3)</f>
        <v>3</v>
      </c>
      <c r="B299" s="1">
        <f>LEN('PLANILHA ORÇAMENTÁRIA'!$E299)</f>
        <v>5</v>
      </c>
      <c r="C299" t="str">
        <f>IF(AND(Tabela6[[#This Row],[IND.]]&gt;=5,Tabela6[[#This Row],[QUANT]]=0),"X","")</f>
        <v>X</v>
      </c>
      <c r="E299" s="58" t="s">
        <v>532</v>
      </c>
      <c r="F299" s="59" t="s">
        <v>575</v>
      </c>
      <c r="G299" s="60" t="s">
        <v>284</v>
      </c>
      <c r="H299" s="61"/>
      <c r="I299" s="62" t="s">
        <v>26</v>
      </c>
      <c r="J299" s="57">
        <v>0</v>
      </c>
      <c r="K299" s="57">
        <v>0</v>
      </c>
    </row>
    <row r="300" spans="1:11" hidden="1" x14ac:dyDescent="0.35">
      <c r="A300" s="38" cm="1">
        <f t="array" ref="A300">_xlfn.IFS(B300&lt;1,"",B300&lt;=2,1,B300&lt;=4,2,B300&lt;=8,3)</f>
        <v>3</v>
      </c>
      <c r="B300" s="1">
        <f>LEN('PLANILHA ORÇAMENTÁRIA'!$E300)</f>
        <v>5</v>
      </c>
      <c r="C300" t="str">
        <f>IF(AND(Tabela6[[#This Row],[IND.]]&gt;=5,Tabela6[[#This Row],[QUANT]]=0),"X","")</f>
        <v>X</v>
      </c>
      <c r="E300" s="58" t="s">
        <v>534</v>
      </c>
      <c r="F300" s="59" t="s">
        <v>576</v>
      </c>
      <c r="G300" s="60" t="s">
        <v>284</v>
      </c>
      <c r="H300" s="61"/>
      <c r="I300" s="62" t="s">
        <v>26</v>
      </c>
      <c r="J300" s="57">
        <v>0</v>
      </c>
      <c r="K300" s="57">
        <v>0</v>
      </c>
    </row>
    <row r="301" spans="1:11" ht="29" hidden="1" x14ac:dyDescent="0.35">
      <c r="A301" s="38" cm="1">
        <f t="array" ref="A301">_xlfn.IFS(B301&lt;1,"",B301&lt;=2,1,B301&lt;=4,2,B301&lt;=8,3)</f>
        <v>3</v>
      </c>
      <c r="B301" s="1">
        <f>LEN('PLANILHA ORÇAMENTÁRIA'!$E301)</f>
        <v>5</v>
      </c>
      <c r="C301" t="str">
        <f>IF(AND(Tabela6[[#This Row],[IND.]]&gt;=5,Tabela6[[#This Row],[QUANT]]=0),"X","")</f>
        <v>X</v>
      </c>
      <c r="E301" s="58" t="s">
        <v>536</v>
      </c>
      <c r="F301" s="59" t="s">
        <v>577</v>
      </c>
      <c r="G301" s="60" t="s">
        <v>284</v>
      </c>
      <c r="H301" s="61"/>
      <c r="I301" s="62" t="s">
        <v>26</v>
      </c>
      <c r="J301" s="57">
        <v>0</v>
      </c>
      <c r="K301" s="57">
        <v>0</v>
      </c>
    </row>
    <row r="302" spans="1:11" hidden="1" x14ac:dyDescent="0.35">
      <c r="A302" s="38" cm="1">
        <f t="array" ref="A302">_xlfn.IFS(B302&lt;1,"",B302&lt;=2,1,B302&lt;=4,2,B302&lt;=8,3)</f>
        <v>3</v>
      </c>
      <c r="B302" s="1">
        <f>LEN('PLANILHA ORÇAMENTÁRIA'!$E302)</f>
        <v>5</v>
      </c>
      <c r="C302" t="str">
        <f>IF(AND(Tabela6[[#This Row],[IND.]]&gt;=5,Tabela6[[#This Row],[QUANT]]=0),"X","")</f>
        <v>X</v>
      </c>
      <c r="E302" s="58" t="s">
        <v>538</v>
      </c>
      <c r="F302" s="59" t="s">
        <v>578</v>
      </c>
      <c r="G302" s="60" t="s">
        <v>284</v>
      </c>
      <c r="H302" s="61"/>
      <c r="I302" s="62" t="s">
        <v>26</v>
      </c>
      <c r="J302" s="57">
        <v>0</v>
      </c>
      <c r="K302" s="57">
        <v>0</v>
      </c>
    </row>
    <row r="303" spans="1:11" hidden="1" x14ac:dyDescent="0.35">
      <c r="A303" s="38" cm="1">
        <f t="array" ref="A303">_xlfn.IFS(B303&lt;1,"",B303&lt;=2,1,B303&lt;=4,2,B303&lt;=8,3)</f>
        <v>3</v>
      </c>
      <c r="B303" s="1">
        <f>LEN('PLANILHA ORÇAMENTÁRIA'!$E303)</f>
        <v>5</v>
      </c>
      <c r="C303" t="str">
        <f>IF(AND(Tabela6[[#This Row],[IND.]]&gt;=5,Tabela6[[#This Row],[QUANT]]=0),"X","")</f>
        <v>X</v>
      </c>
      <c r="E303" s="58" t="s">
        <v>540</v>
      </c>
      <c r="F303" s="59" t="s">
        <v>579</v>
      </c>
      <c r="G303" s="60" t="s">
        <v>284</v>
      </c>
      <c r="H303" s="61"/>
      <c r="I303" s="62" t="s">
        <v>26</v>
      </c>
      <c r="J303" s="57">
        <v>0</v>
      </c>
      <c r="K303" s="57">
        <v>0</v>
      </c>
    </row>
    <row r="304" spans="1:11" hidden="1" x14ac:dyDescent="0.35">
      <c r="A304" s="38" cm="1">
        <f t="array" ref="A304">_xlfn.IFS(B304&lt;1,"",B304&lt;=2,1,B304&lt;=4,2,B304&lt;=8,3)</f>
        <v>3</v>
      </c>
      <c r="B304" s="1">
        <f>LEN('PLANILHA ORÇAMENTÁRIA'!$E304)</f>
        <v>5</v>
      </c>
      <c r="C304" t="str">
        <f>IF(AND(Tabela6[[#This Row],[IND.]]&gt;=5,Tabela6[[#This Row],[QUANT]]=0),"X","")</f>
        <v>X</v>
      </c>
      <c r="E304" s="58" t="s">
        <v>542</v>
      </c>
      <c r="F304" s="59" t="s">
        <v>580</v>
      </c>
      <c r="G304" s="60" t="s">
        <v>284</v>
      </c>
      <c r="H304" s="61"/>
      <c r="I304" s="62" t="s">
        <v>26</v>
      </c>
      <c r="J304" s="57">
        <v>0</v>
      </c>
      <c r="K304" s="57">
        <v>0</v>
      </c>
    </row>
    <row r="305" spans="1:11" hidden="1" x14ac:dyDescent="0.35">
      <c r="A305" s="38" cm="1">
        <f t="array" ref="A305">_xlfn.IFS(B305&lt;1,"",B305&lt;=2,1,B305&lt;=4,2,B305&lt;=8,3)</f>
        <v>3</v>
      </c>
      <c r="B305" s="1">
        <f>LEN('PLANILHA ORÇAMENTÁRIA'!$E305)</f>
        <v>5</v>
      </c>
      <c r="C305" t="str">
        <f>IF(AND(Tabela6[[#This Row],[IND.]]&gt;=5,Tabela6[[#This Row],[QUANT]]=0),"X","")</f>
        <v>X</v>
      </c>
      <c r="E305" s="58" t="s">
        <v>544</v>
      </c>
      <c r="F305" s="59" t="s">
        <v>581</v>
      </c>
      <c r="G305" s="60" t="s">
        <v>284</v>
      </c>
      <c r="H305" s="61"/>
      <c r="I305" s="62" t="s">
        <v>26</v>
      </c>
      <c r="J305" s="57">
        <v>0</v>
      </c>
      <c r="K305" s="57">
        <v>0</v>
      </c>
    </row>
    <row r="306" spans="1:11" hidden="1" x14ac:dyDescent="0.35">
      <c r="A306" s="38" cm="1">
        <f t="array" ref="A306">_xlfn.IFS(B306&lt;1,"",B306&lt;=2,1,B306&lt;=4,2,B306&lt;=8,3)</f>
        <v>3</v>
      </c>
      <c r="B306" s="1">
        <f>LEN('PLANILHA ORÇAMENTÁRIA'!$E306)</f>
        <v>6</v>
      </c>
      <c r="C306" t="str">
        <f>IF(AND(Tabela6[[#This Row],[IND.]]&gt;=5,Tabela6[[#This Row],[QUANT]]=0),"X","")</f>
        <v>X</v>
      </c>
      <c r="E306" s="58" t="s">
        <v>546</v>
      </c>
      <c r="F306" s="59" t="s">
        <v>582</v>
      </c>
      <c r="G306" s="60" t="s">
        <v>284</v>
      </c>
      <c r="H306" s="61"/>
      <c r="I306" s="62" t="s">
        <v>26</v>
      </c>
      <c r="J306" s="57">
        <v>0</v>
      </c>
      <c r="K306" s="57">
        <v>0</v>
      </c>
    </row>
    <row r="307" spans="1:11" hidden="1" x14ac:dyDescent="0.35">
      <c r="A307" s="38" cm="1">
        <f t="array" ref="A307">_xlfn.IFS(B307&lt;1,"",B307&lt;=2,1,B307&lt;=4,2,B307&lt;=8,3)</f>
        <v>3</v>
      </c>
      <c r="B307" s="1">
        <f>LEN('PLANILHA ORÇAMENTÁRIA'!$E307)</f>
        <v>6</v>
      </c>
      <c r="C307" t="str">
        <f>IF(AND(Tabela6[[#This Row],[IND.]]&gt;=5,Tabela6[[#This Row],[QUANT]]=0),"X","")</f>
        <v>X</v>
      </c>
      <c r="E307" s="58" t="s">
        <v>548</v>
      </c>
      <c r="F307" s="59" t="s">
        <v>583</v>
      </c>
      <c r="G307" s="60" t="s">
        <v>284</v>
      </c>
      <c r="H307" s="61"/>
      <c r="I307" s="62" t="s">
        <v>26</v>
      </c>
      <c r="J307" s="57">
        <v>0</v>
      </c>
      <c r="K307" s="57">
        <v>0</v>
      </c>
    </row>
    <row r="308" spans="1:11" hidden="1" x14ac:dyDescent="0.35">
      <c r="A308" s="38" cm="1">
        <f t="array" ref="A308">_xlfn.IFS(B308&lt;1,"",B308&lt;=2,1,B308&lt;=4,2,B308&lt;=8,3)</f>
        <v>3</v>
      </c>
      <c r="B308" s="1">
        <f>LEN('PLANILHA ORÇAMENTÁRIA'!$E308)</f>
        <v>6</v>
      </c>
      <c r="C308" t="str">
        <f>IF(AND(Tabela6[[#This Row],[IND.]]&gt;=5,Tabela6[[#This Row],[QUANT]]=0),"X","")</f>
        <v>X</v>
      </c>
      <c r="E308" s="58" t="s">
        <v>550</v>
      </c>
      <c r="F308" s="59" t="s">
        <v>584</v>
      </c>
      <c r="G308" s="60" t="s">
        <v>284</v>
      </c>
      <c r="H308" s="61"/>
      <c r="I308" s="62" t="s">
        <v>111</v>
      </c>
      <c r="J308" s="57">
        <v>0</v>
      </c>
      <c r="K308" s="57">
        <v>0</v>
      </c>
    </row>
    <row r="309" spans="1:11" hidden="1" x14ac:dyDescent="0.35">
      <c r="A309" s="38" cm="1">
        <f t="array" ref="A309">_xlfn.IFS(B309&lt;1,"",B309&lt;=2,1,B309&lt;=4,2,B309&lt;=8,3)</f>
        <v>3</v>
      </c>
      <c r="B309" s="1">
        <f>LEN('PLANILHA ORÇAMENTÁRIA'!$E309)</f>
        <v>6</v>
      </c>
      <c r="C309" t="str">
        <f>IF(AND(Tabela6[[#This Row],[IND.]]&gt;=5,Tabela6[[#This Row],[QUANT]]=0),"X","")</f>
        <v>X</v>
      </c>
      <c r="E309" s="58" t="s">
        <v>552</v>
      </c>
      <c r="F309" s="59" t="s">
        <v>585</v>
      </c>
      <c r="G309" s="60" t="s">
        <v>284</v>
      </c>
      <c r="H309" s="61"/>
      <c r="I309" s="62" t="s">
        <v>26</v>
      </c>
      <c r="J309" s="57">
        <v>0</v>
      </c>
      <c r="K309" s="57">
        <v>0</v>
      </c>
    </row>
    <row r="310" spans="1:11" ht="44.5" customHeight="1" thickBot="1" x14ac:dyDescent="0.4">
      <c r="A310" s="38" cm="1">
        <f t="array" ref="A310">_xlfn.IFS(B310&lt;1,"",B310&lt;=2,1,B310&lt;=4,2,B310&lt;=8,3)</f>
        <v>3</v>
      </c>
      <c r="B310" s="1">
        <f>LEN('PLANILHA ORÇAMENTÁRIA'!$E310)</f>
        <v>6</v>
      </c>
      <c r="C310" t="str">
        <f>IF(AND(Tabela6[[#This Row],[IND.]]&gt;=5,Tabela6[[#This Row],[QUANT]]=0),"X","")</f>
        <v/>
      </c>
      <c r="E310" s="87" t="s">
        <v>554</v>
      </c>
      <c r="F310" s="90" t="s">
        <v>586</v>
      </c>
      <c r="G310" s="88" t="s">
        <v>284</v>
      </c>
      <c r="H310" s="83">
        <v>6</v>
      </c>
      <c r="I310" s="89" t="s">
        <v>26</v>
      </c>
      <c r="J310" s="57">
        <v>897.27</v>
      </c>
      <c r="K310" s="57">
        <v>5383.62</v>
      </c>
    </row>
    <row r="311" spans="1:11" ht="58.5" hidden="1" thickBot="1" x14ac:dyDescent="0.4">
      <c r="A311" s="38" cm="1">
        <f t="array" ref="A311">_xlfn.IFS(B311&lt;1,"",B311&lt;=2,1,B311&lt;=4,2,B311&lt;=8,3)</f>
        <v>3</v>
      </c>
      <c r="B311" s="1">
        <f>LEN('PLANILHA ORÇAMENTÁRIA'!$E311)</f>
        <v>6</v>
      </c>
      <c r="C311" t="str">
        <f>IF(AND(Tabela6[[#This Row],[IND.]]&gt;=5,Tabela6[[#This Row],[QUANT]]=0),"X","")</f>
        <v>X</v>
      </c>
      <c r="E311" s="58" t="s">
        <v>556</v>
      </c>
      <c r="F311" s="59" t="s">
        <v>587</v>
      </c>
      <c r="G311" s="60" t="s">
        <v>284</v>
      </c>
      <c r="H311" s="61"/>
      <c r="I311" s="62" t="s">
        <v>26</v>
      </c>
      <c r="J311" s="57">
        <v>0</v>
      </c>
      <c r="K311" s="57">
        <v>0</v>
      </c>
    </row>
    <row r="312" spans="1:11" ht="44.25" hidden="1" customHeight="1" x14ac:dyDescent="0.35">
      <c r="A312" s="38" cm="1">
        <f t="array" ref="A312">_xlfn.IFS(B312&lt;1,"",B312&lt;=2,1,B312&lt;=4,2,B312&lt;=8,3)</f>
        <v>3</v>
      </c>
      <c r="B312" s="1">
        <f>LEN('PLANILHA ORÇAMENTÁRIA'!$E312)</f>
        <v>6</v>
      </c>
      <c r="C312" t="str">
        <f>IF(AND(Tabela6[[#This Row],[IND.]]&gt;=5,Tabela6[[#This Row],[QUANT]]=0),"X","")</f>
        <v>X</v>
      </c>
      <c r="E312" s="58" t="s">
        <v>560</v>
      </c>
      <c r="F312" s="59" t="s">
        <v>588</v>
      </c>
      <c r="G312" s="60" t="s">
        <v>284</v>
      </c>
      <c r="H312" s="61"/>
      <c r="I312" s="62" t="s">
        <v>26</v>
      </c>
      <c r="J312" s="57">
        <v>0</v>
      </c>
      <c r="K312" s="57">
        <v>0</v>
      </c>
    </row>
    <row r="313" spans="1:11" ht="58.5" hidden="1" thickBot="1" x14ac:dyDescent="0.4">
      <c r="A313" s="38" cm="1">
        <f t="array" ref="A313">_xlfn.IFS(B313&lt;1,"",B313&lt;=2,1,B313&lt;=4,2,B313&lt;=8,3)</f>
        <v>3</v>
      </c>
      <c r="B313" s="1">
        <f>LEN('PLANILHA ORÇAMENTÁRIA'!$E313)</f>
        <v>6</v>
      </c>
      <c r="C313" t="str">
        <f>IF(AND(Tabela6[[#This Row],[IND.]]&gt;=5,Tabela6[[#This Row],[QUANT]]=0),"X","")</f>
        <v>X</v>
      </c>
      <c r="E313" s="58" t="s">
        <v>562</v>
      </c>
      <c r="F313" s="59" t="s">
        <v>589</v>
      </c>
      <c r="G313" s="60" t="s">
        <v>284</v>
      </c>
      <c r="H313" s="61"/>
      <c r="I313" s="62" t="s">
        <v>26</v>
      </c>
      <c r="J313" s="57">
        <v>0</v>
      </c>
      <c r="K313" s="57">
        <v>0</v>
      </c>
    </row>
    <row r="314" spans="1:11" ht="44.25" hidden="1" customHeight="1" thickBot="1" x14ac:dyDescent="0.4">
      <c r="A314" s="38" cm="1">
        <f t="array" ref="A314">_xlfn.IFS(B314&lt;1,"",B314&lt;=2,1,B314&lt;=4,2,B314&lt;=8,3)</f>
        <v>3</v>
      </c>
      <c r="B314" s="1">
        <f>LEN('PLANILHA ORÇAMENTÁRIA'!$E314)</f>
        <v>6</v>
      </c>
      <c r="C314" t="str">
        <f>IF(AND(Tabela6[[#This Row],[IND.]]&gt;=5,Tabela6[[#This Row],[QUANT]]=0),"X","")</f>
        <v>X</v>
      </c>
      <c r="E314" s="58" t="s">
        <v>564</v>
      </c>
      <c r="F314" s="59" t="s">
        <v>590</v>
      </c>
      <c r="G314" s="60" t="s">
        <v>284</v>
      </c>
      <c r="H314" s="61"/>
      <c r="I314" s="62" t="s">
        <v>26</v>
      </c>
      <c r="J314" s="57">
        <v>0</v>
      </c>
      <c r="K314" s="57">
        <v>0</v>
      </c>
    </row>
    <row r="315" spans="1:11" x14ac:dyDescent="0.35">
      <c r="A315" s="38" cm="1">
        <f t="array" ref="A315">_xlfn.IFS(B315&lt;1,"",B315&lt;=2,1,B315&lt;=4,2,B315&lt;=8,3)</f>
        <v>1</v>
      </c>
      <c r="B315" s="1">
        <f>LEN('PLANILHA ORÇAMENTÁRIA'!$E315)</f>
        <v>1</v>
      </c>
      <c r="C315" t="str">
        <f>IF(Tabela6[[#This Row],[QUANT]]="x","x","")</f>
        <v/>
      </c>
      <c r="E315" s="141">
        <v>7</v>
      </c>
      <c r="F315" s="79" t="s">
        <v>591</v>
      </c>
      <c r="G315" s="79"/>
      <c r="H315" s="80" t="str">
        <f>IF(SUM(H316:H340)=0,"x","")</f>
        <v/>
      </c>
      <c r="I315" s="80"/>
      <c r="J315" s="81"/>
      <c r="K315" s="81">
        <f>SUMIF($A$316:$A$340,"2",K316:K340)</f>
        <v>220641.29729999998</v>
      </c>
    </row>
    <row r="316" spans="1:11" x14ac:dyDescent="0.35">
      <c r="A316" s="38" cm="1">
        <f t="array" ref="A316">_xlfn.IFS(B316&lt;1,"",B316&lt;=2,1,B316&lt;=4,2,B316&lt;=8,3)</f>
        <v>2</v>
      </c>
      <c r="B316" s="1">
        <f>LEN('PLANILHA ORÇAMENTÁRIA'!$E316)</f>
        <v>3</v>
      </c>
      <c r="C316" t="str">
        <f>IF(Tabela6[[#This Row],[QUANT]]="x","x","")</f>
        <v/>
      </c>
      <c r="E316" s="142" t="s">
        <v>592</v>
      </c>
      <c r="F316" s="54" t="s">
        <v>593</v>
      </c>
      <c r="G316" s="54"/>
      <c r="H316" s="55" t="str">
        <f>IF(SUM(H317:H325)=0,"x","")</f>
        <v/>
      </c>
      <c r="I316" s="55"/>
      <c r="J316" s="56"/>
      <c r="K316" s="56">
        <f>SUMIF($A$317:$A$325,"3",K317:K325)</f>
        <v>149741.19729999997</v>
      </c>
    </row>
    <row r="317" spans="1:11" ht="29" hidden="1" x14ac:dyDescent="0.35">
      <c r="A317" s="38" cm="1">
        <f t="array" ref="A317">_xlfn.IFS(B317&lt;1,"",B317&lt;=2,1,B317&lt;=4,2,B317&lt;=8,3)</f>
        <v>3</v>
      </c>
      <c r="B317" s="1">
        <f>LEN('PLANILHA ORÇAMENTÁRIA'!$E317)</f>
        <v>5</v>
      </c>
      <c r="C317" t="str">
        <f>IF(AND(Tabela6[[#This Row],[IND.]]&gt;=5,Tabela6[[#This Row],[QUANT]]=0),"X","")</f>
        <v>X</v>
      </c>
      <c r="E317" s="58" t="s">
        <v>594</v>
      </c>
      <c r="F317" s="59" t="s">
        <v>595</v>
      </c>
      <c r="G317" s="60" t="s">
        <v>223</v>
      </c>
      <c r="H317" s="61"/>
      <c r="I317" s="62" t="s">
        <v>26</v>
      </c>
      <c r="J317" s="57">
        <v>0</v>
      </c>
      <c r="K317" s="57">
        <v>0</v>
      </c>
    </row>
    <row r="318" spans="1:11" ht="29" hidden="1" x14ac:dyDescent="0.35">
      <c r="A318" s="38" cm="1">
        <f t="array" ref="A318">_xlfn.IFS(B318&lt;1,"",B318&lt;=2,1,B318&lt;=4,2,B318&lt;=8,3)</f>
        <v>3</v>
      </c>
      <c r="B318" s="1">
        <f>LEN('PLANILHA ORÇAMENTÁRIA'!$E318)</f>
        <v>5</v>
      </c>
      <c r="C318" t="str">
        <f>IF(AND(Tabela6[[#This Row],[IND.]]&gt;=5,Tabela6[[#This Row],[QUANT]]=0),"X","")</f>
        <v>X</v>
      </c>
      <c r="E318" s="58" t="s">
        <v>596</v>
      </c>
      <c r="F318" s="59" t="s">
        <v>597</v>
      </c>
      <c r="G318" s="60" t="s">
        <v>223</v>
      </c>
      <c r="H318" s="61"/>
      <c r="I318" s="62" t="s">
        <v>26</v>
      </c>
      <c r="J318" s="57">
        <v>0</v>
      </c>
      <c r="K318" s="57">
        <v>0</v>
      </c>
    </row>
    <row r="319" spans="1:11" ht="29" hidden="1" x14ac:dyDescent="0.35">
      <c r="A319" s="38" cm="1">
        <f t="array" ref="A319">_xlfn.IFS(B319&lt;1,"",B319&lt;=2,1,B319&lt;=4,2,B319&lt;=8,3)</f>
        <v>3</v>
      </c>
      <c r="B319" s="1">
        <f>LEN('PLANILHA ORÇAMENTÁRIA'!$E319)</f>
        <v>5</v>
      </c>
      <c r="C319" t="str">
        <f>IF(AND(Tabela6[[#This Row],[IND.]]&gt;=5,Tabela6[[#This Row],[QUANT]]=0),"X","")</f>
        <v>X</v>
      </c>
      <c r="E319" s="58" t="s">
        <v>598</v>
      </c>
      <c r="F319" s="59" t="s">
        <v>599</v>
      </c>
      <c r="G319" s="60" t="s">
        <v>223</v>
      </c>
      <c r="H319" s="61"/>
      <c r="I319" s="62" t="s">
        <v>26</v>
      </c>
      <c r="J319" s="57">
        <v>0</v>
      </c>
      <c r="K319" s="57">
        <v>0</v>
      </c>
    </row>
    <row r="320" spans="1:11" ht="29" hidden="1" x14ac:dyDescent="0.35">
      <c r="A320" s="38" cm="1">
        <f t="array" ref="A320">_xlfn.IFS(B320&lt;1,"",B320&lt;=2,1,B320&lt;=4,2,B320&lt;=8,3)</f>
        <v>3</v>
      </c>
      <c r="B320" s="1">
        <f>LEN('PLANILHA ORÇAMENTÁRIA'!$E320)</f>
        <v>5</v>
      </c>
      <c r="C320" t="str">
        <f>IF(AND(Tabela6[[#This Row],[IND.]]&gt;=5,Tabela6[[#This Row],[QUANT]]=0),"X","")</f>
        <v>X</v>
      </c>
      <c r="E320" s="58" t="s">
        <v>600</v>
      </c>
      <c r="F320" s="59" t="s">
        <v>601</v>
      </c>
      <c r="G320" s="60" t="s">
        <v>223</v>
      </c>
      <c r="H320" s="61"/>
      <c r="I320" s="62" t="s">
        <v>26</v>
      </c>
      <c r="J320" s="57">
        <v>0</v>
      </c>
      <c r="K320" s="57">
        <v>0</v>
      </c>
    </row>
    <row r="321" spans="1:11" ht="29" hidden="1" x14ac:dyDescent="0.35">
      <c r="A321" s="38" cm="1">
        <f t="array" ref="A321">_xlfn.IFS(B321&lt;1,"",B321&lt;=2,1,B321&lt;=4,2,B321&lt;=8,3)</f>
        <v>3</v>
      </c>
      <c r="B321" s="1">
        <f>LEN('PLANILHA ORÇAMENTÁRIA'!$E321)</f>
        <v>5</v>
      </c>
      <c r="C321" t="str">
        <f>IF(AND(Tabela6[[#This Row],[IND.]]&gt;=5,Tabela6[[#This Row],[QUANT]]=0),"X","")</f>
        <v>X</v>
      </c>
      <c r="E321" s="58" t="s">
        <v>602</v>
      </c>
      <c r="F321" s="59" t="s">
        <v>603</v>
      </c>
      <c r="G321" s="60" t="s">
        <v>223</v>
      </c>
      <c r="H321" s="61"/>
      <c r="I321" s="62" t="s">
        <v>26</v>
      </c>
      <c r="J321" s="57">
        <v>0</v>
      </c>
      <c r="K321" s="57">
        <v>0</v>
      </c>
    </row>
    <row r="322" spans="1:11" ht="29" hidden="1" x14ac:dyDescent="0.35">
      <c r="A322" s="38" cm="1">
        <f t="array" ref="A322">_xlfn.IFS(B322&lt;1,"",B322&lt;=2,1,B322&lt;=4,2,B322&lt;=8,3)</f>
        <v>3</v>
      </c>
      <c r="B322" s="1">
        <f>LEN('PLANILHA ORÇAMENTÁRIA'!$E322)</f>
        <v>5</v>
      </c>
      <c r="C322" t="str">
        <f>IF(AND(Tabela6[[#This Row],[IND.]]&gt;=5,Tabela6[[#This Row],[QUANT]]=0),"X","")</f>
        <v>X</v>
      </c>
      <c r="E322" s="58" t="s">
        <v>604</v>
      </c>
      <c r="F322" s="59" t="s">
        <v>605</v>
      </c>
      <c r="G322" s="60" t="s">
        <v>223</v>
      </c>
      <c r="H322" s="61"/>
      <c r="I322" s="62" t="s">
        <v>111</v>
      </c>
      <c r="J322" s="57">
        <v>0</v>
      </c>
      <c r="K322" s="57">
        <v>0</v>
      </c>
    </row>
    <row r="323" spans="1:11" ht="29" hidden="1" x14ac:dyDescent="0.35">
      <c r="A323" s="38" cm="1">
        <f t="array" ref="A323">_xlfn.IFS(B323&lt;1,"",B323&lt;=2,1,B323&lt;=4,2,B323&lt;=8,3)</f>
        <v>3</v>
      </c>
      <c r="B323" s="1">
        <f>LEN('PLANILHA ORÇAMENTÁRIA'!$E323)</f>
        <v>5</v>
      </c>
      <c r="C323" t="str">
        <f>IF(AND(Tabela6[[#This Row],[IND.]]&gt;=5,Tabela6[[#This Row],[QUANT]]=0),"X","")</f>
        <v>X</v>
      </c>
      <c r="E323" s="58" t="s">
        <v>606</v>
      </c>
      <c r="F323" s="59" t="s">
        <v>607</v>
      </c>
      <c r="G323" s="60" t="s">
        <v>223</v>
      </c>
      <c r="H323" s="61"/>
      <c r="I323" s="62" t="s">
        <v>26</v>
      </c>
      <c r="J323" s="57">
        <v>0</v>
      </c>
      <c r="K323" s="57">
        <v>0</v>
      </c>
    </row>
    <row r="324" spans="1:11" ht="29" hidden="1" x14ac:dyDescent="0.35">
      <c r="A324" s="38" cm="1">
        <f t="array" ref="A324">_xlfn.IFS(B324&lt;1,"",B324&lt;=2,1,B324&lt;=4,2,B324&lt;=8,3)</f>
        <v>3</v>
      </c>
      <c r="B324" s="1">
        <f>LEN('PLANILHA ORÇAMENTÁRIA'!$E324)</f>
        <v>5</v>
      </c>
      <c r="C324" t="str">
        <f>IF(AND(Tabela6[[#This Row],[IND.]]&gt;=5,Tabela6[[#This Row],[QUANT]]=0),"X","")</f>
        <v>X</v>
      </c>
      <c r="E324" s="58" t="s">
        <v>608</v>
      </c>
      <c r="F324" s="59" t="s">
        <v>609</v>
      </c>
      <c r="G324" s="60" t="s">
        <v>223</v>
      </c>
      <c r="H324" s="61"/>
      <c r="I324" s="62" t="s">
        <v>26</v>
      </c>
      <c r="J324" s="57">
        <v>0</v>
      </c>
      <c r="K324" s="57">
        <v>0</v>
      </c>
    </row>
    <row r="325" spans="1:11" s="86" customFormat="1" ht="87" x14ac:dyDescent="0.35">
      <c r="A325" s="84" cm="1">
        <f t="array" ref="A325">_xlfn.IFS(B325&lt;1,"",B325&lt;=2,1,B325&lt;=4,2,B325&lt;=8,3)</f>
        <v>3</v>
      </c>
      <c r="B325" s="85">
        <f>LEN('PLANILHA ORÇAMENTÁRIA'!$E325)</f>
        <v>5</v>
      </c>
      <c r="C325" s="86" t="str">
        <f>IF(AND(Tabela6[[#This Row],[IND.]]&gt;=5,Tabela6[[#This Row],[QUANT]]=0),"X","")</f>
        <v/>
      </c>
      <c r="E325" s="87" t="s">
        <v>610</v>
      </c>
      <c r="F325" s="90" t="s">
        <v>611</v>
      </c>
      <c r="G325" s="88" t="s">
        <v>223</v>
      </c>
      <c r="H325" s="83">
        <f>H60</f>
        <v>777.18999999999994</v>
      </c>
      <c r="I325" s="89" t="s">
        <v>26</v>
      </c>
      <c r="J325" s="57">
        <v>192.67</v>
      </c>
      <c r="K325" s="57">
        <v>149741.19729999997</v>
      </c>
    </row>
    <row r="326" spans="1:11" hidden="1" x14ac:dyDescent="0.35">
      <c r="A326" s="38" cm="1">
        <f t="array" ref="A326">_xlfn.IFS(B326&lt;1,"",B326&lt;=2,1,B326&lt;=4,2,B326&lt;=8,3)</f>
        <v>2</v>
      </c>
      <c r="B326" s="1">
        <f>LEN('PLANILHA ORÇAMENTÁRIA'!$E326)</f>
        <v>3</v>
      </c>
      <c r="C326" t="str">
        <f>IF(Tabela6[[#This Row],[QUANT]]="x","x","")</f>
        <v>x</v>
      </c>
      <c r="E326" s="53" t="s">
        <v>612</v>
      </c>
      <c r="F326" s="54" t="s">
        <v>613</v>
      </c>
      <c r="G326" s="54"/>
      <c r="H326" s="55" t="str">
        <f>IF(SUM(H327:H332)=0,"x","")</f>
        <v>x</v>
      </c>
      <c r="I326" s="55"/>
      <c r="J326" s="56"/>
      <c r="K326" s="56">
        <f>SUMIF($A$327:$A$332,"3",K327:K332)</f>
        <v>0</v>
      </c>
    </row>
    <row r="327" spans="1:11" ht="29" hidden="1" x14ac:dyDescent="0.35">
      <c r="A327" s="38" cm="1">
        <f t="array" ref="A327">_xlfn.IFS(B327&lt;1,"",B327&lt;=2,1,B327&lt;=4,2,B327&lt;=8,3)</f>
        <v>3</v>
      </c>
      <c r="B327" s="1">
        <f>LEN('PLANILHA ORÇAMENTÁRIA'!$E327)</f>
        <v>5</v>
      </c>
      <c r="C327" t="str">
        <f>IF(AND(Tabela6[[#This Row],[IND.]]&gt;=5,Tabela6[[#This Row],[QUANT]]=0),"X","")</f>
        <v>X</v>
      </c>
      <c r="E327" s="58" t="s">
        <v>614</v>
      </c>
      <c r="F327" s="59" t="s">
        <v>615</v>
      </c>
      <c r="G327" s="60" t="s">
        <v>284</v>
      </c>
      <c r="H327" s="61"/>
      <c r="I327" s="62" t="s">
        <v>26</v>
      </c>
      <c r="J327" s="57">
        <v>0</v>
      </c>
      <c r="K327" s="57">
        <v>0</v>
      </c>
    </row>
    <row r="328" spans="1:11" ht="29" hidden="1" x14ac:dyDescent="0.35">
      <c r="A328" s="38" cm="1">
        <f t="array" ref="A328">_xlfn.IFS(B328&lt;1,"",B328&lt;=2,1,B328&lt;=4,2,B328&lt;=8,3)</f>
        <v>3</v>
      </c>
      <c r="B328" s="1">
        <f>LEN('PLANILHA ORÇAMENTÁRIA'!$E328)</f>
        <v>5</v>
      </c>
      <c r="C328" t="str">
        <f>IF(AND(Tabela6[[#This Row],[IND.]]&gt;=5,Tabela6[[#This Row],[QUANT]]=0),"X","")</f>
        <v>X</v>
      </c>
      <c r="E328" s="58" t="s">
        <v>616</v>
      </c>
      <c r="F328" s="59" t="s">
        <v>617</v>
      </c>
      <c r="G328" s="60" t="s">
        <v>284</v>
      </c>
      <c r="H328" s="61"/>
      <c r="I328" s="62" t="s">
        <v>26</v>
      </c>
      <c r="J328" s="57">
        <v>0</v>
      </c>
      <c r="K328" s="57">
        <v>0</v>
      </c>
    </row>
    <row r="329" spans="1:11" ht="29" hidden="1" x14ac:dyDescent="0.35">
      <c r="A329" s="38" cm="1">
        <f t="array" ref="A329">_xlfn.IFS(B329&lt;1,"",B329&lt;=2,1,B329&lt;=4,2,B329&lt;=8,3)</f>
        <v>3</v>
      </c>
      <c r="B329" s="1">
        <f>LEN('PLANILHA ORÇAMENTÁRIA'!$E329)</f>
        <v>5</v>
      </c>
      <c r="C329" t="str">
        <f>IF(AND(Tabela6[[#This Row],[IND.]]&gt;=5,Tabela6[[#This Row],[QUANT]]=0),"X","")</f>
        <v>X</v>
      </c>
      <c r="E329" s="58" t="s">
        <v>618</v>
      </c>
      <c r="F329" s="59" t="s">
        <v>619</v>
      </c>
      <c r="G329" s="60" t="s">
        <v>284</v>
      </c>
      <c r="H329" s="61"/>
      <c r="I329" s="62" t="s">
        <v>26</v>
      </c>
      <c r="J329" s="57">
        <v>0</v>
      </c>
      <c r="K329" s="57">
        <v>0</v>
      </c>
    </row>
    <row r="330" spans="1:11" ht="29" hidden="1" x14ac:dyDescent="0.35">
      <c r="A330" s="38" cm="1">
        <f t="array" ref="A330">_xlfn.IFS(B330&lt;1,"",B330&lt;=2,1,B330&lt;=4,2,B330&lt;=8,3)</f>
        <v>3</v>
      </c>
      <c r="B330" s="1">
        <f>LEN('PLANILHA ORÇAMENTÁRIA'!$E330)</f>
        <v>5</v>
      </c>
      <c r="C330" t="str">
        <f>IF(AND(Tabela6[[#This Row],[IND.]]&gt;=5,Tabela6[[#This Row],[QUANT]]=0),"X","")</f>
        <v>X</v>
      </c>
      <c r="E330" s="58" t="s">
        <v>620</v>
      </c>
      <c r="F330" s="59" t="s">
        <v>621</v>
      </c>
      <c r="G330" s="60" t="s">
        <v>284</v>
      </c>
      <c r="H330" s="61"/>
      <c r="I330" s="62" t="s">
        <v>26</v>
      </c>
      <c r="J330" s="57">
        <v>0</v>
      </c>
      <c r="K330" s="57">
        <v>0</v>
      </c>
    </row>
    <row r="331" spans="1:11" ht="29" hidden="1" x14ac:dyDescent="0.35">
      <c r="A331" s="38" cm="1">
        <f t="array" ref="A331">_xlfn.IFS(B331&lt;1,"",B331&lt;=2,1,B331&lt;=4,2,B331&lt;=8,3)</f>
        <v>3</v>
      </c>
      <c r="B331" s="1">
        <f>LEN('PLANILHA ORÇAMENTÁRIA'!$E331)</f>
        <v>5</v>
      </c>
      <c r="C331" t="str">
        <f>IF(AND(Tabela6[[#This Row],[IND.]]&gt;=5,Tabela6[[#This Row],[QUANT]]=0),"X","")</f>
        <v>X</v>
      </c>
      <c r="E331" s="58" t="s">
        <v>622</v>
      </c>
      <c r="F331" s="59" t="s">
        <v>623</v>
      </c>
      <c r="G331" s="60" t="s">
        <v>284</v>
      </c>
      <c r="H331" s="61"/>
      <c r="I331" s="62" t="s">
        <v>26</v>
      </c>
      <c r="J331" s="57">
        <v>0</v>
      </c>
      <c r="K331" s="57">
        <v>0</v>
      </c>
    </row>
    <row r="332" spans="1:11" ht="29" hidden="1" x14ac:dyDescent="0.35">
      <c r="A332" s="38" cm="1">
        <f t="array" ref="A332">_xlfn.IFS(B332&lt;1,"",B332&lt;=2,1,B332&lt;=4,2,B332&lt;=8,3)</f>
        <v>3</v>
      </c>
      <c r="B332" s="1">
        <f>LEN('PLANILHA ORÇAMENTÁRIA'!$E332)</f>
        <v>5</v>
      </c>
      <c r="C332" t="str">
        <f>IF(AND(Tabela6[[#This Row],[IND.]]&gt;=5,Tabela6[[#This Row],[QUANT]]=0),"X","")</f>
        <v>X</v>
      </c>
      <c r="E332" s="58" t="s">
        <v>624</v>
      </c>
      <c r="F332" s="59" t="s">
        <v>625</v>
      </c>
      <c r="G332" s="60" t="s">
        <v>284</v>
      </c>
      <c r="H332" s="61"/>
      <c r="I332" s="62" t="s">
        <v>26</v>
      </c>
      <c r="J332" s="57">
        <v>0</v>
      </c>
      <c r="K332" s="57">
        <v>0</v>
      </c>
    </row>
    <row r="333" spans="1:11" hidden="1" x14ac:dyDescent="0.35">
      <c r="A333" s="38" cm="1">
        <f t="array" ref="A333">_xlfn.IFS(B333&lt;1,"",B333&lt;=2,1,B333&lt;=4,2,B333&lt;=8,3)</f>
        <v>2</v>
      </c>
      <c r="B333" s="1">
        <f>LEN('PLANILHA ORÇAMENTÁRIA'!$E333)</f>
        <v>3</v>
      </c>
      <c r="C333" t="str">
        <f>IF(Tabela6[[#This Row],[QUANT]]="x","x","")</f>
        <v>x</v>
      </c>
      <c r="E333" s="53" t="s">
        <v>626</v>
      </c>
      <c r="F333" s="54" t="s">
        <v>627</v>
      </c>
      <c r="G333" s="54"/>
      <c r="H333" s="55" t="str">
        <f>IF(SUM(H334)=0,"x","")</f>
        <v>x</v>
      </c>
      <c r="I333" s="55"/>
      <c r="J333" s="56"/>
      <c r="K333" s="56">
        <f>SUMIF($A$334:$A$334,"3",K334)</f>
        <v>0</v>
      </c>
    </row>
    <row r="334" spans="1:11" hidden="1" x14ac:dyDescent="0.35">
      <c r="A334" s="38" cm="1">
        <f t="array" ref="A334">_xlfn.IFS(B334&lt;1,"",B334&lt;=2,1,B334&lt;=4,2,B334&lt;=8,3)</f>
        <v>3</v>
      </c>
      <c r="B334" s="1">
        <f>LEN('PLANILHA ORÇAMENTÁRIA'!$E334)</f>
        <v>5</v>
      </c>
      <c r="C334" t="str">
        <f>IF(AND(Tabela6[[#This Row],[IND.]]&gt;=5,Tabela6[[#This Row],[QUANT]]=0),"X","")</f>
        <v>X</v>
      </c>
      <c r="E334" s="58" t="s">
        <v>628</v>
      </c>
      <c r="F334" s="59" t="s">
        <v>629</v>
      </c>
      <c r="G334" s="60" t="s">
        <v>284</v>
      </c>
      <c r="H334" s="61"/>
      <c r="I334" s="62" t="s">
        <v>26</v>
      </c>
      <c r="J334" s="57">
        <v>0</v>
      </c>
      <c r="K334" s="57">
        <v>0</v>
      </c>
    </row>
    <row r="335" spans="1:11" x14ac:dyDescent="0.35">
      <c r="A335" s="38" cm="1">
        <f t="array" ref="A335">_xlfn.IFS(B335&lt;1,"",B335&lt;=2,1,B335&lt;=4,2,B335&lt;=8,3)</f>
        <v>2</v>
      </c>
      <c r="B335" s="1">
        <f>LEN('PLANILHA ORÇAMENTÁRIA'!$E335)</f>
        <v>3</v>
      </c>
      <c r="C335" t="str">
        <f>IF(Tabela6[[#This Row],[QUANT]]="x","x","")</f>
        <v/>
      </c>
      <c r="E335" s="142" t="s">
        <v>630</v>
      </c>
      <c r="F335" s="54" t="s">
        <v>631</v>
      </c>
      <c r="G335" s="54"/>
      <c r="H335" s="55" t="str">
        <f>IF(SUM(H336:H340)=0,"x","")</f>
        <v/>
      </c>
      <c r="I335" s="55"/>
      <c r="J335" s="56"/>
      <c r="K335" s="56">
        <f>SUMIF($A$336:$A$340,"3",K336:K340)</f>
        <v>70900.100000000006</v>
      </c>
    </row>
    <row r="336" spans="1:11" ht="29" x14ac:dyDescent="0.35">
      <c r="A336" s="38" cm="1">
        <f t="array" ref="A336">_xlfn.IFS(B336&lt;1,"",B336&lt;=2,1,B336&lt;=4,2,B336&lt;=8,3)</f>
        <v>3</v>
      </c>
      <c r="B336" s="1">
        <f>LEN('PLANILHA ORÇAMENTÁRIA'!$E336)</f>
        <v>5</v>
      </c>
      <c r="C336" t="str">
        <f>IF(AND(Tabela6[[#This Row],[IND.]]&gt;=5,Tabela6[[#This Row],[QUANT]]=0),"X","")</f>
        <v/>
      </c>
      <c r="E336" s="87" t="s">
        <v>632</v>
      </c>
      <c r="F336" s="59" t="s">
        <v>633</v>
      </c>
      <c r="G336" s="60" t="s">
        <v>284</v>
      </c>
      <c r="H336" s="61">
        <v>21</v>
      </c>
      <c r="I336" s="62" t="s">
        <v>26</v>
      </c>
      <c r="J336" s="57">
        <v>2733.33</v>
      </c>
      <c r="K336" s="57">
        <v>57399.93</v>
      </c>
    </row>
    <row r="337" spans="1:11" ht="29" x14ac:dyDescent="0.35">
      <c r="A337" s="38" cm="1">
        <f t="array" ref="A337">_xlfn.IFS(B337&lt;1,"",B337&lt;=2,1,B337&lt;=4,2,B337&lt;=8,3)</f>
        <v>3</v>
      </c>
      <c r="B337" s="1">
        <f>LEN('PLANILHA ORÇAMENTÁRIA'!$E337)</f>
        <v>5</v>
      </c>
      <c r="C337" t="str">
        <f>IF(AND(Tabela6[[#This Row],[IND.]]&gt;=5,Tabela6[[#This Row],[QUANT]]=0),"X","")</f>
        <v/>
      </c>
      <c r="E337" s="87" t="s">
        <v>634</v>
      </c>
      <c r="F337" s="59" t="s">
        <v>635</v>
      </c>
      <c r="G337" s="60" t="s">
        <v>284</v>
      </c>
      <c r="H337" s="61">
        <v>1</v>
      </c>
      <c r="I337" s="62" t="s">
        <v>26</v>
      </c>
      <c r="J337" s="57">
        <v>3266.67</v>
      </c>
      <c r="K337" s="57">
        <v>3266.67</v>
      </c>
    </row>
    <row r="338" spans="1:11" ht="29.5" thickBot="1" x14ac:dyDescent="0.4">
      <c r="A338" s="38" cm="1">
        <f t="array" ref="A338">_xlfn.IFS(B338&lt;1,"",B338&lt;=2,1,B338&lt;=4,2,B338&lt;=8,3)</f>
        <v>3</v>
      </c>
      <c r="B338" s="1">
        <f>LEN('PLANILHA ORÇAMENTÁRIA'!$E338)</f>
        <v>5</v>
      </c>
      <c r="C338" t="str">
        <f>IF(AND(Tabela6[[#This Row],[IND.]]&gt;=5,Tabela6[[#This Row],[QUANT]]=0),"X","")</f>
        <v/>
      </c>
      <c r="E338" s="87" t="s">
        <v>636</v>
      </c>
      <c r="F338" s="59" t="s">
        <v>637</v>
      </c>
      <c r="G338" s="60" t="s">
        <v>284</v>
      </c>
      <c r="H338" s="61">
        <v>1</v>
      </c>
      <c r="I338" s="62" t="s">
        <v>29</v>
      </c>
      <c r="J338" s="57">
        <v>10233.5</v>
      </c>
      <c r="K338" s="57">
        <v>10233.5</v>
      </c>
    </row>
    <row r="339" spans="1:11" ht="29.5" hidden="1" thickBot="1" x14ac:dyDescent="0.4">
      <c r="A339" s="38" cm="1">
        <f t="array" ref="A339">_xlfn.IFS(B339&lt;1,"",B339&lt;=2,1,B339&lt;=4,2,B339&lt;=8,3)</f>
        <v>3</v>
      </c>
      <c r="B339" s="1">
        <f>LEN('PLANILHA ORÇAMENTÁRIA'!$E339)</f>
        <v>5</v>
      </c>
      <c r="C339" t="str">
        <f>IF(AND(Tabela6[[#This Row],[IND.]]&gt;=5,Tabela6[[#This Row],[QUANT]]=0),"X","")</f>
        <v>X</v>
      </c>
      <c r="E339" s="58" t="s">
        <v>638</v>
      </c>
      <c r="F339" s="59" t="s">
        <v>639</v>
      </c>
      <c r="G339" s="60" t="s">
        <v>284</v>
      </c>
      <c r="H339" s="61"/>
      <c r="I339" s="62" t="s">
        <v>111</v>
      </c>
      <c r="J339" s="57">
        <v>0</v>
      </c>
      <c r="K339" s="57">
        <v>0</v>
      </c>
    </row>
    <row r="340" spans="1:11" ht="29.5" hidden="1" thickBot="1" x14ac:dyDescent="0.4">
      <c r="A340" s="38" cm="1">
        <f t="array" ref="A340">_xlfn.IFS(B340&lt;1,"",B340&lt;=2,1,B340&lt;=4,2,B340&lt;=8,3)</f>
        <v>3</v>
      </c>
      <c r="B340" s="1">
        <f>LEN('PLANILHA ORÇAMENTÁRIA'!$E340)</f>
        <v>5</v>
      </c>
      <c r="C340" t="str">
        <f>IF(AND(Tabela6[[#This Row],[IND.]]&gt;=5,Tabela6[[#This Row],[QUANT]]=0),"X","")</f>
        <v>X</v>
      </c>
      <c r="E340" s="58" t="s">
        <v>640</v>
      </c>
      <c r="F340" s="59" t="s">
        <v>641</v>
      </c>
      <c r="G340" s="60" t="s">
        <v>284</v>
      </c>
      <c r="H340" s="61"/>
      <c r="I340" s="62" t="s">
        <v>26</v>
      </c>
      <c r="J340" s="57">
        <v>0</v>
      </c>
      <c r="K340" s="57">
        <v>0</v>
      </c>
    </row>
    <row r="341" spans="1:11" x14ac:dyDescent="0.35">
      <c r="A341" s="38" cm="1">
        <f t="array" ref="A341">_xlfn.IFS(B341&lt;1,"",B341&lt;=2,1,B341&lt;=4,2,B341&lt;=8,3)</f>
        <v>1</v>
      </c>
      <c r="B341" s="1">
        <f>LEN('PLANILHA ORÇAMENTÁRIA'!$E341)</f>
        <v>1</v>
      </c>
      <c r="C341" t="str">
        <f>IF(Tabela6[[#This Row],[QUANT]]="x","x","")</f>
        <v/>
      </c>
      <c r="E341" s="141">
        <v>8</v>
      </c>
      <c r="F341" s="79" t="s">
        <v>642</v>
      </c>
      <c r="G341" s="79"/>
      <c r="H341" s="80" t="str">
        <f>IF(SUM(H342:H373)=0,"x","")</f>
        <v/>
      </c>
      <c r="I341" s="80"/>
      <c r="J341" s="81"/>
      <c r="K341" s="81">
        <f>SUMIF($A$342:$A$373,"2",K342:K373)</f>
        <v>143931.92730000001</v>
      </c>
    </row>
    <row r="342" spans="1:11" x14ac:dyDescent="0.35">
      <c r="A342" s="38" cm="1">
        <f t="array" ref="A342">_xlfn.IFS(B342&lt;1,"",B342&lt;=2,1,B342&lt;=4,2,B342&lt;=8,3)</f>
        <v>2</v>
      </c>
      <c r="B342" s="1">
        <f>LEN('PLANILHA ORÇAMENTÁRIA'!$E342)</f>
        <v>3</v>
      </c>
      <c r="C342" t="str">
        <f>IF(Tabela6[[#This Row],[QUANT]]="x","x","")</f>
        <v/>
      </c>
      <c r="E342" s="142" t="s">
        <v>643</v>
      </c>
      <c r="F342" s="54" t="s">
        <v>644</v>
      </c>
      <c r="G342" s="54"/>
      <c r="H342" s="55" t="str">
        <f>IF(SUM(H343:H351)=0,"x","")</f>
        <v/>
      </c>
      <c r="I342" s="55"/>
      <c r="J342" s="56"/>
      <c r="K342" s="56">
        <f>SUMIF($A$343:$A$351,"3",K343:K351)</f>
        <v>107202.49050000001</v>
      </c>
    </row>
    <row r="343" spans="1:11" ht="43.5" x14ac:dyDescent="0.35">
      <c r="A343" s="38" cm="1">
        <f t="array" ref="A343">_xlfn.IFS(B343&lt;1,"",B343&lt;=2,1,B343&lt;=4,2,B343&lt;=8,3)</f>
        <v>3</v>
      </c>
      <c r="B343" s="1">
        <f>LEN('PLANILHA ORÇAMENTÁRIA'!$E343)</f>
        <v>5</v>
      </c>
      <c r="C343" t="str">
        <f>IF(AND(Tabela6[[#This Row],[IND.]]&gt;=5,Tabela6[[#This Row],[QUANT]]=0),"X","")</f>
        <v/>
      </c>
      <c r="E343" s="87" t="s">
        <v>645</v>
      </c>
      <c r="F343" s="59" t="s">
        <v>646</v>
      </c>
      <c r="G343" s="60" t="s">
        <v>25</v>
      </c>
      <c r="H343" s="61">
        <f>205.35+57.42+932.2+154.62+44.36</f>
        <v>1393.95</v>
      </c>
      <c r="I343" s="62" t="s">
        <v>41</v>
      </c>
      <c r="J343" s="57">
        <v>36.53</v>
      </c>
      <c r="K343" s="57">
        <v>50920.993500000004</v>
      </c>
    </row>
    <row r="344" spans="1:11" ht="43.5" hidden="1" x14ac:dyDescent="0.35">
      <c r="A344" s="38" cm="1">
        <f t="array" ref="A344">_xlfn.IFS(B344&lt;1,"",B344&lt;=2,1,B344&lt;=4,2,B344&lt;=8,3)</f>
        <v>3</v>
      </c>
      <c r="B344" s="1">
        <f>LEN('PLANILHA ORÇAMENTÁRIA'!$E344)</f>
        <v>5</v>
      </c>
      <c r="C344" t="str">
        <f>IF(AND(Tabela6[[#This Row],[IND.]]&gt;=5,Tabela6[[#This Row],[QUANT]]=0),"X","")</f>
        <v>X</v>
      </c>
      <c r="E344" s="58" t="s">
        <v>647</v>
      </c>
      <c r="F344" s="59" t="s">
        <v>648</v>
      </c>
      <c r="G344" s="60" t="s">
        <v>25</v>
      </c>
      <c r="H344" s="61"/>
      <c r="I344" s="62" t="s">
        <v>26</v>
      </c>
      <c r="J344" s="57">
        <v>0</v>
      </c>
      <c r="K344" s="57">
        <v>0</v>
      </c>
    </row>
    <row r="345" spans="1:11" ht="43.5" hidden="1" x14ac:dyDescent="0.35">
      <c r="A345" s="38" cm="1">
        <f t="array" ref="A345">_xlfn.IFS(B345&lt;1,"",B345&lt;=2,1,B345&lt;=4,2,B345&lt;=8,3)</f>
        <v>3</v>
      </c>
      <c r="B345" s="1">
        <f>LEN('PLANILHA ORÇAMENTÁRIA'!$E345)</f>
        <v>5</v>
      </c>
      <c r="C345" t="str">
        <f>IF(AND(Tabela6[[#This Row],[IND.]]&gt;=5,Tabela6[[#This Row],[QUANT]]=0),"X","")</f>
        <v>X</v>
      </c>
      <c r="E345" s="58" t="s">
        <v>649</v>
      </c>
      <c r="F345" s="59" t="s">
        <v>650</v>
      </c>
      <c r="G345" s="60" t="s">
        <v>25</v>
      </c>
      <c r="H345" s="61"/>
      <c r="I345" s="62" t="s">
        <v>26</v>
      </c>
      <c r="J345" s="57">
        <v>0</v>
      </c>
      <c r="K345" s="57">
        <v>0</v>
      </c>
    </row>
    <row r="346" spans="1:11" x14ac:dyDescent="0.35">
      <c r="A346" s="38" cm="1">
        <f t="array" ref="A346">_xlfn.IFS(B346&lt;1,"",B346&lt;=2,1,B346&lt;=4,2,B346&lt;=8,3)</f>
        <v>3</v>
      </c>
      <c r="B346" s="1">
        <f>LEN('PLANILHA ORÇAMENTÁRIA'!$E346)</f>
        <v>5</v>
      </c>
      <c r="C346" t="str">
        <f>IF(AND(Tabela6[[#This Row],[IND.]]&gt;=5,Tabela6[[#This Row],[QUANT]]=0),"X","")</f>
        <v/>
      </c>
      <c r="E346" s="87" t="s">
        <v>651</v>
      </c>
      <c r="F346" s="59" t="s">
        <v>652</v>
      </c>
      <c r="G346" s="60" t="s">
        <v>25</v>
      </c>
      <c r="H346" s="61">
        <v>205.35</v>
      </c>
      <c r="I346" s="62" t="s">
        <v>41</v>
      </c>
      <c r="J346" s="57">
        <v>32.42</v>
      </c>
      <c r="K346" s="57">
        <v>6657.4470000000001</v>
      </c>
    </row>
    <row r="347" spans="1:11" ht="29" hidden="1" x14ac:dyDescent="0.35">
      <c r="A347" s="38" cm="1">
        <f t="array" ref="A347">_xlfn.IFS(B347&lt;1,"",B347&lt;=2,1,B347&lt;=4,2,B347&lt;=8,3)</f>
        <v>3</v>
      </c>
      <c r="B347" s="1">
        <f>LEN('PLANILHA ORÇAMENTÁRIA'!$E347)</f>
        <v>5</v>
      </c>
      <c r="C347" t="str">
        <f>IF(AND(Tabela6[[#This Row],[IND.]]&gt;=5,Tabela6[[#This Row],[QUANT]]=0),"X","")</f>
        <v>X</v>
      </c>
      <c r="E347" s="58" t="s">
        <v>653</v>
      </c>
      <c r="F347" s="59" t="s">
        <v>654</v>
      </c>
      <c r="G347" s="60" t="s">
        <v>25</v>
      </c>
      <c r="H347" s="61"/>
      <c r="I347" s="62" t="s">
        <v>26</v>
      </c>
      <c r="J347" s="57">
        <v>0</v>
      </c>
      <c r="K347" s="57">
        <v>0</v>
      </c>
    </row>
    <row r="348" spans="1:11" x14ac:dyDescent="0.35">
      <c r="A348" s="38" cm="1">
        <f t="array" ref="A348">_xlfn.IFS(B348&lt;1,"",B348&lt;=2,1,B348&lt;=4,2,B348&lt;=8,3)</f>
        <v>3</v>
      </c>
      <c r="B348" s="1">
        <f>LEN('PLANILHA ORÇAMENTÁRIA'!$E348)</f>
        <v>5</v>
      </c>
      <c r="C348" t="str">
        <f>IF(AND(Tabela6[[#This Row],[IND.]]&gt;=5,Tabela6[[#This Row],[QUANT]]=0),"X","")</f>
        <v/>
      </c>
      <c r="E348" s="87" t="s">
        <v>655</v>
      </c>
      <c r="F348" s="59" t="s">
        <v>656</v>
      </c>
      <c r="G348" s="60" t="s">
        <v>25</v>
      </c>
      <c r="H348" s="61">
        <f>H343-H346</f>
        <v>1188.6000000000001</v>
      </c>
      <c r="I348" s="62" t="s">
        <v>41</v>
      </c>
      <c r="J348" s="57">
        <v>41.75</v>
      </c>
      <c r="K348" s="57">
        <v>49624.05</v>
      </c>
    </row>
    <row r="349" spans="1:11" hidden="1" x14ac:dyDescent="0.35">
      <c r="A349" s="38" cm="1">
        <f t="array" ref="A349">_xlfn.IFS(B349&lt;1,"",B349&lt;=2,1,B349&lt;=4,2,B349&lt;=8,3)</f>
        <v>3</v>
      </c>
      <c r="B349" s="1">
        <f>LEN('PLANILHA ORÇAMENTÁRIA'!$E349)</f>
        <v>5</v>
      </c>
      <c r="C349" t="str">
        <f>IF(AND(Tabela6[[#This Row],[IND.]]&gt;=5,Tabela6[[#This Row],[QUANT]]=0),"X","")</f>
        <v>X</v>
      </c>
      <c r="E349" s="58" t="s">
        <v>657</v>
      </c>
      <c r="F349" s="59" t="s">
        <v>658</v>
      </c>
      <c r="G349" s="60" t="s">
        <v>25</v>
      </c>
      <c r="H349" s="61"/>
      <c r="I349" s="62" t="s">
        <v>26</v>
      </c>
      <c r="J349" s="57">
        <v>0</v>
      </c>
      <c r="K349" s="57">
        <v>0</v>
      </c>
    </row>
    <row r="350" spans="1:11" ht="29" hidden="1" x14ac:dyDescent="0.35">
      <c r="A350" s="38" cm="1">
        <f t="array" ref="A350">_xlfn.IFS(B350&lt;1,"",B350&lt;=2,1,B350&lt;=4,2,B350&lt;=8,3)</f>
        <v>3</v>
      </c>
      <c r="B350" s="1">
        <f>LEN('PLANILHA ORÇAMENTÁRIA'!$E350)</f>
        <v>5</v>
      </c>
      <c r="C350" t="str">
        <f>IF(AND(Tabela6[[#This Row],[IND.]]&gt;=5,Tabela6[[#This Row],[QUANT]]=0),"X","")</f>
        <v>X</v>
      </c>
      <c r="E350" s="58" t="s">
        <v>659</v>
      </c>
      <c r="F350" s="59" t="s">
        <v>660</v>
      </c>
      <c r="G350" s="60" t="s">
        <v>25</v>
      </c>
      <c r="H350" s="61"/>
      <c r="I350" s="62" t="s">
        <v>26</v>
      </c>
      <c r="J350" s="57">
        <v>0</v>
      </c>
      <c r="K350" s="57">
        <v>0</v>
      </c>
    </row>
    <row r="351" spans="1:11" hidden="1" x14ac:dyDescent="0.35">
      <c r="A351" s="38" cm="1">
        <f t="array" ref="A351">_xlfn.IFS(B351&lt;1,"",B351&lt;=2,1,B351&lt;=4,2,B351&lt;=8,3)</f>
        <v>3</v>
      </c>
      <c r="B351" s="1">
        <f>LEN('PLANILHA ORÇAMENTÁRIA'!$E351)</f>
        <v>5</v>
      </c>
      <c r="C351" t="str">
        <f>IF(AND(Tabela6[[#This Row],[IND.]]&gt;=5,Tabela6[[#This Row],[QUANT]]=0),"X","")</f>
        <v>X</v>
      </c>
      <c r="E351" s="58" t="s">
        <v>661</v>
      </c>
      <c r="F351" s="59" t="s">
        <v>662</v>
      </c>
      <c r="G351" s="60" t="s">
        <v>25</v>
      </c>
      <c r="H351" s="61"/>
      <c r="I351" s="62" t="s">
        <v>26</v>
      </c>
      <c r="J351" s="57">
        <v>0</v>
      </c>
      <c r="K351" s="57">
        <v>0</v>
      </c>
    </row>
    <row r="352" spans="1:11" x14ac:dyDescent="0.35">
      <c r="A352" s="38" cm="1">
        <f t="array" ref="A352">_xlfn.IFS(B352&lt;1,"",B352&lt;=2,1,B352&lt;=4,2,B352&lt;=8,3)</f>
        <v>2</v>
      </c>
      <c r="B352" s="1">
        <f>LEN('PLANILHA ORÇAMENTÁRIA'!$E352)</f>
        <v>3</v>
      </c>
      <c r="C352" t="str">
        <f>IF(Tabela6[[#This Row],[QUANT]]="x","x","")</f>
        <v/>
      </c>
      <c r="E352" s="142" t="s">
        <v>663</v>
      </c>
      <c r="F352" s="54" t="s">
        <v>664</v>
      </c>
      <c r="G352" s="54"/>
      <c r="H352" s="55" t="str">
        <f>IF(SUM(H353:H356)=0,"x","")</f>
        <v/>
      </c>
      <c r="I352" s="55"/>
      <c r="J352" s="56"/>
      <c r="K352" s="56">
        <f>SUMIF($A$353:$A$356,"3",K353:K356)</f>
        <v>36729.436799999996</v>
      </c>
    </row>
    <row r="353" spans="1:11" ht="43.5" x14ac:dyDescent="0.35">
      <c r="A353" s="38" cm="1">
        <f t="array" ref="A353">_xlfn.IFS(B353&lt;1,"",B353&lt;=2,1,B353&lt;=4,2,B353&lt;=8,3)</f>
        <v>3</v>
      </c>
      <c r="B353" s="1">
        <f>LEN('PLANILHA ORÇAMENTÁRIA'!$E353)</f>
        <v>5</v>
      </c>
      <c r="C353" t="str">
        <f>IF(AND(Tabela6[[#This Row],[IND.]]&gt;=5,Tabela6[[#This Row],[QUANT]]=0),"X","")</f>
        <v/>
      </c>
      <c r="E353" s="87" t="s">
        <v>665</v>
      </c>
      <c r="F353" s="59" t="s">
        <v>666</v>
      </c>
      <c r="G353" s="60" t="s">
        <v>25</v>
      </c>
      <c r="H353" s="61">
        <f>548.53+5.33</f>
        <v>553.86</v>
      </c>
      <c r="I353" s="62" t="s">
        <v>41</v>
      </c>
      <c r="J353" s="57">
        <v>34.619999999999997</v>
      </c>
      <c r="K353" s="57">
        <v>19174.6332</v>
      </c>
    </row>
    <row r="354" spans="1:11" x14ac:dyDescent="0.35">
      <c r="A354" s="38" cm="1">
        <f t="array" ref="A354">_xlfn.IFS(B354&lt;1,"",B354&lt;=2,1,B354&lt;=4,2,B354&lt;=8,3)</f>
        <v>3</v>
      </c>
      <c r="B354" s="1">
        <f>LEN('PLANILHA ORÇAMENTÁRIA'!$E354)</f>
        <v>5</v>
      </c>
      <c r="C354" t="str">
        <f>IF(AND(Tabela6[[#This Row],[IND.]]&gt;=5,Tabela6[[#This Row],[QUANT]]=0),"X","")</f>
        <v/>
      </c>
      <c r="E354" s="87" t="s">
        <v>667</v>
      </c>
      <c r="F354" s="59" t="s">
        <v>668</v>
      </c>
      <c r="G354" s="60" t="s">
        <v>25</v>
      </c>
      <c r="H354" s="61">
        <f>H353-H356</f>
        <v>548.53</v>
      </c>
      <c r="I354" s="62" t="s">
        <v>41</v>
      </c>
      <c r="J354" s="57">
        <v>31.7</v>
      </c>
      <c r="K354" s="57">
        <v>17388.400999999998</v>
      </c>
    </row>
    <row r="355" spans="1:11" hidden="1" x14ac:dyDescent="0.35">
      <c r="A355" s="38" cm="1">
        <f t="array" ref="A355">_xlfn.IFS(B355&lt;1,"",B355&lt;=2,1,B355&lt;=4,2,B355&lt;=8,3)</f>
        <v>3</v>
      </c>
      <c r="B355" s="1">
        <f>LEN('PLANILHA ORÇAMENTÁRIA'!$E355)</f>
        <v>5</v>
      </c>
      <c r="C355" t="str">
        <f>IF(AND(Tabela6[[#This Row],[IND.]]&gt;=5,Tabela6[[#This Row],[QUANT]]=0),"X","")</f>
        <v>X</v>
      </c>
      <c r="E355" s="58" t="s">
        <v>669</v>
      </c>
      <c r="F355" s="59" t="s">
        <v>670</v>
      </c>
      <c r="G355" s="60" t="s">
        <v>25</v>
      </c>
      <c r="H355" s="61"/>
      <c r="I355" s="62" t="s">
        <v>26</v>
      </c>
      <c r="J355" s="57">
        <v>0</v>
      </c>
      <c r="K355" s="57">
        <v>0</v>
      </c>
    </row>
    <row r="356" spans="1:11" ht="15" thickBot="1" x14ac:dyDescent="0.4">
      <c r="A356" s="38" cm="1">
        <f t="array" ref="A356">_xlfn.IFS(B356&lt;1,"",B356&lt;=2,1,B356&lt;=4,2,B356&lt;=8,3)</f>
        <v>3</v>
      </c>
      <c r="B356" s="1">
        <f>LEN('PLANILHA ORÇAMENTÁRIA'!$E356)</f>
        <v>5</v>
      </c>
      <c r="C356" t="str">
        <f>IF(AND(Tabela6[[#This Row],[IND.]]&gt;=5,Tabela6[[#This Row],[QUANT]]=0),"X","")</f>
        <v/>
      </c>
      <c r="E356" s="87" t="s">
        <v>671</v>
      </c>
      <c r="F356" s="59" t="s">
        <v>656</v>
      </c>
      <c r="G356" s="60" t="s">
        <v>25</v>
      </c>
      <c r="H356" s="61">
        <v>5.33</v>
      </c>
      <c r="I356" s="62" t="s">
        <v>41</v>
      </c>
      <c r="J356" s="57">
        <v>31.22</v>
      </c>
      <c r="K356" s="57">
        <v>166.40260000000001</v>
      </c>
    </row>
    <row r="357" spans="1:11" ht="15" hidden="1" thickBot="1" x14ac:dyDescent="0.4">
      <c r="A357" s="38" cm="1">
        <f t="array" ref="A357">_xlfn.IFS(B357&lt;1,"",B357&lt;=2,1,B357&lt;=4,2,B357&lt;=8,3)</f>
        <v>2</v>
      </c>
      <c r="B357" s="1">
        <f>LEN('PLANILHA ORÇAMENTÁRIA'!$E357)</f>
        <v>3</v>
      </c>
      <c r="C357" t="str">
        <f>IF(Tabela6[[#This Row],[QUANT]]="x","x","")</f>
        <v>x</v>
      </c>
      <c r="E357" s="53" t="s">
        <v>672</v>
      </c>
      <c r="F357" s="54" t="s">
        <v>673</v>
      </c>
      <c r="G357" s="54"/>
      <c r="H357" s="55" t="str">
        <f>IF(SUM(H358:H366)=0,"x","")</f>
        <v>x</v>
      </c>
      <c r="I357" s="55"/>
      <c r="J357" s="56"/>
      <c r="K357" s="56">
        <f>SUMIF($A$358:$A$366,"3",K358:K366)</f>
        <v>0</v>
      </c>
    </row>
    <row r="358" spans="1:11" ht="44" hidden="1" thickBot="1" x14ac:dyDescent="0.4">
      <c r="A358" s="38" cm="1">
        <f t="array" ref="A358">_xlfn.IFS(B358&lt;1,"",B358&lt;=2,1,B358&lt;=4,2,B358&lt;=8,3)</f>
        <v>3</v>
      </c>
      <c r="B358" s="1">
        <f>LEN('PLANILHA ORÇAMENTÁRIA'!$E358)</f>
        <v>5</v>
      </c>
      <c r="C358" t="str">
        <f>IF(AND(Tabela6[[#This Row],[IND.]]&gt;=5,Tabela6[[#This Row],[QUANT]]=0),"X","")</f>
        <v>X</v>
      </c>
      <c r="E358" s="58" t="s">
        <v>674</v>
      </c>
      <c r="F358" s="59" t="s">
        <v>675</v>
      </c>
      <c r="G358" s="60" t="s">
        <v>25</v>
      </c>
      <c r="H358" s="61"/>
      <c r="I358" s="62" t="s">
        <v>26</v>
      </c>
      <c r="J358" s="57">
        <v>0</v>
      </c>
      <c r="K358" s="57">
        <v>0</v>
      </c>
    </row>
    <row r="359" spans="1:11" ht="44" hidden="1" thickBot="1" x14ac:dyDescent="0.4">
      <c r="A359" s="38" cm="1">
        <f t="array" ref="A359">_xlfn.IFS(B359&lt;1,"",B359&lt;=2,1,B359&lt;=4,2,B359&lt;=8,3)</f>
        <v>3</v>
      </c>
      <c r="B359" s="1">
        <f>LEN('PLANILHA ORÇAMENTÁRIA'!$E359)</f>
        <v>5</v>
      </c>
      <c r="C359" t="str">
        <f>IF(AND(Tabela6[[#This Row],[IND.]]&gt;=5,Tabela6[[#This Row],[QUANT]]=0),"X","")</f>
        <v>X</v>
      </c>
      <c r="E359" s="58" t="s">
        <v>676</v>
      </c>
      <c r="F359" s="59" t="s">
        <v>677</v>
      </c>
      <c r="G359" s="60" t="s">
        <v>25</v>
      </c>
      <c r="H359" s="61"/>
      <c r="I359" s="62" t="s">
        <v>26</v>
      </c>
      <c r="J359" s="57">
        <v>0</v>
      </c>
      <c r="K359" s="57">
        <v>0</v>
      </c>
    </row>
    <row r="360" spans="1:11" ht="44" hidden="1" thickBot="1" x14ac:dyDescent="0.4">
      <c r="A360" s="38" cm="1">
        <f t="array" ref="A360">_xlfn.IFS(B360&lt;1,"",B360&lt;=2,1,B360&lt;=4,2,B360&lt;=8,3)</f>
        <v>3</v>
      </c>
      <c r="B360" s="1">
        <f>LEN('PLANILHA ORÇAMENTÁRIA'!$E360)</f>
        <v>5</v>
      </c>
      <c r="C360" t="str">
        <f>IF(AND(Tabela6[[#This Row],[IND.]]&gt;=5,Tabela6[[#This Row],[QUANT]]=0),"X","")</f>
        <v>X</v>
      </c>
      <c r="E360" s="58" t="s">
        <v>678</v>
      </c>
      <c r="F360" s="59" t="s">
        <v>679</v>
      </c>
      <c r="G360" s="60" t="s">
        <v>25</v>
      </c>
      <c r="H360" s="61"/>
      <c r="I360" s="62" t="s">
        <v>26</v>
      </c>
      <c r="J360" s="57">
        <v>0</v>
      </c>
      <c r="K360" s="57">
        <v>0</v>
      </c>
    </row>
    <row r="361" spans="1:11" ht="44" hidden="1" thickBot="1" x14ac:dyDescent="0.4">
      <c r="A361" s="38" cm="1">
        <f t="array" ref="A361">_xlfn.IFS(B361&lt;1,"",B361&lt;=2,1,B361&lt;=4,2,B361&lt;=8,3)</f>
        <v>3</v>
      </c>
      <c r="B361" s="1">
        <f>LEN('PLANILHA ORÇAMENTÁRIA'!$E361)</f>
        <v>5</v>
      </c>
      <c r="C361" t="str">
        <f>IF(AND(Tabela6[[#This Row],[IND.]]&gt;=5,Tabela6[[#This Row],[QUANT]]=0),"X","")</f>
        <v>X</v>
      </c>
      <c r="E361" s="58" t="s">
        <v>680</v>
      </c>
      <c r="F361" s="59" t="s">
        <v>681</v>
      </c>
      <c r="G361" s="60" t="s">
        <v>25</v>
      </c>
      <c r="H361" s="61"/>
      <c r="I361" s="62" t="s">
        <v>26</v>
      </c>
      <c r="J361" s="57">
        <v>0</v>
      </c>
      <c r="K361" s="57">
        <v>0</v>
      </c>
    </row>
    <row r="362" spans="1:11" ht="44" hidden="1" thickBot="1" x14ac:dyDescent="0.4">
      <c r="A362" s="38" cm="1">
        <f t="array" ref="A362">_xlfn.IFS(B362&lt;1,"",B362&lt;=2,1,B362&lt;=4,2,B362&lt;=8,3)</f>
        <v>3</v>
      </c>
      <c r="B362" s="1">
        <f>LEN('PLANILHA ORÇAMENTÁRIA'!$E362)</f>
        <v>5</v>
      </c>
      <c r="C362" t="str">
        <f>IF(AND(Tabela6[[#This Row],[IND.]]&gt;=5,Tabela6[[#This Row],[QUANT]]=0),"X","")</f>
        <v>X</v>
      </c>
      <c r="E362" s="58" t="s">
        <v>682</v>
      </c>
      <c r="F362" s="59" t="s">
        <v>683</v>
      </c>
      <c r="G362" s="60" t="s">
        <v>25</v>
      </c>
      <c r="H362" s="61"/>
      <c r="I362" s="62" t="s">
        <v>111</v>
      </c>
      <c r="J362" s="57">
        <v>0</v>
      </c>
      <c r="K362" s="57">
        <v>0</v>
      </c>
    </row>
    <row r="363" spans="1:11" ht="44" hidden="1" thickBot="1" x14ac:dyDescent="0.4">
      <c r="A363" s="38" cm="1">
        <f t="array" ref="A363">_xlfn.IFS(B363&lt;1,"",B363&lt;=2,1,B363&lt;=4,2,B363&lt;=8,3)</f>
        <v>3</v>
      </c>
      <c r="B363" s="1">
        <f>LEN('PLANILHA ORÇAMENTÁRIA'!$E363)</f>
        <v>5</v>
      </c>
      <c r="C363" t="str">
        <f>IF(AND(Tabela6[[#This Row],[IND.]]&gt;=5,Tabela6[[#This Row],[QUANT]]=0),"X","")</f>
        <v>X</v>
      </c>
      <c r="E363" s="58" t="s">
        <v>684</v>
      </c>
      <c r="F363" s="59" t="s">
        <v>685</v>
      </c>
      <c r="G363" s="60" t="s">
        <v>25</v>
      </c>
      <c r="H363" s="61"/>
      <c r="I363" s="62" t="s">
        <v>111</v>
      </c>
      <c r="J363" s="57">
        <v>0</v>
      </c>
      <c r="K363" s="57">
        <v>0</v>
      </c>
    </row>
    <row r="364" spans="1:11" ht="44" hidden="1" thickBot="1" x14ac:dyDescent="0.4">
      <c r="A364" s="38" cm="1">
        <f t="array" ref="A364">_xlfn.IFS(B364&lt;1,"",B364&lt;=2,1,B364&lt;=4,2,B364&lt;=8,3)</f>
        <v>3</v>
      </c>
      <c r="B364" s="1">
        <f>LEN('PLANILHA ORÇAMENTÁRIA'!$E364)</f>
        <v>5</v>
      </c>
      <c r="C364" t="str">
        <f>IF(AND(Tabela6[[#This Row],[IND.]]&gt;=5,Tabela6[[#This Row],[QUANT]]=0),"X","")</f>
        <v>X</v>
      </c>
      <c r="E364" s="58" t="s">
        <v>686</v>
      </c>
      <c r="F364" s="59" t="s">
        <v>687</v>
      </c>
      <c r="G364" s="60" t="s">
        <v>25</v>
      </c>
      <c r="H364" s="61"/>
      <c r="I364" s="62" t="s">
        <v>26</v>
      </c>
      <c r="J364" s="57">
        <v>0</v>
      </c>
      <c r="K364" s="57">
        <v>0</v>
      </c>
    </row>
    <row r="365" spans="1:11" ht="44" hidden="1" thickBot="1" x14ac:dyDescent="0.4">
      <c r="A365" s="38" cm="1">
        <f t="array" ref="A365">_xlfn.IFS(B365&lt;1,"",B365&lt;=2,1,B365&lt;=4,2,B365&lt;=8,3)</f>
        <v>3</v>
      </c>
      <c r="B365" s="1">
        <f>LEN('PLANILHA ORÇAMENTÁRIA'!$E365)</f>
        <v>5</v>
      </c>
      <c r="C365" t="str">
        <f>IF(AND(Tabela6[[#This Row],[IND.]]&gt;=5,Tabela6[[#This Row],[QUANT]]=0),"X","")</f>
        <v>X</v>
      </c>
      <c r="E365" s="58" t="s">
        <v>688</v>
      </c>
      <c r="F365" s="59" t="s">
        <v>689</v>
      </c>
      <c r="G365" s="60" t="s">
        <v>25</v>
      </c>
      <c r="H365" s="61"/>
      <c r="I365" s="62" t="s">
        <v>26</v>
      </c>
      <c r="J365" s="57">
        <v>0</v>
      </c>
      <c r="K365" s="57">
        <v>0</v>
      </c>
    </row>
    <row r="366" spans="1:11" ht="44" hidden="1" thickBot="1" x14ac:dyDescent="0.4">
      <c r="A366" s="38" cm="1">
        <f t="array" ref="A366">_xlfn.IFS(B366&lt;1,"",B366&lt;=2,1,B366&lt;=4,2,B366&lt;=8,3)</f>
        <v>3</v>
      </c>
      <c r="B366" s="1">
        <f>LEN('PLANILHA ORÇAMENTÁRIA'!$E366)</f>
        <v>5</v>
      </c>
      <c r="C366" t="str">
        <f>IF(AND(Tabela6[[#This Row],[IND.]]&gt;=5,Tabela6[[#This Row],[QUANT]]=0),"X","")</f>
        <v>X</v>
      </c>
      <c r="E366" s="58" t="s">
        <v>690</v>
      </c>
      <c r="F366" s="59" t="s">
        <v>691</v>
      </c>
      <c r="G366" s="60" t="s">
        <v>25</v>
      </c>
      <c r="H366" s="61"/>
      <c r="I366" s="62" t="s">
        <v>26</v>
      </c>
      <c r="J366" s="57">
        <v>0</v>
      </c>
      <c r="K366" s="57">
        <v>0</v>
      </c>
    </row>
    <row r="367" spans="1:11" ht="15" hidden="1" thickBot="1" x14ac:dyDescent="0.4">
      <c r="A367" s="38" cm="1">
        <f t="array" ref="A367">_xlfn.IFS(B367&lt;1,"",B367&lt;=2,1,B367&lt;=4,2,B367&lt;=8,3)</f>
        <v>2</v>
      </c>
      <c r="B367" s="1">
        <f>LEN('PLANILHA ORÇAMENTÁRIA'!$E367)</f>
        <v>3</v>
      </c>
      <c r="C367" t="str">
        <f>IF(Tabela6[[#This Row],[QUANT]]="x","x","")</f>
        <v>x</v>
      </c>
      <c r="E367" s="53" t="s">
        <v>692</v>
      </c>
      <c r="F367" s="54" t="s">
        <v>693</v>
      </c>
      <c r="G367" s="54"/>
      <c r="H367" s="55" t="str">
        <f>IF(SUM(H368:H373)=0,"x","")</f>
        <v>x</v>
      </c>
      <c r="I367" s="55"/>
      <c r="J367" s="56"/>
      <c r="K367" s="56">
        <f>SUMIF($A$368:$A$373,"3",K368:K373)</f>
        <v>0</v>
      </c>
    </row>
    <row r="368" spans="1:11" ht="44" hidden="1" thickBot="1" x14ac:dyDescent="0.4">
      <c r="A368" s="38" cm="1">
        <f t="array" ref="A368">_xlfn.IFS(B368&lt;1,"",B368&lt;=2,1,B368&lt;=4,2,B368&lt;=8,3)</f>
        <v>3</v>
      </c>
      <c r="B368" s="1">
        <f>LEN('PLANILHA ORÇAMENTÁRIA'!$E368)</f>
        <v>5</v>
      </c>
      <c r="C368" t="str">
        <f>IF(AND(Tabela6[[#This Row],[IND.]]&gt;=5,Tabela6[[#This Row],[QUANT]]=0),"X","")</f>
        <v>X</v>
      </c>
      <c r="E368" s="58" t="s">
        <v>694</v>
      </c>
      <c r="F368" s="59" t="s">
        <v>695</v>
      </c>
      <c r="G368" s="60" t="s">
        <v>25</v>
      </c>
      <c r="H368" s="61"/>
      <c r="I368" s="62" t="s">
        <v>26</v>
      </c>
      <c r="J368" s="57">
        <v>0</v>
      </c>
      <c r="K368" s="57">
        <v>0</v>
      </c>
    </row>
    <row r="369" spans="1:11" ht="44" hidden="1" thickBot="1" x14ac:dyDescent="0.4">
      <c r="A369" s="38" cm="1">
        <f t="array" ref="A369">_xlfn.IFS(B369&lt;1,"",B369&lt;=2,1,B369&lt;=4,2,B369&lt;=8,3)</f>
        <v>3</v>
      </c>
      <c r="B369" s="1">
        <f>LEN('PLANILHA ORÇAMENTÁRIA'!$E369)</f>
        <v>5</v>
      </c>
      <c r="C369" t="str">
        <f>IF(AND(Tabela6[[#This Row],[IND.]]&gt;=5,Tabela6[[#This Row],[QUANT]]=0),"X","")</f>
        <v>X</v>
      </c>
      <c r="E369" s="58" t="s">
        <v>696</v>
      </c>
      <c r="F369" s="59" t="s">
        <v>697</v>
      </c>
      <c r="G369" s="60" t="s">
        <v>25</v>
      </c>
      <c r="H369" s="61"/>
      <c r="I369" s="62" t="s">
        <v>26</v>
      </c>
      <c r="J369" s="57">
        <v>0</v>
      </c>
      <c r="K369" s="57">
        <v>0</v>
      </c>
    </row>
    <row r="370" spans="1:11" ht="44" hidden="1" thickBot="1" x14ac:dyDescent="0.4">
      <c r="A370" s="38" cm="1">
        <f t="array" ref="A370">_xlfn.IFS(B370&lt;1,"",B370&lt;=2,1,B370&lt;=4,2,B370&lt;=8,3)</f>
        <v>3</v>
      </c>
      <c r="B370" s="1">
        <f>LEN('PLANILHA ORÇAMENTÁRIA'!$E370)</f>
        <v>5</v>
      </c>
      <c r="C370" t="str">
        <f>IF(AND(Tabela6[[#This Row],[IND.]]&gt;=5,Tabela6[[#This Row],[QUANT]]=0),"X","")</f>
        <v>X</v>
      </c>
      <c r="E370" s="58" t="s">
        <v>698</v>
      </c>
      <c r="F370" s="59" t="s">
        <v>699</v>
      </c>
      <c r="G370" s="60" t="s">
        <v>25</v>
      </c>
      <c r="H370" s="61"/>
      <c r="I370" s="62" t="s">
        <v>26</v>
      </c>
      <c r="J370" s="57">
        <v>0</v>
      </c>
      <c r="K370" s="57">
        <v>0</v>
      </c>
    </row>
    <row r="371" spans="1:11" ht="44" hidden="1" thickBot="1" x14ac:dyDescent="0.4">
      <c r="A371" s="38" cm="1">
        <f t="array" ref="A371">_xlfn.IFS(B371&lt;1,"",B371&lt;=2,1,B371&lt;=4,2,B371&lt;=8,3)</f>
        <v>3</v>
      </c>
      <c r="B371" s="1">
        <f>LEN('PLANILHA ORÇAMENTÁRIA'!$E371)</f>
        <v>5</v>
      </c>
      <c r="C371" t="str">
        <f>IF(AND(Tabela6[[#This Row],[IND.]]&gt;=5,Tabela6[[#This Row],[QUANT]]=0),"X","")</f>
        <v>X</v>
      </c>
      <c r="E371" s="58" t="s">
        <v>700</v>
      </c>
      <c r="F371" s="59" t="s">
        <v>701</v>
      </c>
      <c r="G371" s="60" t="s">
        <v>25</v>
      </c>
      <c r="H371" s="61"/>
      <c r="I371" s="62" t="s">
        <v>26</v>
      </c>
      <c r="J371" s="57">
        <v>0</v>
      </c>
      <c r="K371" s="57">
        <v>0</v>
      </c>
    </row>
    <row r="372" spans="1:11" ht="44" hidden="1" thickBot="1" x14ac:dyDescent="0.4">
      <c r="A372" s="38" cm="1">
        <f t="array" ref="A372">_xlfn.IFS(B372&lt;1,"",B372&lt;=2,1,B372&lt;=4,2,B372&lt;=8,3)</f>
        <v>3</v>
      </c>
      <c r="B372" s="1">
        <f>LEN('PLANILHA ORÇAMENTÁRIA'!$E372)</f>
        <v>5</v>
      </c>
      <c r="C372" t="str">
        <f>IF(AND(Tabela6[[#This Row],[IND.]]&gt;=5,Tabela6[[#This Row],[QUANT]]=0),"X","")</f>
        <v>X</v>
      </c>
      <c r="E372" s="58" t="s">
        <v>702</v>
      </c>
      <c r="F372" s="59" t="s">
        <v>703</v>
      </c>
      <c r="G372" s="60" t="s">
        <v>25</v>
      </c>
      <c r="H372" s="61"/>
      <c r="I372" s="62" t="s">
        <v>26</v>
      </c>
      <c r="J372" s="57">
        <v>0</v>
      </c>
      <c r="K372" s="57">
        <v>0</v>
      </c>
    </row>
    <row r="373" spans="1:11" ht="44" hidden="1" thickBot="1" x14ac:dyDescent="0.4">
      <c r="A373" s="38" cm="1">
        <f t="array" ref="A373">_xlfn.IFS(B373&lt;1,"",B373&lt;=2,1,B373&lt;=4,2,B373&lt;=8,3)</f>
        <v>3</v>
      </c>
      <c r="B373" s="1">
        <f>LEN('PLANILHA ORÇAMENTÁRIA'!$E373)</f>
        <v>5</v>
      </c>
      <c r="C373" t="str">
        <f>IF(AND(Tabela6[[#This Row],[IND.]]&gt;=5,Tabela6[[#This Row],[QUANT]]=0),"X","")</f>
        <v>X</v>
      </c>
      <c r="E373" s="58" t="s">
        <v>704</v>
      </c>
      <c r="F373" s="59" t="s">
        <v>705</v>
      </c>
      <c r="G373" s="60" t="s">
        <v>25</v>
      </c>
      <c r="H373" s="61"/>
      <c r="I373" s="62" t="s">
        <v>26</v>
      </c>
      <c r="J373" s="57">
        <v>0</v>
      </c>
      <c r="K373" s="57">
        <v>0</v>
      </c>
    </row>
    <row r="374" spans="1:11" x14ac:dyDescent="0.35">
      <c r="A374" s="38" cm="1">
        <f t="array" ref="A374">_xlfn.IFS(B374&lt;1,"",B374&lt;=2,1,B374&lt;=4,2,B374&lt;=8,3)</f>
        <v>1</v>
      </c>
      <c r="B374" s="1">
        <f>LEN('PLANILHA ORÇAMENTÁRIA'!$E374)</f>
        <v>1</v>
      </c>
      <c r="C374" t="str">
        <f>IF(Tabela6[[#This Row],[QUANT]]="x","x","")</f>
        <v/>
      </c>
      <c r="E374" s="141">
        <v>9</v>
      </c>
      <c r="F374" s="79" t="s">
        <v>706</v>
      </c>
      <c r="G374" s="79"/>
      <c r="H374" s="80" t="str">
        <f>IF(SUM(H375:H430)=0,"x","")</f>
        <v/>
      </c>
      <c r="I374" s="80"/>
      <c r="J374" s="81"/>
      <c r="K374" s="81">
        <f>SUMIF($A$375:$A$430,"2",K375:K430)</f>
        <v>29364</v>
      </c>
    </row>
    <row r="375" spans="1:11" hidden="1" x14ac:dyDescent="0.35">
      <c r="A375" s="38" cm="1">
        <f t="array" ref="A375">_xlfn.IFS(B375&lt;1,"",B375&lt;=2,1,B375&lt;=4,2,B375&lt;=8,3)</f>
        <v>2</v>
      </c>
      <c r="B375" s="1">
        <f>LEN('PLANILHA ORÇAMENTÁRIA'!$E375)</f>
        <v>3</v>
      </c>
      <c r="C375" t="str">
        <f>IF(Tabela6[[#This Row],[QUANT]]="x","x","")</f>
        <v>x</v>
      </c>
      <c r="E375" s="53" t="s">
        <v>707</v>
      </c>
      <c r="F375" s="54" t="s">
        <v>708</v>
      </c>
      <c r="G375" s="54"/>
      <c r="H375" s="55" t="str">
        <f>IF(SUM(H376:H392)=0,"x","")</f>
        <v>x</v>
      </c>
      <c r="I375" s="55"/>
      <c r="J375" s="56"/>
      <c r="K375" s="56">
        <f>SUMIF($A$376:$A$392,"3",K376:K392)</f>
        <v>0</v>
      </c>
    </row>
    <row r="376" spans="1:11" ht="29" hidden="1" x14ac:dyDescent="0.35">
      <c r="A376" s="38" cm="1">
        <f t="array" ref="A376">_xlfn.IFS(B376&lt;1,"",B376&lt;=2,1,B376&lt;=4,2,B376&lt;=8,3)</f>
        <v>3</v>
      </c>
      <c r="B376" s="1">
        <f>LEN('PLANILHA ORÇAMENTÁRIA'!$E376)</f>
        <v>5</v>
      </c>
      <c r="C376" t="str">
        <f>IF(AND(Tabela6[[#This Row],[IND.]]&gt;=5,Tabela6[[#This Row],[QUANT]]=0),"X","")</f>
        <v>X</v>
      </c>
      <c r="E376" s="58" t="s">
        <v>709</v>
      </c>
      <c r="F376" s="59" t="s">
        <v>710</v>
      </c>
      <c r="G376" s="60" t="s">
        <v>25</v>
      </c>
      <c r="H376" s="61"/>
      <c r="I376" s="62" t="s">
        <v>26</v>
      </c>
      <c r="J376" s="57">
        <v>0</v>
      </c>
      <c r="K376" s="57">
        <v>0</v>
      </c>
    </row>
    <row r="377" spans="1:11" ht="29" hidden="1" x14ac:dyDescent="0.35">
      <c r="A377" s="38" cm="1">
        <f t="array" ref="A377">_xlfn.IFS(B377&lt;1,"",B377&lt;=2,1,B377&lt;=4,2,B377&lt;=8,3)</f>
        <v>3</v>
      </c>
      <c r="B377" s="1">
        <f>LEN('PLANILHA ORÇAMENTÁRIA'!$E377)</f>
        <v>5</v>
      </c>
      <c r="C377" t="str">
        <f>IF(AND(Tabela6[[#This Row],[IND.]]&gt;=5,Tabela6[[#This Row],[QUANT]]=0),"X","")</f>
        <v>X</v>
      </c>
      <c r="E377" s="58" t="s">
        <v>711</v>
      </c>
      <c r="F377" s="59" t="s">
        <v>712</v>
      </c>
      <c r="G377" s="60" t="s">
        <v>25</v>
      </c>
      <c r="H377" s="61"/>
      <c r="I377" s="62" t="s">
        <v>26</v>
      </c>
      <c r="J377" s="57">
        <v>0</v>
      </c>
      <c r="K377" s="57">
        <v>0</v>
      </c>
    </row>
    <row r="378" spans="1:11" ht="29" hidden="1" x14ac:dyDescent="0.35">
      <c r="A378" s="38" cm="1">
        <f t="array" ref="A378">_xlfn.IFS(B378&lt;1,"",B378&lt;=2,1,B378&lt;=4,2,B378&lt;=8,3)</f>
        <v>3</v>
      </c>
      <c r="B378" s="1">
        <f>LEN('PLANILHA ORÇAMENTÁRIA'!$E378)</f>
        <v>5</v>
      </c>
      <c r="C378" t="str">
        <f>IF(AND(Tabela6[[#This Row],[IND.]]&gt;=5,Tabela6[[#This Row],[QUANT]]=0),"X","")</f>
        <v>X</v>
      </c>
      <c r="E378" s="58" t="s">
        <v>713</v>
      </c>
      <c r="F378" s="59" t="s">
        <v>714</v>
      </c>
      <c r="G378" s="60" t="s">
        <v>25</v>
      </c>
      <c r="H378" s="61"/>
      <c r="I378" s="62" t="s">
        <v>26</v>
      </c>
      <c r="J378" s="57">
        <v>0</v>
      </c>
      <c r="K378" s="57">
        <v>0</v>
      </c>
    </row>
    <row r="379" spans="1:11" ht="29" hidden="1" x14ac:dyDescent="0.35">
      <c r="A379" s="38" cm="1">
        <f t="array" ref="A379">_xlfn.IFS(B379&lt;1,"",B379&lt;=2,1,B379&lt;=4,2,B379&lt;=8,3)</f>
        <v>3</v>
      </c>
      <c r="B379" s="1">
        <f>LEN('PLANILHA ORÇAMENTÁRIA'!$E379)</f>
        <v>5</v>
      </c>
      <c r="C379" t="str">
        <f>IF(AND(Tabela6[[#This Row],[IND.]]&gt;=5,Tabela6[[#This Row],[QUANT]]=0),"X","")</f>
        <v>X</v>
      </c>
      <c r="E379" s="58" t="s">
        <v>715</v>
      </c>
      <c r="F379" s="59" t="s">
        <v>716</v>
      </c>
      <c r="G379" s="60" t="s">
        <v>25</v>
      </c>
      <c r="H379" s="61"/>
      <c r="I379" s="62" t="s">
        <v>26</v>
      </c>
      <c r="J379" s="57">
        <v>0</v>
      </c>
      <c r="K379" s="57">
        <v>0</v>
      </c>
    </row>
    <row r="380" spans="1:11" ht="29" hidden="1" x14ac:dyDescent="0.35">
      <c r="A380" s="38" cm="1">
        <f t="array" ref="A380">_xlfn.IFS(B380&lt;1,"",B380&lt;=2,1,B380&lt;=4,2,B380&lt;=8,3)</f>
        <v>3</v>
      </c>
      <c r="B380" s="1">
        <f>LEN('PLANILHA ORÇAMENTÁRIA'!$E380)</f>
        <v>5</v>
      </c>
      <c r="C380" t="str">
        <f>IF(AND(Tabela6[[#This Row],[IND.]]&gt;=5,Tabela6[[#This Row],[QUANT]]=0),"X","")</f>
        <v>X</v>
      </c>
      <c r="E380" s="58" t="s">
        <v>717</v>
      </c>
      <c r="F380" s="59" t="s">
        <v>718</v>
      </c>
      <c r="G380" s="60" t="s">
        <v>25</v>
      </c>
      <c r="H380" s="61"/>
      <c r="I380" s="62" t="s">
        <v>26</v>
      </c>
      <c r="J380" s="57">
        <v>0</v>
      </c>
      <c r="K380" s="57">
        <v>0</v>
      </c>
    </row>
    <row r="381" spans="1:11" ht="29" hidden="1" x14ac:dyDescent="0.35">
      <c r="A381" s="38" cm="1">
        <f t="array" ref="A381">_xlfn.IFS(B381&lt;1,"",B381&lt;=2,1,B381&lt;=4,2,B381&lt;=8,3)</f>
        <v>3</v>
      </c>
      <c r="B381" s="1">
        <f>LEN('PLANILHA ORÇAMENTÁRIA'!$E381)</f>
        <v>5</v>
      </c>
      <c r="C381" t="str">
        <f>IF(AND(Tabela6[[#This Row],[IND.]]&gt;=5,Tabela6[[#This Row],[QUANT]]=0),"X","")</f>
        <v>X</v>
      </c>
      <c r="E381" s="58" t="s">
        <v>719</v>
      </c>
      <c r="F381" s="59" t="s">
        <v>720</v>
      </c>
      <c r="G381" s="60" t="s">
        <v>25</v>
      </c>
      <c r="H381" s="61"/>
      <c r="I381" s="62" t="s">
        <v>26</v>
      </c>
      <c r="J381" s="57">
        <v>0</v>
      </c>
      <c r="K381" s="57">
        <v>0</v>
      </c>
    </row>
    <row r="382" spans="1:11" ht="29" hidden="1" x14ac:dyDescent="0.35">
      <c r="A382" s="38" cm="1">
        <f t="array" ref="A382">_xlfn.IFS(B382&lt;1,"",B382&lt;=2,1,B382&lt;=4,2,B382&lt;=8,3)</f>
        <v>3</v>
      </c>
      <c r="B382" s="1">
        <f>LEN('PLANILHA ORÇAMENTÁRIA'!$E382)</f>
        <v>5</v>
      </c>
      <c r="C382" t="str">
        <f>IF(AND(Tabela6[[#This Row],[IND.]]&gt;=5,Tabela6[[#This Row],[QUANT]]=0),"X","")</f>
        <v>X</v>
      </c>
      <c r="E382" s="58" t="s">
        <v>721</v>
      </c>
      <c r="F382" s="59" t="s">
        <v>722</v>
      </c>
      <c r="G382" s="60" t="s">
        <v>25</v>
      </c>
      <c r="H382" s="61"/>
      <c r="I382" s="62" t="s">
        <v>26</v>
      </c>
      <c r="J382" s="57">
        <v>0</v>
      </c>
      <c r="K382" s="57">
        <v>0</v>
      </c>
    </row>
    <row r="383" spans="1:11" ht="29" hidden="1" x14ac:dyDescent="0.35">
      <c r="A383" s="38" cm="1">
        <f t="array" ref="A383">_xlfn.IFS(B383&lt;1,"",B383&lt;=2,1,B383&lt;=4,2,B383&lt;=8,3)</f>
        <v>3</v>
      </c>
      <c r="B383" s="1">
        <f>LEN('PLANILHA ORÇAMENTÁRIA'!$E383)</f>
        <v>5</v>
      </c>
      <c r="C383" t="str">
        <f>IF(AND(Tabela6[[#This Row],[IND.]]&gt;=5,Tabela6[[#This Row],[QUANT]]=0),"X","")</f>
        <v>X</v>
      </c>
      <c r="E383" s="58" t="s">
        <v>723</v>
      </c>
      <c r="F383" s="59" t="s">
        <v>724</v>
      </c>
      <c r="G383" s="60" t="s">
        <v>25</v>
      </c>
      <c r="H383" s="61"/>
      <c r="I383" s="62" t="s">
        <v>26</v>
      </c>
      <c r="J383" s="57">
        <v>0</v>
      </c>
      <c r="K383" s="57">
        <v>0</v>
      </c>
    </row>
    <row r="384" spans="1:11" ht="29" hidden="1" x14ac:dyDescent="0.35">
      <c r="A384" s="38" cm="1">
        <f t="array" ref="A384">_xlfn.IFS(B384&lt;1,"",B384&lt;=2,1,B384&lt;=4,2,B384&lt;=8,3)</f>
        <v>3</v>
      </c>
      <c r="B384" s="1">
        <f>LEN('PLANILHA ORÇAMENTÁRIA'!$E384)</f>
        <v>5</v>
      </c>
      <c r="C384" t="str">
        <f>IF(AND(Tabela6[[#This Row],[IND.]]&gt;=5,Tabela6[[#This Row],[QUANT]]=0),"X","")</f>
        <v>X</v>
      </c>
      <c r="E384" s="58" t="s">
        <v>725</v>
      </c>
      <c r="F384" s="59" t="s">
        <v>726</v>
      </c>
      <c r="G384" s="60" t="s">
        <v>25</v>
      </c>
      <c r="H384" s="61"/>
      <c r="I384" s="62" t="s">
        <v>26</v>
      </c>
      <c r="J384" s="57">
        <v>0</v>
      </c>
      <c r="K384" s="57">
        <v>0</v>
      </c>
    </row>
    <row r="385" spans="1:11" ht="29" hidden="1" x14ac:dyDescent="0.35">
      <c r="A385" s="38" cm="1">
        <f t="array" ref="A385">_xlfn.IFS(B385&lt;1,"",B385&lt;=2,1,B385&lt;=4,2,B385&lt;=8,3)</f>
        <v>3</v>
      </c>
      <c r="B385" s="1">
        <f>LEN('PLANILHA ORÇAMENTÁRIA'!$E385)</f>
        <v>6</v>
      </c>
      <c r="C385" t="str">
        <f>IF(AND(Tabela6[[#This Row],[IND.]]&gt;=5,Tabela6[[#This Row],[QUANT]]=0),"X","")</f>
        <v>X</v>
      </c>
      <c r="E385" s="58" t="s">
        <v>727</v>
      </c>
      <c r="F385" s="59" t="s">
        <v>728</v>
      </c>
      <c r="G385" s="60" t="s">
        <v>25</v>
      </c>
      <c r="H385" s="61"/>
      <c r="I385" s="62" t="s">
        <v>26</v>
      </c>
      <c r="J385" s="57">
        <v>0</v>
      </c>
      <c r="K385" s="57">
        <v>0</v>
      </c>
    </row>
    <row r="386" spans="1:11" ht="29" hidden="1" x14ac:dyDescent="0.35">
      <c r="A386" s="38" cm="1">
        <f t="array" ref="A386">_xlfn.IFS(B386&lt;1,"",B386&lt;=2,1,B386&lt;=4,2,B386&lt;=8,3)</f>
        <v>3</v>
      </c>
      <c r="B386" s="1">
        <f>LEN('PLANILHA ORÇAMENTÁRIA'!$E386)</f>
        <v>6</v>
      </c>
      <c r="C386" t="str">
        <f>IF(AND(Tabela6[[#This Row],[IND.]]&gt;=5,Tabela6[[#This Row],[QUANT]]=0),"X","")</f>
        <v>X</v>
      </c>
      <c r="E386" s="58" t="s">
        <v>729</v>
      </c>
      <c r="F386" s="59" t="s">
        <v>730</v>
      </c>
      <c r="G386" s="60" t="s">
        <v>25</v>
      </c>
      <c r="H386" s="61"/>
      <c r="I386" s="62" t="s">
        <v>26</v>
      </c>
      <c r="J386" s="57">
        <v>0</v>
      </c>
      <c r="K386" s="57">
        <v>0</v>
      </c>
    </row>
    <row r="387" spans="1:11" ht="29" hidden="1" x14ac:dyDescent="0.35">
      <c r="A387" s="38" cm="1">
        <f t="array" ref="A387">_xlfn.IFS(B387&lt;1,"",B387&lt;=2,1,B387&lt;=4,2,B387&lt;=8,3)</f>
        <v>3</v>
      </c>
      <c r="B387" s="1">
        <f>LEN('PLANILHA ORÇAMENTÁRIA'!$E387)</f>
        <v>6</v>
      </c>
      <c r="C387" t="str">
        <f>IF(AND(Tabela6[[#This Row],[IND.]]&gt;=5,Tabela6[[#This Row],[QUANT]]=0),"X","")</f>
        <v>X</v>
      </c>
      <c r="E387" s="58" t="s">
        <v>731</v>
      </c>
      <c r="F387" s="59" t="s">
        <v>732</v>
      </c>
      <c r="G387" s="60" t="s">
        <v>25</v>
      </c>
      <c r="H387" s="61"/>
      <c r="I387" s="62" t="s">
        <v>26</v>
      </c>
      <c r="J387" s="57">
        <v>0</v>
      </c>
      <c r="K387" s="57">
        <v>0</v>
      </c>
    </row>
    <row r="388" spans="1:11" ht="43.5" hidden="1" x14ac:dyDescent="0.35">
      <c r="A388" s="38" cm="1">
        <f t="array" ref="A388">_xlfn.IFS(B388&lt;1,"",B388&lt;=2,1,B388&lt;=4,2,B388&lt;=8,3)</f>
        <v>3</v>
      </c>
      <c r="B388" s="1">
        <f>LEN('PLANILHA ORÇAMENTÁRIA'!$E388)</f>
        <v>6</v>
      </c>
      <c r="C388" t="str">
        <f>IF(AND(Tabela6[[#This Row],[IND.]]&gt;=5,Tabela6[[#This Row],[QUANT]]=0),"X","")</f>
        <v>X</v>
      </c>
      <c r="E388" s="58" t="s">
        <v>733</v>
      </c>
      <c r="F388" s="59" t="s">
        <v>734</v>
      </c>
      <c r="G388" s="60" t="s">
        <v>25</v>
      </c>
      <c r="H388" s="61"/>
      <c r="I388" s="62" t="s">
        <v>41</v>
      </c>
      <c r="J388" s="57">
        <v>0</v>
      </c>
      <c r="K388" s="57">
        <v>0</v>
      </c>
    </row>
    <row r="389" spans="1:11" ht="43.5" hidden="1" x14ac:dyDescent="0.35">
      <c r="A389" s="38" cm="1">
        <f t="array" ref="A389">_xlfn.IFS(B389&lt;1,"",B389&lt;=2,1,B389&lt;=4,2,B389&lt;=8,3)</f>
        <v>3</v>
      </c>
      <c r="B389" s="1">
        <f>LEN('PLANILHA ORÇAMENTÁRIA'!$E389)</f>
        <v>6</v>
      </c>
      <c r="C389" t="str">
        <f>IF(AND(Tabela6[[#This Row],[IND.]]&gt;=5,Tabela6[[#This Row],[QUANT]]=0),"X","")</f>
        <v>X</v>
      </c>
      <c r="E389" s="58" t="s">
        <v>735</v>
      </c>
      <c r="F389" s="59" t="s">
        <v>736</v>
      </c>
      <c r="G389" s="60" t="s">
        <v>25</v>
      </c>
      <c r="H389" s="61"/>
      <c r="I389" s="62" t="s">
        <v>41</v>
      </c>
      <c r="J389" s="57">
        <v>0</v>
      </c>
      <c r="K389" s="57">
        <v>0</v>
      </c>
    </row>
    <row r="390" spans="1:11" ht="43.5" hidden="1" x14ac:dyDescent="0.35">
      <c r="A390" s="38" cm="1">
        <f t="array" ref="A390">_xlfn.IFS(B390&lt;1,"",B390&lt;=2,1,B390&lt;=4,2,B390&lt;=8,3)</f>
        <v>3</v>
      </c>
      <c r="B390" s="1">
        <f>LEN('PLANILHA ORÇAMENTÁRIA'!$E390)</f>
        <v>6</v>
      </c>
      <c r="C390" t="str">
        <f>IF(AND(Tabela6[[#This Row],[IND.]]&gt;=5,Tabela6[[#This Row],[QUANT]]=0),"X","")</f>
        <v>X</v>
      </c>
      <c r="E390" s="58" t="s">
        <v>737</v>
      </c>
      <c r="F390" s="59" t="s">
        <v>738</v>
      </c>
      <c r="G390" s="60" t="s">
        <v>25</v>
      </c>
      <c r="H390" s="61"/>
      <c r="I390" s="62" t="s">
        <v>41</v>
      </c>
      <c r="J390" s="57">
        <v>0</v>
      </c>
      <c r="K390" s="57">
        <v>0</v>
      </c>
    </row>
    <row r="391" spans="1:11" ht="43.5" hidden="1" x14ac:dyDescent="0.35">
      <c r="A391" s="38" cm="1">
        <f t="array" ref="A391">_xlfn.IFS(B391&lt;1,"",B391&lt;=2,1,B391&lt;=4,2,B391&lt;=8,3)</f>
        <v>3</v>
      </c>
      <c r="B391" s="1">
        <f>LEN('PLANILHA ORÇAMENTÁRIA'!$E391)</f>
        <v>6</v>
      </c>
      <c r="C391" t="str">
        <f>IF(AND(Tabela6[[#This Row],[IND.]]&gt;=5,Tabela6[[#This Row],[QUANT]]=0),"X","")</f>
        <v>X</v>
      </c>
      <c r="E391" s="58" t="s">
        <v>739</v>
      </c>
      <c r="F391" s="59" t="s">
        <v>740</v>
      </c>
      <c r="G391" s="60" t="s">
        <v>25</v>
      </c>
      <c r="H391" s="61"/>
      <c r="I391" s="62" t="s">
        <v>26</v>
      </c>
      <c r="J391" s="57">
        <v>0</v>
      </c>
      <c r="K391" s="57">
        <v>0</v>
      </c>
    </row>
    <row r="392" spans="1:11" ht="43.5" hidden="1" x14ac:dyDescent="0.35">
      <c r="A392" s="38" cm="1">
        <f t="array" ref="A392">_xlfn.IFS(B392&lt;1,"",B392&lt;=2,1,B392&lt;=4,2,B392&lt;=8,3)</f>
        <v>3</v>
      </c>
      <c r="B392" s="1">
        <f>LEN('PLANILHA ORÇAMENTÁRIA'!$E392)</f>
        <v>6</v>
      </c>
      <c r="C392" t="str">
        <f>IF(AND(Tabela6[[#This Row],[IND.]]&gt;=5,Tabela6[[#This Row],[QUANT]]=0),"X","")</f>
        <v>X</v>
      </c>
      <c r="E392" s="58" t="s">
        <v>741</v>
      </c>
      <c r="F392" s="59" t="s">
        <v>742</v>
      </c>
      <c r="G392" s="60" t="s">
        <v>25</v>
      </c>
      <c r="H392" s="61"/>
      <c r="I392" s="62" t="s">
        <v>26</v>
      </c>
      <c r="J392" s="57">
        <v>0</v>
      </c>
      <c r="K392" s="57">
        <v>0</v>
      </c>
    </row>
    <row r="393" spans="1:11" hidden="1" x14ac:dyDescent="0.35">
      <c r="A393" s="38" cm="1">
        <f t="array" ref="A393">_xlfn.IFS(B393&lt;1,"",B393&lt;=2,1,B393&lt;=4,2,B393&lt;=8,3)</f>
        <v>2</v>
      </c>
      <c r="B393" s="1">
        <f>LEN('PLANILHA ORÇAMENTÁRIA'!$E393)</f>
        <v>3</v>
      </c>
      <c r="C393" t="str">
        <f>IF(Tabela6[[#This Row],[QUANT]]="x","x","")</f>
        <v>x</v>
      </c>
      <c r="E393" s="53" t="s">
        <v>743</v>
      </c>
      <c r="F393" s="54" t="s">
        <v>744</v>
      </c>
      <c r="G393" s="54"/>
      <c r="H393" s="55" t="str">
        <f>IF(SUM(H394:H412)=0,"x","")</f>
        <v>x</v>
      </c>
      <c r="I393" s="55"/>
      <c r="J393" s="56"/>
      <c r="K393" s="56">
        <f>SUMIF($A$394:$A$412,"3",K394:K412)</f>
        <v>0</v>
      </c>
    </row>
    <row r="394" spans="1:11" ht="29" hidden="1" x14ac:dyDescent="0.35">
      <c r="A394" s="38" cm="1">
        <f t="array" ref="A394">_xlfn.IFS(B394&lt;1,"",B394&lt;=2,1,B394&lt;=4,2,B394&lt;=8,3)</f>
        <v>3</v>
      </c>
      <c r="B394" s="1">
        <f>LEN('PLANILHA ORÇAMENTÁRIA'!$E394)</f>
        <v>5</v>
      </c>
      <c r="C394" t="str">
        <f>IF(AND(Tabela6[[#This Row],[IND.]]&gt;=5,Tabela6[[#This Row],[QUANT]]=0),"X","")</f>
        <v>X</v>
      </c>
      <c r="E394" s="58" t="s">
        <v>745</v>
      </c>
      <c r="F394" s="59" t="s">
        <v>746</v>
      </c>
      <c r="G394" s="60" t="s">
        <v>25</v>
      </c>
      <c r="H394" s="61"/>
      <c r="I394" s="62" t="s">
        <v>26</v>
      </c>
      <c r="J394" s="57">
        <v>0</v>
      </c>
      <c r="K394" s="57">
        <v>0</v>
      </c>
    </row>
    <row r="395" spans="1:11" ht="29" hidden="1" x14ac:dyDescent="0.35">
      <c r="A395" s="38" cm="1">
        <f t="array" ref="A395">_xlfn.IFS(B395&lt;1,"",B395&lt;=2,1,B395&lt;=4,2,B395&lt;=8,3)</f>
        <v>3</v>
      </c>
      <c r="B395" s="1">
        <f>LEN('PLANILHA ORÇAMENTÁRIA'!$E395)</f>
        <v>5</v>
      </c>
      <c r="C395" t="str">
        <f>IF(AND(Tabela6[[#This Row],[IND.]]&gt;=5,Tabela6[[#This Row],[QUANT]]=0),"X","")</f>
        <v>X</v>
      </c>
      <c r="E395" s="58" t="s">
        <v>747</v>
      </c>
      <c r="F395" s="59" t="s">
        <v>748</v>
      </c>
      <c r="G395" s="60" t="s">
        <v>25</v>
      </c>
      <c r="H395" s="61"/>
      <c r="I395" s="62" t="s">
        <v>26</v>
      </c>
      <c r="J395" s="57">
        <v>0</v>
      </c>
      <c r="K395" s="57">
        <v>0</v>
      </c>
    </row>
    <row r="396" spans="1:11" ht="29" hidden="1" x14ac:dyDescent="0.35">
      <c r="A396" s="38" cm="1">
        <f t="array" ref="A396">_xlfn.IFS(B396&lt;1,"",B396&lt;=2,1,B396&lt;=4,2,B396&lt;=8,3)</f>
        <v>3</v>
      </c>
      <c r="B396" s="1">
        <f>LEN('PLANILHA ORÇAMENTÁRIA'!$E396)</f>
        <v>5</v>
      </c>
      <c r="C396" t="str">
        <f>IF(AND(Tabela6[[#This Row],[IND.]]&gt;=5,Tabela6[[#This Row],[QUANT]]=0),"X","")</f>
        <v>X</v>
      </c>
      <c r="E396" s="58" t="s">
        <v>749</v>
      </c>
      <c r="F396" s="59" t="s">
        <v>750</v>
      </c>
      <c r="G396" s="60" t="s">
        <v>25</v>
      </c>
      <c r="H396" s="61"/>
      <c r="I396" s="62" t="s">
        <v>26</v>
      </c>
      <c r="J396" s="57">
        <v>0</v>
      </c>
      <c r="K396" s="57">
        <v>0</v>
      </c>
    </row>
    <row r="397" spans="1:11" ht="29" hidden="1" x14ac:dyDescent="0.35">
      <c r="A397" s="38" cm="1">
        <f t="array" ref="A397">_xlfn.IFS(B397&lt;1,"",B397&lt;=2,1,B397&lt;=4,2,B397&lt;=8,3)</f>
        <v>3</v>
      </c>
      <c r="B397" s="1">
        <f>LEN('PLANILHA ORÇAMENTÁRIA'!$E397)</f>
        <v>5</v>
      </c>
      <c r="C397" t="str">
        <f>IF(AND(Tabela6[[#This Row],[IND.]]&gt;=5,Tabela6[[#This Row],[QUANT]]=0),"X","")</f>
        <v>X</v>
      </c>
      <c r="E397" s="58" t="s">
        <v>751</v>
      </c>
      <c r="F397" s="59" t="s">
        <v>752</v>
      </c>
      <c r="G397" s="60" t="s">
        <v>25</v>
      </c>
      <c r="H397" s="61"/>
      <c r="I397" s="62" t="s">
        <v>26</v>
      </c>
      <c r="J397" s="57">
        <v>0</v>
      </c>
      <c r="K397" s="57">
        <v>0</v>
      </c>
    </row>
    <row r="398" spans="1:11" ht="29" hidden="1" x14ac:dyDescent="0.35">
      <c r="A398" s="38" cm="1">
        <f t="array" ref="A398">_xlfn.IFS(B398&lt;1,"",B398&lt;=2,1,B398&lt;=4,2,B398&lt;=8,3)</f>
        <v>3</v>
      </c>
      <c r="B398" s="1">
        <f>LEN('PLANILHA ORÇAMENTÁRIA'!$E398)</f>
        <v>5</v>
      </c>
      <c r="C398" t="str">
        <f>IF(AND(Tabela6[[#This Row],[IND.]]&gt;=5,Tabela6[[#This Row],[QUANT]]=0),"X","")</f>
        <v>X</v>
      </c>
      <c r="E398" s="58" t="s">
        <v>753</v>
      </c>
      <c r="F398" s="59" t="s">
        <v>754</v>
      </c>
      <c r="G398" s="60" t="s">
        <v>25</v>
      </c>
      <c r="H398" s="61"/>
      <c r="I398" s="62" t="s">
        <v>26</v>
      </c>
      <c r="J398" s="57">
        <v>0</v>
      </c>
      <c r="K398" s="57">
        <v>0</v>
      </c>
    </row>
    <row r="399" spans="1:11" ht="29" hidden="1" x14ac:dyDescent="0.35">
      <c r="A399" s="38" cm="1">
        <f t="array" ref="A399">_xlfn.IFS(B399&lt;1,"",B399&lt;=2,1,B399&lt;=4,2,B399&lt;=8,3)</f>
        <v>3</v>
      </c>
      <c r="B399" s="1">
        <f>LEN('PLANILHA ORÇAMENTÁRIA'!$E399)</f>
        <v>5</v>
      </c>
      <c r="C399" t="str">
        <f>IF(AND(Tabela6[[#This Row],[IND.]]&gt;=5,Tabela6[[#This Row],[QUANT]]=0),"X","")</f>
        <v>X</v>
      </c>
      <c r="E399" s="58" t="s">
        <v>755</v>
      </c>
      <c r="F399" s="59" t="s">
        <v>756</v>
      </c>
      <c r="G399" s="60" t="s">
        <v>25</v>
      </c>
      <c r="H399" s="61"/>
      <c r="I399" s="62" t="s">
        <v>26</v>
      </c>
      <c r="J399" s="57">
        <v>0</v>
      </c>
      <c r="K399" s="57">
        <v>0</v>
      </c>
    </row>
    <row r="400" spans="1:11" ht="43.5" hidden="1" x14ac:dyDescent="0.35">
      <c r="A400" s="38" cm="1">
        <f t="array" ref="A400">_xlfn.IFS(B400&lt;1,"",B400&lt;=2,1,B400&lt;=4,2,B400&lt;=8,3)</f>
        <v>3</v>
      </c>
      <c r="B400" s="1">
        <f>LEN('PLANILHA ORÇAMENTÁRIA'!$E400)</f>
        <v>5</v>
      </c>
      <c r="C400" t="str">
        <f>IF(AND(Tabela6[[#This Row],[IND.]]&gt;=5,Tabela6[[#This Row],[QUANT]]=0),"X","")</f>
        <v>X</v>
      </c>
      <c r="E400" s="58" t="s">
        <v>757</v>
      </c>
      <c r="F400" s="59" t="s">
        <v>758</v>
      </c>
      <c r="G400" s="60" t="s">
        <v>25</v>
      </c>
      <c r="H400" s="61"/>
      <c r="I400" s="62" t="s">
        <v>41</v>
      </c>
      <c r="J400" s="57">
        <v>0</v>
      </c>
      <c r="K400" s="57">
        <v>0</v>
      </c>
    </row>
    <row r="401" spans="1:11" ht="43.5" hidden="1" x14ac:dyDescent="0.35">
      <c r="A401" s="38" cm="1">
        <f t="array" ref="A401">_xlfn.IFS(B401&lt;1,"",B401&lt;=2,1,B401&lt;=4,2,B401&lt;=8,3)</f>
        <v>3</v>
      </c>
      <c r="B401" s="1">
        <f>LEN('PLANILHA ORÇAMENTÁRIA'!$E401)</f>
        <v>5</v>
      </c>
      <c r="C401" t="str">
        <f>IF(AND(Tabela6[[#This Row],[IND.]]&gt;=5,Tabela6[[#This Row],[QUANT]]=0),"X","")</f>
        <v>X</v>
      </c>
      <c r="E401" s="58" t="s">
        <v>759</v>
      </c>
      <c r="F401" s="59" t="s">
        <v>760</v>
      </c>
      <c r="G401" s="60" t="s">
        <v>25</v>
      </c>
      <c r="H401" s="61"/>
      <c r="I401" s="62" t="s">
        <v>41</v>
      </c>
      <c r="J401" s="57">
        <v>0</v>
      </c>
      <c r="K401" s="57">
        <v>0</v>
      </c>
    </row>
    <row r="402" spans="1:11" ht="43.5" hidden="1" x14ac:dyDescent="0.35">
      <c r="A402" s="38" cm="1">
        <f t="array" ref="A402">_xlfn.IFS(B402&lt;1,"",B402&lt;=2,1,B402&lt;=4,2,B402&lt;=8,3)</f>
        <v>3</v>
      </c>
      <c r="B402" s="1">
        <f>LEN('PLANILHA ORÇAMENTÁRIA'!$E402)</f>
        <v>5</v>
      </c>
      <c r="C402" t="str">
        <f>IF(AND(Tabela6[[#This Row],[IND.]]&gt;=5,Tabela6[[#This Row],[QUANT]]=0),"X","")</f>
        <v>X</v>
      </c>
      <c r="E402" s="58" t="s">
        <v>761</v>
      </c>
      <c r="F402" s="59" t="s">
        <v>762</v>
      </c>
      <c r="G402" s="60" t="s">
        <v>25</v>
      </c>
      <c r="H402" s="61"/>
      <c r="I402" s="62" t="s">
        <v>41</v>
      </c>
      <c r="J402" s="57">
        <v>0</v>
      </c>
      <c r="K402" s="57">
        <v>0</v>
      </c>
    </row>
    <row r="403" spans="1:11" ht="58" hidden="1" x14ac:dyDescent="0.35">
      <c r="A403" s="38" cm="1">
        <f t="array" ref="A403">_xlfn.IFS(B403&lt;1,"",B403&lt;=2,1,B403&lt;=4,2,B403&lt;=8,3)</f>
        <v>3</v>
      </c>
      <c r="B403" s="1">
        <f>LEN('PLANILHA ORÇAMENTÁRIA'!$E403)</f>
        <v>6</v>
      </c>
      <c r="C403" t="str">
        <f>IF(AND(Tabela6[[#This Row],[IND.]]&gt;=5,Tabela6[[#This Row],[QUANT]]=0),"X","")</f>
        <v>X</v>
      </c>
      <c r="E403" s="58" t="s">
        <v>763</v>
      </c>
      <c r="F403" s="59" t="s">
        <v>764</v>
      </c>
      <c r="G403" s="60" t="s">
        <v>25</v>
      </c>
      <c r="H403" s="61"/>
      <c r="I403" s="62" t="s">
        <v>41</v>
      </c>
      <c r="J403" s="57">
        <v>0</v>
      </c>
      <c r="K403" s="57">
        <v>0</v>
      </c>
    </row>
    <row r="404" spans="1:11" ht="58" hidden="1" x14ac:dyDescent="0.35">
      <c r="A404" s="38" cm="1">
        <f t="array" ref="A404">_xlfn.IFS(B404&lt;1,"",B404&lt;=2,1,B404&lt;=4,2,B404&lt;=8,3)</f>
        <v>3</v>
      </c>
      <c r="B404" s="1">
        <f>LEN('PLANILHA ORÇAMENTÁRIA'!$E404)</f>
        <v>6</v>
      </c>
      <c r="C404" t="str">
        <f>IF(AND(Tabela6[[#This Row],[IND.]]&gt;=5,Tabela6[[#This Row],[QUANT]]=0),"X","")</f>
        <v>X</v>
      </c>
      <c r="E404" s="58" t="s">
        <v>765</v>
      </c>
      <c r="F404" s="59" t="s">
        <v>766</v>
      </c>
      <c r="G404" s="60" t="s">
        <v>25</v>
      </c>
      <c r="H404" s="61"/>
      <c r="I404" s="62" t="s">
        <v>41</v>
      </c>
      <c r="J404" s="57">
        <v>0</v>
      </c>
      <c r="K404" s="57">
        <v>0</v>
      </c>
    </row>
    <row r="405" spans="1:11" ht="43.5" hidden="1" x14ac:dyDescent="0.35">
      <c r="A405" s="38" cm="1">
        <f t="array" ref="A405">_xlfn.IFS(B405&lt;1,"",B405&lt;=2,1,B405&lt;=4,2,B405&lt;=8,3)</f>
        <v>3</v>
      </c>
      <c r="B405" s="1">
        <f>LEN('PLANILHA ORÇAMENTÁRIA'!$E405)</f>
        <v>6</v>
      </c>
      <c r="C405" t="str">
        <f>IF(AND(Tabela6[[#This Row],[IND.]]&gt;=5,Tabela6[[#This Row],[QUANT]]=0),"X","")</f>
        <v>X</v>
      </c>
      <c r="E405" s="58" t="s">
        <v>767</v>
      </c>
      <c r="F405" s="59" t="s">
        <v>768</v>
      </c>
      <c r="G405" s="60" t="s">
        <v>25</v>
      </c>
      <c r="H405" s="61"/>
      <c r="I405" s="62" t="s">
        <v>41</v>
      </c>
      <c r="J405" s="57">
        <v>0</v>
      </c>
      <c r="K405" s="57">
        <v>0</v>
      </c>
    </row>
    <row r="406" spans="1:11" ht="43.5" hidden="1" x14ac:dyDescent="0.35">
      <c r="A406" s="38" cm="1">
        <f t="array" ref="A406">_xlfn.IFS(B406&lt;1,"",B406&lt;=2,1,B406&lt;=4,2,B406&lt;=8,3)</f>
        <v>3</v>
      </c>
      <c r="B406" s="1">
        <f>LEN('PLANILHA ORÇAMENTÁRIA'!$E406)</f>
        <v>6</v>
      </c>
      <c r="C406" t="str">
        <f>IF(AND(Tabela6[[#This Row],[IND.]]&gt;=5,Tabela6[[#This Row],[QUANT]]=0),"X","")</f>
        <v>X</v>
      </c>
      <c r="E406" s="58" t="s">
        <v>769</v>
      </c>
      <c r="F406" s="59" t="s">
        <v>768</v>
      </c>
      <c r="G406" s="60" t="s">
        <v>25</v>
      </c>
      <c r="H406" s="61"/>
      <c r="I406" s="62" t="s">
        <v>41</v>
      </c>
      <c r="J406" s="57">
        <v>0</v>
      </c>
      <c r="K406" s="57">
        <v>0</v>
      </c>
    </row>
    <row r="407" spans="1:11" ht="43.5" hidden="1" x14ac:dyDescent="0.35">
      <c r="A407" s="38" cm="1">
        <f t="array" ref="A407">_xlfn.IFS(B407&lt;1,"",B407&lt;=2,1,B407&lt;=4,2,B407&lt;=8,3)</f>
        <v>3</v>
      </c>
      <c r="B407" s="1">
        <f>LEN('PLANILHA ORÇAMENTÁRIA'!$E407)</f>
        <v>6</v>
      </c>
      <c r="C407" t="str">
        <f>IF(AND(Tabela6[[#This Row],[IND.]]&gt;=5,Tabela6[[#This Row],[QUANT]]=0),"X","")</f>
        <v>X</v>
      </c>
      <c r="E407" s="58" t="s">
        <v>770</v>
      </c>
      <c r="F407" s="59" t="s">
        <v>771</v>
      </c>
      <c r="G407" s="60" t="s">
        <v>25</v>
      </c>
      <c r="H407" s="61"/>
      <c r="I407" s="62" t="s">
        <v>41</v>
      </c>
      <c r="J407" s="57">
        <v>0</v>
      </c>
      <c r="K407" s="57">
        <v>0</v>
      </c>
    </row>
    <row r="408" spans="1:11" ht="43.5" hidden="1" x14ac:dyDescent="0.35">
      <c r="A408" s="38" cm="1">
        <f t="array" ref="A408">_xlfn.IFS(B408&lt;1,"",B408&lt;=2,1,B408&lt;=4,2,B408&lt;=8,3)</f>
        <v>3</v>
      </c>
      <c r="B408" s="1">
        <f>LEN('PLANILHA ORÇAMENTÁRIA'!$E408)</f>
        <v>6</v>
      </c>
      <c r="C408" t="str">
        <f>IF(AND(Tabela6[[#This Row],[IND.]]&gt;=5,Tabela6[[#This Row],[QUANT]]=0),"X","")</f>
        <v>X</v>
      </c>
      <c r="E408" s="58" t="s">
        <v>772</v>
      </c>
      <c r="F408" s="59" t="s">
        <v>738</v>
      </c>
      <c r="G408" s="60" t="s">
        <v>25</v>
      </c>
      <c r="H408" s="61"/>
      <c r="I408" s="62" t="s">
        <v>41</v>
      </c>
      <c r="J408" s="57">
        <v>0</v>
      </c>
      <c r="K408" s="57">
        <v>0</v>
      </c>
    </row>
    <row r="409" spans="1:11" ht="43.5" hidden="1" x14ac:dyDescent="0.35">
      <c r="A409" s="38" cm="1">
        <f t="array" ref="A409">_xlfn.IFS(B409&lt;1,"",B409&lt;=2,1,B409&lt;=4,2,B409&lt;=8,3)</f>
        <v>3</v>
      </c>
      <c r="B409" s="1">
        <f>LEN('PLANILHA ORÇAMENTÁRIA'!$E409)</f>
        <v>6</v>
      </c>
      <c r="C409" t="str">
        <f>IF(AND(Tabela6[[#This Row],[IND.]]&gt;=5,Tabela6[[#This Row],[QUANT]]=0),"X","")</f>
        <v>X</v>
      </c>
      <c r="E409" s="58" t="s">
        <v>773</v>
      </c>
      <c r="F409" s="59" t="s">
        <v>774</v>
      </c>
      <c r="G409" s="60" t="s">
        <v>25</v>
      </c>
      <c r="H409" s="61"/>
      <c r="I409" s="62" t="s">
        <v>41</v>
      </c>
      <c r="J409" s="57">
        <v>0</v>
      </c>
      <c r="K409" s="57">
        <v>0</v>
      </c>
    </row>
    <row r="410" spans="1:11" ht="43.5" hidden="1" x14ac:dyDescent="0.35">
      <c r="A410" s="38" cm="1">
        <f t="array" ref="A410">_xlfn.IFS(B410&lt;1,"",B410&lt;=2,1,B410&lt;=4,2,B410&lt;=8,3)</f>
        <v>3</v>
      </c>
      <c r="B410" s="1">
        <f>LEN('PLANILHA ORÇAMENTÁRIA'!$E410)</f>
        <v>6</v>
      </c>
      <c r="C410" t="str">
        <f>IF(AND(Tabela6[[#This Row],[IND.]]&gt;=5,Tabela6[[#This Row],[QUANT]]=0),"X","")</f>
        <v>X</v>
      </c>
      <c r="E410" s="58" t="s">
        <v>775</v>
      </c>
      <c r="F410" s="59" t="s">
        <v>776</v>
      </c>
      <c r="G410" s="60" t="s">
        <v>25</v>
      </c>
      <c r="H410" s="61"/>
      <c r="I410" s="62" t="s">
        <v>41</v>
      </c>
      <c r="J410" s="57">
        <v>0</v>
      </c>
      <c r="K410" s="57">
        <v>0</v>
      </c>
    </row>
    <row r="411" spans="1:11" ht="43.5" hidden="1" x14ac:dyDescent="0.35">
      <c r="A411" s="38" cm="1">
        <f t="array" ref="A411">_xlfn.IFS(B411&lt;1,"",B411&lt;=2,1,B411&lt;=4,2,B411&lt;=8,3)</f>
        <v>3</v>
      </c>
      <c r="B411" s="1">
        <f>LEN('PLANILHA ORÇAMENTÁRIA'!$E411)</f>
        <v>6</v>
      </c>
      <c r="C411" t="str">
        <f>IF(AND(Tabela6[[#This Row],[IND.]]&gt;=5,Tabela6[[#This Row],[QUANT]]=0),"X","")</f>
        <v>X</v>
      </c>
      <c r="E411" s="58" t="s">
        <v>777</v>
      </c>
      <c r="F411" s="59" t="s">
        <v>778</v>
      </c>
      <c r="G411" s="60" t="s">
        <v>25</v>
      </c>
      <c r="H411" s="61"/>
      <c r="I411" s="62" t="s">
        <v>26</v>
      </c>
      <c r="J411" s="57">
        <v>0</v>
      </c>
      <c r="K411" s="57">
        <v>0</v>
      </c>
    </row>
    <row r="412" spans="1:11" ht="43.5" hidden="1" x14ac:dyDescent="0.35">
      <c r="A412" s="38" cm="1">
        <f t="array" ref="A412">_xlfn.IFS(B412&lt;1,"",B412&lt;=2,1,B412&lt;=4,2,B412&lt;=8,3)</f>
        <v>3</v>
      </c>
      <c r="B412" s="1">
        <f>LEN('PLANILHA ORÇAMENTÁRIA'!$E412)</f>
        <v>6</v>
      </c>
      <c r="C412" t="str">
        <f>IF(AND(Tabela6[[#This Row],[IND.]]&gt;=5,Tabela6[[#This Row],[QUANT]]=0),"X","")</f>
        <v>X</v>
      </c>
      <c r="E412" s="58" t="s">
        <v>779</v>
      </c>
      <c r="F412" s="59" t="s">
        <v>780</v>
      </c>
      <c r="G412" s="60" t="s">
        <v>25</v>
      </c>
      <c r="H412" s="61"/>
      <c r="I412" s="62" t="s">
        <v>26</v>
      </c>
      <c r="J412" s="57">
        <v>0</v>
      </c>
      <c r="K412" s="57">
        <v>0</v>
      </c>
    </row>
    <row r="413" spans="1:11" hidden="1" x14ac:dyDescent="0.35">
      <c r="A413" s="38" cm="1">
        <f t="array" ref="A413">_xlfn.IFS(B413&lt;1,"",B413&lt;=2,1,B413&lt;=4,2,B413&lt;=8,3)</f>
        <v>2</v>
      </c>
      <c r="B413" s="1">
        <f>LEN('PLANILHA ORÇAMENTÁRIA'!$E413)</f>
        <v>3</v>
      </c>
      <c r="C413" t="str">
        <f>IF(Tabela6[[#This Row],[QUANT]]="x","x","")</f>
        <v>x</v>
      </c>
      <c r="E413" s="53" t="s">
        <v>781</v>
      </c>
      <c r="F413" s="54" t="s">
        <v>782</v>
      </c>
      <c r="G413" s="54"/>
      <c r="H413" s="55" t="str">
        <f>IF(SUM(H414:H419)=0,"x","")</f>
        <v>x</v>
      </c>
      <c r="I413" s="55"/>
      <c r="J413" s="56"/>
      <c r="K413" s="56">
        <f>SUMIF($A$414:$A$419,"3",K414:K419)</f>
        <v>0</v>
      </c>
    </row>
    <row r="414" spans="1:11" ht="29" hidden="1" x14ac:dyDescent="0.35">
      <c r="A414" s="38" cm="1">
        <f t="array" ref="A414">_xlfn.IFS(B414&lt;1,"",B414&lt;=2,1,B414&lt;=4,2,B414&lt;=8,3)</f>
        <v>3</v>
      </c>
      <c r="B414" s="1">
        <f>LEN('PLANILHA ORÇAMENTÁRIA'!$E414)</f>
        <v>5</v>
      </c>
      <c r="C414" t="str">
        <f>IF(AND(Tabela6[[#This Row],[IND.]]&gt;=5,Tabela6[[#This Row],[QUANT]]=0),"X","")</f>
        <v>X</v>
      </c>
      <c r="E414" s="58" t="s">
        <v>783</v>
      </c>
      <c r="F414" s="59" t="s">
        <v>784</v>
      </c>
      <c r="G414" s="60" t="s">
        <v>25</v>
      </c>
      <c r="H414" s="61"/>
      <c r="I414" s="62" t="s">
        <v>26</v>
      </c>
      <c r="J414" s="57">
        <v>0</v>
      </c>
      <c r="K414" s="57">
        <v>0</v>
      </c>
    </row>
    <row r="415" spans="1:11" ht="29" hidden="1" x14ac:dyDescent="0.35">
      <c r="A415" s="38" cm="1">
        <f t="array" ref="A415">_xlfn.IFS(B415&lt;1,"",B415&lt;=2,1,B415&lt;=4,2,B415&lt;=8,3)</f>
        <v>3</v>
      </c>
      <c r="B415" s="1">
        <f>LEN('PLANILHA ORÇAMENTÁRIA'!$E415)</f>
        <v>5</v>
      </c>
      <c r="C415" t="str">
        <f>IF(AND(Tabela6[[#This Row],[IND.]]&gt;=5,Tabela6[[#This Row],[QUANT]]=0),"X","")</f>
        <v>X</v>
      </c>
      <c r="E415" s="58" t="s">
        <v>785</v>
      </c>
      <c r="F415" s="59" t="s">
        <v>786</v>
      </c>
      <c r="G415" s="60" t="s">
        <v>25</v>
      </c>
      <c r="H415" s="61"/>
      <c r="I415" s="62" t="s">
        <v>26</v>
      </c>
      <c r="J415" s="57">
        <v>0</v>
      </c>
      <c r="K415" s="57">
        <v>0</v>
      </c>
    </row>
    <row r="416" spans="1:11" ht="29" hidden="1" x14ac:dyDescent="0.35">
      <c r="A416" s="38" cm="1">
        <f t="array" ref="A416">_xlfn.IFS(B416&lt;1,"",B416&lt;=2,1,B416&lt;=4,2,B416&lt;=8,3)</f>
        <v>3</v>
      </c>
      <c r="B416" s="1">
        <f>LEN('PLANILHA ORÇAMENTÁRIA'!$E416)</f>
        <v>5</v>
      </c>
      <c r="C416" t="str">
        <f>IF(AND(Tabela6[[#This Row],[IND.]]&gt;=5,Tabela6[[#This Row],[QUANT]]=0),"X","")</f>
        <v>X</v>
      </c>
      <c r="E416" s="58" t="s">
        <v>787</v>
      </c>
      <c r="F416" s="59" t="s">
        <v>788</v>
      </c>
      <c r="G416" s="60" t="s">
        <v>25</v>
      </c>
      <c r="H416" s="61"/>
      <c r="I416" s="62" t="s">
        <v>26</v>
      </c>
      <c r="J416" s="57">
        <v>0</v>
      </c>
      <c r="K416" s="57">
        <v>0</v>
      </c>
    </row>
    <row r="417" spans="1:11" ht="29" hidden="1" x14ac:dyDescent="0.35">
      <c r="A417" s="38" cm="1">
        <f t="array" ref="A417">_xlfn.IFS(B417&lt;1,"",B417&lt;=2,1,B417&lt;=4,2,B417&lt;=8,3)</f>
        <v>3</v>
      </c>
      <c r="B417" s="1">
        <f>LEN('PLANILHA ORÇAMENTÁRIA'!$E417)</f>
        <v>5</v>
      </c>
      <c r="C417" t="str">
        <f>IF(AND(Tabela6[[#This Row],[IND.]]&gt;=5,Tabela6[[#This Row],[QUANT]]=0),"X","")</f>
        <v>X</v>
      </c>
      <c r="E417" s="58" t="s">
        <v>789</v>
      </c>
      <c r="F417" s="59" t="s">
        <v>790</v>
      </c>
      <c r="G417" s="60" t="s">
        <v>25</v>
      </c>
      <c r="H417" s="61"/>
      <c r="I417" s="62" t="s">
        <v>26</v>
      </c>
      <c r="J417" s="57">
        <v>0</v>
      </c>
      <c r="K417" s="57">
        <v>0</v>
      </c>
    </row>
    <row r="418" spans="1:11" ht="29" hidden="1" x14ac:dyDescent="0.35">
      <c r="A418" s="38" cm="1">
        <f t="array" ref="A418">_xlfn.IFS(B418&lt;1,"",B418&lt;=2,1,B418&lt;=4,2,B418&lt;=8,3)</f>
        <v>3</v>
      </c>
      <c r="B418" s="1">
        <f>LEN('PLANILHA ORÇAMENTÁRIA'!$E418)</f>
        <v>5</v>
      </c>
      <c r="C418" t="str">
        <f>IF(AND(Tabela6[[#This Row],[IND.]]&gt;=5,Tabela6[[#This Row],[QUANT]]=0),"X","")</f>
        <v>X</v>
      </c>
      <c r="E418" s="58" t="s">
        <v>791</v>
      </c>
      <c r="F418" s="59" t="s">
        <v>792</v>
      </c>
      <c r="G418" s="60" t="s">
        <v>25</v>
      </c>
      <c r="H418" s="61"/>
      <c r="I418" s="62" t="s">
        <v>26</v>
      </c>
      <c r="J418" s="57">
        <v>0</v>
      </c>
      <c r="K418" s="57">
        <v>0</v>
      </c>
    </row>
    <row r="419" spans="1:11" ht="29" hidden="1" x14ac:dyDescent="0.35">
      <c r="A419" s="38" cm="1">
        <f t="array" ref="A419">_xlfn.IFS(B419&lt;1,"",B419&lt;=2,1,B419&lt;=4,2,B419&lt;=8,3)</f>
        <v>3</v>
      </c>
      <c r="B419" s="1">
        <f>LEN('PLANILHA ORÇAMENTÁRIA'!$E419)</f>
        <v>5</v>
      </c>
      <c r="C419" t="str">
        <f>IF(AND(Tabela6[[#This Row],[IND.]]&gt;=5,Tabela6[[#This Row],[QUANT]]=0),"X","")</f>
        <v>X</v>
      </c>
      <c r="E419" s="58" t="s">
        <v>793</v>
      </c>
      <c r="F419" s="59" t="s">
        <v>794</v>
      </c>
      <c r="G419" s="60" t="s">
        <v>25</v>
      </c>
      <c r="H419" s="61"/>
      <c r="I419" s="62" t="s">
        <v>26</v>
      </c>
      <c r="J419" s="57">
        <v>0</v>
      </c>
      <c r="K419" s="57">
        <v>0</v>
      </c>
    </row>
    <row r="420" spans="1:11" x14ac:dyDescent="0.35">
      <c r="A420" s="38" cm="1">
        <f t="array" ref="A420">_xlfn.IFS(B420&lt;1,"",B420&lt;=2,1,B420&lt;=4,2,B420&lt;=8,3)</f>
        <v>2</v>
      </c>
      <c r="B420" s="1">
        <f>LEN('PLANILHA ORÇAMENTÁRIA'!$E420)</f>
        <v>3</v>
      </c>
      <c r="C420" t="str">
        <f>IF(Tabela6[[#This Row],[QUANT]]="x","x","")</f>
        <v/>
      </c>
      <c r="E420" s="142" t="s">
        <v>795</v>
      </c>
      <c r="F420" s="54" t="s">
        <v>796</v>
      </c>
      <c r="G420" s="54"/>
      <c r="H420" s="55" t="str">
        <f>IF(SUM(H421:H430)=0,"x","")</f>
        <v/>
      </c>
      <c r="I420" s="55"/>
      <c r="J420" s="56"/>
      <c r="K420" s="56">
        <f>SUMIF($A$421:$A$430,"3",K421:K430)</f>
        <v>29364</v>
      </c>
    </row>
    <row r="421" spans="1:11" ht="29" hidden="1" x14ac:dyDescent="0.35">
      <c r="A421" s="38" cm="1">
        <f t="array" ref="A421">_xlfn.IFS(B421&lt;1,"",B421&lt;=2,1,B421&lt;=4,2,B421&lt;=8,3)</f>
        <v>3</v>
      </c>
      <c r="B421" s="1">
        <f>LEN('PLANILHA ORÇAMENTÁRIA'!$E421)</f>
        <v>5</v>
      </c>
      <c r="C421" t="str">
        <f>IF(AND(Tabela6[[#This Row],[IND.]]&gt;=5,Tabela6[[#This Row],[QUANT]]=0),"X","")</f>
        <v>X</v>
      </c>
      <c r="E421" s="58" t="s">
        <v>797</v>
      </c>
      <c r="F421" s="59" t="s">
        <v>798</v>
      </c>
      <c r="G421" s="60" t="s">
        <v>25</v>
      </c>
      <c r="H421" s="61"/>
      <c r="I421" s="62" t="s">
        <v>26</v>
      </c>
      <c r="J421" s="57">
        <v>0</v>
      </c>
      <c r="K421" s="57">
        <v>0</v>
      </c>
    </row>
    <row r="422" spans="1:11" ht="29" hidden="1" x14ac:dyDescent="0.35">
      <c r="A422" s="38" cm="1">
        <f t="array" ref="A422">_xlfn.IFS(B422&lt;1,"",B422&lt;=2,1,B422&lt;=4,2,B422&lt;=8,3)</f>
        <v>3</v>
      </c>
      <c r="B422" s="1">
        <f>LEN('PLANILHA ORÇAMENTÁRIA'!$E422)</f>
        <v>5</v>
      </c>
      <c r="C422" t="str">
        <f>IF(AND(Tabela6[[#This Row],[IND.]]&gt;=5,Tabela6[[#This Row],[QUANT]]=0),"X","")</f>
        <v>X</v>
      </c>
      <c r="E422" s="58" t="s">
        <v>799</v>
      </c>
      <c r="F422" s="59" t="s">
        <v>800</v>
      </c>
      <c r="G422" s="60" t="s">
        <v>25</v>
      </c>
      <c r="H422" s="61"/>
      <c r="I422" s="62" t="s">
        <v>26</v>
      </c>
      <c r="J422" s="57">
        <v>0</v>
      </c>
      <c r="K422" s="57">
        <v>0</v>
      </c>
    </row>
    <row r="423" spans="1:11" ht="29" hidden="1" x14ac:dyDescent="0.35">
      <c r="A423" s="38" cm="1">
        <f t="array" ref="A423">_xlfn.IFS(B423&lt;1,"",B423&lt;=2,1,B423&lt;=4,2,B423&lt;=8,3)</f>
        <v>3</v>
      </c>
      <c r="B423" s="1">
        <f>LEN('PLANILHA ORÇAMENTÁRIA'!$E423)</f>
        <v>5</v>
      </c>
      <c r="C423" t="str">
        <f>IF(AND(Tabela6[[#This Row],[IND.]]&gt;=5,Tabela6[[#This Row],[QUANT]]=0),"X","")</f>
        <v>X</v>
      </c>
      <c r="E423" s="58" t="s">
        <v>801</v>
      </c>
      <c r="F423" s="59" t="s">
        <v>802</v>
      </c>
      <c r="G423" s="60" t="s">
        <v>25</v>
      </c>
      <c r="H423" s="61"/>
      <c r="I423" s="62" t="s">
        <v>26</v>
      </c>
      <c r="J423" s="57">
        <v>0</v>
      </c>
      <c r="K423" s="57">
        <v>0</v>
      </c>
    </row>
    <row r="424" spans="1:11" ht="29" hidden="1" x14ac:dyDescent="0.35">
      <c r="A424" s="38" cm="1">
        <f t="array" ref="A424">_xlfn.IFS(B424&lt;1,"",B424&lt;=2,1,B424&lt;=4,2,B424&lt;=8,3)</f>
        <v>3</v>
      </c>
      <c r="B424" s="1">
        <f>LEN('PLANILHA ORÇAMENTÁRIA'!$E424)</f>
        <v>5</v>
      </c>
      <c r="C424" t="str">
        <f>IF(AND(Tabela6[[#This Row],[IND.]]&gt;=5,Tabela6[[#This Row],[QUANT]]=0),"X","")</f>
        <v>X</v>
      </c>
      <c r="E424" s="58" t="s">
        <v>803</v>
      </c>
      <c r="F424" s="59" t="s">
        <v>804</v>
      </c>
      <c r="G424" s="60" t="s">
        <v>25</v>
      </c>
      <c r="H424" s="61"/>
      <c r="I424" s="62" t="s">
        <v>26</v>
      </c>
      <c r="J424" s="57">
        <v>0</v>
      </c>
      <c r="K424" s="57">
        <v>0</v>
      </c>
    </row>
    <row r="425" spans="1:11" ht="29" hidden="1" x14ac:dyDescent="0.35">
      <c r="A425" s="38" cm="1">
        <f t="array" ref="A425">_xlfn.IFS(B425&lt;1,"",B425&lt;=2,1,B425&lt;=4,2,B425&lt;=8,3)</f>
        <v>3</v>
      </c>
      <c r="B425" s="1">
        <f>LEN('PLANILHA ORÇAMENTÁRIA'!$E425)</f>
        <v>5</v>
      </c>
      <c r="C425" t="str">
        <f>IF(AND(Tabela6[[#This Row],[IND.]]&gt;=5,Tabela6[[#This Row],[QUANT]]=0),"X","")</f>
        <v>X</v>
      </c>
      <c r="E425" s="58" t="s">
        <v>805</v>
      </c>
      <c r="F425" s="59" t="s">
        <v>806</v>
      </c>
      <c r="G425" s="60" t="s">
        <v>25</v>
      </c>
      <c r="H425" s="61"/>
      <c r="I425" s="62" t="s">
        <v>26</v>
      </c>
      <c r="J425" s="57">
        <v>0</v>
      </c>
      <c r="K425" s="57">
        <v>0</v>
      </c>
    </row>
    <row r="426" spans="1:11" ht="29" hidden="1" x14ac:dyDescent="0.35">
      <c r="A426" s="38" cm="1">
        <f t="array" ref="A426">_xlfn.IFS(B426&lt;1,"",B426&lt;=2,1,B426&lt;=4,2,B426&lt;=8,3)</f>
        <v>3</v>
      </c>
      <c r="B426" s="1">
        <f>LEN('PLANILHA ORÇAMENTÁRIA'!$E426)</f>
        <v>5</v>
      </c>
      <c r="C426" t="str">
        <f>IF(AND(Tabela6[[#This Row],[IND.]]&gt;=5,Tabela6[[#This Row],[QUANT]]=0),"X","")</f>
        <v>X</v>
      </c>
      <c r="E426" s="58" t="s">
        <v>807</v>
      </c>
      <c r="F426" s="59" t="s">
        <v>808</v>
      </c>
      <c r="G426" s="60" t="s">
        <v>25</v>
      </c>
      <c r="H426" s="61"/>
      <c r="I426" s="62" t="s">
        <v>26</v>
      </c>
      <c r="J426" s="57">
        <v>0</v>
      </c>
      <c r="K426" s="57">
        <v>0</v>
      </c>
    </row>
    <row r="427" spans="1:11" ht="29.5" thickBot="1" x14ac:dyDescent="0.4">
      <c r="A427" s="38" cm="1">
        <f t="array" ref="A427">_xlfn.IFS(B427&lt;1,"",B427&lt;=2,1,B427&lt;=4,2,B427&lt;=8,3)</f>
        <v>3</v>
      </c>
      <c r="B427" s="1">
        <f>LEN('PLANILHA ORÇAMENTÁRIA'!$E427)</f>
        <v>5</v>
      </c>
      <c r="C427" t="str">
        <f>IF(AND(Tabela6[[#This Row],[IND.]]&gt;=5,Tabela6[[#This Row],[QUANT]]=0),"X","")</f>
        <v/>
      </c>
      <c r="E427" s="87" t="s">
        <v>809</v>
      </c>
      <c r="F427" s="59" t="s">
        <v>810</v>
      </c>
      <c r="G427" s="60" t="s">
        <v>25</v>
      </c>
      <c r="H427" s="61">
        <v>6</v>
      </c>
      <c r="I427" s="62" t="s">
        <v>26</v>
      </c>
      <c r="J427" s="57">
        <v>4894</v>
      </c>
      <c r="K427" s="57">
        <v>29364</v>
      </c>
    </row>
    <row r="428" spans="1:11" ht="29.5" hidden="1" thickBot="1" x14ac:dyDescent="0.4">
      <c r="A428" s="38" cm="1">
        <f t="array" ref="A428">_xlfn.IFS(B428&lt;1,"",B428&lt;=2,1,B428&lt;=4,2,B428&lt;=8,3)</f>
        <v>3</v>
      </c>
      <c r="B428" s="1">
        <f>LEN('PLANILHA ORÇAMENTÁRIA'!$E428)</f>
        <v>5</v>
      </c>
      <c r="C428" t="str">
        <f>IF(AND(Tabela6[[#This Row],[IND.]]&gt;=5,Tabela6[[#This Row],[QUANT]]=0),"X","")</f>
        <v>X</v>
      </c>
      <c r="E428" s="58" t="s">
        <v>811</v>
      </c>
      <c r="F428" s="59" t="s">
        <v>812</v>
      </c>
      <c r="G428" s="60" t="s">
        <v>25</v>
      </c>
      <c r="H428" s="61"/>
      <c r="I428" s="62" t="s">
        <v>26</v>
      </c>
      <c r="J428" s="57">
        <v>0</v>
      </c>
      <c r="K428" s="57">
        <v>0</v>
      </c>
    </row>
    <row r="429" spans="1:11" ht="29.5" hidden="1" thickBot="1" x14ac:dyDescent="0.4">
      <c r="A429" s="38" cm="1">
        <f t="array" ref="A429">_xlfn.IFS(B429&lt;1,"",B429&lt;=2,1,B429&lt;=4,2,B429&lt;=8,3)</f>
        <v>3</v>
      </c>
      <c r="B429" s="1">
        <f>LEN('PLANILHA ORÇAMENTÁRIA'!$E429)</f>
        <v>5</v>
      </c>
      <c r="C429" t="str">
        <f>IF(AND(Tabela6[[#This Row],[IND.]]&gt;=5,Tabela6[[#This Row],[QUANT]]=0),"X","")</f>
        <v>X</v>
      </c>
      <c r="E429" s="58" t="s">
        <v>813</v>
      </c>
      <c r="F429" s="59" t="s">
        <v>814</v>
      </c>
      <c r="G429" s="60" t="s">
        <v>25</v>
      </c>
      <c r="H429" s="61"/>
      <c r="I429" s="62" t="s">
        <v>26</v>
      </c>
      <c r="J429" s="57">
        <v>0</v>
      </c>
      <c r="K429" s="57">
        <v>0</v>
      </c>
    </row>
    <row r="430" spans="1:11" ht="29.5" hidden="1" thickBot="1" x14ac:dyDescent="0.4">
      <c r="A430" s="38" cm="1">
        <f t="array" ref="A430">_xlfn.IFS(B430&lt;1,"",B430&lt;=2,1,B430&lt;=4,2,B430&lt;=8,3)</f>
        <v>3</v>
      </c>
      <c r="B430" s="1">
        <f>LEN('PLANILHA ORÇAMENTÁRIA'!$E430)</f>
        <v>6</v>
      </c>
      <c r="C430" t="str">
        <f>IF(AND(Tabela6[[#This Row],[IND.]]&gt;=5,Tabela6[[#This Row],[QUANT]]=0),"X","")</f>
        <v>X</v>
      </c>
      <c r="E430" s="58" t="s">
        <v>815</v>
      </c>
      <c r="F430" s="59" t="s">
        <v>816</v>
      </c>
      <c r="G430" s="60" t="s">
        <v>25</v>
      </c>
      <c r="H430" s="61"/>
      <c r="I430" s="62" t="s">
        <v>26</v>
      </c>
      <c r="J430" s="57">
        <v>0</v>
      </c>
      <c r="K430" s="57">
        <v>0</v>
      </c>
    </row>
    <row r="431" spans="1:11" ht="15" hidden="1" thickBot="1" x14ac:dyDescent="0.4">
      <c r="A431" s="38" cm="1">
        <f t="array" ref="A431">_xlfn.IFS(B431&lt;1,"",B431&lt;=2,1,B431&lt;=4,2,B431&lt;=8,3)</f>
        <v>1</v>
      </c>
      <c r="B431" s="1">
        <f>LEN('PLANILHA ORÇAMENTÁRIA'!$E431)</f>
        <v>2</v>
      </c>
      <c r="C431" t="str">
        <f>IF(Tabela6[[#This Row],[QUANT]]="x","x","")</f>
        <v>x</v>
      </c>
      <c r="E431" s="78">
        <v>10</v>
      </c>
      <c r="F431" s="79" t="s">
        <v>817</v>
      </c>
      <c r="G431" s="79"/>
      <c r="H431" s="80" t="str">
        <f>IF(SUM(H432:H445)=0,"x","")</f>
        <v>x</v>
      </c>
      <c r="I431" s="80"/>
      <c r="J431" s="81"/>
      <c r="K431" s="81">
        <f>SUMIF($A$432:$A$445,"2",K432:K445)</f>
        <v>0</v>
      </c>
    </row>
    <row r="432" spans="1:11" ht="15" hidden="1" thickBot="1" x14ac:dyDescent="0.4">
      <c r="A432" s="38" cm="1">
        <f t="array" ref="A432">_xlfn.IFS(B432&lt;1,"",B432&lt;=2,1,B432&lt;=4,2,B432&lt;=8,3)</f>
        <v>2</v>
      </c>
      <c r="B432" s="1">
        <f>LEN('PLANILHA ORÇAMENTÁRIA'!$E432)</f>
        <v>4</v>
      </c>
      <c r="C432" t="str">
        <f>IF(Tabela6[[#This Row],[QUANT]]="x","x","")</f>
        <v>x</v>
      </c>
      <c r="E432" s="53" t="s">
        <v>818</v>
      </c>
      <c r="F432" s="54" t="s">
        <v>819</v>
      </c>
      <c r="G432" s="54"/>
      <c r="H432" s="55" t="str">
        <f>IF(SUM(H433:H437)=0,"x","")</f>
        <v>x</v>
      </c>
      <c r="I432" s="55"/>
      <c r="J432" s="56"/>
      <c r="K432" s="56">
        <f>SUMIF($A$433:$A$437,"3",K433:K437)</f>
        <v>0</v>
      </c>
    </row>
    <row r="433" spans="1:11" ht="44" hidden="1" thickBot="1" x14ac:dyDescent="0.4">
      <c r="A433" s="38" cm="1">
        <f t="array" ref="A433">_xlfn.IFS(B433&lt;1,"",B433&lt;=2,1,B433&lt;=4,2,B433&lt;=8,3)</f>
        <v>3</v>
      </c>
      <c r="B433" s="1">
        <f>LEN('PLANILHA ORÇAMENTÁRIA'!$E433)</f>
        <v>6</v>
      </c>
      <c r="C433" t="str">
        <f>IF(AND(Tabela6[[#This Row],[IND.]]&gt;=5,Tabela6[[#This Row],[QUANT]]=0),"X","")</f>
        <v>X</v>
      </c>
      <c r="E433" s="58" t="s">
        <v>820</v>
      </c>
      <c r="F433" s="59" t="s">
        <v>821</v>
      </c>
      <c r="G433" s="60" t="s">
        <v>25</v>
      </c>
      <c r="H433" s="61"/>
      <c r="I433" s="62" t="s">
        <v>41</v>
      </c>
      <c r="J433" s="57">
        <v>0</v>
      </c>
      <c r="K433" s="57">
        <v>0</v>
      </c>
    </row>
    <row r="434" spans="1:11" ht="44" hidden="1" thickBot="1" x14ac:dyDescent="0.4">
      <c r="A434" s="38" cm="1">
        <f t="array" ref="A434">_xlfn.IFS(B434&lt;1,"",B434&lt;=2,1,B434&lt;=4,2,B434&lt;=8,3)</f>
        <v>3</v>
      </c>
      <c r="B434" s="1">
        <f>LEN('PLANILHA ORÇAMENTÁRIA'!$E434)</f>
        <v>6</v>
      </c>
      <c r="C434" t="str">
        <f>IF(AND(Tabela6[[#This Row],[IND.]]&gt;=5,Tabela6[[#This Row],[QUANT]]=0),"X","")</f>
        <v>X</v>
      </c>
      <c r="E434" s="58" t="s">
        <v>822</v>
      </c>
      <c r="F434" s="59" t="s">
        <v>823</v>
      </c>
      <c r="G434" s="60" t="s">
        <v>25</v>
      </c>
      <c r="H434" s="61"/>
      <c r="I434" s="62" t="s">
        <v>41</v>
      </c>
      <c r="J434" s="57">
        <v>0</v>
      </c>
      <c r="K434" s="57">
        <v>0</v>
      </c>
    </row>
    <row r="435" spans="1:11" ht="44" hidden="1" thickBot="1" x14ac:dyDescent="0.4">
      <c r="A435" s="38" cm="1">
        <f t="array" ref="A435">_xlfn.IFS(B435&lt;1,"",B435&lt;=2,1,B435&lt;=4,2,B435&lt;=8,3)</f>
        <v>3</v>
      </c>
      <c r="B435" s="1">
        <f>LEN('PLANILHA ORÇAMENTÁRIA'!$E435)</f>
        <v>6</v>
      </c>
      <c r="C435" t="str">
        <f>IF(AND(Tabela6[[#This Row],[IND.]]&gt;=5,Tabela6[[#This Row],[QUANT]]=0),"X","")</f>
        <v>X</v>
      </c>
      <c r="E435" s="58" t="s">
        <v>824</v>
      </c>
      <c r="F435" s="59" t="s">
        <v>825</v>
      </c>
      <c r="G435" s="60" t="s">
        <v>25</v>
      </c>
      <c r="H435" s="61"/>
      <c r="I435" s="62" t="s">
        <v>41</v>
      </c>
      <c r="J435" s="57">
        <v>0</v>
      </c>
      <c r="K435" s="57">
        <v>0</v>
      </c>
    </row>
    <row r="436" spans="1:11" ht="44" hidden="1" thickBot="1" x14ac:dyDescent="0.4">
      <c r="A436" s="38" cm="1">
        <f t="array" ref="A436">_xlfn.IFS(B436&lt;1,"",B436&lt;=2,1,B436&lt;=4,2,B436&lt;=8,3)</f>
        <v>3</v>
      </c>
      <c r="B436" s="1">
        <f>LEN('PLANILHA ORÇAMENTÁRIA'!$E436)</f>
        <v>6</v>
      </c>
      <c r="C436" t="str">
        <f>IF(AND(Tabela6[[#This Row],[IND.]]&gt;=5,Tabela6[[#This Row],[QUANT]]=0),"X","")</f>
        <v>X</v>
      </c>
      <c r="E436" s="58" t="s">
        <v>826</v>
      </c>
      <c r="F436" s="59" t="s">
        <v>827</v>
      </c>
      <c r="G436" s="60" t="s">
        <v>25</v>
      </c>
      <c r="H436" s="61"/>
      <c r="I436" s="62" t="s">
        <v>41</v>
      </c>
      <c r="J436" s="57">
        <v>0</v>
      </c>
      <c r="K436" s="57">
        <v>0</v>
      </c>
    </row>
    <row r="437" spans="1:11" ht="44" hidden="1" thickBot="1" x14ac:dyDescent="0.4">
      <c r="A437" s="38" cm="1">
        <f t="array" ref="A437">_xlfn.IFS(B437&lt;1,"",B437&lt;=2,1,B437&lt;=4,2,B437&lt;=8,3)</f>
        <v>3</v>
      </c>
      <c r="B437" s="1">
        <f>LEN('PLANILHA ORÇAMENTÁRIA'!$E437)</f>
        <v>6</v>
      </c>
      <c r="C437" t="str">
        <f>IF(AND(Tabela6[[#This Row],[IND.]]&gt;=5,Tabela6[[#This Row],[QUANT]]=0),"X","")</f>
        <v>X</v>
      </c>
      <c r="E437" s="58" t="s">
        <v>828</v>
      </c>
      <c r="F437" s="59" t="s">
        <v>829</v>
      </c>
      <c r="G437" s="60" t="s">
        <v>25</v>
      </c>
      <c r="H437" s="61"/>
      <c r="I437" s="62" t="s">
        <v>41</v>
      </c>
      <c r="J437" s="57">
        <v>0</v>
      </c>
      <c r="K437" s="57">
        <v>0</v>
      </c>
    </row>
    <row r="438" spans="1:11" ht="15" hidden="1" thickBot="1" x14ac:dyDescent="0.4">
      <c r="A438" s="38" cm="1">
        <f t="array" ref="A438">_xlfn.IFS(B438&lt;1,"",B438&lt;=2,1,B438&lt;=4,2,B438&lt;=8,3)</f>
        <v>2</v>
      </c>
      <c r="B438" s="1">
        <f>LEN('PLANILHA ORÇAMENTÁRIA'!$E438)</f>
        <v>4</v>
      </c>
      <c r="C438" t="str">
        <f>IF(Tabela6[[#This Row],[QUANT]]="x","x","")</f>
        <v>x</v>
      </c>
      <c r="E438" s="53" t="s">
        <v>830</v>
      </c>
      <c r="F438" s="54" t="s">
        <v>831</v>
      </c>
      <c r="G438" s="54"/>
      <c r="H438" s="55" t="str">
        <f>IF(SUM(H439:H442)=0,"x","")</f>
        <v>x</v>
      </c>
      <c r="I438" s="55"/>
      <c r="J438" s="56"/>
      <c r="K438" s="56">
        <f>SUMIF($A$439:$A$442,"3",K439:K442)</f>
        <v>0</v>
      </c>
    </row>
    <row r="439" spans="1:11" ht="44" hidden="1" thickBot="1" x14ac:dyDescent="0.4">
      <c r="A439" s="38" cm="1">
        <f t="array" ref="A439">_xlfn.IFS(B439&lt;1,"",B439&lt;=2,1,B439&lt;=4,2,B439&lt;=8,3)</f>
        <v>3</v>
      </c>
      <c r="B439" s="1">
        <f>LEN('PLANILHA ORÇAMENTÁRIA'!$E439)</f>
        <v>6</v>
      </c>
      <c r="C439" t="str">
        <f>IF(AND(Tabela6[[#This Row],[IND.]]&gt;=5,Tabela6[[#This Row],[QUANT]]=0),"X","")</f>
        <v>X</v>
      </c>
      <c r="E439" s="58" t="s">
        <v>832</v>
      </c>
      <c r="F439" s="59" t="s">
        <v>833</v>
      </c>
      <c r="G439" s="60" t="s">
        <v>25</v>
      </c>
      <c r="H439" s="61"/>
      <c r="I439" s="62" t="s">
        <v>41</v>
      </c>
      <c r="J439" s="57">
        <v>0</v>
      </c>
      <c r="K439" s="57">
        <v>0</v>
      </c>
    </row>
    <row r="440" spans="1:11" ht="44" hidden="1" thickBot="1" x14ac:dyDescent="0.4">
      <c r="A440" s="38" cm="1">
        <f t="array" ref="A440">_xlfn.IFS(B440&lt;1,"",B440&lt;=2,1,B440&lt;=4,2,B440&lt;=8,3)</f>
        <v>3</v>
      </c>
      <c r="B440" s="1">
        <f>LEN('PLANILHA ORÇAMENTÁRIA'!$E440)</f>
        <v>6</v>
      </c>
      <c r="C440" t="str">
        <f>IF(AND(Tabela6[[#This Row],[IND.]]&gt;=5,Tabela6[[#This Row],[QUANT]]=0),"X","")</f>
        <v>X</v>
      </c>
      <c r="E440" s="58" t="s">
        <v>834</v>
      </c>
      <c r="F440" s="59" t="s">
        <v>835</v>
      </c>
      <c r="G440" s="60" t="s">
        <v>25</v>
      </c>
      <c r="H440" s="61"/>
      <c r="I440" s="62" t="s">
        <v>41</v>
      </c>
      <c r="J440" s="57">
        <v>0</v>
      </c>
      <c r="K440" s="57">
        <v>0</v>
      </c>
    </row>
    <row r="441" spans="1:11" ht="44" hidden="1" thickBot="1" x14ac:dyDescent="0.4">
      <c r="A441" s="38" cm="1">
        <f t="array" ref="A441">_xlfn.IFS(B441&lt;1,"",B441&lt;=2,1,B441&lt;=4,2,B441&lt;=8,3)</f>
        <v>3</v>
      </c>
      <c r="B441" s="1">
        <f>LEN('PLANILHA ORÇAMENTÁRIA'!$E441)</f>
        <v>6</v>
      </c>
      <c r="C441" t="str">
        <f>IF(AND(Tabela6[[#This Row],[IND.]]&gt;=5,Tabela6[[#This Row],[QUANT]]=0),"X","")</f>
        <v>X</v>
      </c>
      <c r="E441" s="58" t="s">
        <v>836</v>
      </c>
      <c r="F441" s="59" t="s">
        <v>837</v>
      </c>
      <c r="G441" s="60" t="s">
        <v>25</v>
      </c>
      <c r="H441" s="61"/>
      <c r="I441" s="62" t="s">
        <v>41</v>
      </c>
      <c r="J441" s="57">
        <v>0</v>
      </c>
      <c r="K441" s="57">
        <v>0</v>
      </c>
    </row>
    <row r="442" spans="1:11" ht="58.5" hidden="1" thickBot="1" x14ac:dyDescent="0.4">
      <c r="A442" s="38" cm="1">
        <f t="array" ref="A442">_xlfn.IFS(B442&lt;1,"",B442&lt;=2,1,B442&lt;=4,2,B442&lt;=8,3)</f>
        <v>3</v>
      </c>
      <c r="B442" s="1">
        <f>LEN('PLANILHA ORÇAMENTÁRIA'!$E442)</f>
        <v>6</v>
      </c>
      <c r="C442" t="str">
        <f>IF(AND(Tabela6[[#This Row],[IND.]]&gt;=5,Tabela6[[#This Row],[QUANT]]=0),"X","")</f>
        <v>X</v>
      </c>
      <c r="E442" s="58" t="s">
        <v>838</v>
      </c>
      <c r="F442" s="59" t="s">
        <v>839</v>
      </c>
      <c r="G442" s="60" t="s">
        <v>25</v>
      </c>
      <c r="H442" s="61"/>
      <c r="I442" s="62" t="s">
        <v>111</v>
      </c>
      <c r="J442" s="57">
        <v>0</v>
      </c>
      <c r="K442" s="57">
        <v>0</v>
      </c>
    </row>
    <row r="443" spans="1:11" ht="15" hidden="1" thickBot="1" x14ac:dyDescent="0.4">
      <c r="A443" s="38" cm="1">
        <f t="array" ref="A443">_xlfn.IFS(B443&lt;1,"",B443&lt;=2,1,B443&lt;=4,2,B443&lt;=8,3)</f>
        <v>2</v>
      </c>
      <c r="B443" s="1">
        <f>LEN('PLANILHA ORÇAMENTÁRIA'!$E443)</f>
        <v>4</v>
      </c>
      <c r="C443" t="str">
        <f>IF(Tabela6[[#This Row],[QUANT]]="x","x","")</f>
        <v>x</v>
      </c>
      <c r="E443" s="53" t="s">
        <v>840</v>
      </c>
      <c r="F443" s="54" t="s">
        <v>841</v>
      </c>
      <c r="G443" s="54"/>
      <c r="H443" s="55" t="str">
        <f>IF(SUM(H444:H445)=0,"x","")</f>
        <v>x</v>
      </c>
      <c r="I443" s="55"/>
      <c r="J443" s="56"/>
      <c r="K443" s="56">
        <f>SUMIF($A$444:$A$445,"3",K444:K445)</f>
        <v>0</v>
      </c>
    </row>
    <row r="444" spans="1:11" ht="44" hidden="1" thickBot="1" x14ac:dyDescent="0.4">
      <c r="A444" s="38" cm="1">
        <f t="array" ref="A444">_xlfn.IFS(B444&lt;1,"",B444&lt;=2,1,B444&lt;=4,2,B444&lt;=8,3)</f>
        <v>3</v>
      </c>
      <c r="B444" s="1">
        <f>LEN('PLANILHA ORÇAMENTÁRIA'!$E444)</f>
        <v>6</v>
      </c>
      <c r="C444" t="str">
        <f>IF(AND(Tabela6[[#This Row],[IND.]]&gt;=5,Tabela6[[#This Row],[QUANT]]=0),"X","")</f>
        <v>X</v>
      </c>
      <c r="E444" s="58" t="s">
        <v>842</v>
      </c>
      <c r="F444" s="59" t="s">
        <v>843</v>
      </c>
      <c r="G444" s="60" t="s">
        <v>25</v>
      </c>
      <c r="H444" s="61"/>
      <c r="I444" s="62" t="s">
        <v>41</v>
      </c>
      <c r="J444" s="57">
        <v>0</v>
      </c>
      <c r="K444" s="57">
        <v>0</v>
      </c>
    </row>
    <row r="445" spans="1:11" ht="44" hidden="1" thickBot="1" x14ac:dyDescent="0.4">
      <c r="A445" s="38" cm="1">
        <f t="array" ref="A445">_xlfn.IFS(B445&lt;1,"",B445&lt;=2,1,B445&lt;=4,2,B445&lt;=8,3)</f>
        <v>3</v>
      </c>
      <c r="B445" s="1">
        <f>LEN('PLANILHA ORÇAMENTÁRIA'!$E445)</f>
        <v>6</v>
      </c>
      <c r="C445" t="str">
        <f>IF(AND(Tabela6[[#This Row],[IND.]]&gt;=5,Tabela6[[#This Row],[QUANT]]=0),"X","")</f>
        <v>X</v>
      </c>
      <c r="E445" s="58" t="s">
        <v>844</v>
      </c>
      <c r="F445" s="59" t="s">
        <v>845</v>
      </c>
      <c r="G445" s="60" t="s">
        <v>25</v>
      </c>
      <c r="H445" s="61"/>
      <c r="I445" s="62" t="s">
        <v>41</v>
      </c>
      <c r="J445" s="57">
        <v>0</v>
      </c>
      <c r="K445" s="57">
        <v>0</v>
      </c>
    </row>
    <row r="446" spans="1:11" x14ac:dyDescent="0.35">
      <c r="A446" s="38" cm="1">
        <f t="array" ref="A446">_xlfn.IFS(B446&lt;1,"",B446&lt;=2,1,B446&lt;=4,2,B446&lt;=8,3)</f>
        <v>1</v>
      </c>
      <c r="B446" s="1">
        <f>LEN('PLANILHA ORÇAMENTÁRIA'!$E446)</f>
        <v>2</v>
      </c>
      <c r="C446" t="str">
        <f>IF(Tabela6[[#This Row],[QUANT]]="x","x","")</f>
        <v/>
      </c>
      <c r="E446" s="141">
        <v>11</v>
      </c>
      <c r="F446" s="79" t="s">
        <v>846</v>
      </c>
      <c r="G446" s="79"/>
      <c r="H446" s="80" t="str">
        <f>IF(SUM(H447:H459)=0,"x","")</f>
        <v/>
      </c>
      <c r="I446" s="80"/>
      <c r="J446" s="81"/>
      <c r="K446" s="81">
        <f>SUMIF($A$447:$A$459,"2",K447:K459)</f>
        <v>94215.390000000014</v>
      </c>
    </row>
    <row r="447" spans="1:11" x14ac:dyDescent="0.35">
      <c r="A447" s="38" cm="1">
        <f t="array" ref="A447">_xlfn.IFS(B447&lt;1,"",B447&lt;=2,1,B447&lt;=4,2,B447&lt;=8,3)</f>
        <v>2</v>
      </c>
      <c r="B447" s="1">
        <f>LEN('PLANILHA ORÇAMENTÁRIA'!$E447)</f>
        <v>4</v>
      </c>
      <c r="C447" t="str">
        <f>IF(Tabela6[[#This Row],[QUANT]]="x","x","")</f>
        <v/>
      </c>
      <c r="E447" s="142" t="s">
        <v>847</v>
      </c>
      <c r="F447" s="54" t="s">
        <v>848</v>
      </c>
      <c r="G447" s="54"/>
      <c r="H447" s="55" t="str">
        <f>IF(SUM(H448:H449)=0,"x","")</f>
        <v/>
      </c>
      <c r="I447" s="55"/>
      <c r="J447" s="56"/>
      <c r="K447" s="56">
        <f>SUMIF($A$448:$A$449,"3",K448:K449)</f>
        <v>54137.74</v>
      </c>
    </row>
    <row r="448" spans="1:11" ht="29" x14ac:dyDescent="0.35">
      <c r="A448" s="38" cm="1">
        <f t="array" ref="A448">_xlfn.IFS(B448&lt;1,"",B448&lt;=2,1,B448&lt;=4,2,B448&lt;=8,3)</f>
        <v>3</v>
      </c>
      <c r="B448" s="1">
        <f>LEN('PLANILHA ORÇAMENTÁRIA'!$E448)</f>
        <v>6</v>
      </c>
      <c r="C448" t="str">
        <f>IF(AND(Tabela6[[#This Row],[IND.]]&gt;=5,Tabela6[[#This Row],[QUANT]]=0),"X","")</f>
        <v/>
      </c>
      <c r="E448" s="87" t="s">
        <v>849</v>
      </c>
      <c r="F448" s="59" t="s">
        <v>850</v>
      </c>
      <c r="G448" s="60" t="s">
        <v>223</v>
      </c>
      <c r="H448" s="61">
        <v>1</v>
      </c>
      <c r="I448" s="62" t="s">
        <v>29</v>
      </c>
      <c r="J448" s="57">
        <v>49746.67</v>
      </c>
      <c r="K448" s="57">
        <v>49746.67</v>
      </c>
    </row>
    <row r="449" spans="1:11" x14ac:dyDescent="0.35">
      <c r="A449" s="38" cm="1">
        <f t="array" ref="A449">_xlfn.IFS(B449&lt;1,"",B449&lt;=2,1,B449&lt;=4,2,B449&lt;=8,3)</f>
        <v>3</v>
      </c>
      <c r="B449" s="1">
        <f>LEN('PLANILHA ORÇAMENTÁRIA'!$E449)</f>
        <v>6</v>
      </c>
      <c r="C449" t="str">
        <f>IF(AND(Tabela6[[#This Row],[IND.]]&gt;=5,Tabela6[[#This Row],[QUANT]]=0),"X","")</f>
        <v/>
      </c>
      <c r="E449" s="87" t="s">
        <v>851</v>
      </c>
      <c r="F449" s="59" t="s">
        <v>852</v>
      </c>
      <c r="G449" s="60" t="s">
        <v>223</v>
      </c>
      <c r="H449" s="61">
        <v>1</v>
      </c>
      <c r="I449" s="62" t="s">
        <v>29</v>
      </c>
      <c r="J449" s="57">
        <v>4391.07</v>
      </c>
      <c r="K449" s="57">
        <v>4391.07</v>
      </c>
    </row>
    <row r="450" spans="1:11" x14ac:dyDescent="0.35">
      <c r="A450" s="38" cm="1">
        <f t="array" ref="A450">_xlfn.IFS(B450&lt;1,"",B450&lt;=2,1,B450&lt;=4,2,B450&lt;=8,3)</f>
        <v>2</v>
      </c>
      <c r="B450" s="1">
        <f>LEN('PLANILHA ORÇAMENTÁRIA'!$E450)</f>
        <v>4</v>
      </c>
      <c r="C450" t="str">
        <f>IF(Tabela6[[#This Row],[QUANT]]="x","x","")</f>
        <v/>
      </c>
      <c r="E450" s="142" t="s">
        <v>853</v>
      </c>
      <c r="F450" s="136" t="s">
        <v>854</v>
      </c>
      <c r="G450" s="54"/>
      <c r="H450" s="55" t="str">
        <f>IF(SUM(H451:H452)=0,"x","")</f>
        <v/>
      </c>
      <c r="I450" s="55"/>
      <c r="J450" s="56"/>
      <c r="K450" s="56">
        <f>SUMIF($A$451:$A$453,"3",K451:K453)</f>
        <v>35156.33</v>
      </c>
    </row>
    <row r="451" spans="1:11" x14ac:dyDescent="0.35">
      <c r="A451" s="38" cm="1">
        <f t="array" ref="A451">_xlfn.IFS(B451&lt;1,"",B451&lt;=2,1,B451&lt;=4,2,B451&lt;=8,3)</f>
        <v>3</v>
      </c>
      <c r="B451" s="1">
        <f>LEN('PLANILHA ORÇAMENTÁRIA'!$E451)</f>
        <v>6</v>
      </c>
      <c r="C451" t="str">
        <f>IF(AND(Tabela6[[#This Row],[IND.]]&gt;=5,Tabela6[[#This Row],[QUANT]]=0),"X","")</f>
        <v/>
      </c>
      <c r="E451" s="87" t="s">
        <v>855</v>
      </c>
      <c r="F451" s="59" t="s">
        <v>856</v>
      </c>
      <c r="G451" s="60" t="s">
        <v>284</v>
      </c>
      <c r="H451" s="61">
        <v>1</v>
      </c>
      <c r="I451" s="62" t="s">
        <v>29</v>
      </c>
      <c r="J451" s="57">
        <v>878.33</v>
      </c>
      <c r="K451" s="57">
        <v>878.33</v>
      </c>
    </row>
    <row r="452" spans="1:11" x14ac:dyDescent="0.35">
      <c r="A452" s="38" cm="1">
        <f t="array" ref="A452">_xlfn.IFS(B452&lt;1,"",B452&lt;=2,1,B452&lt;=4,2,B452&lt;=8,3)</f>
        <v>3</v>
      </c>
      <c r="B452" s="1">
        <f>LEN('PLANILHA ORÇAMENTÁRIA'!$E452)</f>
        <v>6</v>
      </c>
      <c r="C452" t="str">
        <f>IF(AND(Tabela6[[#This Row],[IND.]]&gt;=5,Tabela6[[#This Row],[QUANT]]=0),"X","")</f>
        <v/>
      </c>
      <c r="E452" s="87" t="s">
        <v>857</v>
      </c>
      <c r="F452" s="59" t="s">
        <v>858</v>
      </c>
      <c r="G452" s="60" t="s">
        <v>284</v>
      </c>
      <c r="H452" s="61">
        <v>1</v>
      </c>
      <c r="I452" s="62" t="s">
        <v>29</v>
      </c>
      <c r="J452" s="57">
        <v>361.33</v>
      </c>
      <c r="K452" s="57">
        <v>361.33</v>
      </c>
    </row>
    <row r="453" spans="1:11" ht="43.5" x14ac:dyDescent="0.35">
      <c r="A453" s="38" cm="1">
        <f t="array" ref="A453">_xlfn.IFS(B453&lt;1,"",B453&lt;=2,1,B453&lt;=4,2,B453&lt;=8,3)</f>
        <v>3</v>
      </c>
      <c r="B453" s="1">
        <f>LEN('PLANILHA ORÇAMENTÁRIA'!$E453)</f>
        <v>6</v>
      </c>
      <c r="C453" t="str">
        <f>IF(AND(Tabela6[[#This Row],[IND.]]&gt;=5,Tabela6[[#This Row],[QUANT]]=0),"X","")</f>
        <v/>
      </c>
      <c r="E453" s="87" t="s">
        <v>859</v>
      </c>
      <c r="F453" s="90" t="s">
        <v>860</v>
      </c>
      <c r="G453" s="88" t="s">
        <v>284</v>
      </c>
      <c r="H453" s="83">
        <v>1</v>
      </c>
      <c r="I453" s="89" t="s">
        <v>29</v>
      </c>
      <c r="J453" s="57">
        <v>33916.67</v>
      </c>
      <c r="K453" s="57">
        <v>33916.67</v>
      </c>
    </row>
    <row r="454" spans="1:11" x14ac:dyDescent="0.35">
      <c r="A454" s="38" cm="1">
        <f t="array" ref="A454">_xlfn.IFS(B454&lt;1,"",B454&lt;=2,1,B454&lt;=4,2,B454&lt;=8,3)</f>
        <v>2</v>
      </c>
      <c r="B454" s="1">
        <f>LEN('PLANILHA ORÇAMENTÁRIA'!$E454)</f>
        <v>4</v>
      </c>
      <c r="C454" t="str">
        <f>IF(Tabela6[[#This Row],[QUANT]]="x","x","")</f>
        <v/>
      </c>
      <c r="E454" s="142" t="s">
        <v>861</v>
      </c>
      <c r="F454" s="54" t="s">
        <v>862</v>
      </c>
      <c r="G454" s="54"/>
      <c r="H454" s="55" t="str">
        <f>IF(SUM(H455:H459)=0,"x","")</f>
        <v/>
      </c>
      <c r="I454" s="55"/>
      <c r="J454" s="56"/>
      <c r="K454" s="56">
        <f>SUMIF($A$455:$A$459,"3",K455:K459)</f>
        <v>4921.32</v>
      </c>
    </row>
    <row r="455" spans="1:11" ht="29" x14ac:dyDescent="0.35">
      <c r="A455" s="38" cm="1">
        <f t="array" ref="A455">_xlfn.IFS(B455&lt;1,"",B455&lt;=2,1,B455&lt;=4,2,B455&lt;=8,3)</f>
        <v>3</v>
      </c>
      <c r="B455" s="1">
        <f>LEN('PLANILHA ORÇAMENTÁRIA'!$E455)</f>
        <v>6</v>
      </c>
      <c r="C455" t="str">
        <f>IF(AND(Tabela6[[#This Row],[IND.]]&gt;=5,Tabela6[[#This Row],[QUANT]]=0),"X","")</f>
        <v/>
      </c>
      <c r="E455" s="87" t="s">
        <v>863</v>
      </c>
      <c r="F455" s="59" t="s">
        <v>864</v>
      </c>
      <c r="G455" s="60" t="s">
        <v>284</v>
      </c>
      <c r="H455" s="61">
        <v>1</v>
      </c>
      <c r="I455" s="62" t="s">
        <v>29</v>
      </c>
      <c r="J455" s="57">
        <v>1037.5999999999999</v>
      </c>
      <c r="K455" s="57">
        <v>1037.5999999999999</v>
      </c>
    </row>
    <row r="456" spans="1:11" ht="29" x14ac:dyDescent="0.35">
      <c r="A456" s="38" cm="1">
        <f t="array" ref="A456">_xlfn.IFS(B456&lt;1,"",B456&lt;=2,1,B456&lt;=4,2,B456&lt;=8,3)</f>
        <v>3</v>
      </c>
      <c r="B456" s="1">
        <f>LEN('PLANILHA ORÇAMENTÁRIA'!$E456)</f>
        <v>6</v>
      </c>
      <c r="C456" t="str">
        <f>IF(AND(Tabela6[[#This Row],[IND.]]&gt;=5,Tabela6[[#This Row],[QUANT]]=0),"X","")</f>
        <v/>
      </c>
      <c r="E456" s="87" t="s">
        <v>865</v>
      </c>
      <c r="F456" s="59" t="s">
        <v>866</v>
      </c>
      <c r="G456" s="60" t="s">
        <v>284</v>
      </c>
      <c r="H456" s="61">
        <v>1</v>
      </c>
      <c r="I456" s="62" t="s">
        <v>29</v>
      </c>
      <c r="J456" s="57">
        <v>970.93</v>
      </c>
      <c r="K456" s="57">
        <v>970.93</v>
      </c>
    </row>
    <row r="457" spans="1:11" ht="29" x14ac:dyDescent="0.35">
      <c r="A457" s="38" cm="1">
        <f t="array" ref="A457">_xlfn.IFS(B457&lt;1,"",B457&lt;=2,1,B457&lt;=4,2,B457&lt;=8,3)</f>
        <v>3</v>
      </c>
      <c r="B457" s="1">
        <f>LEN('PLANILHA ORÇAMENTÁRIA'!$E457)</f>
        <v>6</v>
      </c>
      <c r="C457" t="str">
        <f>IF(AND(Tabela6[[#This Row],[IND.]]&gt;=5,Tabela6[[#This Row],[QUANT]]=0),"X","")</f>
        <v/>
      </c>
      <c r="E457" s="87" t="s">
        <v>867</v>
      </c>
      <c r="F457" s="59" t="s">
        <v>868</v>
      </c>
      <c r="G457" s="60" t="s">
        <v>284</v>
      </c>
      <c r="H457" s="61">
        <v>1</v>
      </c>
      <c r="I457" s="62" t="s">
        <v>29</v>
      </c>
      <c r="J457" s="57">
        <v>970.93</v>
      </c>
      <c r="K457" s="57">
        <v>970.93</v>
      </c>
    </row>
    <row r="458" spans="1:11" ht="29" x14ac:dyDescent="0.35">
      <c r="A458" s="38" cm="1">
        <f t="array" ref="A458">_xlfn.IFS(B458&lt;1,"",B458&lt;=2,1,B458&lt;=4,2,B458&lt;=8,3)</f>
        <v>3</v>
      </c>
      <c r="B458" s="1">
        <f>LEN('PLANILHA ORÇAMENTÁRIA'!$E458)</f>
        <v>6</v>
      </c>
      <c r="C458" t="str">
        <f>IF(AND(Tabela6[[#This Row],[IND.]]&gt;=5,Tabela6[[#This Row],[QUANT]]=0),"X","")</f>
        <v/>
      </c>
      <c r="E458" s="87" t="s">
        <v>869</v>
      </c>
      <c r="F458" s="59" t="s">
        <v>870</v>
      </c>
      <c r="G458" s="60" t="s">
        <v>284</v>
      </c>
      <c r="H458" s="61">
        <v>1</v>
      </c>
      <c r="I458" s="62" t="s">
        <v>29</v>
      </c>
      <c r="J458" s="57">
        <v>970.93</v>
      </c>
      <c r="K458" s="57">
        <v>970.93</v>
      </c>
    </row>
    <row r="459" spans="1:11" ht="44" thickBot="1" x14ac:dyDescent="0.4">
      <c r="A459" s="38" cm="1">
        <f t="array" ref="A459">_xlfn.IFS(B459&lt;1,"",B459&lt;=2,1,B459&lt;=4,2,B459&lt;=8,3)</f>
        <v>3</v>
      </c>
      <c r="B459" s="1">
        <f>LEN('PLANILHA ORÇAMENTÁRIA'!$E459)</f>
        <v>6</v>
      </c>
      <c r="C459" t="str">
        <f>IF(AND(Tabela6[[#This Row],[IND.]]&gt;=5,Tabela6[[#This Row],[QUANT]]=0),"X","")</f>
        <v/>
      </c>
      <c r="E459" s="87" t="s">
        <v>871</v>
      </c>
      <c r="F459" s="59" t="s">
        <v>872</v>
      </c>
      <c r="G459" s="60" t="s">
        <v>284</v>
      </c>
      <c r="H459" s="61">
        <v>1</v>
      </c>
      <c r="I459" s="62" t="s">
        <v>29</v>
      </c>
      <c r="J459" s="57">
        <v>970.93</v>
      </c>
      <c r="K459" s="57">
        <v>970.93</v>
      </c>
    </row>
    <row r="460" spans="1:11" x14ac:dyDescent="0.35">
      <c r="A460" s="38" cm="1">
        <f t="array" ref="A460">_xlfn.IFS(B460&lt;1,"",B460&lt;=2,1,B460&lt;=4,2,B460&lt;=8,3)</f>
        <v>1</v>
      </c>
      <c r="B460" s="1">
        <f>LEN('PLANILHA ORÇAMENTÁRIA'!$E460)</f>
        <v>2</v>
      </c>
      <c r="C460" t="str">
        <f>IF(Tabela6[[#This Row],[QUANT]]="x","x","")</f>
        <v/>
      </c>
      <c r="E460" s="141">
        <v>12</v>
      </c>
      <c r="F460" s="79" t="s">
        <v>873</v>
      </c>
      <c r="G460" s="79"/>
      <c r="H460" s="80" t="str">
        <f>IF(SUM(H462:H466)=0,"x","")</f>
        <v/>
      </c>
      <c r="I460" s="80"/>
      <c r="J460" s="81"/>
      <c r="K460" s="81">
        <f>SUMIF($A$461:$A$466,"2",K461:K466)</f>
        <v>37372.9</v>
      </c>
    </row>
    <row r="461" spans="1:11" x14ac:dyDescent="0.35">
      <c r="A461" s="38" cm="1">
        <f t="array" ref="A461">_xlfn.IFS(B461&lt;1,"",B461&lt;=2,1,B461&lt;=4,2,B461&lt;=8,3)</f>
        <v>2</v>
      </c>
      <c r="B461" s="1">
        <f>LEN('PLANILHA ORÇAMENTÁRIA'!$E461)</f>
        <v>4</v>
      </c>
      <c r="C461" t="str">
        <f>IF(Tabela6[[#This Row],[QUANT]]="x","x","")</f>
        <v/>
      </c>
      <c r="E461" s="142" t="s">
        <v>874</v>
      </c>
      <c r="F461" s="54" t="s">
        <v>875</v>
      </c>
      <c r="G461" s="54"/>
      <c r="H461" s="55" t="str">
        <f>IF(SUM(H462:H463)=0,"x","")</f>
        <v/>
      </c>
      <c r="I461" s="55"/>
      <c r="J461" s="56"/>
      <c r="K461" s="56">
        <f>SUMIF($A$462:$A$463,"3",K462:K463)</f>
        <v>37372.9</v>
      </c>
    </row>
    <row r="462" spans="1:11" ht="29" x14ac:dyDescent="0.35">
      <c r="A462" s="38" cm="1">
        <f t="array" ref="A462">_xlfn.IFS(B462&lt;1,"",B462&lt;=2,1,B462&lt;=4,2,B462&lt;=8,3)</f>
        <v>3</v>
      </c>
      <c r="B462" s="1">
        <f>LEN('PLANILHA ORÇAMENTÁRIA'!$E462)</f>
        <v>6</v>
      </c>
      <c r="C462" t="str">
        <f>IF(AND(Tabela6[[#This Row],[IND.]]&gt;=5,Tabela6[[#This Row],[QUANT]]=0),"X","")</f>
        <v/>
      </c>
      <c r="E462" s="87" t="s">
        <v>876</v>
      </c>
      <c r="F462" s="59" t="s">
        <v>877</v>
      </c>
      <c r="G462" s="60" t="s">
        <v>25</v>
      </c>
      <c r="H462" s="61">
        <v>1</v>
      </c>
      <c r="I462" s="62" t="s">
        <v>26</v>
      </c>
      <c r="J462" s="57">
        <v>21665.13</v>
      </c>
      <c r="K462" s="57">
        <v>21665.13</v>
      </c>
    </row>
    <row r="463" spans="1:11" ht="15" thickBot="1" x14ac:dyDescent="0.4">
      <c r="A463" s="38" cm="1">
        <f t="array" ref="A463">_xlfn.IFS(B463&lt;1,"",B463&lt;=2,1,B463&lt;=4,2,B463&lt;=8,3)</f>
        <v>3</v>
      </c>
      <c r="B463" s="1">
        <f>LEN('PLANILHA ORÇAMENTÁRIA'!$E463)</f>
        <v>6</v>
      </c>
      <c r="C463" t="str">
        <f>IF(AND(Tabela6[[#This Row],[IND.]]&gt;=5,Tabela6[[#This Row],[QUANT]]=0),"X","")</f>
        <v/>
      </c>
      <c r="E463" s="87" t="s">
        <v>878</v>
      </c>
      <c r="F463" s="59" t="s">
        <v>879</v>
      </c>
      <c r="G463" s="60" t="s">
        <v>25</v>
      </c>
      <c r="H463" s="61">
        <v>1</v>
      </c>
      <c r="I463" s="62" t="s">
        <v>26</v>
      </c>
      <c r="J463" s="57">
        <v>15707.77</v>
      </c>
      <c r="K463" s="57">
        <v>15707.77</v>
      </c>
    </row>
    <row r="464" spans="1:11" ht="15" hidden="1" thickBot="1" x14ac:dyDescent="0.4">
      <c r="A464" s="38" cm="1">
        <f t="array" ref="A464">_xlfn.IFS(B464&lt;1,"",B464&lt;=2,1,B464&lt;=4,2,B464&lt;=8,3)</f>
        <v>2</v>
      </c>
      <c r="B464" s="1">
        <f>LEN('PLANILHA ORÇAMENTÁRIA'!$E464)</f>
        <v>4</v>
      </c>
      <c r="C464" t="str">
        <f>IF(Tabela6[[#This Row],[QUANT]]="x","x","")</f>
        <v>x</v>
      </c>
      <c r="E464" s="53" t="s">
        <v>880</v>
      </c>
      <c r="F464" s="54" t="s">
        <v>881</v>
      </c>
      <c r="G464" s="54"/>
      <c r="H464" s="55" t="str">
        <f>IF(SUM(H465:H466)=0,"x","")</f>
        <v>x</v>
      </c>
      <c r="I464" s="55"/>
      <c r="J464" s="56"/>
      <c r="K464" s="56">
        <f>SUMIF($A$465:$A$466,"3",K465:K466)</f>
        <v>0</v>
      </c>
    </row>
    <row r="465" spans="1:11" ht="15" hidden="1" thickBot="1" x14ac:dyDescent="0.4">
      <c r="A465" s="38" cm="1">
        <f t="array" ref="A465">_xlfn.IFS(B465&lt;1,"",B465&lt;=2,1,B465&lt;=4,2,B465&lt;=8,3)</f>
        <v>3</v>
      </c>
      <c r="B465" s="1">
        <f>LEN('PLANILHA ORÇAMENTÁRIA'!$E465)</f>
        <v>6</v>
      </c>
      <c r="C465" t="str">
        <f>IF(AND(Tabela6[[#This Row],[IND.]]&gt;=5,Tabela6[[#This Row],[QUANT]]=0),"X","")</f>
        <v>X</v>
      </c>
      <c r="E465" s="58" t="s">
        <v>882</v>
      </c>
      <c r="F465" s="64"/>
      <c r="G465" s="60" t="s">
        <v>25</v>
      </c>
      <c r="H465" s="66"/>
      <c r="I465" s="65"/>
      <c r="J465" s="57">
        <v>0</v>
      </c>
      <c r="K465" s="57">
        <v>0</v>
      </c>
    </row>
    <row r="466" spans="1:11" ht="15" hidden="1" thickBot="1" x14ac:dyDescent="0.4">
      <c r="A466" s="38" cm="1">
        <f t="array" ref="A466">_xlfn.IFS(B466&lt;1,"",B466&lt;=2,1,B466&lt;=4,2,B466&lt;=8,3)</f>
        <v>3</v>
      </c>
      <c r="B466" s="1">
        <f>LEN('PLANILHA ORÇAMENTÁRIA'!$E466)</f>
        <v>6</v>
      </c>
      <c r="C466" t="str">
        <f>IF(AND(Tabela6[[#This Row],[IND.]]&gt;=5,Tabela6[[#This Row],[QUANT]]=0),"X","")</f>
        <v>X</v>
      </c>
      <c r="E466" s="58" t="s">
        <v>883</v>
      </c>
      <c r="F466" s="64"/>
      <c r="G466" s="60" t="s">
        <v>25</v>
      </c>
      <c r="H466" s="66"/>
      <c r="I466" s="65"/>
      <c r="J466" s="57">
        <v>0</v>
      </c>
      <c r="K466" s="57">
        <v>0</v>
      </c>
    </row>
    <row r="467" spans="1:11" ht="15" hidden="1" thickBot="1" x14ac:dyDescent="0.4">
      <c r="A467" s="38" cm="1">
        <f t="array" ref="A467">_xlfn.IFS(B467&lt;1,"",B467&lt;=2,1,B467&lt;=4,2,B467&lt;=8,3)</f>
        <v>1</v>
      </c>
      <c r="B467" s="1">
        <f>LEN('PLANILHA ORÇAMENTÁRIA'!$E467)</f>
        <v>2</v>
      </c>
      <c r="C467" t="str">
        <f>IF(Tabela6[[#This Row],[QUANT]]="x","x","")</f>
        <v>x</v>
      </c>
      <c r="E467" s="52">
        <v>13</v>
      </c>
      <c r="F467" s="79" t="s">
        <v>884</v>
      </c>
      <c r="G467" s="79"/>
      <c r="H467" s="80" t="str">
        <f>IF(SUM(H468:H486)=0,"x","")</f>
        <v>x</v>
      </c>
      <c r="I467" s="80"/>
      <c r="J467" s="81"/>
      <c r="K467" s="81">
        <f>SUMIF($A$468:$A$486,"2",K468:K486)</f>
        <v>0</v>
      </c>
    </row>
    <row r="468" spans="1:11" ht="15" hidden="1" thickBot="1" x14ac:dyDescent="0.4">
      <c r="A468" s="38" cm="1">
        <f t="array" ref="A468">_xlfn.IFS(B468&lt;1,"",B468&lt;=2,1,B468&lt;=4,2,B468&lt;=8,3)</f>
        <v>2</v>
      </c>
      <c r="B468" s="1">
        <f>LEN('PLANILHA ORÇAMENTÁRIA'!$E468)</f>
        <v>4</v>
      </c>
      <c r="C468" t="str">
        <f>IF(Tabela6[[#This Row],[QUANT]]="x","x","")</f>
        <v>x</v>
      </c>
      <c r="E468" s="53" t="s">
        <v>885</v>
      </c>
      <c r="F468" s="54"/>
      <c r="G468" s="54"/>
      <c r="H468" s="55" t="str">
        <f>IF(SUM(H469:H486)=0,"x","")</f>
        <v>x</v>
      </c>
      <c r="I468" s="55"/>
      <c r="J468" s="56"/>
      <c r="K468" s="56">
        <f>SUMIF($A$469:$A$486,"3",K469:K486)</f>
        <v>0</v>
      </c>
    </row>
    <row r="469" spans="1:11" ht="15" hidden="1" thickBot="1" x14ac:dyDescent="0.4">
      <c r="A469" s="38" cm="1">
        <f t="array" ref="A469">_xlfn.IFS(B469&lt;1,"",B469&lt;=2,1,B469&lt;=4,2,B469&lt;=8,3)</f>
        <v>3</v>
      </c>
      <c r="B469" s="1">
        <f>LEN('PLANILHA ORÇAMENTÁRIA'!$E469)</f>
        <v>6</v>
      </c>
      <c r="C469" t="str">
        <f>IF(AND(Tabela6[[#This Row],[IND.]]&gt;=5,Tabela6[[#This Row],[QUANT]]=0),"X","")</f>
        <v>X</v>
      </c>
      <c r="E469" s="58" t="s">
        <v>886</v>
      </c>
      <c r="F469" s="64"/>
      <c r="G469" s="60" t="s">
        <v>25</v>
      </c>
      <c r="H469" s="66"/>
      <c r="I469" s="65"/>
      <c r="J469" s="57">
        <v>0</v>
      </c>
      <c r="K469" s="57">
        <v>0</v>
      </c>
    </row>
    <row r="470" spans="1:11" ht="15" hidden="1" thickBot="1" x14ac:dyDescent="0.4">
      <c r="A470" s="38" cm="1">
        <f t="array" ref="A470">_xlfn.IFS(B470&lt;1,"",B470&lt;=2,1,B470&lt;=4,2,B470&lt;=8,3)</f>
        <v>3</v>
      </c>
      <c r="B470" s="1">
        <f>LEN('PLANILHA ORÇAMENTÁRIA'!$E470)</f>
        <v>6</v>
      </c>
      <c r="C470" t="str">
        <f>IF(AND(Tabela6[[#This Row],[IND.]]&gt;=5,Tabela6[[#This Row],[QUANT]]=0),"X","")</f>
        <v>X</v>
      </c>
      <c r="E470" s="58" t="s">
        <v>887</v>
      </c>
      <c r="F470" s="64"/>
      <c r="G470" s="60" t="s">
        <v>25</v>
      </c>
      <c r="H470" s="66"/>
      <c r="I470" s="65"/>
      <c r="J470" s="57">
        <v>0</v>
      </c>
      <c r="K470" s="57">
        <v>0</v>
      </c>
    </row>
    <row r="471" spans="1:11" ht="15" hidden="1" thickBot="1" x14ac:dyDescent="0.4">
      <c r="A471" s="38" cm="1">
        <f t="array" ref="A471">_xlfn.IFS(B471&lt;1,"",B471&lt;=2,1,B471&lt;=4,2,B471&lt;=8,3)</f>
        <v>3</v>
      </c>
      <c r="B471" s="1">
        <f>LEN('PLANILHA ORÇAMENTÁRIA'!$E471)</f>
        <v>6</v>
      </c>
      <c r="C471" t="str">
        <f>IF(AND(Tabela6[[#This Row],[IND.]]&gt;=5,Tabela6[[#This Row],[QUANT]]=0),"X","")</f>
        <v>X</v>
      </c>
      <c r="E471" s="58" t="s">
        <v>888</v>
      </c>
      <c r="F471" s="64"/>
      <c r="G471" s="60" t="s">
        <v>25</v>
      </c>
      <c r="H471" s="66"/>
      <c r="I471" s="65"/>
      <c r="J471" s="57">
        <v>0</v>
      </c>
      <c r="K471" s="57">
        <v>0</v>
      </c>
    </row>
    <row r="472" spans="1:11" ht="15" hidden="1" thickBot="1" x14ac:dyDescent="0.4">
      <c r="A472" s="38" cm="1">
        <f t="array" ref="A472">_xlfn.IFS(B472&lt;1,"",B472&lt;=2,1,B472&lt;=4,2,B472&lt;=8,3)</f>
        <v>3</v>
      </c>
      <c r="B472" s="1">
        <f>LEN('PLANILHA ORÇAMENTÁRIA'!$E472)</f>
        <v>6</v>
      </c>
      <c r="C472" t="str">
        <f>IF(AND(Tabela6[[#This Row],[IND.]]&gt;=5,Tabela6[[#This Row],[QUANT]]=0),"X","")</f>
        <v>X</v>
      </c>
      <c r="E472" s="58" t="s">
        <v>889</v>
      </c>
      <c r="F472" s="64"/>
      <c r="G472" s="60" t="s">
        <v>25</v>
      </c>
      <c r="H472" s="66"/>
      <c r="I472" s="65"/>
      <c r="J472" s="57">
        <v>0</v>
      </c>
      <c r="K472" s="57">
        <v>0</v>
      </c>
    </row>
    <row r="473" spans="1:11" ht="15" hidden="1" thickBot="1" x14ac:dyDescent="0.4">
      <c r="A473" s="38" cm="1">
        <f t="array" ref="A473">_xlfn.IFS(B473&lt;1,"",B473&lt;=2,1,B473&lt;=4,2,B473&lt;=8,3)</f>
        <v>3</v>
      </c>
      <c r="B473" s="1">
        <f>LEN('PLANILHA ORÇAMENTÁRIA'!$E473)</f>
        <v>6</v>
      </c>
      <c r="C473" t="str">
        <f>IF(AND(Tabela6[[#This Row],[IND.]]&gt;=5,Tabela6[[#This Row],[QUANT]]=0),"X","")</f>
        <v>X</v>
      </c>
      <c r="E473" s="58" t="s">
        <v>890</v>
      </c>
      <c r="F473" s="64"/>
      <c r="G473" s="60" t="s">
        <v>25</v>
      </c>
      <c r="H473" s="66"/>
      <c r="I473" s="65"/>
      <c r="J473" s="57">
        <v>0</v>
      </c>
      <c r="K473" s="57">
        <v>0</v>
      </c>
    </row>
    <row r="474" spans="1:11" ht="15" hidden="1" thickBot="1" x14ac:dyDescent="0.4">
      <c r="A474" s="38" cm="1">
        <f t="array" ref="A474">_xlfn.IFS(B474&lt;1,"",B474&lt;=2,1,B474&lt;=4,2,B474&lt;=8,3)</f>
        <v>3</v>
      </c>
      <c r="B474" s="1">
        <f>LEN('PLANILHA ORÇAMENTÁRIA'!$E474)</f>
        <v>6</v>
      </c>
      <c r="C474" t="str">
        <f>IF(AND(Tabela6[[#This Row],[IND.]]&gt;=5,Tabela6[[#This Row],[QUANT]]=0),"X","")</f>
        <v>X</v>
      </c>
      <c r="E474" s="58" t="s">
        <v>891</v>
      </c>
      <c r="F474" s="64"/>
      <c r="G474" s="60" t="s">
        <v>25</v>
      </c>
      <c r="H474" s="66"/>
      <c r="I474" s="65"/>
      <c r="J474" s="57">
        <v>0</v>
      </c>
      <c r="K474" s="57">
        <v>0</v>
      </c>
    </row>
    <row r="475" spans="1:11" ht="15" hidden="1" thickBot="1" x14ac:dyDescent="0.4">
      <c r="A475" s="38" cm="1">
        <f t="array" ref="A475">_xlfn.IFS(B475&lt;1,"",B475&lt;=2,1,B475&lt;=4,2,B475&lt;=8,3)</f>
        <v>3</v>
      </c>
      <c r="B475" s="1">
        <f>LEN('PLANILHA ORÇAMENTÁRIA'!$E475)</f>
        <v>6</v>
      </c>
      <c r="C475" t="str">
        <f>IF(AND(Tabela6[[#This Row],[IND.]]&gt;=5,Tabela6[[#This Row],[QUANT]]=0),"X","")</f>
        <v>X</v>
      </c>
      <c r="E475" s="58" t="s">
        <v>892</v>
      </c>
      <c r="F475" s="64"/>
      <c r="G475" s="60" t="s">
        <v>25</v>
      </c>
      <c r="H475" s="66"/>
      <c r="I475" s="65"/>
      <c r="J475" s="57">
        <v>0</v>
      </c>
      <c r="K475" s="57">
        <v>0</v>
      </c>
    </row>
    <row r="476" spans="1:11" ht="15" hidden="1" thickBot="1" x14ac:dyDescent="0.4">
      <c r="A476" s="38" cm="1">
        <f t="array" ref="A476">_xlfn.IFS(B476&lt;1,"",B476&lt;=2,1,B476&lt;=4,2,B476&lt;=8,3)</f>
        <v>3</v>
      </c>
      <c r="B476" s="1">
        <f>LEN('PLANILHA ORÇAMENTÁRIA'!$E476)</f>
        <v>6</v>
      </c>
      <c r="C476" t="str">
        <f>IF(AND(Tabela6[[#This Row],[IND.]]&gt;=5,Tabela6[[#This Row],[QUANT]]=0),"X","")</f>
        <v>X</v>
      </c>
      <c r="E476" s="58" t="s">
        <v>893</v>
      </c>
      <c r="F476" s="64"/>
      <c r="G476" s="60" t="s">
        <v>25</v>
      </c>
      <c r="H476" s="66"/>
      <c r="I476" s="65"/>
      <c r="J476" s="57">
        <v>0</v>
      </c>
      <c r="K476" s="57">
        <v>0</v>
      </c>
    </row>
    <row r="477" spans="1:11" ht="15" hidden="1" thickBot="1" x14ac:dyDescent="0.4">
      <c r="A477" s="38" cm="1">
        <f t="array" ref="A477">_xlfn.IFS(B477&lt;1,"",B477&lt;=2,1,B477&lt;=4,2,B477&lt;=8,3)</f>
        <v>3</v>
      </c>
      <c r="B477" s="1">
        <f>LEN('PLANILHA ORÇAMENTÁRIA'!$E477)</f>
        <v>6</v>
      </c>
      <c r="C477" t="str">
        <f>IF(AND(Tabela6[[#This Row],[IND.]]&gt;=5,Tabela6[[#This Row],[QUANT]]=0),"X","")</f>
        <v>X</v>
      </c>
      <c r="E477" s="58" t="s">
        <v>894</v>
      </c>
      <c r="F477" s="64"/>
      <c r="G477" s="60" t="s">
        <v>25</v>
      </c>
      <c r="H477" s="66"/>
      <c r="I477" s="65"/>
      <c r="J477" s="57">
        <v>0</v>
      </c>
      <c r="K477" s="57">
        <v>0</v>
      </c>
    </row>
    <row r="478" spans="1:11" ht="15" hidden="1" thickBot="1" x14ac:dyDescent="0.4">
      <c r="A478" s="38" cm="1">
        <f t="array" ref="A478">_xlfn.IFS(B478&lt;1,"",B478&lt;=2,1,B478&lt;=4,2,B478&lt;=8,3)</f>
        <v>3</v>
      </c>
      <c r="B478" s="1">
        <f>LEN('PLANILHA ORÇAMENTÁRIA'!$E478)</f>
        <v>7</v>
      </c>
      <c r="C478" t="str">
        <f>IF(AND(Tabela6[[#This Row],[IND.]]&gt;=5,Tabela6[[#This Row],[QUANT]]=0),"X","")</f>
        <v>X</v>
      </c>
      <c r="E478" s="58" t="s">
        <v>895</v>
      </c>
      <c r="F478" s="64"/>
      <c r="G478" s="60" t="s">
        <v>25</v>
      </c>
      <c r="H478" s="66"/>
      <c r="I478" s="65"/>
      <c r="J478" s="57">
        <v>0</v>
      </c>
      <c r="K478" s="57">
        <v>0</v>
      </c>
    </row>
    <row r="479" spans="1:11" ht="15" hidden="1" thickBot="1" x14ac:dyDescent="0.4">
      <c r="A479" s="38" cm="1">
        <f t="array" ref="A479">_xlfn.IFS(B479&lt;1,"",B479&lt;=2,1,B479&lt;=4,2,B479&lt;=8,3)</f>
        <v>3</v>
      </c>
      <c r="B479" s="1">
        <f>LEN('PLANILHA ORÇAMENTÁRIA'!$E479)</f>
        <v>7</v>
      </c>
      <c r="C479" t="str">
        <f>IF(AND(Tabela6[[#This Row],[IND.]]&gt;=5,Tabela6[[#This Row],[QUANT]]=0),"X","")</f>
        <v>X</v>
      </c>
      <c r="E479" s="58" t="s">
        <v>896</v>
      </c>
      <c r="F479" s="64"/>
      <c r="G479" s="60" t="s">
        <v>25</v>
      </c>
      <c r="H479" s="66"/>
      <c r="I479" s="65"/>
      <c r="J479" s="57">
        <v>0</v>
      </c>
      <c r="K479" s="57">
        <v>0</v>
      </c>
    </row>
    <row r="480" spans="1:11" ht="15" hidden="1" thickBot="1" x14ac:dyDescent="0.4">
      <c r="A480" s="38" cm="1">
        <f t="array" ref="A480">_xlfn.IFS(B480&lt;1,"",B480&lt;=2,1,B480&lt;=4,2,B480&lt;=8,3)</f>
        <v>3</v>
      </c>
      <c r="B480" s="1">
        <f>LEN('PLANILHA ORÇAMENTÁRIA'!$E480)</f>
        <v>7</v>
      </c>
      <c r="C480" t="str">
        <f>IF(AND(Tabela6[[#This Row],[IND.]]&gt;=5,Tabela6[[#This Row],[QUANT]]=0),"X","")</f>
        <v>X</v>
      </c>
      <c r="E480" s="58" t="s">
        <v>897</v>
      </c>
      <c r="F480" s="64"/>
      <c r="G480" s="60" t="s">
        <v>25</v>
      </c>
      <c r="H480" s="66"/>
      <c r="I480" s="65"/>
      <c r="J480" s="57">
        <v>0</v>
      </c>
      <c r="K480" s="57">
        <v>0</v>
      </c>
    </row>
    <row r="481" spans="1:12" ht="15" hidden="1" thickBot="1" x14ac:dyDescent="0.4">
      <c r="A481" s="38" cm="1">
        <f t="array" ref="A481">_xlfn.IFS(B481&lt;1,"",B481&lt;=2,1,B481&lt;=4,2,B481&lt;=8,3)</f>
        <v>3</v>
      </c>
      <c r="B481" s="1">
        <f>LEN('PLANILHA ORÇAMENTÁRIA'!$E481)</f>
        <v>7</v>
      </c>
      <c r="C481" t="str">
        <f>IF(AND(Tabela6[[#This Row],[IND.]]&gt;=5,Tabela6[[#This Row],[QUANT]]=0),"X","")</f>
        <v>X</v>
      </c>
      <c r="E481" s="58" t="s">
        <v>898</v>
      </c>
      <c r="F481" s="64"/>
      <c r="G481" s="60" t="s">
        <v>25</v>
      </c>
      <c r="H481" s="66"/>
      <c r="I481" s="65"/>
      <c r="J481" s="57">
        <v>0</v>
      </c>
      <c r="K481" s="57">
        <v>0</v>
      </c>
    </row>
    <row r="482" spans="1:12" ht="15" hidden="1" thickBot="1" x14ac:dyDescent="0.4">
      <c r="A482" s="38" cm="1">
        <f t="array" ref="A482">_xlfn.IFS(B482&lt;1,"",B482&lt;=2,1,B482&lt;=4,2,B482&lt;=8,3)</f>
        <v>3</v>
      </c>
      <c r="B482" s="1">
        <f>LEN('PLANILHA ORÇAMENTÁRIA'!$E482)</f>
        <v>7</v>
      </c>
      <c r="C482" t="str">
        <f>IF(AND(Tabela6[[#This Row],[IND.]]&gt;=5,Tabela6[[#This Row],[QUANT]]=0),"X","")</f>
        <v>X</v>
      </c>
      <c r="E482" s="58" t="s">
        <v>899</v>
      </c>
      <c r="F482" s="64"/>
      <c r="G482" s="60" t="s">
        <v>25</v>
      </c>
      <c r="H482" s="66"/>
      <c r="I482" s="65"/>
      <c r="J482" s="57">
        <v>0</v>
      </c>
      <c r="K482" s="57">
        <v>0</v>
      </c>
    </row>
    <row r="483" spans="1:12" ht="15" hidden="1" thickBot="1" x14ac:dyDescent="0.4">
      <c r="A483" s="38" cm="1">
        <f t="array" ref="A483">_xlfn.IFS(B483&lt;1,"",B483&lt;=2,1,B483&lt;=4,2,B483&lt;=8,3)</f>
        <v>3</v>
      </c>
      <c r="B483" s="1">
        <f>LEN('PLANILHA ORÇAMENTÁRIA'!$E483)</f>
        <v>7</v>
      </c>
      <c r="C483" t="str">
        <f>IF(AND(Tabela6[[#This Row],[IND.]]&gt;=5,Tabela6[[#This Row],[QUANT]]=0),"X","")</f>
        <v>X</v>
      </c>
      <c r="E483" s="58" t="s">
        <v>900</v>
      </c>
      <c r="F483" s="64"/>
      <c r="G483" s="60" t="s">
        <v>25</v>
      </c>
      <c r="H483" s="66"/>
      <c r="I483" s="65"/>
      <c r="J483" s="57">
        <v>0</v>
      </c>
      <c r="K483" s="57">
        <v>0</v>
      </c>
    </row>
    <row r="484" spans="1:12" ht="15" hidden="1" thickBot="1" x14ac:dyDescent="0.4">
      <c r="A484" s="38" cm="1">
        <f t="array" ref="A484">_xlfn.IFS(B484&lt;1,"",B484&lt;=2,1,B484&lt;=4,2,B484&lt;=8,3)</f>
        <v>3</v>
      </c>
      <c r="B484" s="1">
        <f>LEN('PLANILHA ORÇAMENTÁRIA'!$E484)</f>
        <v>7</v>
      </c>
      <c r="C484" t="str">
        <f>IF(AND(Tabela6[[#This Row],[IND.]]&gt;=5,Tabela6[[#This Row],[QUANT]]=0),"X","")</f>
        <v>X</v>
      </c>
      <c r="E484" s="58" t="s">
        <v>901</v>
      </c>
      <c r="F484" s="64"/>
      <c r="G484" s="60" t="s">
        <v>25</v>
      </c>
      <c r="H484" s="66"/>
      <c r="I484" s="65"/>
      <c r="J484" s="57">
        <v>0</v>
      </c>
      <c r="K484" s="57">
        <v>0</v>
      </c>
    </row>
    <row r="485" spans="1:12" ht="15" hidden="1" thickBot="1" x14ac:dyDescent="0.4">
      <c r="A485" s="38" cm="1">
        <f t="array" ref="A485">_xlfn.IFS(B485&lt;1,"",B485&lt;=2,1,B485&lt;=4,2,B485&lt;=8,3)</f>
        <v>3</v>
      </c>
      <c r="B485" s="1">
        <f>LEN('PLANILHA ORÇAMENTÁRIA'!$E485)</f>
        <v>7</v>
      </c>
      <c r="C485" t="str">
        <f>IF(AND(Tabela6[[#This Row],[IND.]]&gt;=5,Tabela6[[#This Row],[QUANT]]=0),"X","")</f>
        <v>X</v>
      </c>
      <c r="E485" s="58" t="s">
        <v>902</v>
      </c>
      <c r="F485" s="64"/>
      <c r="G485" s="60" t="s">
        <v>25</v>
      </c>
      <c r="H485" s="66"/>
      <c r="I485" s="65"/>
      <c r="J485" s="57">
        <v>0</v>
      </c>
      <c r="K485" s="57">
        <v>0</v>
      </c>
    </row>
    <row r="486" spans="1:12" ht="15" hidden="1" thickBot="1" x14ac:dyDescent="0.4">
      <c r="A486" s="38" cm="1">
        <f t="array" ref="A486">_xlfn.IFS(B486&lt;1,"",B486&lt;=2,1,B486&lt;=4,2,B486&lt;=8,3)</f>
        <v>3</v>
      </c>
      <c r="B486" s="1">
        <f>LEN('PLANILHA ORÇAMENTÁRIA'!$E486)</f>
        <v>7</v>
      </c>
      <c r="C486" t="str">
        <f>IF(AND(Tabela6[[#This Row],[IND.]]&gt;=5,Tabela6[[#This Row],[QUANT]]=0),"X","")</f>
        <v>X</v>
      </c>
      <c r="E486" s="58" t="s">
        <v>903</v>
      </c>
      <c r="F486" s="64"/>
      <c r="G486" s="60" t="s">
        <v>25</v>
      </c>
      <c r="H486" s="66"/>
      <c r="I486" s="65"/>
      <c r="J486" s="57">
        <v>0</v>
      </c>
      <c r="K486" s="57">
        <v>0</v>
      </c>
    </row>
    <row r="487" spans="1:12" x14ac:dyDescent="0.35">
      <c r="A487" s="38" cm="1">
        <f t="array" ref="A487">_xlfn.IFS(B487&lt;1,"",B487&lt;=2,1,B487&lt;=4,2,B487&lt;=8,3)</f>
        <v>1</v>
      </c>
      <c r="B487" s="1">
        <f>LEN('PLANILHA ORÇAMENTÁRIA'!$E487)</f>
        <v>2</v>
      </c>
      <c r="C487" t="str">
        <f>IF(Tabela6[[#This Row],[QUANT]]="x","x","")</f>
        <v/>
      </c>
      <c r="E487" s="141">
        <v>14</v>
      </c>
      <c r="F487" s="79" t="s">
        <v>904</v>
      </c>
      <c r="G487" s="79"/>
      <c r="H487" s="80" t="str">
        <f>IF(SUM(H488:H489)=0,"x","")</f>
        <v/>
      </c>
      <c r="I487" s="80"/>
      <c r="J487" s="81"/>
      <c r="K487" s="81">
        <f>SUMIF($A$488:$A$489,"2",K488:K489)</f>
        <v>9671.6682000000001</v>
      </c>
    </row>
    <row r="488" spans="1:12" x14ac:dyDescent="0.35">
      <c r="A488" s="38" cm="1">
        <f t="array" ref="A488">_xlfn.IFS(B488&lt;1,"",B488&lt;=2,1,B488&lt;=4,2,B488&lt;=8,3)</f>
        <v>2</v>
      </c>
      <c r="B488" s="1">
        <f>LEN('PLANILHA ORÇAMENTÁRIA'!$E488)</f>
        <v>4</v>
      </c>
      <c r="C488" t="str">
        <f>IF(Tabela6[[#This Row],[QUANT]]="x","x","")</f>
        <v/>
      </c>
      <c r="E488" s="142" t="s">
        <v>905</v>
      </c>
      <c r="F488" s="54" t="s">
        <v>904</v>
      </c>
      <c r="G488" s="54"/>
      <c r="H488" s="55" t="str">
        <f>IF(SUM(H489:H490)=0,"x","")</f>
        <v/>
      </c>
      <c r="I488" s="55"/>
      <c r="J488" s="56"/>
      <c r="K488" s="56">
        <f>SUMIF($A$489,"3",K489:K490)</f>
        <v>9671.6682000000001</v>
      </c>
    </row>
    <row r="489" spans="1:12" ht="15" thickBot="1" x14ac:dyDescent="0.4">
      <c r="A489" s="38" cm="1">
        <f t="array" ref="A489">_xlfn.IFS(B489&lt;1,"",B489&lt;=2,1,B489&lt;=4,2,B489&lt;=8,3)</f>
        <v>3</v>
      </c>
      <c r="B489" s="1">
        <f>LEN('PLANILHA ORÇAMENTÁRIA'!$E489)</f>
        <v>6</v>
      </c>
      <c r="C489" s="1" t="str">
        <f>IF(AND(Tabela6[[#This Row],[IND.]]&gt;=5,Tabela6[[#This Row],[QUANT]]=0),"X","")</f>
        <v/>
      </c>
      <c r="E489" s="143" t="s">
        <v>906</v>
      </c>
      <c r="F489" s="137" t="s">
        <v>904</v>
      </c>
      <c r="G489" s="138" t="s">
        <v>25</v>
      </c>
      <c r="H489" s="139">
        <f>ÁREA_CONSTRUIDA</f>
        <v>1150.02</v>
      </c>
      <c r="I489" s="140" t="s">
        <v>41</v>
      </c>
      <c r="J489" s="51">
        <v>8.41</v>
      </c>
      <c r="K489" s="51">
        <v>9671.6682000000001</v>
      </c>
    </row>
    <row r="490" spans="1:12" ht="4.9000000000000004" customHeight="1" thickBot="1" x14ac:dyDescent="0.4">
      <c r="E490" s="1"/>
    </row>
    <row r="491" spans="1:12" ht="21.5" thickBot="1" x14ac:dyDescent="0.55000000000000004">
      <c r="E491" s="150" t="s">
        <v>907</v>
      </c>
      <c r="F491" s="151"/>
      <c r="G491" s="151"/>
      <c r="H491" s="151"/>
      <c r="I491" s="151"/>
      <c r="J491" s="171"/>
      <c r="K491" s="82">
        <f>SUMIF($A$12:$A$489,"1",K12:K489)</f>
        <v>2348901.2934099999</v>
      </c>
    </row>
    <row r="492" spans="1:12" ht="14.5" customHeight="1" thickBot="1" x14ac:dyDescent="0.4">
      <c r="E492" s="164"/>
      <c r="F492" s="164"/>
      <c r="G492" s="164"/>
      <c r="H492" s="164"/>
      <c r="I492" s="164"/>
      <c r="J492" s="164"/>
      <c r="K492" s="164"/>
    </row>
    <row r="493" spans="1:12" ht="15" thickBot="1" x14ac:dyDescent="0.4">
      <c r="A493" s="38" cm="1">
        <f t="array" ref="A493">_xlfn.IFS(B493&lt;1,"",B493&lt;=2,1,B493&lt;=4,2,B493&lt;=8,3)</f>
        <v>1</v>
      </c>
      <c r="B493" s="1">
        <f>LEN('PLANILHA ORÇAMENTÁRIA'!$E493)</f>
        <v>2</v>
      </c>
      <c r="E493" s="94">
        <v>15</v>
      </c>
      <c r="F493" s="162" t="s">
        <v>908</v>
      </c>
      <c r="G493" s="162"/>
      <c r="H493" s="162"/>
      <c r="I493" s="162"/>
      <c r="J493" s="168"/>
      <c r="K493" s="170">
        <v>0.29870000000000002</v>
      </c>
      <c r="L493" s="163"/>
    </row>
    <row r="494" spans="1:12" ht="4.9000000000000004" customHeight="1" x14ac:dyDescent="0.35">
      <c r="E494" s="46"/>
      <c r="F494" s="4"/>
      <c r="G494" s="4"/>
      <c r="I494" s="45"/>
      <c r="K494" s="165"/>
    </row>
    <row r="495" spans="1:12" hidden="1" x14ac:dyDescent="0.35">
      <c r="E495" s="47" t="s">
        <v>13</v>
      </c>
      <c r="F495" s="48" t="s">
        <v>909</v>
      </c>
      <c r="G495" s="48"/>
      <c r="H495" s="49" t="s">
        <v>910</v>
      </c>
      <c r="I495" s="49" t="s">
        <v>911</v>
      </c>
      <c r="J495" s="50"/>
      <c r="K495" s="166" t="s">
        <v>912</v>
      </c>
    </row>
    <row r="496" spans="1:12" x14ac:dyDescent="0.35">
      <c r="A496" s="38" cm="1">
        <f t="array" ref="A496">_xlfn.IFS(B496&lt;1,"",B496&lt;=2,1,B496&lt;=4,2,B496&lt;=8,3)</f>
        <v>2</v>
      </c>
      <c r="B496" s="1">
        <f>LEN('PLANILHA ORÇAMENTÁRIA'!$E496)</f>
        <v>4</v>
      </c>
      <c r="E496" s="43" t="s">
        <v>913</v>
      </c>
      <c r="F496" s="160" t="s">
        <v>914</v>
      </c>
      <c r="G496" s="161"/>
      <c r="H496" s="161"/>
      <c r="I496" s="44" t="s">
        <v>915</v>
      </c>
      <c r="K496" s="167"/>
    </row>
    <row r="497" spans="1:11" x14ac:dyDescent="0.35">
      <c r="A497" s="38" cm="1">
        <f t="array" ref="A497">_xlfn.IFS(B497&lt;1,"",B497&lt;=2,1,B497&lt;=4,2,B497&lt;=8,3)</f>
        <v>2</v>
      </c>
      <c r="B497" s="1">
        <f>LEN('PLANILHA ORÇAMENTÁRIA'!$E497)</f>
        <v>4</v>
      </c>
      <c r="E497" s="39" t="s">
        <v>916</v>
      </c>
      <c r="F497" s="156" t="s">
        <v>917</v>
      </c>
      <c r="G497" s="157"/>
      <c r="H497" s="157"/>
      <c r="I497" s="40" t="s">
        <v>918</v>
      </c>
      <c r="K497" s="165"/>
    </row>
    <row r="498" spans="1:11" x14ac:dyDescent="0.35">
      <c r="A498" s="38" cm="1">
        <f t="array" ref="A498">_xlfn.IFS(B498&lt;1,"",B498&lt;=2,1,B498&lt;=4,2,B498&lt;=8,3)</f>
        <v>2</v>
      </c>
      <c r="B498" s="1">
        <f>LEN('PLANILHA ORÇAMENTÁRIA'!$E498)</f>
        <v>4</v>
      </c>
      <c r="E498" s="41" t="s">
        <v>919</v>
      </c>
      <c r="F498" s="159" t="s">
        <v>920</v>
      </c>
      <c r="G498" s="159"/>
      <c r="H498" s="159"/>
      <c r="I498" s="42" t="s">
        <v>921</v>
      </c>
      <c r="K498" s="75"/>
    </row>
    <row r="499" spans="1:11" x14ac:dyDescent="0.35">
      <c r="A499" s="38" cm="1">
        <f t="array" ref="A499">_xlfn.IFS(B499&lt;1,"",B499&lt;=2,1,B499&lt;=4,2,B499&lt;=8,3)</f>
        <v>2</v>
      </c>
      <c r="B499" s="1">
        <f>LEN('PLANILHA ORÇAMENTÁRIA'!$E499)</f>
        <v>4</v>
      </c>
      <c r="E499" s="39" t="s">
        <v>922</v>
      </c>
      <c r="F499" s="153" t="s">
        <v>923</v>
      </c>
      <c r="G499" s="154"/>
      <c r="H499" s="154"/>
      <c r="I499" s="40" t="s">
        <v>924</v>
      </c>
      <c r="K499" s="75"/>
    </row>
    <row r="500" spans="1:11" x14ac:dyDescent="0.35">
      <c r="A500" s="38" cm="1">
        <f t="array" ref="A500">_xlfn.IFS(B500&lt;1,"",B500&lt;=2,1,B500&lt;=4,2,B500&lt;=8,3)</f>
        <v>2</v>
      </c>
      <c r="B500" s="1">
        <f>LEN('PLANILHA ORÇAMENTÁRIA'!$E500)</f>
        <v>4</v>
      </c>
      <c r="E500" s="41" t="s">
        <v>925</v>
      </c>
      <c r="F500" s="158" t="s">
        <v>926</v>
      </c>
      <c r="G500" s="158"/>
      <c r="H500" s="158"/>
      <c r="I500" s="42" t="s">
        <v>927</v>
      </c>
    </row>
    <row r="501" spans="1:11" x14ac:dyDescent="0.35">
      <c r="A501" s="38" cm="1">
        <f t="array" ref="A501">_xlfn.IFS(B501&lt;1,"",B501&lt;=2,1,B501&lt;=4,2,B501&lt;=8,3)</f>
        <v>2</v>
      </c>
      <c r="B501" s="1">
        <f>LEN('PLANILHA ORÇAMENTÁRIA'!$E501)</f>
        <v>4</v>
      </c>
      <c r="E501" s="39" t="s">
        <v>928</v>
      </c>
      <c r="F501" s="156" t="s">
        <v>929</v>
      </c>
      <c r="G501" s="157"/>
      <c r="H501" s="157"/>
      <c r="I501" s="40"/>
    </row>
    <row r="502" spans="1:11" x14ac:dyDescent="0.35">
      <c r="A502" s="38" cm="1">
        <f t="array" ref="A502">_xlfn.IFS(B502&lt;1,"",B502&lt;=2,1,B502&lt;=4,2,B502&lt;=8,3)</f>
        <v>2</v>
      </c>
      <c r="B502" s="1">
        <f>LEN('PLANILHA ORÇAMENTÁRIA'!$E502)</f>
        <v>4</v>
      </c>
      <c r="E502" s="41" t="s">
        <v>930</v>
      </c>
      <c r="F502" s="155" t="s">
        <v>931</v>
      </c>
      <c r="G502" s="155"/>
      <c r="H502" s="155"/>
      <c r="I502" s="42"/>
    </row>
    <row r="503" spans="1:11" x14ac:dyDescent="0.35">
      <c r="A503" s="38"/>
      <c r="E503" s="39" t="s">
        <v>932</v>
      </c>
      <c r="F503" s="153" t="s">
        <v>933</v>
      </c>
      <c r="G503" s="154"/>
      <c r="H503" s="154"/>
      <c r="I503" s="146"/>
    </row>
    <row r="504" spans="1:11" ht="15" thickBot="1" x14ac:dyDescent="0.4">
      <c r="A504" s="38" cm="1">
        <f t="array" ref="A504">_xlfn.IFS(B504&lt;1,"",B504&lt;=2,1,B504&lt;=4,2,B504&lt;=8,3)</f>
        <v>2</v>
      </c>
      <c r="B504" s="1">
        <f>LEN('PLANILHA ORÇAMENTÁRIA'!$E504)</f>
        <v>4</v>
      </c>
      <c r="E504" s="147" t="s">
        <v>934</v>
      </c>
      <c r="F504" s="152" t="s">
        <v>935</v>
      </c>
      <c r="G504" s="152"/>
      <c r="H504" s="152"/>
      <c r="I504" s="145"/>
    </row>
    <row r="505" spans="1:11" x14ac:dyDescent="0.35">
      <c r="A505" s="38"/>
      <c r="E505" s="2"/>
      <c r="F505" s="1"/>
      <c r="G505" s="1"/>
      <c r="K505" s="144"/>
    </row>
    <row r="506" spans="1:11" ht="4.9000000000000004" customHeight="1" thickBot="1" x14ac:dyDescent="0.4">
      <c r="K506" s="37"/>
    </row>
    <row r="507" spans="1:11" ht="21.5" thickBot="1" x14ac:dyDescent="0.55000000000000004">
      <c r="E507" s="150" t="s">
        <v>936</v>
      </c>
      <c r="F507" s="151"/>
      <c r="G507" s="151"/>
      <c r="H507" s="151"/>
      <c r="I507" s="151"/>
      <c r="K507" s="169">
        <f t="shared" ref="K507" si="1">K491*(1+K493)</f>
        <v>3050518.1097515668</v>
      </c>
    </row>
    <row r="509" spans="1:11" x14ac:dyDescent="0.35">
      <c r="K509" s="172"/>
    </row>
  </sheetData>
  <sheetProtection password="D9DE" sheet="1" objects="1" scenarios="1"/>
  <mergeCells count="8">
    <mergeCell ref="J3:K9"/>
    <mergeCell ref="E1:K1"/>
    <mergeCell ref="F9:I9"/>
    <mergeCell ref="F8:I8"/>
    <mergeCell ref="F5:I5"/>
    <mergeCell ref="F4:I4"/>
    <mergeCell ref="F3:I3"/>
    <mergeCell ref="F6:I6"/>
  </mergeCells>
  <phoneticPr fontId="5" type="noConversion"/>
  <pageMargins left="0.25" right="0.25" top="0.75" bottom="0.75" header="0.3" footer="0.3"/>
  <pageSetup paperSize="9" scale="34" fitToHeight="0" orientation="landscape" r:id="rId1"/>
  <headerFooter>
    <oddHeader>&amp;L&amp;"Calibri"&amp;10&amp;K0000FF Interno&amp;1#_x000D_</oddHead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2EB5AC08-6021-4A62-BA96-5C08A587D7ED}">
          <x14:formula1>
            <xm:f>AUXILIAR!$B$1:$B$3</xm:f>
          </x14:formula1>
          <xm:sqref>F8:G8</xm:sqref>
        </x14:dataValidation>
        <x14:dataValidation type="list" allowBlank="1" showInputMessage="1" showErrorMessage="1" xr:uid="{10FB650E-E79D-48B6-9CC3-4CD8CF2BD7BD}">
          <x14:formula1>
            <xm:f>AUXILIAR!$B$7:$B$9</xm:f>
          </x14:formula1>
          <xm:sqref>G469:G486 G14:G19 G21:G25 G27:G34 G37:G39 G41:G43 G45:G46 G48:G52 G54:G56 G79:G97 G99:G111 G317:G325 G123:G126 G128:G143 G59:G77 G156:G160 G163:G168 G170:G175 G177:G178 G180:G182 G184:G188 G489 G448:G449 G274:G295 G327:G332 G334 G336:G340 G343:G351 G239:G262 G358:G366 G368:G373 G376:G392 G394:G412 G414:G419 G421:G430 G433:G437 G439:G442 G444:G445 G264:G272 G451:G453 G191:G219 G297:G314 G114:G121 G353:G356 G221:G237 G145:G154 G455:G459 G465:G466 G462:G463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73695-CB44-4490-BF47-A3EBE7199781}">
  <dimension ref="A1:D28"/>
  <sheetViews>
    <sheetView zoomScale="80" zoomScaleNormal="80" workbookViewId="0">
      <selection activeCell="B41" sqref="B41"/>
    </sheetView>
  </sheetViews>
  <sheetFormatPr defaultRowHeight="14.5" x14ac:dyDescent="0.35"/>
  <cols>
    <col min="1" max="1" width="21.54296875" bestFit="1" customWidth="1"/>
    <col min="2" max="2" width="98.81640625" style="2" bestFit="1" customWidth="1"/>
    <col min="3" max="3" width="19.54296875" style="1" bestFit="1" customWidth="1"/>
    <col min="4" max="4" width="27.26953125" bestFit="1" customWidth="1"/>
  </cols>
  <sheetData>
    <row r="1" spans="1:4" ht="55.9" customHeight="1" thickBot="1" x14ac:dyDescent="0.4">
      <c r="A1" s="188" t="s">
        <v>937</v>
      </c>
      <c r="B1" s="189"/>
      <c r="C1" s="189"/>
      <c r="D1" s="189"/>
    </row>
    <row r="2" spans="1:4" ht="4.9000000000000004" customHeight="1" x14ac:dyDescent="0.35"/>
    <row r="3" spans="1:4" x14ac:dyDescent="0.35">
      <c r="A3" s="6" t="s">
        <v>2</v>
      </c>
      <c r="B3" s="3">
        <f>'PLANILHA ORÇAMENTÁRIA'!F3</f>
        <v>0</v>
      </c>
      <c r="C3" s="10" t="s">
        <v>938</v>
      </c>
      <c r="D3" s="9">
        <f>'PLANILHA ORÇAMENTÁRIA'!K3</f>
        <v>0</v>
      </c>
    </row>
    <row r="4" spans="1:4" x14ac:dyDescent="0.35">
      <c r="A4" s="6" t="s">
        <v>4</v>
      </c>
      <c r="B4" s="3">
        <f>'PLANILHA ORÇAMENTÁRIA'!F4</f>
        <v>0</v>
      </c>
      <c r="C4" s="10" t="s">
        <v>939</v>
      </c>
      <c r="D4" s="9">
        <f>'PLANILHA ORÇAMENTÁRIA'!K4</f>
        <v>0</v>
      </c>
    </row>
    <row r="5" spans="1:4" x14ac:dyDescent="0.35">
      <c r="A5" s="6" t="s">
        <v>6</v>
      </c>
      <c r="B5" s="3">
        <f>'PLANILHA ORÇAMENTÁRIA'!F5</f>
        <v>0</v>
      </c>
      <c r="C5" s="10" t="s">
        <v>940</v>
      </c>
      <c r="D5" s="9">
        <f>'PLANILHA ORÇAMENTÁRIA'!K5</f>
        <v>0</v>
      </c>
    </row>
    <row r="6" spans="1:4" x14ac:dyDescent="0.35">
      <c r="A6" s="6" t="s">
        <v>7</v>
      </c>
      <c r="B6" s="3">
        <f>'PLANILHA ORÇAMENTÁRIA'!F6</f>
        <v>0</v>
      </c>
      <c r="C6" s="10" t="s">
        <v>941</v>
      </c>
      <c r="D6" s="11">
        <f>'PLANILHA ORÇAMENTÁRIA'!K6</f>
        <v>0</v>
      </c>
    </row>
    <row r="7" spans="1:4" ht="4.9000000000000004" customHeight="1" x14ac:dyDescent="0.35">
      <c r="C7" s="7"/>
    </row>
    <row r="8" spans="1:4" x14ac:dyDescent="0.35">
      <c r="A8" s="6" t="s">
        <v>8</v>
      </c>
      <c r="B8" s="3" t="str">
        <f>'PLANILHA ORÇAMENTÁRIA'!F8</f>
        <v>ESCOLA SEBRAE DE NEGÓCIOS</v>
      </c>
      <c r="C8" s="10" t="s">
        <v>942</v>
      </c>
      <c r="D8" s="11">
        <f>'PLANILHA ORÇAMENTÁRIA'!N3</f>
        <v>1150.02</v>
      </c>
    </row>
    <row r="9" spans="1:4" x14ac:dyDescent="0.35">
      <c r="A9" s="6" t="s">
        <v>10</v>
      </c>
      <c r="B9" s="3" t="str">
        <f>'PLANILHA ORÇAMENTÁRIA'!F9</f>
        <v>AV. MARECHAL CÂMARA, 171 - 2º ANDAR - CENTRO</v>
      </c>
      <c r="C9" s="10" t="s">
        <v>943</v>
      </c>
      <c r="D9" s="11">
        <f>'PLANILHA ORÇAMENTÁRIA'!K9</f>
        <v>0</v>
      </c>
    </row>
    <row r="10" spans="1:4" ht="4.9000000000000004" customHeight="1" thickBot="1" x14ac:dyDescent="0.4"/>
    <row r="11" spans="1:4" ht="21.5" thickBot="1" x14ac:dyDescent="0.55000000000000004">
      <c r="A11" s="95" t="s">
        <v>15</v>
      </c>
      <c r="B11" s="192" t="s">
        <v>944</v>
      </c>
      <c r="C11" s="192"/>
      <c r="D11" s="96" t="s">
        <v>945</v>
      </c>
    </row>
    <row r="12" spans="1:4" x14ac:dyDescent="0.35">
      <c r="A12" s="98">
        <v>1</v>
      </c>
      <c r="B12" s="191" t="str">
        <f>IFERROR(VLOOKUP('PLANILHA RESUMO'!$A12,Tabela6[[ITEM]:[ESCOPO - DESCRITIVO]],2,0),"")</f>
        <v>SERVIÇOS PRELIMINARES</v>
      </c>
      <c r="C12" s="191"/>
      <c r="D12" s="99" t="e">
        <f>IFERROR(VLOOKUP('PLANILHA RESUMO'!$A12,Tabela6[[ITEM]:[VALOR TOTAL MÁX.]],10,0),"")*(1+'PLANILHA ORÇAMENTÁRIA'!$K$493)</f>
        <v>#VALUE!</v>
      </c>
    </row>
    <row r="13" spans="1:4" x14ac:dyDescent="0.35">
      <c r="A13" s="14">
        <v>2</v>
      </c>
      <c r="B13" s="190" t="str">
        <f>IFERROR(VLOOKUP('PLANILHA RESUMO'!$A13,Tabela6[[ITEM]:[ESCOPO - DESCRITIVO]],2,0),"")</f>
        <v>ADMINISTRATIVO</v>
      </c>
      <c r="C13" s="190"/>
      <c r="D13" s="15" t="e">
        <f>IFERROR(VLOOKUP('PLANILHA RESUMO'!$A13,Tabela6[[ITEM]:[VALOR TOTAL MÁX.]],10,0),"")*(1+'PLANILHA ORÇAMENTÁRIA'!$K$493)</f>
        <v>#VALUE!</v>
      </c>
    </row>
    <row r="14" spans="1:4" x14ac:dyDescent="0.35">
      <c r="A14" s="100">
        <v>3</v>
      </c>
      <c r="B14" s="181" t="str">
        <f>IFERROR(VLOOKUP('PLANILHA RESUMO'!$A14,Tabela6[[ITEM]:[ESCOPO - DESCRITIVO]],2,0),"")</f>
        <v>DEMOLIÇÃO</v>
      </c>
      <c r="C14" s="182"/>
      <c r="D14" s="101" t="e">
        <f>IFERROR(VLOOKUP('PLANILHA RESUMO'!$A14,Tabela6[[ITEM]:[VALOR TOTAL MÁX.]],10,0),"")*(1+'PLANILHA ORÇAMENTÁRIA'!$K$493)</f>
        <v>#VALUE!</v>
      </c>
    </row>
    <row r="15" spans="1:4" x14ac:dyDescent="0.35">
      <c r="A15" s="14">
        <v>4</v>
      </c>
      <c r="B15" s="183" t="str">
        <f>IFERROR(VLOOKUP('PLANILHA RESUMO'!$A15,Tabela6[[ITEM]:[ESCOPO - DESCRITIVO]],2,0),"")</f>
        <v>CONSTRUÇÃO</v>
      </c>
      <c r="C15" s="184"/>
      <c r="D15" s="15" t="e">
        <f>IFERROR(VLOOKUP('PLANILHA RESUMO'!$A15,Tabela6[[ITEM]:[VALOR TOTAL MÁX.]],10,0),"")*(1+'PLANILHA ORÇAMENTÁRIA'!$K$493)</f>
        <v>#VALUE!</v>
      </c>
    </row>
    <row r="16" spans="1:4" x14ac:dyDescent="0.35">
      <c r="A16" s="100">
        <v>5</v>
      </c>
      <c r="B16" s="181" t="str">
        <f>IFERROR(VLOOKUP('PLANILHA RESUMO'!$A16,Tabela6[[ITEM]:[ESCOPO - DESCRITIVO]],2,0),"")</f>
        <v>REVESTIMENTOS</v>
      </c>
      <c r="C16" s="182"/>
      <c r="D16" s="101" t="e">
        <f>IFERROR(VLOOKUP('PLANILHA RESUMO'!$A16,Tabela6[[ITEM]:[VALOR TOTAL MÁX.]],10,0),"")*(1+'PLANILHA ORÇAMENTÁRIA'!$K$493)</f>
        <v>#VALUE!</v>
      </c>
    </row>
    <row r="17" spans="1:4" x14ac:dyDescent="0.35">
      <c r="A17" s="14">
        <v>6</v>
      </c>
      <c r="B17" s="183" t="str">
        <f>IFERROR(VLOOKUP('PLANILHA RESUMO'!$A17,Tabela6[[ITEM]:[ESCOPO - DESCRITIVO]],2,0),"")</f>
        <v>INSTALAÇÕES</v>
      </c>
      <c r="C17" s="184"/>
      <c r="D17" s="15" t="e">
        <f>IFERROR(VLOOKUP('PLANILHA RESUMO'!$A17,Tabela6[[ITEM]:[VALOR TOTAL MÁX.]],10,0),"")*(1+'PLANILHA ORÇAMENTÁRIA'!$K$493)</f>
        <v>#VALUE!</v>
      </c>
    </row>
    <row r="18" spans="1:4" x14ac:dyDescent="0.35">
      <c r="A18" s="100">
        <v>7</v>
      </c>
      <c r="B18" s="181" t="str">
        <f>IFERROR(VLOOKUP('PLANILHA RESUMO'!$A18,Tabela6[[ITEM]:[ESCOPO - DESCRITIVO]],2,0),"")</f>
        <v>SISTEMA DE REFRIGERAÇÃO</v>
      </c>
      <c r="C18" s="182"/>
      <c r="D18" s="101" t="e">
        <f>IFERROR(VLOOKUP('PLANILHA RESUMO'!$A18,Tabela6[[ITEM]:[VALOR TOTAL MÁX.]],10,0),"")*(1+'PLANILHA ORÇAMENTÁRIA'!$K$493)</f>
        <v>#VALUE!</v>
      </c>
    </row>
    <row r="19" spans="1:4" x14ac:dyDescent="0.35">
      <c r="A19" s="14">
        <v>8</v>
      </c>
      <c r="B19" s="183" t="str">
        <f>IFERROR(VLOOKUP('PLANILHA RESUMO'!$A19,Tabela6[[ITEM]:[ESCOPO - DESCRITIVO]],2,0),"")</f>
        <v>PINTURA</v>
      </c>
      <c r="C19" s="184"/>
      <c r="D19" s="15" t="e">
        <f>IFERROR(VLOOKUP('PLANILHA RESUMO'!$A19,Tabela6[[ITEM]:[VALOR TOTAL MÁX.]],10,0),"")*(1+'PLANILHA ORÇAMENTÁRIA'!$K$493)</f>
        <v>#VALUE!</v>
      </c>
    </row>
    <row r="20" spans="1:4" x14ac:dyDescent="0.35">
      <c r="A20" s="100">
        <v>9</v>
      </c>
      <c r="B20" s="181" t="str">
        <f>IFERROR(VLOOKUP('PLANILHA RESUMO'!$A20,Tabela6[[ITEM]:[ESCOPO - DESCRITIVO]],2,0),"")</f>
        <v>ESQUADRIAS</v>
      </c>
      <c r="C20" s="182"/>
      <c r="D20" s="101" t="e">
        <f>IFERROR(VLOOKUP('PLANILHA RESUMO'!$A20,Tabela6[[ITEM]:[VALOR TOTAL MÁX.]],10,0),"")*(1+'PLANILHA ORÇAMENTÁRIA'!$K$493)</f>
        <v>#VALUE!</v>
      </c>
    </row>
    <row r="21" spans="1:4" x14ac:dyDescent="0.35">
      <c r="A21" s="14">
        <v>10</v>
      </c>
      <c r="B21" s="183" t="str">
        <f>IFERROR(VLOOKUP('PLANILHA RESUMO'!$A21,Tabela6[[ITEM]:[ESCOPO - DESCRITIVO]],2,0),"")</f>
        <v>MARMORARIA</v>
      </c>
      <c r="C21" s="184"/>
      <c r="D21" s="15" t="e">
        <f>IFERROR(VLOOKUP('PLANILHA RESUMO'!$A21,Tabela6[[ITEM]:[VALOR TOTAL MÁX.]],10,0),"")*(1+'PLANILHA ORÇAMENTÁRIA'!$K$493)</f>
        <v>#VALUE!</v>
      </c>
    </row>
    <row r="22" spans="1:4" x14ac:dyDescent="0.35">
      <c r="A22" s="100">
        <v>11</v>
      </c>
      <c r="B22" s="181" t="str">
        <f>IFERROR(VLOOKUP('PLANILHA RESUMO'!$A22,Tabela6[[ITEM]:[ESCOPO - DESCRITIVO]],2,0),"")</f>
        <v>SISTEMA DE PROTEÇÃO E COMBATE A INCÊNDIO</v>
      </c>
      <c r="C22" s="182"/>
      <c r="D22" s="101" t="e">
        <f>IFERROR(VLOOKUP('PLANILHA RESUMO'!$A22,Tabela6[[ITEM]:[VALOR TOTAL MÁX.]],10,0),"")*(1+'PLANILHA ORÇAMENTÁRIA'!$K$493)</f>
        <v>#VALUE!</v>
      </c>
    </row>
    <row r="23" spans="1:4" x14ac:dyDescent="0.35">
      <c r="A23" s="14">
        <v>12</v>
      </c>
      <c r="B23" s="183" t="str">
        <f>IFERROR(VLOOKUP('PLANILHA RESUMO'!$A23,Tabela6[[ITEM]:[ESCOPO - DESCRITIVO]],2,0),"")</f>
        <v>MARCENARIA E SERRALHERIA</v>
      </c>
      <c r="C23" s="184"/>
      <c r="D23" s="15" t="e">
        <f>IFERROR(VLOOKUP('PLANILHA RESUMO'!$A23,Tabela6[[ITEM]:[VALOR TOTAL MÁX.]],10,0),"")*(1+'PLANILHA ORÇAMENTÁRIA'!$K$493)</f>
        <v>#VALUE!</v>
      </c>
    </row>
    <row r="24" spans="1:4" x14ac:dyDescent="0.35">
      <c r="A24" s="100">
        <v>13</v>
      </c>
      <c r="B24" s="181" t="str">
        <f>IFERROR(VLOOKUP('PLANILHA RESUMO'!$A24,Tabela6[[ITEM]:[ESCOPO - DESCRITIVO]],2,0),"")</f>
        <v>OMISSOS</v>
      </c>
      <c r="C24" s="182"/>
      <c r="D24" s="101" t="e">
        <f>IFERROR(VLOOKUP('PLANILHA RESUMO'!$A24,Tabela6[[ITEM]:[VALOR TOTAL MÁX.]],10,0),"")*(1+'PLANILHA ORÇAMENTÁRIA'!$K$493)</f>
        <v>#VALUE!</v>
      </c>
    </row>
    <row r="25" spans="1:4" x14ac:dyDescent="0.35">
      <c r="A25" s="14">
        <v>14</v>
      </c>
      <c r="B25" s="183" t="str">
        <f>IFERROR(VLOOKUP('PLANILHA RESUMO'!$A25,Tabela6[[ITEM]:[ESCOPO - DESCRITIVO]],2,0),"")</f>
        <v>LIMPEZA FINAL DE OBRA</v>
      </c>
      <c r="C25" s="184"/>
      <c r="D25" s="15" t="e">
        <f>IFERROR(VLOOKUP('PLANILHA RESUMO'!$A25,Tabela6[[ITEM]:[VALOR TOTAL MÁX.]],10,0),"")*(1+'PLANILHA ORÇAMENTÁRIA'!$K$493)</f>
        <v>#VALUE!</v>
      </c>
    </row>
    <row r="26" spans="1:4" ht="4.9000000000000004" customHeight="1" thickBot="1" x14ac:dyDescent="0.4">
      <c r="A26" s="12"/>
      <c r="D26" s="13" t="str">
        <f>IFERROR(VLOOKUP('PLANILHA RESUMO'!$A26,Tabela6[[ITEM]:[VALOR TOTAL MÁX.]],9,0),"")</f>
        <v/>
      </c>
    </row>
    <row r="27" spans="1:4" ht="21.5" thickBot="1" x14ac:dyDescent="0.55000000000000004">
      <c r="A27" s="185" t="s">
        <v>946</v>
      </c>
      <c r="B27" s="186"/>
      <c r="C27" s="187"/>
      <c r="D27" s="97" t="e">
        <f>SUM(D12:D25)</f>
        <v>#VALUE!</v>
      </c>
    </row>
    <row r="28" spans="1:4" ht="14.5" customHeight="1" x14ac:dyDescent="0.35">
      <c r="B28" s="4"/>
      <c r="D28" s="5"/>
    </row>
  </sheetData>
  <sheetProtection algorithmName="SHA-512" hashValue="HnSBD+Ge5WS9/fmnv9/+1JHSXkxKHdTGjLu+GdW/uAL38Nh5t9Np8/8WthLffzjmn9bxmtfx+C+AVtpe6l2DdA==" saltValue="DHoF+OTDHh7kSWab9EcPvA==" spinCount="100000" sheet="1" objects="1" scenarios="1"/>
  <mergeCells count="17">
    <mergeCell ref="A1:D1"/>
    <mergeCell ref="B15:C15"/>
    <mergeCell ref="B14:C14"/>
    <mergeCell ref="B13:C13"/>
    <mergeCell ref="B12:C12"/>
    <mergeCell ref="B11:C11"/>
    <mergeCell ref="A27:C27"/>
    <mergeCell ref="B20:C20"/>
    <mergeCell ref="B19:C19"/>
    <mergeCell ref="B18:C18"/>
    <mergeCell ref="B17:C17"/>
    <mergeCell ref="B24:C24"/>
    <mergeCell ref="B16:C16"/>
    <mergeCell ref="B25:C25"/>
    <mergeCell ref="B23:C23"/>
    <mergeCell ref="B22:C22"/>
    <mergeCell ref="B21:C21"/>
  </mergeCells>
  <phoneticPr fontId="5" type="noConversion"/>
  <pageMargins left="0.511811024" right="0.511811024" top="0.78740157499999996" bottom="0.78740157499999996" header="0.31496062000000002" footer="0.31496062000000002"/>
  <headerFooter>
    <oddHeader>&amp;L&amp;"Calibri"&amp;10&amp;K0000FF Interno&amp;1#_x000D_</oddHead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4B8B6-CFA5-4E23-A9D3-20CB0EAD548F}">
  <dimension ref="A1:Q46"/>
  <sheetViews>
    <sheetView zoomScale="80" zoomScaleNormal="80" workbookViewId="0">
      <selection activeCell="O34" sqref="O34"/>
    </sheetView>
  </sheetViews>
  <sheetFormatPr defaultRowHeight="14.5" x14ac:dyDescent="0.35"/>
  <cols>
    <col min="1" max="1" width="28.7265625" bestFit="1" customWidth="1"/>
    <col min="2" max="2" width="24.54296875" style="2" customWidth="1"/>
    <col min="3" max="3" width="20.7265625" style="2" customWidth="1"/>
    <col min="4" max="4" width="19.54296875" style="1" bestFit="1" customWidth="1"/>
    <col min="5" max="5" width="20.7265625" customWidth="1"/>
    <col min="6" max="12" width="9.26953125" bestFit="1" customWidth="1"/>
    <col min="13" max="14" width="9.26953125" customWidth="1"/>
    <col min="15" max="15" width="9.26953125" bestFit="1" customWidth="1"/>
    <col min="16" max="17" width="19" customWidth="1"/>
  </cols>
  <sheetData>
    <row r="1" spans="1:17" ht="55.9" customHeight="1" x14ac:dyDescent="0.35">
      <c r="A1" s="204" t="s">
        <v>947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</row>
    <row r="2" spans="1:17" ht="4.9000000000000004" customHeight="1" thickBot="1" x14ac:dyDescent="0.4"/>
    <row r="3" spans="1:17" x14ac:dyDescent="0.35">
      <c r="A3" s="25" t="s">
        <v>2</v>
      </c>
      <c r="B3" s="212">
        <f>'PLANILHA ORÇAMENTÁRIA'!F3</f>
        <v>0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30"/>
      <c r="N3" s="68" t="s">
        <v>938</v>
      </c>
      <c r="O3" s="69"/>
      <c r="P3" s="208">
        <f>'PLANILHA ORÇAMENTÁRIA'!K3</f>
        <v>0</v>
      </c>
      <c r="Q3" s="209"/>
    </row>
    <row r="4" spans="1:17" x14ac:dyDescent="0.35">
      <c r="A4" s="27" t="s">
        <v>4</v>
      </c>
      <c r="B4" s="213">
        <f>'PLANILHA ORÇAMENTÁRIA'!F4</f>
        <v>0</v>
      </c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32"/>
      <c r="N4" s="70" t="s">
        <v>939</v>
      </c>
      <c r="O4" s="71"/>
      <c r="P4" s="210">
        <f>'PLANILHA ORÇAMENTÁRIA'!K4</f>
        <v>0</v>
      </c>
      <c r="Q4" s="211"/>
    </row>
    <row r="5" spans="1:17" x14ac:dyDescent="0.35">
      <c r="A5" s="27" t="s">
        <v>6</v>
      </c>
      <c r="B5" s="213">
        <f>'PLANILHA ORÇAMENTÁRIA'!F5</f>
        <v>0</v>
      </c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32"/>
      <c r="N5" s="70" t="s">
        <v>940</v>
      </c>
      <c r="O5" s="71"/>
      <c r="P5" s="210">
        <f>'PLANILHA ORÇAMENTÁRIA'!K5</f>
        <v>0</v>
      </c>
      <c r="Q5" s="211"/>
    </row>
    <row r="6" spans="1:17" ht="15" thickBot="1" x14ac:dyDescent="0.4">
      <c r="A6" s="26" t="s">
        <v>7</v>
      </c>
      <c r="B6" s="214">
        <f>'PLANILHA ORÇAMENTÁRIA'!F6</f>
        <v>0</v>
      </c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9"/>
      <c r="N6" s="72" t="s">
        <v>941</v>
      </c>
      <c r="O6" s="73"/>
      <c r="P6" s="206">
        <f>'PLANILHA ORÇAMENTÁRIA'!K6</f>
        <v>0</v>
      </c>
      <c r="Q6" s="207"/>
    </row>
    <row r="7" spans="1:17" ht="4.9000000000000004" customHeight="1" thickBot="1" x14ac:dyDescent="0.4">
      <c r="D7" s="2"/>
      <c r="E7" s="2"/>
      <c r="F7" s="2"/>
      <c r="G7" s="2"/>
      <c r="H7" s="2"/>
      <c r="I7" s="2"/>
      <c r="J7" s="2"/>
      <c r="K7" s="2"/>
      <c r="L7" s="2"/>
      <c r="M7" s="2"/>
      <c r="N7" s="7"/>
    </row>
    <row r="8" spans="1:17" x14ac:dyDescent="0.35">
      <c r="A8" s="25" t="s">
        <v>8</v>
      </c>
      <c r="B8" s="212" t="str">
        <f>'PLANILHA ORÇAMENTÁRIA'!F8</f>
        <v>ESCOLA SEBRAE DE NEGÓCIOS</v>
      </c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30"/>
      <c r="N8" s="68" t="s">
        <v>942</v>
      </c>
      <c r="O8" s="69"/>
      <c r="P8" s="208">
        <f>ÁREA_CONSTRUIDA</f>
        <v>1150.02</v>
      </c>
      <c r="Q8" s="209"/>
    </row>
    <row r="9" spans="1:17" ht="15" thickBot="1" x14ac:dyDescent="0.4">
      <c r="A9" s="26" t="s">
        <v>10</v>
      </c>
      <c r="B9" s="215" t="str">
        <f>'PLANILHA ORÇAMENTÁRIA'!F9</f>
        <v>AV. MARECHAL CÂMARA, 171 - 2º ANDAR - CENTRO</v>
      </c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31"/>
      <c r="N9" s="72" t="s">
        <v>943</v>
      </c>
      <c r="O9" s="73"/>
      <c r="P9" s="206">
        <f>PRAZO_DE_OBRA</f>
        <v>105</v>
      </c>
      <c r="Q9" s="207"/>
    </row>
    <row r="10" spans="1:17" ht="4.9000000000000004" customHeight="1" x14ac:dyDescent="0.35">
      <c r="O10" s="1"/>
    </row>
    <row r="11" spans="1:17" ht="15" thickBot="1" x14ac:dyDescent="0.4"/>
    <row r="12" spans="1:17" s="1" customFormat="1" ht="14.5" customHeight="1" x14ac:dyDescent="0.35">
      <c r="A12" s="229" t="s">
        <v>15</v>
      </c>
      <c r="B12" s="221" t="s">
        <v>948</v>
      </c>
      <c r="C12" s="221" t="s">
        <v>17</v>
      </c>
      <c r="D12" s="219" t="s">
        <v>949</v>
      </c>
      <c r="E12" s="219" t="s">
        <v>950</v>
      </c>
      <c r="F12" s="102" t="s">
        <v>951</v>
      </c>
      <c r="G12" s="102" t="s">
        <v>951</v>
      </c>
      <c r="H12" s="102" t="s">
        <v>951</v>
      </c>
      <c r="I12" s="102" t="s">
        <v>951</v>
      </c>
      <c r="J12" s="102" t="s">
        <v>951</v>
      </c>
      <c r="K12" s="102" t="s">
        <v>951</v>
      </c>
      <c r="L12" s="102" t="s">
        <v>951</v>
      </c>
      <c r="M12" s="102" t="s">
        <v>951</v>
      </c>
      <c r="N12" s="102" t="s">
        <v>951</v>
      </c>
      <c r="O12" s="102" t="s">
        <v>951</v>
      </c>
      <c r="P12" s="217" t="s">
        <v>952</v>
      </c>
      <c r="Q12" s="217" t="s">
        <v>953</v>
      </c>
    </row>
    <row r="13" spans="1:17" ht="15" thickBot="1" x14ac:dyDescent="0.4">
      <c r="A13" s="230"/>
      <c r="B13" s="222"/>
      <c r="C13" s="222"/>
      <c r="D13" s="220"/>
      <c r="E13" s="227"/>
      <c r="F13" s="103">
        <v>1</v>
      </c>
      <c r="G13" s="104">
        <f>F13+1</f>
        <v>2</v>
      </c>
      <c r="H13" s="104">
        <f t="shared" ref="H13:L13" si="0">G13+1</f>
        <v>3</v>
      </c>
      <c r="I13" s="104">
        <f t="shared" si="0"/>
        <v>4</v>
      </c>
      <c r="J13" s="104">
        <f t="shared" si="0"/>
        <v>5</v>
      </c>
      <c r="K13" s="104">
        <f t="shared" si="0"/>
        <v>6</v>
      </c>
      <c r="L13" s="104">
        <f t="shared" si="0"/>
        <v>7</v>
      </c>
      <c r="M13" s="104">
        <v>8</v>
      </c>
      <c r="N13" s="104">
        <f t="shared" ref="N13" si="1">M13+1</f>
        <v>9</v>
      </c>
      <c r="O13" s="104">
        <v>10</v>
      </c>
      <c r="P13" s="228"/>
      <c r="Q13" s="218"/>
    </row>
    <row r="14" spans="1:17" x14ac:dyDescent="0.35">
      <c r="A14" s="105">
        <v>1</v>
      </c>
      <c r="B14" s="106" t="str">
        <f>IFERROR(VLOOKUP(A14,Tabela6[[ITEM]:[ESCOPO - DESCRITIVO]],2,0),"")</f>
        <v>SERVIÇOS PRELIMINARES</v>
      </c>
      <c r="C14" s="107" t="s">
        <v>25</v>
      </c>
      <c r="D14" s="108">
        <v>1</v>
      </c>
      <c r="E14" s="109">
        <v>2</v>
      </c>
      <c r="F14" s="16" t="str">
        <f t="shared" ref="F14:K23" si="2">IF(AND($D14&lt;=F$13,$E14&gt;=F$13),"x","")</f>
        <v>x</v>
      </c>
      <c r="G14" s="18" t="str">
        <f t="shared" si="2"/>
        <v>x</v>
      </c>
      <c r="H14" s="18" t="str">
        <f t="shared" si="2"/>
        <v/>
      </c>
      <c r="I14" s="18" t="str">
        <f t="shared" si="2"/>
        <v/>
      </c>
      <c r="J14" s="18" t="str">
        <f t="shared" si="2"/>
        <v/>
      </c>
      <c r="K14" s="17" t="str">
        <f t="shared" si="2"/>
        <v/>
      </c>
      <c r="L14" s="18" t="str">
        <f t="shared" ref="L14:O23" si="3">IF(AND($D14&lt;=L$13,$E14&gt;=L$13),"x","")</f>
        <v/>
      </c>
      <c r="M14" s="18" t="str">
        <f t="shared" si="3"/>
        <v/>
      </c>
      <c r="N14" s="18" t="str">
        <f t="shared" si="3"/>
        <v/>
      </c>
      <c r="O14" s="18" t="str">
        <f t="shared" si="3"/>
        <v/>
      </c>
      <c r="P14" s="127" cm="1">
        <f t="array" ref="P14">IFERROR(_xlfn.IFS(O14="X",$O$13,N14="X",$N$13,M14="X",$M$13,L14="X",$L$13,K14="X",$K$13,J14="X",$J$13,I14="X",$I$13,H14="X",$H$13,G14="X",$G$13,F14="X",$F$13),"")</f>
        <v>2</v>
      </c>
      <c r="Q14" s="128">
        <f>SUMIF('PLANILHA ORÇAMENTÁRIA'!G14:G34,C14,'PLANILHA ORÇAMENTÁRIA'!K14:K34)*(1+'PLANILHA ORÇAMENTÁRIA'!$K$493)</f>
        <v>396631.15064117999</v>
      </c>
    </row>
    <row r="15" spans="1:17" x14ac:dyDescent="0.35">
      <c r="A15" s="110">
        <v>2</v>
      </c>
      <c r="B15" s="111" t="str">
        <f>IFERROR(VLOOKUP(A15,Tabela6[[ITEM]:[ESCOPO - DESCRITIVO]],2,0),"")</f>
        <v>ADMINISTRATIVO</v>
      </c>
      <c r="C15" s="112" t="s">
        <v>25</v>
      </c>
      <c r="D15" s="113">
        <v>3</v>
      </c>
      <c r="E15" s="114">
        <v>7</v>
      </c>
      <c r="F15" s="19" t="str">
        <f t="shared" si="2"/>
        <v/>
      </c>
      <c r="G15" s="21"/>
      <c r="H15" s="21" t="str">
        <f t="shared" si="2"/>
        <v>x</v>
      </c>
      <c r="I15" s="21" t="str">
        <f t="shared" si="2"/>
        <v>x</v>
      </c>
      <c r="J15" s="21" t="str">
        <f t="shared" si="2"/>
        <v>x</v>
      </c>
      <c r="K15" s="20" t="str">
        <f t="shared" si="2"/>
        <v>x</v>
      </c>
      <c r="L15" s="21" t="str">
        <f t="shared" si="3"/>
        <v>x</v>
      </c>
      <c r="M15" s="21" t="str">
        <f t="shared" si="3"/>
        <v/>
      </c>
      <c r="N15" s="21" t="str">
        <f t="shared" si="3"/>
        <v/>
      </c>
      <c r="O15" s="21" t="str">
        <f t="shared" si="3"/>
        <v/>
      </c>
      <c r="P15" s="129" cm="1">
        <f t="array" ref="P15">IFERROR(_xlfn.IFS(O15="X",$O$13,N15="X",$N$13,M15="X",$M$13,L15="X",$L$13,K15="X",$K$13,J15="X",$J$13,I15="X",$I$13,H15="X",$H$13,G15="X",$G$13,F15="X",$F$13),"")</f>
        <v>7</v>
      </c>
      <c r="Q15" s="130">
        <f>SUMIF('PLANILHA ORÇAMENTÁRIA'!G37:G56,C15,'PLANILHA ORÇAMENTÁRIA'!K37:K56)*(1+'PLANILHA ORÇAMENTÁRIA'!$K$493)</f>
        <v>252896.93567423997</v>
      </c>
    </row>
    <row r="16" spans="1:17" x14ac:dyDescent="0.35">
      <c r="A16" s="115">
        <v>3</v>
      </c>
      <c r="B16" s="116" t="str">
        <f>IFERROR(VLOOKUP(A16,Tabela6[[ITEM]:[ESCOPO - DESCRITIVO]],2,0),"")</f>
        <v>DEMOLIÇÃO</v>
      </c>
      <c r="C16" s="117" t="s">
        <v>25</v>
      </c>
      <c r="D16" s="118">
        <v>3</v>
      </c>
      <c r="E16" s="114">
        <v>3</v>
      </c>
      <c r="F16" s="19" t="str">
        <f t="shared" si="2"/>
        <v/>
      </c>
      <c r="G16" s="21" t="str">
        <f t="shared" si="2"/>
        <v/>
      </c>
      <c r="H16" s="21" t="str">
        <f t="shared" si="2"/>
        <v>x</v>
      </c>
      <c r="I16" s="21" t="str">
        <f t="shared" si="2"/>
        <v/>
      </c>
      <c r="J16" s="21" t="str">
        <f t="shared" si="2"/>
        <v/>
      </c>
      <c r="K16" s="20" t="str">
        <f t="shared" si="2"/>
        <v/>
      </c>
      <c r="L16" s="21" t="str">
        <f t="shared" si="3"/>
        <v/>
      </c>
      <c r="M16" s="21" t="str">
        <f t="shared" si="3"/>
        <v/>
      </c>
      <c r="N16" s="21" t="str">
        <f t="shared" si="3"/>
        <v/>
      </c>
      <c r="O16" s="21" t="str">
        <f t="shared" si="3"/>
        <v/>
      </c>
      <c r="P16" s="129" cm="1">
        <f t="array" ref="P16">IFERROR(_xlfn.IFS(O16="X",$O$13,N16="X",$N$13,M16="X",$M$13,L16="X",$L$13,K16="X",$K$13,J16="X",$J$13,I16="X",$I$13,H16="X",$H$13,G16="X",$G$13,F16="X",$F$13),"")</f>
        <v>3</v>
      </c>
      <c r="Q16" s="130">
        <f>SUMIF('PLANILHA ORÇAMENTÁRIA'!G59:G111,C16,'PLANILHA ORÇAMENTÁRIA'!K59:K111)*(1+'PLANILHA ORÇAMENTÁRIA'!$K$493)</f>
        <v>115914.00096899999</v>
      </c>
    </row>
    <row r="17" spans="1:17" x14ac:dyDescent="0.35">
      <c r="A17" s="223">
        <v>4</v>
      </c>
      <c r="B17" s="225" t="str">
        <f>IFERROR(VLOOKUP(A17,Tabela6[[ITEM]:[ESCOPO - DESCRITIVO]],2,0),"")</f>
        <v>CONSTRUÇÃO</v>
      </c>
      <c r="C17" s="112" t="s">
        <v>223</v>
      </c>
      <c r="D17" s="113">
        <v>4</v>
      </c>
      <c r="E17" s="114">
        <v>4</v>
      </c>
      <c r="F17" s="19" t="str">
        <f t="shared" si="2"/>
        <v/>
      </c>
      <c r="G17" s="21" t="str">
        <f t="shared" si="2"/>
        <v/>
      </c>
      <c r="H17" s="21" t="str">
        <f t="shared" si="2"/>
        <v/>
      </c>
      <c r="I17" s="21" t="str">
        <f t="shared" si="2"/>
        <v>x</v>
      </c>
      <c r="J17" s="21" t="str">
        <f t="shared" si="2"/>
        <v/>
      </c>
      <c r="K17" s="20" t="str">
        <f t="shared" si="2"/>
        <v/>
      </c>
      <c r="L17" s="21" t="str">
        <f t="shared" si="3"/>
        <v/>
      </c>
      <c r="M17" s="21" t="str">
        <f t="shared" si="3"/>
        <v/>
      </c>
      <c r="N17" s="21" t="str">
        <f t="shared" si="3"/>
        <v/>
      </c>
      <c r="O17" s="21" t="str">
        <f t="shared" si="3"/>
        <v/>
      </c>
      <c r="P17" s="129" cm="1">
        <f t="array" ref="P17">IFERROR(_xlfn.IFS(O17="X",$O$13,N17="X",$N$13,M17="X",$M$13,L17="X",$L$13,K17="X",$K$13,J17="X",$J$13,I17="X",$I$13,H17="X",$H$13,G17="X",$G$13,F17="X",$F$13),"")</f>
        <v>4</v>
      </c>
      <c r="Q17" s="130">
        <f>SUMIF('PLANILHA ORÇAMENTÁRIA'!G114:G160,C17,'PLANILHA ORÇAMENTÁRIA'!K114:K160)*(1+'PLANILHA ORÇAMENTÁRIA'!$K$493)</f>
        <v>110059.93865423699</v>
      </c>
    </row>
    <row r="18" spans="1:17" x14ac:dyDescent="0.35">
      <c r="A18" s="224"/>
      <c r="B18" s="226"/>
      <c r="C18" s="112" t="s">
        <v>284</v>
      </c>
      <c r="D18" s="113">
        <v>5</v>
      </c>
      <c r="E18" s="114">
        <v>6</v>
      </c>
      <c r="F18" s="19" t="str">
        <f t="shared" si="2"/>
        <v/>
      </c>
      <c r="G18" s="21" t="str">
        <f t="shared" si="2"/>
        <v/>
      </c>
      <c r="H18" s="21" t="str">
        <f t="shared" si="2"/>
        <v/>
      </c>
      <c r="I18" s="21" t="str">
        <f t="shared" si="2"/>
        <v/>
      </c>
      <c r="J18" s="21" t="str">
        <f t="shared" si="2"/>
        <v>x</v>
      </c>
      <c r="K18" s="20" t="str">
        <f t="shared" si="2"/>
        <v>x</v>
      </c>
      <c r="L18" s="21" t="str">
        <f t="shared" si="3"/>
        <v/>
      </c>
      <c r="M18" s="21" t="str">
        <f t="shared" si="3"/>
        <v/>
      </c>
      <c r="N18" s="21" t="str">
        <f t="shared" si="3"/>
        <v/>
      </c>
      <c r="O18" s="21" t="str">
        <f t="shared" si="3"/>
        <v/>
      </c>
      <c r="P18" s="129" cm="1">
        <f t="array" ref="P18">IFERROR(_xlfn.IFS(O18="X",$O$13,N18="X",$N$13,M18="X",$M$13,L18="X",$L$13,K18="X",$K$13,J18="X",$J$13,I18="X",$I$13,H18="X",$H$13,G18="X",$G$13,F18="X",$F$13),"")</f>
        <v>6</v>
      </c>
      <c r="Q18" s="130">
        <f>SUMIF('PLANILHA ORÇAMENTÁRIA'!G115:G161,C18,'PLANILHA ORÇAMENTÁRIA'!K115:K161)*(1+'PLANILHA ORÇAMENTÁRIA'!$K$493)</f>
        <v>605941.80197966995</v>
      </c>
    </row>
    <row r="19" spans="1:17" x14ac:dyDescent="0.35">
      <c r="A19" s="115">
        <v>5</v>
      </c>
      <c r="B19" s="116" t="str">
        <f>IFERROR(VLOOKUP(A19,Tabela6[[ITEM]:[ESCOPO - DESCRITIVO]],2,0),"")</f>
        <v>REVESTIMENTOS</v>
      </c>
      <c r="C19" s="117" t="s">
        <v>25</v>
      </c>
      <c r="D19" s="118">
        <v>7</v>
      </c>
      <c r="E19" s="114">
        <v>7</v>
      </c>
      <c r="F19" s="19" t="str">
        <f t="shared" si="2"/>
        <v/>
      </c>
      <c r="G19" s="21" t="str">
        <f t="shared" si="2"/>
        <v/>
      </c>
      <c r="H19" s="21" t="str">
        <f t="shared" si="2"/>
        <v/>
      </c>
      <c r="I19" s="21" t="str">
        <f t="shared" si="2"/>
        <v/>
      </c>
      <c r="J19" s="21" t="str">
        <f t="shared" si="2"/>
        <v/>
      </c>
      <c r="K19" s="20" t="str">
        <f t="shared" si="2"/>
        <v/>
      </c>
      <c r="L19" s="21" t="str">
        <f t="shared" si="3"/>
        <v>x</v>
      </c>
      <c r="M19" s="21" t="str">
        <f t="shared" si="3"/>
        <v/>
      </c>
      <c r="N19" s="21" t="str">
        <f t="shared" si="3"/>
        <v/>
      </c>
      <c r="O19" s="21" t="str">
        <f t="shared" si="3"/>
        <v/>
      </c>
      <c r="P19" s="129" cm="1">
        <f t="array" ref="P19">IFERROR(_xlfn.IFS(O19="X",$O$13,N19="X",$N$13,M19="X",$M$13,L19="X",$L$13,K19="X",$K$13,J19="X",$J$13,I19="X",$I$13,H19="X",$H$13,G19="X",$G$13,F19="X",$F$13),"")</f>
        <v>7</v>
      </c>
      <c r="Q19" s="130">
        <f>SUMIF('PLANILHA ORÇAMENTÁRIA'!G161:G188,C19,'PLANILHA ORÇAMENTÁRIA'!K161:K188)*(1+'PLANILHA ORÇAMENTÁRIA'!$K$493)</f>
        <v>452088.74336534995</v>
      </c>
    </row>
    <row r="20" spans="1:17" x14ac:dyDescent="0.35">
      <c r="A20" s="223">
        <v>6</v>
      </c>
      <c r="B20" s="225" t="str">
        <f>IFERROR(VLOOKUP(A20,Tabela6[[ITEM]:[ESCOPO - DESCRITIVO]],2,0),"")</f>
        <v>INSTALAÇÕES</v>
      </c>
      <c r="C20" s="112" t="s">
        <v>223</v>
      </c>
      <c r="D20" s="113">
        <v>5</v>
      </c>
      <c r="E20" s="114">
        <v>6</v>
      </c>
      <c r="F20" s="19" t="str">
        <f t="shared" si="2"/>
        <v/>
      </c>
      <c r="G20" s="21" t="str">
        <f t="shared" si="2"/>
        <v/>
      </c>
      <c r="H20" s="21" t="str">
        <f t="shared" si="2"/>
        <v/>
      </c>
      <c r="I20" s="21" t="str">
        <f t="shared" si="2"/>
        <v/>
      </c>
      <c r="J20" s="21" t="str">
        <f t="shared" si="2"/>
        <v>x</v>
      </c>
      <c r="K20" s="20" t="str">
        <f t="shared" si="2"/>
        <v>x</v>
      </c>
      <c r="L20" s="21" t="str">
        <f t="shared" si="3"/>
        <v/>
      </c>
      <c r="M20" s="21" t="str">
        <f t="shared" si="3"/>
        <v/>
      </c>
      <c r="N20" s="21" t="str">
        <f t="shared" si="3"/>
        <v/>
      </c>
      <c r="O20" s="21" t="str">
        <f t="shared" si="3"/>
        <v/>
      </c>
      <c r="P20" s="129" cm="1">
        <f t="array" ref="P20">IFERROR(_xlfn.IFS(O20="X",$O$13,N20="X",$N$13,M20="X",$M$13,L20="X",$L$13,K20="X",$K$13,J20="X",$J$13,I20="X",$I$13,H20="X",$H$13,G20="X",$G$13,F20="X",$F$13),"")</f>
        <v>6</v>
      </c>
      <c r="Q20" s="130">
        <f>SUMIF('PLANILHA ORÇAMENTÁRIA'!G191:G314,C20,'PLANILHA ORÇAMENTÁRIA'!K191:K314)*(1+'PLANILHA ORÇAMENTÁRIA'!$K$493)</f>
        <v>303054.98512652994</v>
      </c>
    </row>
    <row r="21" spans="1:17" x14ac:dyDescent="0.35">
      <c r="A21" s="235"/>
      <c r="B21" s="236"/>
      <c r="C21" s="112" t="s">
        <v>284</v>
      </c>
      <c r="D21" s="113">
        <v>6</v>
      </c>
      <c r="E21" s="114">
        <v>7</v>
      </c>
      <c r="F21" s="19" t="str">
        <f t="shared" si="2"/>
        <v/>
      </c>
      <c r="G21" s="21" t="str">
        <f t="shared" si="2"/>
        <v/>
      </c>
      <c r="H21" s="21" t="str">
        <f t="shared" si="2"/>
        <v/>
      </c>
      <c r="I21" s="21" t="str">
        <f t="shared" si="2"/>
        <v/>
      </c>
      <c r="J21" s="21" t="str">
        <f t="shared" si="2"/>
        <v/>
      </c>
      <c r="K21" s="20" t="str">
        <f t="shared" si="2"/>
        <v>x</v>
      </c>
      <c r="L21" s="21" t="str">
        <f t="shared" si="3"/>
        <v>x</v>
      </c>
      <c r="M21" s="21" t="str">
        <f t="shared" si="3"/>
        <v/>
      </c>
      <c r="N21" s="21" t="str">
        <f t="shared" si="3"/>
        <v/>
      </c>
      <c r="O21" s="21" t="str">
        <f t="shared" si="3"/>
        <v/>
      </c>
      <c r="P21" s="129" cm="1">
        <f t="array" ref="P21">IFERROR(_xlfn.IFS(O21="X",$O$13,N21="X",$N$13,M21="X",$M$13,L21="X",$L$13,K21="X",$K$13,J21="X",$J$13,I21="X",$I$13,H21="X",$H$13,G21="X",$G$13,F21="X",$F$13),"")</f>
        <v>7</v>
      </c>
      <c r="Q21" s="130">
        <f>SUMIF('PLANILHA ORÇAMENTÁRIA'!G193:G315,C21,'PLANILHA ORÇAMENTÁRIA'!K193:K315)*(1+'PLANILHA ORÇAMENTÁRIA'!$K$493)</f>
        <v>118869.972039</v>
      </c>
    </row>
    <row r="22" spans="1:17" x14ac:dyDescent="0.35">
      <c r="A22" s="231">
        <v>7</v>
      </c>
      <c r="B22" s="233" t="str">
        <f>IFERROR(VLOOKUP(A22,Tabela6[[ITEM]:[ESCOPO - DESCRITIVO]],2,0),"")</f>
        <v>SISTEMA DE REFRIGERAÇÃO</v>
      </c>
      <c r="C22" s="117" t="s">
        <v>223</v>
      </c>
      <c r="D22" s="118">
        <v>5</v>
      </c>
      <c r="E22" s="114">
        <v>6</v>
      </c>
      <c r="F22" s="19" t="str">
        <f t="shared" si="2"/>
        <v/>
      </c>
      <c r="G22" s="21" t="str">
        <f t="shared" si="2"/>
        <v/>
      </c>
      <c r="H22" s="21" t="str">
        <f t="shared" si="2"/>
        <v/>
      </c>
      <c r="I22" s="21" t="str">
        <f t="shared" si="2"/>
        <v/>
      </c>
      <c r="J22" s="21" t="str">
        <f t="shared" si="2"/>
        <v>x</v>
      </c>
      <c r="K22" s="20" t="str">
        <f t="shared" si="2"/>
        <v>x</v>
      </c>
      <c r="L22" s="21" t="str">
        <f t="shared" si="3"/>
        <v/>
      </c>
      <c r="M22" s="21" t="str">
        <f t="shared" si="3"/>
        <v/>
      </c>
      <c r="N22" s="21" t="str">
        <f t="shared" si="3"/>
        <v/>
      </c>
      <c r="O22" s="21" t="str">
        <f t="shared" si="3"/>
        <v/>
      </c>
      <c r="P22" s="129" cm="1">
        <f t="array" ref="P22">IFERROR(_xlfn.IFS(O22="X",$O$13,N22="X",$N$13,M22="X",$M$13,L22="X",$L$13,K22="X",$K$13,J22="X",$J$13,I22="X",$I$13,H22="X",$H$13,G22="X",$G$13,F22="X",$F$13),"")</f>
        <v>6</v>
      </c>
      <c r="Q22" s="130">
        <f>SUMIF('PLANILHA ORÇAMENTÁRIA'!G317:G340,C22,'PLANILHA ORÇAMENTÁRIA'!K317:K340)*(1+'PLANILHA ORÇAMENTÁRIA'!$K$493)</f>
        <v>194468.89293350995</v>
      </c>
    </row>
    <row r="23" spans="1:17" x14ac:dyDescent="0.35">
      <c r="A23" s="232"/>
      <c r="B23" s="234"/>
      <c r="C23" s="117" t="s">
        <v>284</v>
      </c>
      <c r="D23" s="118">
        <v>6</v>
      </c>
      <c r="E23" s="114">
        <v>7</v>
      </c>
      <c r="F23" s="19" t="str">
        <f t="shared" si="2"/>
        <v/>
      </c>
      <c r="G23" s="21" t="str">
        <f t="shared" si="2"/>
        <v/>
      </c>
      <c r="H23" s="21" t="str">
        <f t="shared" si="2"/>
        <v/>
      </c>
      <c r="I23" s="21" t="str">
        <f t="shared" si="2"/>
        <v/>
      </c>
      <c r="J23" s="21" t="str">
        <f t="shared" si="2"/>
        <v/>
      </c>
      <c r="K23" s="20" t="str">
        <f t="shared" si="2"/>
        <v>x</v>
      </c>
      <c r="L23" s="21" t="str">
        <f t="shared" si="3"/>
        <v>x</v>
      </c>
      <c r="M23" s="21" t="str">
        <f t="shared" si="3"/>
        <v/>
      </c>
      <c r="N23" s="21" t="str">
        <f t="shared" si="3"/>
        <v/>
      </c>
      <c r="O23" s="21" t="str">
        <f t="shared" si="3"/>
        <v/>
      </c>
      <c r="P23" s="129" cm="1">
        <f t="array" ref="P23">IFERROR(_xlfn.IFS(O23="X",$O$13,N23="X",$N$13,M23="X",$M$13,L23="X",$L$13,K23="X",$K$13,J23="X",$J$13,I23="X",$I$13,H23="X",$H$13,G23="X",$G$13,F23="X",$F$13),"")</f>
        <v>7</v>
      </c>
      <c r="Q23" s="130">
        <f>SUMIF('PLANILHA ORÇAMENTÁRIA'!G318:G341,C23,'PLANILHA ORÇAMENTÁRIA'!K318:K341)*(1+'PLANILHA ORÇAMENTÁRIA'!$K$493)</f>
        <v>92077.959870000006</v>
      </c>
    </row>
    <row r="24" spans="1:17" x14ac:dyDescent="0.35">
      <c r="A24" s="110">
        <v>8</v>
      </c>
      <c r="B24" s="111" t="str">
        <f>IFERROR(VLOOKUP(A24,Tabela6[[ITEM]:[ESCOPO - DESCRITIVO]],2,0),"")</f>
        <v>PINTURA</v>
      </c>
      <c r="C24" s="112" t="s">
        <v>25</v>
      </c>
      <c r="D24" s="113">
        <v>6</v>
      </c>
      <c r="E24" s="114">
        <v>7</v>
      </c>
      <c r="F24" s="19" t="str">
        <f t="shared" ref="F24:K31" si="4">IF(AND($D24&lt;=F$13,$E24&gt;=F$13),"x","")</f>
        <v/>
      </c>
      <c r="G24" s="21" t="str">
        <f t="shared" si="4"/>
        <v/>
      </c>
      <c r="H24" s="21" t="str">
        <f t="shared" si="4"/>
        <v/>
      </c>
      <c r="I24" s="21" t="str">
        <f t="shared" si="4"/>
        <v/>
      </c>
      <c r="J24" s="21" t="str">
        <f t="shared" si="4"/>
        <v/>
      </c>
      <c r="K24" s="20" t="str">
        <f t="shared" si="4"/>
        <v>x</v>
      </c>
      <c r="L24" s="21" t="str">
        <f t="shared" ref="L24:O31" si="5">IF(AND($D24&lt;=L$13,$E24&gt;=L$13),"x","")</f>
        <v>x</v>
      </c>
      <c r="M24" s="21" t="str">
        <f t="shared" si="5"/>
        <v/>
      </c>
      <c r="N24" s="21" t="str">
        <f t="shared" si="5"/>
        <v/>
      </c>
      <c r="O24" s="21" t="str">
        <f t="shared" si="5"/>
        <v/>
      </c>
      <c r="P24" s="129" cm="1">
        <f t="array" ref="P24">IFERROR(_xlfn.IFS(O24="X",$O$13,N24="X",$N$13,M24="X",$M$13,L24="X",$L$13,K24="X",$K$13,J24="X",$J$13,I24="X",$I$13,H24="X",$H$13,G24="X",$G$13,F24="X",$F$13),"")</f>
        <v>7</v>
      </c>
      <c r="Q24" s="130">
        <f>SUMIF('PLANILHA ORÇAMENTÁRIA'!G343:G373,C24,'PLANILHA ORÇAMENTÁRIA'!K343:K373)*(1+'PLANILHA ORÇAMENTÁRIA'!$K$493)</f>
        <v>186924.39398451001</v>
      </c>
    </row>
    <row r="25" spans="1:17" x14ac:dyDescent="0.35">
      <c r="A25" s="115">
        <v>9</v>
      </c>
      <c r="B25" s="116" t="str">
        <f>IFERROR(VLOOKUP(A25,Tabela6[[ITEM]:[ESCOPO - DESCRITIVO]],2,0),"")</f>
        <v>ESQUADRIAS</v>
      </c>
      <c r="C25" s="117" t="s">
        <v>25</v>
      </c>
      <c r="D25" s="118">
        <v>6</v>
      </c>
      <c r="E25" s="114">
        <v>6</v>
      </c>
      <c r="F25" s="19" t="str">
        <f t="shared" si="4"/>
        <v/>
      </c>
      <c r="G25" s="21" t="str">
        <f t="shared" si="4"/>
        <v/>
      </c>
      <c r="H25" s="21" t="str">
        <f t="shared" si="4"/>
        <v/>
      </c>
      <c r="I25" s="21" t="str">
        <f t="shared" si="4"/>
        <v/>
      </c>
      <c r="J25" s="21" t="str">
        <f t="shared" si="4"/>
        <v/>
      </c>
      <c r="K25" s="20" t="str">
        <f t="shared" si="4"/>
        <v>x</v>
      </c>
      <c r="L25" s="21" t="str">
        <f t="shared" si="5"/>
        <v/>
      </c>
      <c r="M25" s="21" t="str">
        <f t="shared" si="5"/>
        <v/>
      </c>
      <c r="N25" s="21" t="str">
        <f t="shared" si="5"/>
        <v/>
      </c>
      <c r="O25" s="21" t="str">
        <f t="shared" si="5"/>
        <v/>
      </c>
      <c r="P25" s="129" cm="1">
        <f t="array" ref="P25">IFERROR(_xlfn.IFS(O25="X",$O$13,N25="X",$N$13,M25="X",$M$13,L25="X",$L$13,K25="X",$K$13,J25="X",$J$13,I25="X",$I$13,H25="X",$H$13,G25="X",$G$13,F25="X",$F$13),"")</f>
        <v>6</v>
      </c>
      <c r="Q25" s="130">
        <f>SUMIF('PLANILHA ORÇAMENTÁRIA'!G376:G430,C25,'PLANILHA ORÇAMENTÁRIA'!K376:K430)*(1+'PLANILHA ORÇAMENTÁRIA'!$K$493)</f>
        <v>38135.0268</v>
      </c>
    </row>
    <row r="26" spans="1:17" hidden="1" x14ac:dyDescent="0.35">
      <c r="A26" s="110">
        <v>10</v>
      </c>
      <c r="B26" s="111" t="str">
        <f>IFERROR(VLOOKUP(A26,Tabela6[[ITEM]:[ESCOPO - DESCRITIVO]],2,0),"")</f>
        <v>MARMORARIA</v>
      </c>
      <c r="C26" s="112" t="s">
        <v>25</v>
      </c>
      <c r="D26" s="113"/>
      <c r="E26" s="114"/>
      <c r="F26" s="19" t="str">
        <f t="shared" si="4"/>
        <v/>
      </c>
      <c r="G26" s="21" t="str">
        <f t="shared" si="4"/>
        <v/>
      </c>
      <c r="H26" s="21" t="str">
        <f t="shared" si="4"/>
        <v/>
      </c>
      <c r="I26" s="21" t="str">
        <f t="shared" si="4"/>
        <v/>
      </c>
      <c r="J26" s="21" t="str">
        <f t="shared" si="4"/>
        <v/>
      </c>
      <c r="K26" s="20" t="str">
        <f t="shared" si="4"/>
        <v/>
      </c>
      <c r="L26" s="21" t="str">
        <f t="shared" si="5"/>
        <v/>
      </c>
      <c r="M26" s="21" t="str">
        <f t="shared" si="5"/>
        <v/>
      </c>
      <c r="N26" s="21" t="str">
        <f t="shared" si="5"/>
        <v/>
      </c>
      <c r="O26" s="21" t="str">
        <f t="shared" si="5"/>
        <v/>
      </c>
      <c r="P26" s="129" t="str" cm="1">
        <f t="array" ref="P26">IFERROR(_xlfn.IFS(O26="X",$O$13,N26="X",$N$13,M26="X",$M$13,L26="X",$L$13,K26="X",$K$13,J26="X",$J$13,I26="X",$I$13,H26="X",$H$13,G26="X",$G$13,F26="X",$F$13),"")</f>
        <v/>
      </c>
      <c r="Q26" s="130">
        <f>SUMIF('PLANILHA ORÇAMENTÁRIA'!G433:G445,C26,'PLANILHA ORÇAMENTÁRIA'!K433:K445)*(1+'PLANILHA ORÇAMENTÁRIA'!$K$493)</f>
        <v>0</v>
      </c>
    </row>
    <row r="27" spans="1:17" x14ac:dyDescent="0.35">
      <c r="A27" s="231">
        <v>11</v>
      </c>
      <c r="B27" s="233" t="str">
        <f>IFERROR(VLOOKUP(A27,Tabela6[[ITEM]:[ESCOPO - DESCRITIVO]],2,0),"")</f>
        <v>SISTEMA DE PROTEÇÃO E COMBATE A INCÊNDIO</v>
      </c>
      <c r="C27" s="117" t="s">
        <v>223</v>
      </c>
      <c r="D27" s="113">
        <v>5</v>
      </c>
      <c r="E27" s="114">
        <v>6</v>
      </c>
      <c r="F27" s="19" t="str">
        <f t="shared" si="4"/>
        <v/>
      </c>
      <c r="G27" s="21" t="str">
        <f t="shared" si="4"/>
        <v/>
      </c>
      <c r="H27" s="21" t="str">
        <f t="shared" si="4"/>
        <v/>
      </c>
      <c r="I27" s="21" t="str">
        <f t="shared" si="4"/>
        <v/>
      </c>
      <c r="J27" s="21" t="str">
        <f t="shared" si="4"/>
        <v>x</v>
      </c>
      <c r="K27" s="20" t="str">
        <f t="shared" si="4"/>
        <v>x</v>
      </c>
      <c r="L27" s="21" t="str">
        <f t="shared" si="5"/>
        <v/>
      </c>
      <c r="M27" s="21" t="str">
        <f t="shared" si="5"/>
        <v/>
      </c>
      <c r="N27" s="21" t="str">
        <f t="shared" si="5"/>
        <v/>
      </c>
      <c r="O27" s="21" t="str">
        <f t="shared" si="5"/>
        <v/>
      </c>
      <c r="P27" s="129" cm="1">
        <f t="array" ref="P27">IFERROR(_xlfn.IFS(O27="X",$O$13,N27="X",$N$13,M27="X",$M$13,L27="X",$L$13,K27="X",$K$13,J27="X",$J$13,I27="X",$I$13,H27="X",$H$13,G27="X",$G$13,F27="X",$F$13),"")</f>
        <v>6</v>
      </c>
      <c r="Q27" s="130">
        <f>SUMIF('PLANILHA ORÇAMENTÁRIA'!G448:G459,C27,'PLANILHA ORÇAMENTÁRIA'!K448:K459)*(1+'PLANILHA ORÇAMENTÁRIA'!$K$493)</f>
        <v>70308.682937999998</v>
      </c>
    </row>
    <row r="28" spans="1:17" x14ac:dyDescent="0.35">
      <c r="A28" s="232"/>
      <c r="B28" s="234"/>
      <c r="C28" s="117" t="s">
        <v>284</v>
      </c>
      <c r="D28" s="118">
        <v>7</v>
      </c>
      <c r="E28" s="114">
        <v>7</v>
      </c>
      <c r="F28" s="19" t="str">
        <f t="shared" si="4"/>
        <v/>
      </c>
      <c r="G28" s="21" t="str">
        <f t="shared" si="4"/>
        <v/>
      </c>
      <c r="H28" s="21" t="str">
        <f t="shared" si="4"/>
        <v/>
      </c>
      <c r="I28" s="21" t="str">
        <f t="shared" si="4"/>
        <v/>
      </c>
      <c r="J28" s="21" t="str">
        <f t="shared" si="4"/>
        <v/>
      </c>
      <c r="K28" s="20" t="str">
        <f t="shared" si="4"/>
        <v/>
      </c>
      <c r="L28" s="21" t="str">
        <f t="shared" si="5"/>
        <v>x</v>
      </c>
      <c r="M28" s="21" t="str">
        <f t="shared" si="5"/>
        <v/>
      </c>
      <c r="N28" s="21" t="str">
        <f t="shared" si="5"/>
        <v/>
      </c>
      <c r="O28" s="21" t="str">
        <f t="shared" si="5"/>
        <v/>
      </c>
      <c r="P28" s="129" cm="1">
        <f t="array" ref="P28">IFERROR(_xlfn.IFS(O28="X",$O$13,N28="X",$N$13,M28="X",$M$13,L28="X",$L$13,K28="X",$K$13,J28="X",$J$13,I28="X",$I$13,H28="X",$H$13,G28="X",$G$13,F28="X",$F$13),"")</f>
        <v>7</v>
      </c>
      <c r="Q28" s="130">
        <f>SUMIF('PLANILHA ORÇAMENTÁRIA'!G449:G467,C28,'PLANILHA ORÇAMENTÁRIA'!K449:K467)*(1+'PLANILHA ORÇAMENTÁRIA'!$K$493)</f>
        <v>52048.844055000001</v>
      </c>
    </row>
    <row r="29" spans="1:17" x14ac:dyDescent="0.35">
      <c r="A29" s="110">
        <v>12</v>
      </c>
      <c r="B29" s="111" t="str">
        <f>IFERROR(VLOOKUP(A29,Tabela6[[ITEM]:[ESCOPO - DESCRITIVO]],2,0),"")</f>
        <v>MARCENARIA E SERRALHERIA</v>
      </c>
      <c r="C29" s="112" t="s">
        <v>25</v>
      </c>
      <c r="D29" s="113">
        <v>7</v>
      </c>
      <c r="E29" s="114">
        <v>7</v>
      </c>
      <c r="F29" s="19" t="str">
        <f t="shared" si="4"/>
        <v/>
      </c>
      <c r="G29" s="21" t="str">
        <f t="shared" si="4"/>
        <v/>
      </c>
      <c r="H29" s="21" t="str">
        <f t="shared" si="4"/>
        <v/>
      </c>
      <c r="I29" s="21" t="str">
        <f t="shared" si="4"/>
        <v/>
      </c>
      <c r="J29" s="21" t="str">
        <f t="shared" si="4"/>
        <v/>
      </c>
      <c r="K29" s="20" t="str">
        <f t="shared" si="4"/>
        <v/>
      </c>
      <c r="L29" s="21" t="str">
        <f t="shared" si="5"/>
        <v>x</v>
      </c>
      <c r="M29" s="21" t="str">
        <f t="shared" si="5"/>
        <v/>
      </c>
      <c r="N29" s="21" t="str">
        <f t="shared" si="5"/>
        <v/>
      </c>
      <c r="O29" s="21" t="str">
        <f t="shared" si="5"/>
        <v/>
      </c>
      <c r="P29" s="129" cm="1">
        <f t="array" ref="P29">IFERROR(_xlfn.IFS(O29="X",$O$13,N29="X",$N$13,M29="X",$M$13,L29="X",$L$13,K29="X",$K$13,J29="X",$J$13,I29="X",$I$13,H29="X",$H$13,G29="X",$G$13,F29="X",$F$13),"")</f>
        <v>7</v>
      </c>
      <c r="Q29" s="130">
        <f>SUMIF('PLANILHA ORÇAMENTÁRIA'!G460:G488,C29,'PLANILHA ORÇAMENTÁRIA'!K460:K488)*(1+'PLANILHA ORÇAMENTÁRIA'!$K$493)</f>
        <v>48536.185230000003</v>
      </c>
    </row>
    <row r="30" spans="1:17" x14ac:dyDescent="0.35">
      <c r="A30" s="119">
        <v>13</v>
      </c>
      <c r="B30" s="111" t="str">
        <f>IFERROR(VLOOKUP(A30,Tabela6[[ITEM]:[ESCOPO - DESCRITIVO]],2,0),"")</f>
        <v>OMISSOS</v>
      </c>
      <c r="C30" s="112" t="s">
        <v>25</v>
      </c>
      <c r="D30" s="120">
        <v>1</v>
      </c>
      <c r="E30" s="121">
        <v>7</v>
      </c>
      <c r="F30" s="91" t="str">
        <f t="shared" si="4"/>
        <v>x</v>
      </c>
      <c r="G30" s="92" t="str">
        <f t="shared" si="4"/>
        <v>x</v>
      </c>
      <c r="H30" s="92" t="str">
        <f t="shared" si="4"/>
        <v>x</v>
      </c>
      <c r="I30" s="92" t="str">
        <f t="shared" si="4"/>
        <v>x</v>
      </c>
      <c r="J30" s="92" t="str">
        <f t="shared" si="4"/>
        <v>x</v>
      </c>
      <c r="K30" s="93" t="str">
        <f t="shared" si="4"/>
        <v>x</v>
      </c>
      <c r="L30" s="92" t="str">
        <f t="shared" si="5"/>
        <v>x</v>
      </c>
      <c r="M30" s="92" t="str">
        <f t="shared" si="5"/>
        <v/>
      </c>
      <c r="N30" s="92" t="str">
        <f t="shared" si="5"/>
        <v/>
      </c>
      <c r="O30" s="92" t="str">
        <f t="shared" si="5"/>
        <v/>
      </c>
      <c r="P30" s="131" cm="1">
        <f t="array" ref="P30">IFERROR(_xlfn.IFS(O30="X",$O$13,N30="X",$N$13,M30="X",$M$13,L30="X",$L$13,K30="X",$K$13,J30="X",$J$13,I30="X",$I$13,H30="X",$H$13,G30="X",$G$13,F30="X",$F$13),"")</f>
        <v>7</v>
      </c>
      <c r="Q30" s="130">
        <f>SUMIF('PLANILHA ORÇAMENTÁRIA'!G470:G487,C30,'PLANILHA ORÇAMENTÁRIA'!K470:K487)*(1+'PLANILHA ORÇAMENTÁRIA'!$K$493)</f>
        <v>0</v>
      </c>
    </row>
    <row r="31" spans="1:17" ht="15" thickBot="1" x14ac:dyDescent="0.4">
      <c r="A31" s="122">
        <v>14</v>
      </c>
      <c r="B31" s="123" t="str">
        <f>IFERROR(VLOOKUP(A31,Tabela6[[ITEM]:[ESCOPO - DESCRITIVO]],2,0),"")</f>
        <v>LIMPEZA FINAL DE OBRA</v>
      </c>
      <c r="C31" s="124" t="s">
        <v>25</v>
      </c>
      <c r="D31" s="125">
        <v>7</v>
      </c>
      <c r="E31" s="126">
        <v>7</v>
      </c>
      <c r="F31" s="22" t="str">
        <f t="shared" si="4"/>
        <v/>
      </c>
      <c r="G31" s="24" t="str">
        <f t="shared" si="4"/>
        <v/>
      </c>
      <c r="H31" s="24" t="str">
        <f t="shared" si="4"/>
        <v/>
      </c>
      <c r="I31" s="24" t="str">
        <f t="shared" si="4"/>
        <v/>
      </c>
      <c r="J31" s="24" t="str">
        <f t="shared" si="4"/>
        <v/>
      </c>
      <c r="K31" s="23" t="str">
        <f t="shared" si="4"/>
        <v/>
      </c>
      <c r="L31" s="24" t="str">
        <f t="shared" si="5"/>
        <v>x</v>
      </c>
      <c r="M31" s="24" t="str">
        <f t="shared" si="5"/>
        <v/>
      </c>
      <c r="N31" s="24" t="str">
        <f t="shared" si="5"/>
        <v/>
      </c>
      <c r="O31" s="24" t="str">
        <f t="shared" si="5"/>
        <v/>
      </c>
      <c r="P31" s="132" cm="1">
        <f t="array" ref="P31">IFERROR(_xlfn.IFS(O31="X",$O$13,N31="X",$N$13,M31="X",$M$13,L31="X",$L$13,K31="X",$K$13,J31="X",$J$13,I31="X",$I$13,H31="X",$H$13,G31="X",$G$13,F31="X",$F$13),"")</f>
        <v>7</v>
      </c>
      <c r="Q31" s="133">
        <f>SUMIF('PLANILHA ORÇAMENTÁRIA'!G488:G490,C31,'PLANILHA ORÇAMENTÁRIA'!K488:K490)*(1+'PLANILHA ORÇAMENTÁRIA'!$K$493)</f>
        <v>12560.59549134</v>
      </c>
    </row>
    <row r="33" spans="1:17" ht="15" thickBot="1" x14ac:dyDescent="0.4">
      <c r="Q33" s="75"/>
    </row>
    <row r="34" spans="1:17" ht="21.5" thickBot="1" x14ac:dyDescent="0.4">
      <c r="A34" s="197" t="s">
        <v>954</v>
      </c>
      <c r="B34" s="198"/>
      <c r="C34" s="198"/>
      <c r="D34" s="199"/>
      <c r="Q34" s="75"/>
    </row>
    <row r="35" spans="1:17" ht="15" thickBot="1" x14ac:dyDescent="0.4">
      <c r="A35" s="134" t="s">
        <v>955</v>
      </c>
      <c r="B35" s="135" t="s">
        <v>956</v>
      </c>
      <c r="C35" s="200" t="s">
        <v>957</v>
      </c>
      <c r="D35" s="201"/>
    </row>
    <row r="36" spans="1:17" x14ac:dyDescent="0.35">
      <c r="A36" s="33">
        <v>1</v>
      </c>
      <c r="B36" s="74">
        <f>(IF($P$14=A36,$Q$14,0)+SUMIF($P$16:$P$31,A36,$Q$16:$Q$31))*0.9</f>
        <v>0</v>
      </c>
      <c r="C36" s="202" t="str">
        <f>"QUINZENA "&amp;A37</f>
        <v>QUINZENA 2</v>
      </c>
      <c r="D36" s="203"/>
    </row>
    <row r="37" spans="1:17" x14ac:dyDescent="0.35">
      <c r="A37" s="28">
        <v>2</v>
      </c>
      <c r="B37" s="35">
        <f>(IF($P$14=A37,$Q$14,0)+SUMIF($P$16:$P$31,A37,$Q$16:$Q$31))*0.9</f>
        <v>356968.03557706199</v>
      </c>
      <c r="C37" s="195" t="str">
        <f>"QUINZENA "&amp;A38</f>
        <v>QUINZENA 3</v>
      </c>
      <c r="D37" s="196"/>
    </row>
    <row r="38" spans="1:17" x14ac:dyDescent="0.35">
      <c r="A38" s="28">
        <v>3</v>
      </c>
      <c r="B38" s="35">
        <f t="shared" ref="B38:B42" si="6">(IF($P$14=A38,$Q$14,0)+SUMIF($P$16:$P$31,A38,$Q$16:$Q$31)+($Q$15/($E$15-$D$15+1)))*0.9</f>
        <v>149844.04929346318</v>
      </c>
      <c r="C38" s="195" t="str">
        <f t="shared" ref="C38:C41" si="7">"QUINZENA "&amp;A39</f>
        <v>QUINZENA 4</v>
      </c>
      <c r="D38" s="196"/>
    </row>
    <row r="39" spans="1:17" x14ac:dyDescent="0.35">
      <c r="A39" s="28">
        <v>4</v>
      </c>
      <c r="B39" s="35">
        <f t="shared" si="6"/>
        <v>144575.39321017649</v>
      </c>
      <c r="C39" s="195" t="str">
        <f t="shared" si="7"/>
        <v>QUINZENA 5</v>
      </c>
      <c r="D39" s="196"/>
    </row>
    <row r="40" spans="1:17" x14ac:dyDescent="0.35">
      <c r="A40" s="28">
        <v>5</v>
      </c>
      <c r="B40" s="35">
        <f t="shared" si="6"/>
        <v>45521.448421363195</v>
      </c>
      <c r="C40" s="195" t="str">
        <f t="shared" si="7"/>
        <v>QUINZENA 6</v>
      </c>
      <c r="D40" s="196"/>
    </row>
    <row r="41" spans="1:17" x14ac:dyDescent="0.35">
      <c r="A41" s="28">
        <v>6</v>
      </c>
      <c r="B41" s="35">
        <f t="shared" si="6"/>
        <v>1136239.8992213022</v>
      </c>
      <c r="C41" s="195" t="str">
        <f t="shared" si="7"/>
        <v>QUINZENA 7</v>
      </c>
      <c r="D41" s="196"/>
    </row>
    <row r="42" spans="1:17" x14ac:dyDescent="0.35">
      <c r="A42" s="28">
        <v>7</v>
      </c>
      <c r="B42" s="35">
        <f t="shared" si="6"/>
        <v>912317.47305304336</v>
      </c>
      <c r="C42" s="195" t="str">
        <f>"QUINZENA "&amp;A42+1</f>
        <v>QUINZENA 8</v>
      </c>
      <c r="D42" s="196"/>
    </row>
    <row r="43" spans="1:17" x14ac:dyDescent="0.35">
      <c r="A43" s="28" t="s">
        <v>958</v>
      </c>
      <c r="B43" s="35">
        <f>SUM(Q14:Q31)*0.05</f>
        <v>152525.90548757836</v>
      </c>
      <c r="C43" s="195" t="s">
        <v>959</v>
      </c>
      <c r="D43" s="196"/>
    </row>
    <row r="44" spans="1:17" ht="15" thickBot="1" x14ac:dyDescent="0.4">
      <c r="A44" s="34" t="s">
        <v>960</v>
      </c>
      <c r="B44" s="36">
        <f>SUM(Q14:Q31)*0.05</f>
        <v>152525.90548757836</v>
      </c>
      <c r="C44" s="193" t="s">
        <v>961</v>
      </c>
      <c r="D44" s="194"/>
    </row>
    <row r="46" spans="1:17" x14ac:dyDescent="0.35">
      <c r="B46" s="1" t="str">
        <f>IF(SUM(B36:B44)&lt;&gt;(SUM(Q14:Q31)),"VERIFICAR VALORES","")</f>
        <v/>
      </c>
    </row>
  </sheetData>
  <sheetProtection algorithmName="SHA-512" hashValue="Xc92JpgMl6Xva7e6HzIgsSQGZjVu6Z+b0O6T9P5Mect+uWQXrL84GX1DddGw7sk6E1y34uOMu6Sfj4RP46R5+w==" saltValue="uvXZnF1P0uXlGqupBJ6g2w==" spinCount="100000" sheet="1" objects="1" scenarios="1"/>
  <mergeCells count="39">
    <mergeCell ref="A27:A28"/>
    <mergeCell ref="B27:B28"/>
    <mergeCell ref="A20:A21"/>
    <mergeCell ref="B20:B21"/>
    <mergeCell ref="A22:A23"/>
    <mergeCell ref="B22:B23"/>
    <mergeCell ref="Q12:Q13"/>
    <mergeCell ref="D12:D13"/>
    <mergeCell ref="C12:C13"/>
    <mergeCell ref="A17:A18"/>
    <mergeCell ref="B17:B18"/>
    <mergeCell ref="E12:E13"/>
    <mergeCell ref="P12:P13"/>
    <mergeCell ref="B12:B13"/>
    <mergeCell ref="A12:A13"/>
    <mergeCell ref="A1:Q1"/>
    <mergeCell ref="P9:Q9"/>
    <mergeCell ref="P8:Q8"/>
    <mergeCell ref="P6:Q6"/>
    <mergeCell ref="P5:Q5"/>
    <mergeCell ref="P4:Q4"/>
    <mergeCell ref="P3:Q3"/>
    <mergeCell ref="B3:L3"/>
    <mergeCell ref="B4:L4"/>
    <mergeCell ref="B5:L5"/>
    <mergeCell ref="B6:L6"/>
    <mergeCell ref="B8:L8"/>
    <mergeCell ref="B9:L9"/>
    <mergeCell ref="A34:D34"/>
    <mergeCell ref="C35:D35"/>
    <mergeCell ref="C36:D36"/>
    <mergeCell ref="C37:D37"/>
    <mergeCell ref="C38:D38"/>
    <mergeCell ref="C44:D44"/>
    <mergeCell ref="C39:D39"/>
    <mergeCell ref="C40:D40"/>
    <mergeCell ref="C41:D41"/>
    <mergeCell ref="C42:D42"/>
    <mergeCell ref="C43:D43"/>
  </mergeCells>
  <phoneticPr fontId="5" type="noConversion"/>
  <conditionalFormatting sqref="F14:O31">
    <cfRule type="containsText" dxfId="1" priority="3" operator="containsText" text="x">
      <formula>NOT(ISERROR(SEARCH("x",F14)))</formula>
    </cfRule>
  </conditionalFormatting>
  <conditionalFormatting sqref="Q33:Q63 B46">
    <cfRule type="containsText" dxfId="0" priority="1" operator="containsText" text="VERIFICAR VALORES">
      <formula>NOT(ISERROR(SEARCH("VERIFICAR VALORES",B33)))</formula>
    </cfRule>
  </conditionalFormatting>
  <pageMargins left="0.511811024" right="0.511811024" top="0.78740157499999996" bottom="0.78740157499999996" header="0.31496062000000002" footer="0.31496062000000002"/>
  <headerFooter>
    <oddHeader>&amp;L&amp;"Calibri"&amp;10&amp;K0000FF Interno&amp;1#_x000D_</oddHeader>
  </headerFooter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8E2D078-655F-49F1-A59D-53BC124D058D}">
          <x14:formula1>
            <xm:f>AUXILIAR!$B$7:$B$9</xm:f>
          </x14:formula1>
          <xm:sqref>C14:C31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A7465-70D8-430B-B2F7-35BD6E0255B8}">
  <dimension ref="B1:D9"/>
  <sheetViews>
    <sheetView workbookViewId="0">
      <selection activeCell="D7" sqref="D7"/>
    </sheetView>
  </sheetViews>
  <sheetFormatPr defaultRowHeight="14.5" x14ac:dyDescent="0.35"/>
  <cols>
    <col min="2" max="2" width="63.81640625" bestFit="1" customWidth="1"/>
    <col min="4" max="4" width="69" bestFit="1" customWidth="1"/>
  </cols>
  <sheetData>
    <row r="1" spans="2:4" x14ac:dyDescent="0.35">
      <c r="B1" t="s">
        <v>9</v>
      </c>
      <c r="D1" t="s">
        <v>962</v>
      </c>
    </row>
    <row r="6" spans="2:4" x14ac:dyDescent="0.35">
      <c r="B6" t="s">
        <v>17</v>
      </c>
    </row>
    <row r="7" spans="2:4" x14ac:dyDescent="0.35">
      <c r="B7" t="s">
        <v>25</v>
      </c>
    </row>
    <row r="8" spans="2:4" x14ac:dyDescent="0.35">
      <c r="B8" t="s">
        <v>223</v>
      </c>
    </row>
    <row r="9" spans="2:4" x14ac:dyDescent="0.35">
      <c r="B9" t="s">
        <v>284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3D8BAAEF41CD4E91FA800C6EEB2EB0" ma:contentTypeVersion="14" ma:contentTypeDescription="Crie um novo documento." ma:contentTypeScope="" ma:versionID="74955fd69599b8d952b83a75da267a1e">
  <xsd:schema xmlns:xsd="http://www.w3.org/2001/XMLSchema" xmlns:xs="http://www.w3.org/2001/XMLSchema" xmlns:p="http://schemas.microsoft.com/office/2006/metadata/properties" xmlns:ns2="5c5877d4-ca8c-4a39-ba0b-1eba4839fa0a" xmlns:ns3="2e145e56-86b6-416b-8511-74d6ff673251" targetNamespace="http://schemas.microsoft.com/office/2006/metadata/properties" ma:root="true" ma:fieldsID="3d6fe6e2e9170a1c593c73a3d126ea43" ns2:_="" ns3:_="">
    <xsd:import namespace="5c5877d4-ca8c-4a39-ba0b-1eba4839fa0a"/>
    <xsd:import namespace="2e145e56-86b6-416b-8511-74d6ff6732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5877d4-ca8c-4a39-ba0b-1eba4839fa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145e56-86b6-416b-8511-74d6ff67325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c5877d4-ca8c-4a39-ba0b-1eba4839fa0a">
      <Terms xmlns="http://schemas.microsoft.com/office/infopath/2007/PartnerControls"/>
    </lcf76f155ced4ddcb4097134ff3c332f>
  </documentManagement>
</p:properties>
</file>

<file path=customXml/item4.xml>�� 
</file>

<file path=customXml/itemProps1.xml><?xml version="1.0" encoding="utf-8"?>
<ds:datastoreItem xmlns:ds="http://schemas.openxmlformats.org/officeDocument/2006/customXml" ds:itemID="{22C08885-6434-440C-BDCF-D440C7DE49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5877d4-ca8c-4a39-ba0b-1eba4839fa0a"/>
    <ds:schemaRef ds:uri="2e145e56-86b6-416b-8511-74d6ff6732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ECAF3B-AD1C-43F5-B707-1C52449834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B4D06C-DFD2-4ABD-BF92-31099A23B188}">
  <ds:schemaRefs>
    <ds:schemaRef ds:uri="http://schemas.microsoft.com/office/2006/metadata/properties"/>
    <ds:schemaRef ds:uri="http://schemas.microsoft.com/office/infopath/2007/PartnerControls"/>
    <ds:schemaRef ds:uri="5c5877d4-ca8c-4a39-ba0b-1eba4839fa0a"/>
  </ds:schemaRefs>
</ds:datastoreItem>
</file>

<file path=customXml/itemProps4.xml><?xml version="1.0" encoding="utf-8"?>
<ds:datastoreItem xmlns:ds="http://schemas.openxmlformats.org/officeDocument/2006/customXml" ds:itemID="{49EE8CD8-A336-46A9-9A08-E676BC6D71C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05ed99-fe46-4e77-9e3d-2752fa6c6f03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PLANILHA ORÇAMENTÁRIA</vt:lpstr>
      <vt:lpstr>PLANILHA RESUMO</vt:lpstr>
      <vt:lpstr>CRONOGRAMA FÍSICO FINANCEIRO</vt:lpstr>
      <vt:lpstr>AUXILIAR</vt:lpstr>
      <vt:lpstr>ÁREA_CONSTRUIDA</vt:lpstr>
      <vt:lpstr>PRAZO_DE_OBRA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RJ - amst117 - WILLIAM GUILHERME SENTER</dc:creator>
  <cp:keywords/>
  <dc:description/>
  <cp:lastModifiedBy>Patricia Batista Damasceno Rodrigues de Araujo</cp:lastModifiedBy>
  <cp:revision/>
  <dcterms:created xsi:type="dcterms:W3CDTF">2023-07-20T18:51:58Z</dcterms:created>
  <dcterms:modified xsi:type="dcterms:W3CDTF">2025-09-05T13:09:43Z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a05ed99-fe46-4e77-9e3d-2752fa6c6f03_Enabled">
    <vt:lpwstr>true</vt:lpwstr>
  </property>
  <property fmtid="{D5CDD505-2E9C-101B-9397-08002B2CF9AE}" pid="3" name="MSIP_Label_ca05ed99-fe46-4e77-9e3d-2752fa6c6f03_SetDate">
    <vt:lpwstr>2023-07-20T18:52:32Z</vt:lpwstr>
  </property>
  <property fmtid="{D5CDD505-2E9C-101B-9397-08002B2CF9AE}" pid="4" name="MSIP_Label_ca05ed99-fe46-4e77-9e3d-2752fa6c6f03_Method">
    <vt:lpwstr>Privileged</vt:lpwstr>
  </property>
  <property fmtid="{D5CDD505-2E9C-101B-9397-08002B2CF9AE}" pid="5" name="MSIP_Label_ca05ed99-fe46-4e77-9e3d-2752fa6c6f03_Name">
    <vt:lpwstr>RJ - Interno</vt:lpwstr>
  </property>
  <property fmtid="{D5CDD505-2E9C-101B-9397-08002B2CF9AE}" pid="6" name="MSIP_Label_ca05ed99-fe46-4e77-9e3d-2752fa6c6f03_SiteId">
    <vt:lpwstr>97298271-1bd7-4ac5-935b-88addef636cc</vt:lpwstr>
  </property>
  <property fmtid="{D5CDD505-2E9C-101B-9397-08002B2CF9AE}" pid="7" name="MSIP_Label_ca05ed99-fe46-4e77-9e3d-2752fa6c6f03_ActionId">
    <vt:lpwstr>edbf8165-28cc-430e-bd9c-a9fffe67c049</vt:lpwstr>
  </property>
  <property fmtid="{D5CDD505-2E9C-101B-9397-08002B2CF9AE}" pid="8" name="MSIP_Label_ca05ed99-fe46-4e77-9e3d-2752fa6c6f03_ContentBits">
    <vt:lpwstr>1</vt:lpwstr>
  </property>
  <property fmtid="{D5CDD505-2E9C-101B-9397-08002B2CF9AE}" pid="9" name="ContentTypeId">
    <vt:lpwstr>0x010100C03D8BAAEF41CD4E91FA800C6EEB2EB0</vt:lpwstr>
  </property>
  <property fmtid="{D5CDD505-2E9C-101B-9397-08002B2CF9AE}" pid="10" name="MediaServiceImageTags">
    <vt:lpwstr/>
  </property>
</Properties>
</file>